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15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9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1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13.xml"/>
  <Override ContentType="application/vnd.openxmlformats-officedocument.drawingml.chart+xml" PartName="/xl/charts/chart44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39.xml"/>
  <Override ContentType="application/vnd.openxmlformats-officedocument.drawingml.chart+xml" PartName="/xl/charts/chart35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34.xml"/>
  <Override ContentType="application/vnd.openxmlformats-officedocument.drawingml.chart+xml" PartName="/xl/charts/chart47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16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37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40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balance" sheetId="1" r:id="rId4"/>
    <sheet state="visible" name="Main" sheetId="2" r:id="rId5"/>
    <sheet state="visible" name="CME" sheetId="3" r:id="rId6"/>
    <sheet state="visible" name="Ons" sheetId="4" r:id="rId7"/>
    <sheet state="visible" name="Soberanos" sheetId="5" r:id="rId8"/>
    <sheet state="visible" name="Futuros A3" sheetId="6" r:id="rId9"/>
    <sheet state="visible" name="Acciones individuales" sheetId="7" r:id="rId10"/>
    <sheet state="visible" name="Working Capital USDPesos" sheetId="8" r:id="rId11"/>
    <sheet state="visible" name="Working Capital Pesos" sheetId="9" r:id="rId12"/>
    <sheet state="visible" name="Renta fija USD Corto Plazo" sheetId="10" r:id="rId13"/>
    <sheet state="visible" name="Renta fija USD Hiper Conservado" sheetId="11" r:id="rId14"/>
    <sheet state="visible" name="Renta Fija USD + Oro Conservado" sheetId="12" r:id="rId15"/>
    <sheet state="visible" name="Renta Fija Mixta + Metales Mode" sheetId="13" r:id="rId16"/>
    <sheet state="visible" name="Renta Fija Mixta + Metales Agre" sheetId="14" r:id="rId17"/>
    <sheet state="visible" name="Renta Mixta Conservador" sheetId="15" r:id="rId18"/>
    <sheet state="visible" name="Dividendos" sheetId="16" r:id="rId19"/>
    <sheet state="visible" name="All Weather" sheetId="17" r:id="rId20"/>
    <sheet state="visible" name="Renta Mixta Moderado" sheetId="18" r:id="rId21"/>
    <sheet state="visible" name="Renta Mixta Agresivo" sheetId="19" r:id="rId22"/>
    <sheet state="visible" name="Factor Alfa" sheetId="20" r:id="rId23"/>
    <sheet state="visible" name="Futuros + Renta Mixta Conservad" sheetId="21" r:id="rId24"/>
    <sheet state="visible" name="Futuros + Renta Mixta Moderado" sheetId="22" r:id="rId25"/>
    <sheet state="visible" name="Futuros + Renta Mixta Agresivo" sheetId="23" r:id="rId26"/>
    <sheet state="visible" name="CERA Conservador" sheetId="24" r:id="rId27"/>
    <sheet state="visible" name="CERA Agresivo" sheetId="25" r:id="rId28"/>
    <sheet state="visible" name="ARGY sin ONs" sheetId="26" r:id="rId29"/>
    <sheet state="visible" name="Merval" sheetId="27" r:id="rId30"/>
    <sheet state="visible" name="Merval + VIST" sheetId="28" r:id="rId31"/>
    <sheet state="visible" name="Merval + VIST + MELI" sheetId="29" r:id="rId32"/>
    <sheet state="visible" name="Lau 8" sheetId="30" r:id="rId33"/>
    <sheet state="visible" name="Marian" sheetId="31" r:id="rId34"/>
    <sheet state="visible" name="Quiles" sheetId="32" r:id="rId35"/>
    <sheet state="visible" name="Hector Mori" sheetId="33" r:id="rId36"/>
  </sheets>
  <definedNames/>
  <calcPr/>
</workbook>
</file>

<file path=xl/sharedStrings.xml><?xml version="1.0" encoding="utf-8"?>
<sst xmlns="http://schemas.openxmlformats.org/spreadsheetml/2006/main" count="5485" uniqueCount="2828">
  <si>
    <t>Portfolio</t>
  </si>
  <si>
    <t>A3</t>
  </si>
  <si>
    <t>A3D</t>
  </si>
  <si>
    <t>AAL</t>
  </si>
  <si>
    <t>AALC</t>
  </si>
  <si>
    <t>AALD</t>
  </si>
  <si>
    <t>AAP</t>
  </si>
  <si>
    <t>AAPDB</t>
  </si>
  <si>
    <t>AAPL</t>
  </si>
  <si>
    <t>AAPLB</t>
  </si>
  <si>
    <t>AAPLC</t>
  </si>
  <si>
    <t>AAPLD</t>
  </si>
  <si>
    <t>ABBV</t>
  </si>
  <si>
    <t>ABBVD</t>
  </si>
  <si>
    <t>ABEV</t>
  </si>
  <si>
    <t>ABEV3</t>
  </si>
  <si>
    <t>ABEVC</t>
  </si>
  <si>
    <t>ABEVD</t>
  </si>
  <si>
    <t>ABNB</t>
  </si>
  <si>
    <t>ABNBC</t>
  </si>
  <si>
    <t>ABNBD</t>
  </si>
  <si>
    <t>ABT</t>
  </si>
  <si>
    <t>ABTC</t>
  </si>
  <si>
    <t>ABTD</t>
  </si>
  <si>
    <t>ACN</t>
  </si>
  <si>
    <t>ACND</t>
  </si>
  <si>
    <t>ADBE</t>
  </si>
  <si>
    <t>ADBEC</t>
  </si>
  <si>
    <t>ADBED</t>
  </si>
  <si>
    <t>ADGO</t>
  </si>
  <si>
    <t>ADGOD</t>
  </si>
  <si>
    <t>ADI</t>
  </si>
  <si>
    <t>ADID</t>
  </si>
  <si>
    <t>ADP</t>
  </si>
  <si>
    <t>AE38</t>
  </si>
  <si>
    <t>AE38C</t>
  </si>
  <si>
    <t>AE38D</t>
  </si>
  <si>
    <t>AE38X</t>
  </si>
  <si>
    <t>AE38Y</t>
  </si>
  <si>
    <t>AE38Z</t>
  </si>
  <si>
    <t>AEC1D</t>
  </si>
  <si>
    <t>AEC1O</t>
  </si>
  <si>
    <t>AEC2O</t>
  </si>
  <si>
    <t>AEC2X</t>
  </si>
  <si>
    <t>AEC2Z</t>
  </si>
  <si>
    <t>AEG</t>
  </si>
  <si>
    <t>AEM</t>
  </si>
  <si>
    <t>AEMD</t>
  </si>
  <si>
    <t>AER5X</t>
  </si>
  <si>
    <t>AER9O</t>
  </si>
  <si>
    <t>AERBD</t>
  </si>
  <si>
    <t>AERBO</t>
  </si>
  <si>
    <t>AFC4X</t>
  </si>
  <si>
    <t>AFC9D</t>
  </si>
  <si>
    <t>AFC9O</t>
  </si>
  <si>
    <t>AFCEX</t>
  </si>
  <si>
    <t>AGRO</t>
  </si>
  <si>
    <t>AGROD</t>
  </si>
  <si>
    <t>AI</t>
  </si>
  <si>
    <t>AID</t>
  </si>
  <si>
    <t>AIG</t>
  </si>
  <si>
    <t>AIGD</t>
  </si>
  <si>
    <t>AKO.B</t>
  </si>
  <si>
    <t>AL29</t>
  </si>
  <si>
    <t>AL29C</t>
  </si>
  <si>
    <t>AL29D</t>
  </si>
  <si>
    <t>AL29X</t>
  </si>
  <si>
    <t>AL30</t>
  </si>
  <si>
    <t>AL30C</t>
  </si>
  <si>
    <t>AL30D</t>
  </si>
  <si>
    <t>AL30X</t>
  </si>
  <si>
    <t>AL30Y</t>
  </si>
  <si>
    <t>AL30Z</t>
  </si>
  <si>
    <t>AL35</t>
  </si>
  <si>
    <t>AL35C</t>
  </si>
  <si>
    <t>AL35D</t>
  </si>
  <si>
    <t>AL35X</t>
  </si>
  <si>
    <t>AL35Y</t>
  </si>
  <si>
    <t>AL35Z</t>
  </si>
  <si>
    <t>AL41</t>
  </si>
  <si>
    <t>AL41C</t>
  </si>
  <si>
    <t>AL41D</t>
  </si>
  <si>
    <t>AL41X</t>
  </si>
  <si>
    <t>AL41Y</t>
  </si>
  <si>
    <t>ALAAD</t>
  </si>
  <si>
    <t>ALAAF</t>
  </si>
  <si>
    <t>ALDAD</t>
  </si>
  <si>
    <t>ALDAF</t>
  </si>
  <si>
    <t>ALDBD</t>
  </si>
  <si>
    <t>ALDBF</t>
  </si>
  <si>
    <t>ALNBF</t>
  </si>
  <si>
    <t>ALREF</t>
  </si>
  <si>
    <t>ALUA</t>
  </si>
  <si>
    <t>ALUAC</t>
  </si>
  <si>
    <t>ALUAD</t>
  </si>
  <si>
    <t>AMAT</t>
  </si>
  <si>
    <t>AMATD</t>
  </si>
  <si>
    <t>AMD</t>
  </si>
  <si>
    <t>AMDC</t>
  </si>
  <si>
    <t>AMDD</t>
  </si>
  <si>
    <t>AMGN</t>
  </si>
  <si>
    <t>AMGND</t>
  </si>
  <si>
    <t>AMX</t>
  </si>
  <si>
    <t>AMXD</t>
  </si>
  <si>
    <t>AMZN</t>
  </si>
  <si>
    <t>AMZNC</t>
  </si>
  <si>
    <t>AMZND</t>
  </si>
  <si>
    <t>ANF</t>
  </si>
  <si>
    <t>ANFD</t>
  </si>
  <si>
    <t>ARC1C</t>
  </si>
  <si>
    <t>ARC1D</t>
  </si>
  <si>
    <t>ARC1O</t>
  </si>
  <si>
    <t>ARCO</t>
  </si>
  <si>
    <t>ARCOD</t>
  </si>
  <si>
    <t>ARKK</t>
  </si>
  <si>
    <t>ARKKD</t>
  </si>
  <si>
    <t>ARM</t>
  </si>
  <si>
    <t>ASML</t>
  </si>
  <si>
    <t>ASMLD</t>
  </si>
  <si>
    <t>ASR</t>
  </si>
  <si>
    <t>AUSO</t>
  </si>
  <si>
    <t>AVGO</t>
  </si>
  <si>
    <t>AVGOC</t>
  </si>
  <si>
    <t>AVGOD</t>
  </si>
  <si>
    <t>AVY</t>
  </si>
  <si>
    <t>AXP</t>
  </si>
  <si>
    <t>AXPD</t>
  </si>
  <si>
    <t>AZN</t>
  </si>
  <si>
    <t>AZND</t>
  </si>
  <si>
    <t>B</t>
  </si>
  <si>
    <t>B.B</t>
  </si>
  <si>
    <t>B.C</t>
  </si>
  <si>
    <t>B.D</t>
  </si>
  <si>
    <t>BA</t>
  </si>
  <si>
    <t>BA.C</t>
  </si>
  <si>
    <t>BA.CD</t>
  </si>
  <si>
    <t>BA37D</t>
  </si>
  <si>
    <t>BA7DC</t>
  </si>
  <si>
    <t>BA7DD</t>
  </si>
  <si>
    <t>BA7DX</t>
  </si>
  <si>
    <t>BA7DY</t>
  </si>
  <si>
    <t>BA7DZ</t>
  </si>
  <si>
    <t>BABA</t>
  </si>
  <si>
    <t>BABAC</t>
  </si>
  <si>
    <t>BABAD</t>
  </si>
  <si>
    <t>BAC</t>
  </si>
  <si>
    <t>BACAC</t>
  </si>
  <si>
    <t>BACAD</t>
  </si>
  <si>
    <t>BACAO</t>
  </si>
  <si>
    <t>BACGC</t>
  </si>
  <si>
    <t>BACGD</t>
  </si>
  <si>
    <t>BACGO</t>
  </si>
  <si>
    <t>BACGX</t>
  </si>
  <si>
    <t>BAD</t>
  </si>
  <si>
    <t>BAD25</t>
  </si>
  <si>
    <t>BAK</t>
  </si>
  <si>
    <t>BAN25</t>
  </si>
  <si>
    <t>BAO25</t>
  </si>
  <si>
    <t>BB</t>
  </si>
  <si>
    <t>BB37D</t>
  </si>
  <si>
    <t>BB7DC</t>
  </si>
  <si>
    <t>BB7DD</t>
  </si>
  <si>
    <t>BB7DX</t>
  </si>
  <si>
    <t>BB7DY</t>
  </si>
  <si>
    <t>BB7DZ</t>
  </si>
  <si>
    <t>BBAR</t>
  </si>
  <si>
    <t>BBARC</t>
  </si>
  <si>
    <t>BBARD</t>
  </si>
  <si>
    <t>BBAS3</t>
  </si>
  <si>
    <t>BBD</t>
  </si>
  <si>
    <t>BBDB</t>
  </si>
  <si>
    <t>BBDC</t>
  </si>
  <si>
    <t>BBDC3</t>
  </si>
  <si>
    <t>BBDCD</t>
  </si>
  <si>
    <t>BBDD</t>
  </si>
  <si>
    <t>BBV</t>
  </si>
  <si>
    <t>BBVD</t>
  </si>
  <si>
    <t>BC28X</t>
  </si>
  <si>
    <t>BC37D</t>
  </si>
  <si>
    <t>BC7DC</t>
  </si>
  <si>
    <t>BC7DD</t>
  </si>
  <si>
    <t>BCCID</t>
  </si>
  <si>
    <t>BCS</t>
  </si>
  <si>
    <t>BDC28</t>
  </si>
  <si>
    <t>BF35D</t>
  </si>
  <si>
    <t>BF35O</t>
  </si>
  <si>
    <t>BF36O</t>
  </si>
  <si>
    <t>BF36X</t>
  </si>
  <si>
    <t>BGD25</t>
  </si>
  <si>
    <t>BHIP</t>
  </si>
  <si>
    <t>BHIPD</t>
  </si>
  <si>
    <t>BHP</t>
  </si>
  <si>
    <t>BHPD</t>
  </si>
  <si>
    <t>BIDU</t>
  </si>
  <si>
    <t>BIDUC</t>
  </si>
  <si>
    <t>BIDUD</t>
  </si>
  <si>
    <t>BIIB</t>
  </si>
  <si>
    <t>BIIBD</t>
  </si>
  <si>
    <t>BIOX</t>
  </si>
  <si>
    <t>BIOXC</t>
  </si>
  <si>
    <t>BIOXD</t>
  </si>
  <si>
    <t>BITF</t>
  </si>
  <si>
    <t>BITFC</t>
  </si>
  <si>
    <t>BITFD</t>
  </si>
  <si>
    <t>BK</t>
  </si>
  <si>
    <t>BKD</t>
  </si>
  <si>
    <t>BKNG</t>
  </si>
  <si>
    <t>BKNGD</t>
  </si>
  <si>
    <t>BKR</t>
  </si>
  <si>
    <t>BLG25</t>
  </si>
  <si>
    <t>BLL25</t>
  </si>
  <si>
    <t>BMA</t>
  </si>
  <si>
    <t>BMA.B</t>
  </si>
  <si>
    <t>BMA.C</t>
  </si>
  <si>
    <t>BMA.D</t>
  </si>
  <si>
    <t>BMY</t>
  </si>
  <si>
    <t>BMYD</t>
  </si>
  <si>
    <t>BNA26</t>
  </si>
  <si>
    <t>BNA6C</t>
  </si>
  <si>
    <t>BNA6D</t>
  </si>
  <si>
    <t>BNG</t>
  </si>
  <si>
    <t>BNGD</t>
  </si>
  <si>
    <t>BNM26</t>
  </si>
  <si>
    <t>BNO25</t>
  </si>
  <si>
    <t>BNO5X</t>
  </si>
  <si>
    <t>BOL1D</t>
  </si>
  <si>
    <t>BOL1O</t>
  </si>
  <si>
    <t>BOLT</t>
  </si>
  <si>
    <t>BP</t>
  </si>
  <si>
    <t>BPA11</t>
  </si>
  <si>
    <t>BPA7C</t>
  </si>
  <si>
    <t>BPA7D</t>
  </si>
  <si>
    <t>BPA7X</t>
  </si>
  <si>
    <t>BPA7Y</t>
  </si>
  <si>
    <t>BPA7Z</t>
  </si>
  <si>
    <t>BPAT</t>
  </si>
  <si>
    <t>BPB7C</t>
  </si>
  <si>
    <t>BPB7D</t>
  </si>
  <si>
    <t>BPB7X</t>
  </si>
  <si>
    <t>BPB7Y</t>
  </si>
  <si>
    <t>BPB7Z</t>
  </si>
  <si>
    <t>BPC7C</t>
  </si>
  <si>
    <t>BPC7D</t>
  </si>
  <si>
    <t>BPC7X</t>
  </si>
  <si>
    <t>BPC7Y</t>
  </si>
  <si>
    <t>BPC7Z</t>
  </si>
  <si>
    <t>BPCHO</t>
  </si>
  <si>
    <t>BPCHX</t>
  </si>
  <si>
    <t>BPCJC</t>
  </si>
  <si>
    <t>BPCJD</t>
  </si>
  <si>
    <t>BPCJO</t>
  </si>
  <si>
    <t>BPCJY</t>
  </si>
  <si>
    <t>BPCKD</t>
  </si>
  <si>
    <t>BPCKO</t>
  </si>
  <si>
    <t>BPCLX</t>
  </si>
  <si>
    <t>BPCNO</t>
  </si>
  <si>
    <t>BPCNX</t>
  </si>
  <si>
    <t>BPCPD</t>
  </si>
  <si>
    <t>BPCPO</t>
  </si>
  <si>
    <t>BPCPY</t>
  </si>
  <si>
    <t>BPD</t>
  </si>
  <si>
    <t>BPD7C</t>
  </si>
  <si>
    <t>BPD7D</t>
  </si>
  <si>
    <t>BPD7X</t>
  </si>
  <si>
    <t>BPD7Y</t>
  </si>
  <si>
    <t>BPD7Z</t>
  </si>
  <si>
    <t>BPO28</t>
  </si>
  <si>
    <t>BPO8D</t>
  </si>
  <si>
    <t>BPOA7</t>
  </si>
  <si>
    <t>BPOB7</t>
  </si>
  <si>
    <t>BPOC7</t>
  </si>
  <si>
    <t>BPOD7</t>
  </si>
  <si>
    <t>BPY26</t>
  </si>
  <si>
    <t>BPY6C</t>
  </si>
  <si>
    <t>BPY6D</t>
  </si>
  <si>
    <t>BPY6X</t>
  </si>
  <si>
    <t>BPY6Y</t>
  </si>
  <si>
    <t>BPY6Z</t>
  </si>
  <si>
    <t>BRFS</t>
  </si>
  <si>
    <t>BRFSD</t>
  </si>
  <si>
    <t>BRKB</t>
  </si>
  <si>
    <t>BRKBC</t>
  </si>
  <si>
    <t>BRKBD</t>
  </si>
  <si>
    <t>BSBR</t>
  </si>
  <si>
    <t>BSCQX</t>
  </si>
  <si>
    <t>BU4J6</t>
  </si>
  <si>
    <t>BVCMC</t>
  </si>
  <si>
    <t>BVCMD</t>
  </si>
  <si>
    <t>BVCMO</t>
  </si>
  <si>
    <t>BYC2P</t>
  </si>
  <si>
    <t>BYCHC</t>
  </si>
  <si>
    <t>BYCHD</t>
  </si>
  <si>
    <t>BYCHO</t>
  </si>
  <si>
    <t>BYCLO</t>
  </si>
  <si>
    <t>BYCLX</t>
  </si>
  <si>
    <t>BYCMX</t>
  </si>
  <si>
    <t>BYCND</t>
  </si>
  <si>
    <t>BYCNO</t>
  </si>
  <si>
    <t>BYCOD</t>
  </si>
  <si>
    <t>BYCOO</t>
  </si>
  <si>
    <t>BYCQX</t>
  </si>
  <si>
    <t>BYCRO</t>
  </si>
  <si>
    <t>BYCRX</t>
  </si>
  <si>
    <t>BYCTD</t>
  </si>
  <si>
    <t>BYCTO</t>
  </si>
  <si>
    <t>BYMA</t>
  </si>
  <si>
    <t>BYMAB</t>
  </si>
  <si>
    <t>BYMAC</t>
  </si>
  <si>
    <t>BYMAD</t>
  </si>
  <si>
    <t>C</t>
  </si>
  <si>
    <t>C.D</t>
  </si>
  <si>
    <t>C21DC</t>
  </si>
  <si>
    <t>C21DD</t>
  </si>
  <si>
    <t>C21DZ</t>
  </si>
  <si>
    <t>CAAP</t>
  </si>
  <si>
    <t>CAAPD</t>
  </si>
  <si>
    <t>CAC3X</t>
  </si>
  <si>
    <t>CAC5C</t>
  </si>
  <si>
    <t>CAC5D</t>
  </si>
  <si>
    <t>CAC5O</t>
  </si>
  <si>
    <t>CAC6X</t>
  </si>
  <si>
    <t>CAC8D</t>
  </si>
  <si>
    <t>CAC8O</t>
  </si>
  <si>
    <t>CAC8X</t>
  </si>
  <si>
    <t>CACAO</t>
  </si>
  <si>
    <t>CACAX</t>
  </si>
  <si>
    <t>CACBD</t>
  </si>
  <si>
    <t>CACBO</t>
  </si>
  <si>
    <t>CADO</t>
  </si>
  <si>
    <t>CAH</t>
  </si>
  <si>
    <t>CAHD</t>
  </si>
  <si>
    <t>CAPX</t>
  </si>
  <si>
    <t>CAR</t>
  </si>
  <si>
    <t>CARC</t>
  </si>
  <si>
    <t>CARP</t>
  </si>
  <si>
    <t>CAT</t>
  </si>
  <si>
    <t>CATC</t>
  </si>
  <si>
    <t>CATD</t>
  </si>
  <si>
    <t>CC</t>
  </si>
  <si>
    <t>CCL</t>
  </si>
  <si>
    <t>CCLD</t>
  </si>
  <si>
    <t>CDE</t>
  </si>
  <si>
    <t>CECO2</t>
  </si>
  <si>
    <t>CEDI</t>
  </si>
  <si>
    <t>CEG</t>
  </si>
  <si>
    <t>CELU</t>
  </si>
  <si>
    <t>CEPU</t>
  </si>
  <si>
    <t>CEPUC</t>
  </si>
  <si>
    <t>CEPUD</t>
  </si>
  <si>
    <t>CFS7D</t>
  </si>
  <si>
    <t>CFS7O</t>
  </si>
  <si>
    <t>CFS7X</t>
  </si>
  <si>
    <t>CGPA2</t>
  </si>
  <si>
    <t>CH24D</t>
  </si>
  <si>
    <t>CIBR</t>
  </si>
  <si>
    <t>CIBRD</t>
  </si>
  <si>
    <t>CIC3O</t>
  </si>
  <si>
    <t>CIC6O</t>
  </si>
  <si>
    <t>CIC7D</t>
  </si>
  <si>
    <t>CIC7O</t>
  </si>
  <si>
    <t>CIC8D</t>
  </si>
  <si>
    <t>CIC8O</t>
  </si>
  <si>
    <t>CIC9D</t>
  </si>
  <si>
    <t>CIC9O</t>
  </si>
  <si>
    <t>CL</t>
  </si>
  <si>
    <t>CLD</t>
  </si>
  <si>
    <t>CLI1C</t>
  </si>
  <si>
    <t>CLI1D</t>
  </si>
  <si>
    <t>CLI1O</t>
  </si>
  <si>
    <t>CLS</t>
  </si>
  <si>
    <t>CLSD</t>
  </si>
  <si>
    <t>CLSIC</t>
  </si>
  <si>
    <t>CLSID</t>
  </si>
  <si>
    <t>CLSIO</t>
  </si>
  <si>
    <t>CO21D</t>
  </si>
  <si>
    <t>CO21X</t>
  </si>
  <si>
    <t>CO24D</t>
  </si>
  <si>
    <t>CO26</t>
  </si>
  <si>
    <t>CO26D</t>
  </si>
  <si>
    <t>CO26X</t>
  </si>
  <si>
    <t>CO26Y</t>
  </si>
  <si>
    <t>CO26Z</t>
  </si>
  <si>
    <t>CO27D</t>
  </si>
  <si>
    <t>CO32</t>
  </si>
  <si>
    <t>CO32C</t>
  </si>
  <si>
    <t>CO32D</t>
  </si>
  <si>
    <t>COD7</t>
  </si>
  <si>
    <t>COD7X</t>
  </si>
  <si>
    <t>COIN</t>
  </si>
  <si>
    <t>COINC</t>
  </si>
  <si>
    <t>COIND</t>
  </si>
  <si>
    <t>COME</t>
  </si>
  <si>
    <t>COMEC</t>
  </si>
  <si>
    <t>COMED</t>
  </si>
  <si>
    <t>COST</t>
  </si>
  <si>
    <t>COSTC</t>
  </si>
  <si>
    <t>COSTD</t>
  </si>
  <si>
    <t>COY27</t>
  </si>
  <si>
    <t>CP28O</t>
  </si>
  <si>
    <t>CP31D</t>
  </si>
  <si>
    <t>CP31O</t>
  </si>
  <si>
    <t>CP32D</t>
  </si>
  <si>
    <t>CP32O</t>
  </si>
  <si>
    <t>CP33O</t>
  </si>
  <si>
    <t>CP34C</t>
  </si>
  <si>
    <t>CP34D</t>
  </si>
  <si>
    <t>CP34O</t>
  </si>
  <si>
    <t>CP34X</t>
  </si>
  <si>
    <t>CP34Y</t>
  </si>
  <si>
    <t>CP35O</t>
  </si>
  <si>
    <t>CP35X</t>
  </si>
  <si>
    <t>CP36D</t>
  </si>
  <si>
    <t>CP36O</t>
  </si>
  <si>
    <t>CP37D</t>
  </si>
  <si>
    <t>CP37O</t>
  </si>
  <si>
    <t>CRCJC</t>
  </si>
  <si>
    <t>CRCJD</t>
  </si>
  <si>
    <t>CRCJO</t>
  </si>
  <si>
    <t>CRCLD</t>
  </si>
  <si>
    <t>CRCLO</t>
  </si>
  <si>
    <t>CRCMO</t>
  </si>
  <si>
    <t>CRE3W</t>
  </si>
  <si>
    <t>CRES</t>
  </si>
  <si>
    <t>CRESD</t>
  </si>
  <si>
    <t>CRM</t>
  </si>
  <si>
    <t>CRMC</t>
  </si>
  <si>
    <t>CRMD</t>
  </si>
  <si>
    <t>CS38C</t>
  </si>
  <si>
    <t>CS38D</t>
  </si>
  <si>
    <t>CS38O</t>
  </si>
  <si>
    <t>CS40O</t>
  </si>
  <si>
    <t>CS40X</t>
  </si>
  <si>
    <t>CS44C</t>
  </si>
  <si>
    <t>CS44D</t>
  </si>
  <si>
    <t>CS44O</t>
  </si>
  <si>
    <t>CS45D</t>
  </si>
  <si>
    <t>CS45O</t>
  </si>
  <si>
    <t>CS45X</t>
  </si>
  <si>
    <t>CS46O</t>
  </si>
  <si>
    <t>CS46X</t>
  </si>
  <si>
    <t>CS47C</t>
  </si>
  <si>
    <t>CS47D</t>
  </si>
  <si>
    <t>CS47O</t>
  </si>
  <si>
    <t>CSCO</t>
  </si>
  <si>
    <t>CSCOC</t>
  </si>
  <si>
    <t>CSCOD</t>
  </si>
  <si>
    <t>CSNA3</t>
  </si>
  <si>
    <t>CTIO</t>
  </si>
  <si>
    <t>CUAP</t>
  </si>
  <si>
    <t>CUAPD</t>
  </si>
  <si>
    <t>CUAPX</t>
  </si>
  <si>
    <t>CUAPY</t>
  </si>
  <si>
    <t>CVH</t>
  </si>
  <si>
    <t>CVHC</t>
  </si>
  <si>
    <t>CVS</t>
  </si>
  <si>
    <t>CVSD</t>
  </si>
  <si>
    <t>CVX</t>
  </si>
  <si>
    <t>CVXC</t>
  </si>
  <si>
    <t>CVXD</t>
  </si>
  <si>
    <t>CWC4O</t>
  </si>
  <si>
    <t>CWC6D</t>
  </si>
  <si>
    <t>CWC6O</t>
  </si>
  <si>
    <t>CX</t>
  </si>
  <si>
    <t>CY27X</t>
  </si>
  <si>
    <t>CY2BD</t>
  </si>
  <si>
    <t>CY2BP</t>
  </si>
  <si>
    <t>D16E6</t>
  </si>
  <si>
    <t>DAL</t>
  </si>
  <si>
    <t>DALD</t>
  </si>
  <si>
    <t>DCO24</t>
  </si>
  <si>
    <t>DD</t>
  </si>
  <si>
    <t>DE</t>
  </si>
  <si>
    <t>DE6X</t>
  </si>
  <si>
    <t>DEC</t>
  </si>
  <si>
    <t>DEC2D</t>
  </si>
  <si>
    <t>DEC2O</t>
  </si>
  <si>
    <t>DECK</t>
  </si>
  <si>
    <t>DECKD</t>
  </si>
  <si>
    <t>DED</t>
  </si>
  <si>
    <t>DEO</t>
  </si>
  <si>
    <t>DEOD</t>
  </si>
  <si>
    <t>DESP</t>
  </si>
  <si>
    <t>DESPD</t>
  </si>
  <si>
    <t>DGCE</t>
  </si>
  <si>
    <t>DGCU2</t>
  </si>
  <si>
    <t>DHR</t>
  </si>
  <si>
    <t>DHRD</t>
  </si>
  <si>
    <t>DHS9D</t>
  </si>
  <si>
    <t>DHS9O</t>
  </si>
  <si>
    <t>DHSBC</t>
  </si>
  <si>
    <t>DHSBD</t>
  </si>
  <si>
    <t>DHSBO</t>
  </si>
  <si>
    <t>DIA</t>
  </si>
  <si>
    <t>DIAB</t>
  </si>
  <si>
    <t>DIAC</t>
  </si>
  <si>
    <t>DIAD</t>
  </si>
  <si>
    <t>DICP</t>
  </si>
  <si>
    <t>DICPC</t>
  </si>
  <si>
    <t>DICPD</t>
  </si>
  <si>
    <t>DICPX</t>
  </si>
  <si>
    <t>DICPY</t>
  </si>
  <si>
    <t>DICPZ</t>
  </si>
  <si>
    <t>DIP0</t>
  </si>
  <si>
    <t>DIP0D</t>
  </si>
  <si>
    <t>DISN</t>
  </si>
  <si>
    <t>DISNC</t>
  </si>
  <si>
    <t>DISND</t>
  </si>
  <si>
    <t>DJN3D</t>
  </si>
  <si>
    <t>DJNJ3</t>
  </si>
  <si>
    <t>DNC3C</t>
  </si>
  <si>
    <t>DNC3D</t>
  </si>
  <si>
    <t>DNC3O</t>
  </si>
  <si>
    <t>DNC5C</t>
  </si>
  <si>
    <t>DNC5D</t>
  </si>
  <si>
    <t>DNC5O</t>
  </si>
  <si>
    <t>DNC5X</t>
  </si>
  <si>
    <t>DNC6O</t>
  </si>
  <si>
    <t>DNC7C</t>
  </si>
  <si>
    <t>DNC7D</t>
  </si>
  <si>
    <t>DNC7O</t>
  </si>
  <si>
    <t>DOCU</t>
  </si>
  <si>
    <t>DOCUD</t>
  </si>
  <si>
    <t>DOME</t>
  </si>
  <si>
    <t>DOW</t>
  </si>
  <si>
    <t>DOWD</t>
  </si>
  <si>
    <t>DRABF</t>
  </si>
  <si>
    <t>E</t>
  </si>
  <si>
    <t>EA</t>
  </si>
  <si>
    <t>EAC1D</t>
  </si>
  <si>
    <t>EAC1O</t>
  </si>
  <si>
    <t>EAC2O</t>
  </si>
  <si>
    <t>EAC3D</t>
  </si>
  <si>
    <t>EAC3O</t>
  </si>
  <si>
    <t>EAC3Y</t>
  </si>
  <si>
    <t>EAD</t>
  </si>
  <si>
    <t>EBAY</t>
  </si>
  <si>
    <t>EBAYD</t>
  </si>
  <si>
    <t>EBR</t>
  </si>
  <si>
    <t>EBRD</t>
  </si>
  <si>
    <t>ECOG</t>
  </si>
  <si>
    <t>ECOGD</t>
  </si>
  <si>
    <t>EDN</t>
  </si>
  <si>
    <t>EDNC</t>
  </si>
  <si>
    <t>EDND</t>
  </si>
  <si>
    <t>EDSH</t>
  </si>
  <si>
    <t>EEM</t>
  </si>
  <si>
    <t>EEMC</t>
  </si>
  <si>
    <t>EEMD</t>
  </si>
  <si>
    <t>EF25C</t>
  </si>
  <si>
    <t>EF25D</t>
  </si>
  <si>
    <t>EFX</t>
  </si>
  <si>
    <t>EFXD</t>
  </si>
  <si>
    <t>ELP</t>
  </si>
  <si>
    <t>ELPD</t>
  </si>
  <si>
    <t>EMC1D</t>
  </si>
  <si>
    <t>EMC1O</t>
  </si>
  <si>
    <t>EQNR</t>
  </si>
  <si>
    <t>ERF25</t>
  </si>
  <si>
    <t>ERIC</t>
  </si>
  <si>
    <t>ERJ</t>
  </si>
  <si>
    <t>ERJD</t>
  </si>
  <si>
    <t>ETHA</t>
  </si>
  <si>
    <t>ETHAC</t>
  </si>
  <si>
    <t>ETHAD</t>
  </si>
  <si>
    <t>ETSY</t>
  </si>
  <si>
    <t>ETSYD</t>
  </si>
  <si>
    <t>EWJ</t>
  </si>
  <si>
    <t>EWJD</t>
  </si>
  <si>
    <t>EWZ</t>
  </si>
  <si>
    <t>EWZB</t>
  </si>
  <si>
    <t>EWZC</t>
  </si>
  <si>
    <t>EWZD</t>
  </si>
  <si>
    <t>EWZDB</t>
  </si>
  <si>
    <t>F</t>
  </si>
  <si>
    <t>FC</t>
  </si>
  <si>
    <t>FCX</t>
  </si>
  <si>
    <t>FCXD</t>
  </si>
  <si>
    <t>FD</t>
  </si>
  <si>
    <t>FDX</t>
  </si>
  <si>
    <t>FDXD</t>
  </si>
  <si>
    <t>FERR</t>
  </si>
  <si>
    <t>FIPL</t>
  </si>
  <si>
    <t>FIPLB</t>
  </si>
  <si>
    <t>FMX</t>
  </si>
  <si>
    <t>FMXD</t>
  </si>
  <si>
    <t>FNMA</t>
  </si>
  <si>
    <t>FOS2O</t>
  </si>
  <si>
    <t>FOS2X</t>
  </si>
  <si>
    <t>FOS3O</t>
  </si>
  <si>
    <t>FOS3X</t>
  </si>
  <si>
    <t>FSLR</t>
  </si>
  <si>
    <t>FXI</t>
  </si>
  <si>
    <t>FXIC</t>
  </si>
  <si>
    <t>FXID</t>
  </si>
  <si>
    <t>GAMI</t>
  </si>
  <si>
    <t>GARO</t>
  </si>
  <si>
    <t>GBAN</t>
  </si>
  <si>
    <t>GCDI</t>
  </si>
  <si>
    <t>GCLA</t>
  </si>
  <si>
    <t>GCLAC</t>
  </si>
  <si>
    <t>GD29</t>
  </si>
  <si>
    <t>GD29C</t>
  </si>
  <si>
    <t>GD29D</t>
  </si>
  <si>
    <t>GD29X</t>
  </si>
  <si>
    <t>GD29Y</t>
  </si>
  <si>
    <t>GD29Z</t>
  </si>
  <si>
    <t>GD30</t>
  </si>
  <si>
    <t>GD30C</t>
  </si>
  <si>
    <t>GD30D</t>
  </si>
  <si>
    <t>GD30X</t>
  </si>
  <si>
    <t>GD30Y</t>
  </si>
  <si>
    <t>GD30Z</t>
  </si>
  <si>
    <t>GD35</t>
  </si>
  <si>
    <t>GD35C</t>
  </si>
  <si>
    <t>GD35D</t>
  </si>
  <si>
    <t>GD35X</t>
  </si>
  <si>
    <t>GD35Y</t>
  </si>
  <si>
    <t>GD35Z</t>
  </si>
  <si>
    <t>GD38</t>
  </si>
  <si>
    <t>GD38C</t>
  </si>
  <si>
    <t>GD38D</t>
  </si>
  <si>
    <t>GD38X</t>
  </si>
  <si>
    <t>GD38Y</t>
  </si>
  <si>
    <t>GD38Z</t>
  </si>
  <si>
    <t>GD41</t>
  </si>
  <si>
    <t>GD41C</t>
  </si>
  <si>
    <t>GD41D</t>
  </si>
  <si>
    <t>GD41X</t>
  </si>
  <si>
    <t>GD41Y</t>
  </si>
  <si>
    <t>GD41Z</t>
  </si>
  <si>
    <t>GD46</t>
  </si>
  <si>
    <t>GD46C</t>
  </si>
  <si>
    <t>GD46D</t>
  </si>
  <si>
    <t>GD46X</t>
  </si>
  <si>
    <t>GD46Y</t>
  </si>
  <si>
    <t>GD46Z</t>
  </si>
  <si>
    <t>GE</t>
  </si>
  <si>
    <t>GE..B</t>
  </si>
  <si>
    <t>GEC</t>
  </si>
  <si>
    <t>GED</t>
  </si>
  <si>
    <t>GFI</t>
  </si>
  <si>
    <t>GGAL</t>
  </si>
  <si>
    <t>GGALB</t>
  </si>
  <si>
    <t>GGALC</t>
  </si>
  <si>
    <t>GGALD</t>
  </si>
  <si>
    <t>GGALX</t>
  </si>
  <si>
    <t>GGB</t>
  </si>
  <si>
    <t>GGBC</t>
  </si>
  <si>
    <t>GGBD</t>
  </si>
  <si>
    <t>GHC8D</t>
  </si>
  <si>
    <t>GHC8O</t>
  </si>
  <si>
    <t>GILD</t>
  </si>
  <si>
    <t>GILDC</t>
  </si>
  <si>
    <t>GILDD</t>
  </si>
  <si>
    <t>GLD</t>
  </si>
  <si>
    <t>GLDB</t>
  </si>
  <si>
    <t>GLDC</t>
  </si>
  <si>
    <t>GLDD</t>
  </si>
  <si>
    <t>GLOB</t>
  </si>
  <si>
    <t>GLOBB</t>
  </si>
  <si>
    <t>GLOBC</t>
  </si>
  <si>
    <t>GLOBD</t>
  </si>
  <si>
    <t>GLW</t>
  </si>
  <si>
    <t>GM</t>
  </si>
  <si>
    <t>GMCJO</t>
  </si>
  <si>
    <t>GMD</t>
  </si>
  <si>
    <t>GN37O</t>
  </si>
  <si>
    <t>GN39O</t>
  </si>
  <si>
    <t>GN39X</t>
  </si>
  <si>
    <t>GN40D</t>
  </si>
  <si>
    <t>GN40O</t>
  </si>
  <si>
    <t>GN42O</t>
  </si>
  <si>
    <t>GN43D</t>
  </si>
  <si>
    <t>GN43O</t>
  </si>
  <si>
    <t>GN43X</t>
  </si>
  <si>
    <t>GN44O</t>
  </si>
  <si>
    <t>GN44X</t>
  </si>
  <si>
    <t>GN46O</t>
  </si>
  <si>
    <t>GN46X</t>
  </si>
  <si>
    <t>GN47D</t>
  </si>
  <si>
    <t>GN47O</t>
  </si>
  <si>
    <t>GN48D</t>
  </si>
  <si>
    <t>GN48O</t>
  </si>
  <si>
    <t>GNCXC</t>
  </si>
  <si>
    <t>GNCXD</t>
  </si>
  <si>
    <t>GNCXO</t>
  </si>
  <si>
    <t>GOC4D</t>
  </si>
  <si>
    <t>GOC4O</t>
  </si>
  <si>
    <t>GOGLB</t>
  </si>
  <si>
    <t>GOGLC</t>
  </si>
  <si>
    <t>GOGLD</t>
  </si>
  <si>
    <t>GOLD</t>
  </si>
  <si>
    <t>GOOGL</t>
  </si>
  <si>
    <t>GPRK</t>
  </si>
  <si>
    <t>GPRKC</t>
  </si>
  <si>
    <t>GPRKD</t>
  </si>
  <si>
    <t>GRIM</t>
  </si>
  <si>
    <t>GRMN</t>
  </si>
  <si>
    <t>GS</t>
  </si>
  <si>
    <t>GSC</t>
  </si>
  <si>
    <t>GSD</t>
  </si>
  <si>
    <t>GSK</t>
  </si>
  <si>
    <t>GSKD</t>
  </si>
  <si>
    <t>GT</t>
  </si>
  <si>
    <t>GTD</t>
  </si>
  <si>
    <t>GYC4D</t>
  </si>
  <si>
    <t>GYC4O</t>
  </si>
  <si>
    <t>GYC5D</t>
  </si>
  <si>
    <t>GYC5O</t>
  </si>
  <si>
    <t>HAL</t>
  </si>
  <si>
    <t>HALD</t>
  </si>
  <si>
    <t>HAPV3</t>
  </si>
  <si>
    <t>HARG</t>
  </si>
  <si>
    <t>HAVA</t>
  </si>
  <si>
    <t>HAVAD</t>
  </si>
  <si>
    <t>HBC4D</t>
  </si>
  <si>
    <t>HBC4O</t>
  </si>
  <si>
    <t>HBC8O</t>
  </si>
  <si>
    <t>HD</t>
  </si>
  <si>
    <t>HDB</t>
  </si>
  <si>
    <t>HDD</t>
  </si>
  <si>
    <t>HJCBD</t>
  </si>
  <si>
    <t>HJCBO</t>
  </si>
  <si>
    <t>HJCEO</t>
  </si>
  <si>
    <t>HJCFD</t>
  </si>
  <si>
    <t>HJCFO</t>
  </si>
  <si>
    <t>HJCGD</t>
  </si>
  <si>
    <t>HJCGO</t>
  </si>
  <si>
    <t>HJCHD</t>
  </si>
  <si>
    <t>HJCHO</t>
  </si>
  <si>
    <t>HJCID</t>
  </si>
  <si>
    <t>HJCIO</t>
  </si>
  <si>
    <t>HL</t>
  </si>
  <si>
    <t>HLD</t>
  </si>
  <si>
    <t>HMC</t>
  </si>
  <si>
    <t>HMY</t>
  </si>
  <si>
    <t>HMYC</t>
  </si>
  <si>
    <t>HMYD</t>
  </si>
  <si>
    <t>HOG</t>
  </si>
  <si>
    <t>HON</t>
  </si>
  <si>
    <t>HOND</t>
  </si>
  <si>
    <t>HPQ</t>
  </si>
  <si>
    <t>HPQD</t>
  </si>
  <si>
    <t>HSAT</t>
  </si>
  <si>
    <t>HSBC</t>
  </si>
  <si>
    <t>HSY</t>
  </si>
  <si>
    <t>HSYC</t>
  </si>
  <si>
    <t>HSYD</t>
  </si>
  <si>
    <t>HUT</t>
  </si>
  <si>
    <t>HUTC</t>
  </si>
  <si>
    <t>HUTD</t>
  </si>
  <si>
    <t>HVS1D</t>
  </si>
  <si>
    <t>HVS1O</t>
  </si>
  <si>
    <t>HWM</t>
  </si>
  <si>
    <t>HWMD</t>
  </si>
  <si>
    <t>IBB</t>
  </si>
  <si>
    <t>IBBD</t>
  </si>
  <si>
    <t>IBIT</t>
  </si>
  <si>
    <t>IBITB</t>
  </si>
  <si>
    <t>IBITC</t>
  </si>
  <si>
    <t>IBITD</t>
  </si>
  <si>
    <t>IBM</t>
  </si>
  <si>
    <t>IBMC</t>
  </si>
  <si>
    <t>IBMD</t>
  </si>
  <si>
    <t>IBN</t>
  </si>
  <si>
    <t>IEB</t>
  </si>
  <si>
    <t>IEUR</t>
  </si>
  <si>
    <t>IEURD</t>
  </si>
  <si>
    <t>IFF</t>
  </si>
  <si>
    <t>IJH</t>
  </si>
  <si>
    <t>IJHD</t>
  </si>
  <si>
    <t>INAG</t>
  </si>
  <si>
    <t>INFY</t>
  </si>
  <si>
    <t>ING</t>
  </si>
  <si>
    <t>INTC</t>
  </si>
  <si>
    <t>INTCC</t>
  </si>
  <si>
    <t>INTCD</t>
  </si>
  <si>
    <t>INTR</t>
  </si>
  <si>
    <t>INVJ</t>
  </si>
  <si>
    <t>IP</t>
  </si>
  <si>
    <t>IRCFC</t>
  </si>
  <si>
    <t>IRCFD</t>
  </si>
  <si>
    <t>IRCFO</t>
  </si>
  <si>
    <t>IRCHC</t>
  </si>
  <si>
    <t>IRCHD</t>
  </si>
  <si>
    <t>IRCHO</t>
  </si>
  <si>
    <t>IRCIC</t>
  </si>
  <si>
    <t>IRCID</t>
  </si>
  <si>
    <t>IRCIO</t>
  </si>
  <si>
    <t>IRCJD</t>
  </si>
  <si>
    <t>IRCJO</t>
  </si>
  <si>
    <t>IRCLD</t>
  </si>
  <si>
    <t>IRCLO</t>
  </si>
  <si>
    <t>IRCND</t>
  </si>
  <si>
    <t>IRCNO</t>
  </si>
  <si>
    <t>IRCOD</t>
  </si>
  <si>
    <t>IRCOO</t>
  </si>
  <si>
    <t>IRCPC</t>
  </si>
  <si>
    <t>IRCPD</t>
  </si>
  <si>
    <t>IRCPO</t>
  </si>
  <si>
    <t>IRS2W</t>
  </si>
  <si>
    <t>IRSA</t>
  </si>
  <si>
    <t>IRSAD</t>
  </si>
  <si>
    <t>ISRG</t>
  </si>
  <si>
    <t>ITUB</t>
  </si>
  <si>
    <t>ITUB3</t>
  </si>
  <si>
    <t>ITUBC</t>
  </si>
  <si>
    <t>ITUBD</t>
  </si>
  <si>
    <t>IVE</t>
  </si>
  <si>
    <t>IVED</t>
  </si>
  <si>
    <t>IVW</t>
  </si>
  <si>
    <t>IVWD</t>
  </si>
  <si>
    <t>IWM</t>
  </si>
  <si>
    <t>IWMC</t>
  </si>
  <si>
    <t>IWMD</t>
  </si>
  <si>
    <t>JBSS3</t>
  </si>
  <si>
    <t>JCI</t>
  </si>
  <si>
    <t>JD</t>
  </si>
  <si>
    <t>JDD</t>
  </si>
  <si>
    <t>JMIA</t>
  </si>
  <si>
    <t>JMIAD</t>
  </si>
  <si>
    <t>JNC5D</t>
  </si>
  <si>
    <t>JNC5O</t>
  </si>
  <si>
    <t>JNJ</t>
  </si>
  <si>
    <t>JNJC</t>
  </si>
  <si>
    <t>JNJD</t>
  </si>
  <si>
    <t>JOYY</t>
  </si>
  <si>
    <t>JOYYD</t>
  </si>
  <si>
    <t>JPM</t>
  </si>
  <si>
    <t>JPMC</t>
  </si>
  <si>
    <t>JPMD</t>
  </si>
  <si>
    <t>KB</t>
  </si>
  <si>
    <t>KEP</t>
  </si>
  <si>
    <t>KGC</t>
  </si>
  <si>
    <t>KMB</t>
  </si>
  <si>
    <t>KMBD</t>
  </si>
  <si>
    <t>KO</t>
  </si>
  <si>
    <t>KO..B</t>
  </si>
  <si>
    <t>KOC</t>
  </si>
  <si>
    <t>KOD</t>
  </si>
  <si>
    <t>KOFM</t>
  </si>
  <si>
    <t>LAC</t>
  </si>
  <si>
    <t>LACD</t>
  </si>
  <si>
    <t>LAR</t>
  </si>
  <si>
    <t>LARC</t>
  </si>
  <si>
    <t>LARD</t>
  </si>
  <si>
    <t>LBL25</t>
  </si>
  <si>
    <t>LDCGD</t>
  </si>
  <si>
    <t>LDCGO</t>
  </si>
  <si>
    <t>LEC9O</t>
  </si>
  <si>
    <t>LECAD</t>
  </si>
  <si>
    <t>LECAO</t>
  </si>
  <si>
    <t>LECBD</t>
  </si>
  <si>
    <t>LECBO</t>
  </si>
  <si>
    <t>LECDO</t>
  </si>
  <si>
    <t>LECED</t>
  </si>
  <si>
    <t>LECEO</t>
  </si>
  <si>
    <t>LECGD</t>
  </si>
  <si>
    <t>LECGO</t>
  </si>
  <si>
    <t>LECHD</t>
  </si>
  <si>
    <t>LECHO</t>
  </si>
  <si>
    <t>LECIO</t>
  </si>
  <si>
    <t>LECJO</t>
  </si>
  <si>
    <t>LECKD</t>
  </si>
  <si>
    <t>LECLO</t>
  </si>
  <si>
    <t>LEDE</t>
  </si>
  <si>
    <t>LEDED</t>
  </si>
  <si>
    <t>LIC6D</t>
  </si>
  <si>
    <t>LIC6O</t>
  </si>
  <si>
    <t>LLY</t>
  </si>
  <si>
    <t>LLYC</t>
  </si>
  <si>
    <t>LLYD</t>
  </si>
  <si>
    <t>LMS4O</t>
  </si>
  <si>
    <t>LMS4X</t>
  </si>
  <si>
    <t>LMS6O</t>
  </si>
  <si>
    <t>LMS6X</t>
  </si>
  <si>
    <t>LMS7C</t>
  </si>
  <si>
    <t>LMS7D</t>
  </si>
  <si>
    <t>LMS7O</t>
  </si>
  <si>
    <t>LMS8C</t>
  </si>
  <si>
    <t>LMS8D</t>
  </si>
  <si>
    <t>LMS8O</t>
  </si>
  <si>
    <t>LMS8X</t>
  </si>
  <si>
    <t>LMS8Y</t>
  </si>
  <si>
    <t>LMS9C</t>
  </si>
  <si>
    <t>LMS9D</t>
  </si>
  <si>
    <t>LMS9O</t>
  </si>
  <si>
    <t>LMT</t>
  </si>
  <si>
    <t>LMTC</t>
  </si>
  <si>
    <t>LMTD</t>
  </si>
  <si>
    <t>LND</t>
  </si>
  <si>
    <t>LOC2C</t>
  </si>
  <si>
    <t>LOC2D</t>
  </si>
  <si>
    <t>LOC2O</t>
  </si>
  <si>
    <t>LOC2X</t>
  </si>
  <si>
    <t>LOC3C</t>
  </si>
  <si>
    <t>LOC3D</t>
  </si>
  <si>
    <t>LOC3O</t>
  </si>
  <si>
    <t>LOC4D</t>
  </si>
  <si>
    <t>LOC4O</t>
  </si>
  <si>
    <t>LOMA</t>
  </si>
  <si>
    <t>LOMAC</t>
  </si>
  <si>
    <t>LOMAD</t>
  </si>
  <si>
    <t>LONG</t>
  </si>
  <si>
    <t>LR3DO</t>
  </si>
  <si>
    <t>LRCX</t>
  </si>
  <si>
    <t>LRCXD</t>
  </si>
  <si>
    <t>LREN3</t>
  </si>
  <si>
    <t>LUC4D</t>
  </si>
  <si>
    <t>LUC4O</t>
  </si>
  <si>
    <t>LUC4X</t>
  </si>
  <si>
    <t>LVS</t>
  </si>
  <si>
    <t>LYG</t>
  </si>
  <si>
    <t>M31L5</t>
  </si>
  <si>
    <t>MA</t>
  </si>
  <si>
    <t>MAC</t>
  </si>
  <si>
    <t>MAD</t>
  </si>
  <si>
    <t>MC1OD</t>
  </si>
  <si>
    <t>MCC1D</t>
  </si>
  <si>
    <t>MCC1O</t>
  </si>
  <si>
    <t>MCC2D</t>
  </si>
  <si>
    <t>MCC2O</t>
  </si>
  <si>
    <t>MCD</t>
  </si>
  <si>
    <t>MCDC</t>
  </si>
  <si>
    <t>MCDD</t>
  </si>
  <si>
    <t>MDLZ</t>
  </si>
  <si>
    <t>MDLZD</t>
  </si>
  <si>
    <t>MDT</t>
  </si>
  <si>
    <t>MELI</t>
  </si>
  <si>
    <t>MELIC</t>
  </si>
  <si>
    <t>MELID</t>
  </si>
  <si>
    <t>META</t>
  </si>
  <si>
    <t>METAC</t>
  </si>
  <si>
    <t>METAD</t>
  </si>
  <si>
    <t>METR</t>
  </si>
  <si>
    <t>METRB</t>
  </si>
  <si>
    <t>METRC</t>
  </si>
  <si>
    <t>METRD</t>
  </si>
  <si>
    <t>MFG</t>
  </si>
  <si>
    <t>MGC1D</t>
  </si>
  <si>
    <t>MGC3C</t>
  </si>
  <si>
    <t>MGC3D</t>
  </si>
  <si>
    <t>MGC3O</t>
  </si>
  <si>
    <t>MGC9C</t>
  </si>
  <si>
    <t>MGC9D</t>
  </si>
  <si>
    <t>MGC9O</t>
  </si>
  <si>
    <t>MGCED</t>
  </si>
  <si>
    <t>MGCEO</t>
  </si>
  <si>
    <t>MGCEX</t>
  </si>
  <si>
    <t>MGCHC</t>
  </si>
  <si>
    <t>MGCHD</t>
  </si>
  <si>
    <t>MGCHO</t>
  </si>
  <si>
    <t>MGCJD</t>
  </si>
  <si>
    <t>MGCJO</t>
  </si>
  <si>
    <t>MGCLD</t>
  </si>
  <si>
    <t>MGCLO</t>
  </si>
  <si>
    <t>MGCLX</t>
  </si>
  <si>
    <t>MGCMC</t>
  </si>
  <si>
    <t>MGCMD</t>
  </si>
  <si>
    <t>MGCMO</t>
  </si>
  <si>
    <t>MGCND</t>
  </si>
  <si>
    <t>MGCNO</t>
  </si>
  <si>
    <t>MGCOC</t>
  </si>
  <si>
    <t>MGCOD</t>
  </si>
  <si>
    <t>MGCOO</t>
  </si>
  <si>
    <t>MGCOZ</t>
  </si>
  <si>
    <t>MGLU3</t>
  </si>
  <si>
    <t>MIC2O</t>
  </si>
  <si>
    <t>MIRG</t>
  </si>
  <si>
    <t>ML5X</t>
  </si>
  <si>
    <t>MMC</t>
  </si>
  <si>
    <t>MMM</t>
  </si>
  <si>
    <t>MMMC</t>
  </si>
  <si>
    <t>MMMD</t>
  </si>
  <si>
    <t>MO</t>
  </si>
  <si>
    <t>MOB</t>
  </si>
  <si>
    <t>MOC</t>
  </si>
  <si>
    <t>MOD</t>
  </si>
  <si>
    <t>MOLA</t>
  </si>
  <si>
    <t>MOLA5</t>
  </si>
  <si>
    <t>MOLI</t>
  </si>
  <si>
    <t>MOLI5</t>
  </si>
  <si>
    <t>MORI</t>
  </si>
  <si>
    <t>MOS</t>
  </si>
  <si>
    <t>MOSD</t>
  </si>
  <si>
    <t>MR35C</t>
  </si>
  <si>
    <t>MR35D</t>
  </si>
  <si>
    <t>MR35O</t>
  </si>
  <si>
    <t>MR36D</t>
  </si>
  <si>
    <t>MR36O</t>
  </si>
  <si>
    <t>MR37C</t>
  </si>
  <si>
    <t>MR37D</t>
  </si>
  <si>
    <t>MR37O</t>
  </si>
  <si>
    <t>MR38O</t>
  </si>
  <si>
    <t>MR39C</t>
  </si>
  <si>
    <t>MR39D</t>
  </si>
  <si>
    <t>MR39O</t>
  </si>
  <si>
    <t>MR40D</t>
  </si>
  <si>
    <t>MR40O</t>
  </si>
  <si>
    <t>MR41O</t>
  </si>
  <si>
    <t>MR42O</t>
  </si>
  <si>
    <t>MRCAC</t>
  </si>
  <si>
    <t>MRCAD</t>
  </si>
  <si>
    <t>MRCAO</t>
  </si>
  <si>
    <t>MRCGD</t>
  </si>
  <si>
    <t>MRCGO</t>
  </si>
  <si>
    <t>MRCHO</t>
  </si>
  <si>
    <t>MRCKO</t>
  </si>
  <si>
    <t>MRCLD</t>
  </si>
  <si>
    <t>MRCLO</t>
  </si>
  <si>
    <t>MRCOO</t>
  </si>
  <si>
    <t>MRCPO</t>
  </si>
  <si>
    <t>MRCQD</t>
  </si>
  <si>
    <t>MRCQO</t>
  </si>
  <si>
    <t>MRCRD</t>
  </si>
  <si>
    <t>MRCRO</t>
  </si>
  <si>
    <t>MRCUD</t>
  </si>
  <si>
    <t>MRCUO</t>
  </si>
  <si>
    <t>MRCWO</t>
  </si>
  <si>
    <t>MRCYD</t>
  </si>
  <si>
    <t>MRCYO</t>
  </si>
  <si>
    <t>MRK</t>
  </si>
  <si>
    <t>MRKC</t>
  </si>
  <si>
    <t>MRKD</t>
  </si>
  <si>
    <t>MRNA</t>
  </si>
  <si>
    <t>MRNAC</t>
  </si>
  <si>
    <t>MRNAD</t>
  </si>
  <si>
    <t>MROCD</t>
  </si>
  <si>
    <t>MRVL</t>
  </si>
  <si>
    <t>MRVLD</t>
  </si>
  <si>
    <t>MSFT</t>
  </si>
  <si>
    <t>MSFTC</t>
  </si>
  <si>
    <t>MSFTD</t>
  </si>
  <si>
    <t>MSI</t>
  </si>
  <si>
    <t>MSSBO</t>
  </si>
  <si>
    <t>MSSED</t>
  </si>
  <si>
    <t>MSSEO</t>
  </si>
  <si>
    <t>MSSFD</t>
  </si>
  <si>
    <t>MSSFO</t>
  </si>
  <si>
    <t>MSSGD</t>
  </si>
  <si>
    <t>MSSGO</t>
  </si>
  <si>
    <t>MSTR</t>
  </si>
  <si>
    <t>MSTRC</t>
  </si>
  <si>
    <t>MSTRD</t>
  </si>
  <si>
    <t>MTCGC</t>
  </si>
  <si>
    <t>MTCGD</t>
  </si>
  <si>
    <t>MTCGO</t>
  </si>
  <si>
    <t>MU</t>
  </si>
  <si>
    <t>MU32D</t>
  </si>
  <si>
    <t>MU32O</t>
  </si>
  <si>
    <t>MU32Y</t>
  </si>
  <si>
    <t>MUC</t>
  </si>
  <si>
    <t>MUD</t>
  </si>
  <si>
    <t>MUFG</t>
  </si>
  <si>
    <t>MUX</t>
  </si>
  <si>
    <t>MUXD</t>
  </si>
  <si>
    <t>NATU3</t>
  </si>
  <si>
    <t>NBS1C</t>
  </si>
  <si>
    <t>NBS1D</t>
  </si>
  <si>
    <t>NBS1O</t>
  </si>
  <si>
    <t>NDT25</t>
  </si>
  <si>
    <t>NDT5C</t>
  </si>
  <si>
    <t>NDT5D</t>
  </si>
  <si>
    <t>NDT5X</t>
  </si>
  <si>
    <t>NDT5Z</t>
  </si>
  <si>
    <t>NEM</t>
  </si>
  <si>
    <t>NEMD</t>
  </si>
  <si>
    <t>NFLX</t>
  </si>
  <si>
    <t>NFLXC</t>
  </si>
  <si>
    <t>NFLXD</t>
  </si>
  <si>
    <t>NG</t>
  </si>
  <si>
    <t>NGG</t>
  </si>
  <si>
    <t>NIO</t>
  </si>
  <si>
    <t>NIOC</t>
  </si>
  <si>
    <t>NIOD</t>
  </si>
  <si>
    <t>NKE</t>
  </si>
  <si>
    <t>NKEC</t>
  </si>
  <si>
    <t>NKED</t>
  </si>
  <si>
    <t>NMR</t>
  </si>
  <si>
    <t>NOKA</t>
  </si>
  <si>
    <t>NOW</t>
  </si>
  <si>
    <t>NPCAC</t>
  </si>
  <si>
    <t>NPCAD</t>
  </si>
  <si>
    <t>NPCAO</t>
  </si>
  <si>
    <t>NPCBD</t>
  </si>
  <si>
    <t>NPCBO</t>
  </si>
  <si>
    <t>NTES</t>
  </si>
  <si>
    <t>NTESD</t>
  </si>
  <si>
    <t>NU</t>
  </si>
  <si>
    <t>NUB</t>
  </si>
  <si>
    <t>NUC</t>
  </si>
  <si>
    <t>NUD</t>
  </si>
  <si>
    <t>NUE</t>
  </si>
  <si>
    <t>NVDA</t>
  </si>
  <si>
    <t>NVDAB</t>
  </si>
  <si>
    <t>NVDAC</t>
  </si>
  <si>
    <t>NVDAD</t>
  </si>
  <si>
    <t>NVS</t>
  </si>
  <si>
    <t>NVSD</t>
  </si>
  <si>
    <t>NXE</t>
  </si>
  <si>
    <t>NXED</t>
  </si>
  <si>
    <t>OEST</t>
  </si>
  <si>
    <t>OLC1O</t>
  </si>
  <si>
    <t>OLC2O</t>
  </si>
  <si>
    <t>OLC2X</t>
  </si>
  <si>
    <t>OLC3O</t>
  </si>
  <si>
    <t>OLC3X</t>
  </si>
  <si>
    <t>OLC4O</t>
  </si>
  <si>
    <t>OLC5D</t>
  </si>
  <si>
    <t>OLC5O</t>
  </si>
  <si>
    <t>OLC5Y</t>
  </si>
  <si>
    <t>OR3BD</t>
  </si>
  <si>
    <t>ORCL</t>
  </si>
  <si>
    <t>ORCLD</t>
  </si>
  <si>
    <t>ORLY</t>
  </si>
  <si>
    <t>ORLYD</t>
  </si>
  <si>
    <t>OT41D</t>
  </si>
  <si>
    <t>OT41O</t>
  </si>
  <si>
    <t>OT42C</t>
  </si>
  <si>
    <t>OT42D</t>
  </si>
  <si>
    <t>OT42O</t>
  </si>
  <si>
    <t>OTS1X</t>
  </si>
  <si>
    <t>OTS2D</t>
  </si>
  <si>
    <t>OTS2O</t>
  </si>
  <si>
    <t>OTS3D</t>
  </si>
  <si>
    <t>OTS3O</t>
  </si>
  <si>
    <t>OXY</t>
  </si>
  <si>
    <t>OXYB</t>
  </si>
  <si>
    <t>OXYD</t>
  </si>
  <si>
    <t>OZC3D</t>
  </si>
  <si>
    <t>OZC3O</t>
  </si>
  <si>
    <t>OZC4O</t>
  </si>
  <si>
    <t>OZC5O</t>
  </si>
  <si>
    <t>PAAS</t>
  </si>
  <si>
    <t>PAASD</t>
  </si>
  <si>
    <t>PAC</t>
  </si>
  <si>
    <t>PAGS</t>
  </si>
  <si>
    <t>PAGSD</t>
  </si>
  <si>
    <t>PAMP</t>
  </si>
  <si>
    <t>PAMPB</t>
  </si>
  <si>
    <t>PAMPC</t>
  </si>
  <si>
    <t>PAMPD</t>
  </si>
  <si>
    <t>PANW</t>
  </si>
  <si>
    <t>PANWD</t>
  </si>
  <si>
    <t>PAP0</t>
  </si>
  <si>
    <t>PARP</t>
  </si>
  <si>
    <t>PARPC</t>
  </si>
  <si>
    <t>PARPD</t>
  </si>
  <si>
    <t>PARPX</t>
  </si>
  <si>
    <t>PARPY</t>
  </si>
  <si>
    <t>PATA</t>
  </si>
  <si>
    <t>PATH</t>
  </si>
  <si>
    <t>PBI</t>
  </si>
  <si>
    <t>PBR</t>
  </si>
  <si>
    <t>PBRB</t>
  </si>
  <si>
    <t>PBRC</t>
  </si>
  <si>
    <t>PBRD</t>
  </si>
  <si>
    <t>PBRDB</t>
  </si>
  <si>
    <t>PBY26</t>
  </si>
  <si>
    <t>PBY6X</t>
  </si>
  <si>
    <t>PCAR</t>
  </si>
  <si>
    <t>PCARD</t>
  </si>
  <si>
    <t>PDD</t>
  </si>
  <si>
    <t>PDDD</t>
  </si>
  <si>
    <t>PEC4O</t>
  </si>
  <si>
    <t>PEC8O</t>
  </si>
  <si>
    <t>PECAD</t>
  </si>
  <si>
    <t>PECAO</t>
  </si>
  <si>
    <t>PECBD</t>
  </si>
  <si>
    <t>PECBO</t>
  </si>
  <si>
    <t>PECDD</t>
  </si>
  <si>
    <t>PECDO</t>
  </si>
  <si>
    <t>PECFO</t>
  </si>
  <si>
    <t>PECGC</t>
  </si>
  <si>
    <t>PECGD</t>
  </si>
  <si>
    <t>PECGO</t>
  </si>
  <si>
    <t>PECHO</t>
  </si>
  <si>
    <t>PECID</t>
  </si>
  <si>
    <t>PECIO</t>
  </si>
  <si>
    <t>PEP</t>
  </si>
  <si>
    <t>PEP.B</t>
  </si>
  <si>
    <t>PEPC</t>
  </si>
  <si>
    <t>PEPD</t>
  </si>
  <si>
    <t>PETR3</t>
  </si>
  <si>
    <t>PETRD</t>
  </si>
  <si>
    <t>PFE</t>
  </si>
  <si>
    <t>PFEC</t>
  </si>
  <si>
    <t>PFED</t>
  </si>
  <si>
    <t>PG</t>
  </si>
  <si>
    <t>PGC</t>
  </si>
  <si>
    <t>PGD</t>
  </si>
  <si>
    <t>PHC2D</t>
  </si>
  <si>
    <t>PHC3D</t>
  </si>
  <si>
    <t>PHG</t>
  </si>
  <si>
    <t>PINS</t>
  </si>
  <si>
    <t>PINSD</t>
  </si>
  <si>
    <t>PKS</t>
  </si>
  <si>
    <t>PL4TC</t>
  </si>
  <si>
    <t>PL4TD</t>
  </si>
  <si>
    <t>PL4TO</t>
  </si>
  <si>
    <t>PLC1C</t>
  </si>
  <si>
    <t>PLC1D</t>
  </si>
  <si>
    <t>PLC1O</t>
  </si>
  <si>
    <t>PLC2C</t>
  </si>
  <si>
    <t>PLC2D</t>
  </si>
  <si>
    <t>PLC2O</t>
  </si>
  <si>
    <t>PLC3C</t>
  </si>
  <si>
    <t>PLC3D</t>
  </si>
  <si>
    <t>PLC3O</t>
  </si>
  <si>
    <t>PLC4C</t>
  </si>
  <si>
    <t>PLC4D</t>
  </si>
  <si>
    <t>PLC4O</t>
  </si>
  <si>
    <t>PLTR</t>
  </si>
  <si>
    <t>PLTRC</t>
  </si>
  <si>
    <t>PLTRD</t>
  </si>
  <si>
    <t>PM</t>
  </si>
  <si>
    <t>PM29C</t>
  </si>
  <si>
    <t>PM29D</t>
  </si>
  <si>
    <t>PM29X</t>
  </si>
  <si>
    <t>PM29Y</t>
  </si>
  <si>
    <t>PM29Z</t>
  </si>
  <si>
    <t>PMD</t>
  </si>
  <si>
    <t>PMD5X</t>
  </si>
  <si>
    <t>PMD6X</t>
  </si>
  <si>
    <t>PMJ6X</t>
  </si>
  <si>
    <t>PMM29</t>
  </si>
  <si>
    <t>PN34D</t>
  </si>
  <si>
    <t>PN34O</t>
  </si>
  <si>
    <t>PN35C</t>
  </si>
  <si>
    <t>PN35D</t>
  </si>
  <si>
    <t>PN35O</t>
  </si>
  <si>
    <t>PN36C</t>
  </si>
  <si>
    <t>PN36D</t>
  </si>
  <si>
    <t>PN36O</t>
  </si>
  <si>
    <t>PN37C</t>
  </si>
  <si>
    <t>PN37D</t>
  </si>
  <si>
    <t>PN37O</t>
  </si>
  <si>
    <t>PN38C</t>
  </si>
  <si>
    <t>PN38D</t>
  </si>
  <si>
    <t>PN38O</t>
  </si>
  <si>
    <t>PN39X</t>
  </si>
  <si>
    <t>PN40O</t>
  </si>
  <si>
    <t>PN40X</t>
  </si>
  <si>
    <t>PN7CO</t>
  </si>
  <si>
    <t>PN7CX</t>
  </si>
  <si>
    <t>PNDCC</t>
  </si>
  <si>
    <t>PNDCD</t>
  </si>
  <si>
    <t>PNDCO</t>
  </si>
  <si>
    <t>PNECO</t>
  </si>
  <si>
    <t>PNECX</t>
  </si>
  <si>
    <t>PNFCO</t>
  </si>
  <si>
    <t>PNICO</t>
  </si>
  <si>
    <t>PNICX</t>
  </si>
  <si>
    <t>PNIZF</t>
  </si>
  <si>
    <t>PNMCD</t>
  </si>
  <si>
    <t>PNMCO</t>
  </si>
  <si>
    <t>PNMCZ</t>
  </si>
  <si>
    <t>PNRCO</t>
  </si>
  <si>
    <t>PNRCX</t>
  </si>
  <si>
    <t>PNUCD</t>
  </si>
  <si>
    <t>PNUCO</t>
  </si>
  <si>
    <t>PNVCC</t>
  </si>
  <si>
    <t>PNVCD</t>
  </si>
  <si>
    <t>PNVCO</t>
  </si>
  <si>
    <t>PNVCX</t>
  </si>
  <si>
    <t>PNWCD</t>
  </si>
  <si>
    <t>PNWCO</t>
  </si>
  <si>
    <t>PNWCX</t>
  </si>
  <si>
    <t>PNWCZ</t>
  </si>
  <si>
    <t>PNXCC</t>
  </si>
  <si>
    <t>PNXCD</t>
  </si>
  <si>
    <t>PNXCO</t>
  </si>
  <si>
    <t>PNXCX</t>
  </si>
  <si>
    <t>PNZCD</t>
  </si>
  <si>
    <t>PNZCO</t>
  </si>
  <si>
    <t>PNZCX</t>
  </si>
  <si>
    <t>POLL</t>
  </si>
  <si>
    <t>PQCKO</t>
  </si>
  <si>
    <t>PQCKX</t>
  </si>
  <si>
    <t>PQCOO</t>
  </si>
  <si>
    <t>PQCOX</t>
  </si>
  <si>
    <t>PQCQO</t>
  </si>
  <si>
    <t>PQCRD</t>
  </si>
  <si>
    <t>PQCRO</t>
  </si>
  <si>
    <t>PQCSD</t>
  </si>
  <si>
    <t>PQCSO</t>
  </si>
  <si>
    <t>PR17</t>
  </si>
  <si>
    <t>PR17X</t>
  </si>
  <si>
    <t>PRIO3</t>
  </si>
  <si>
    <t>PSQ</t>
  </si>
  <si>
    <t>PSQD</t>
  </si>
  <si>
    <t>PSX</t>
  </si>
  <si>
    <t>PSXD</t>
  </si>
  <si>
    <t>PU26C</t>
  </si>
  <si>
    <t>PUC2D</t>
  </si>
  <si>
    <t>PUC2O</t>
  </si>
  <si>
    <t>PV1QD</t>
  </si>
  <si>
    <t>PVR1Q</t>
  </si>
  <si>
    <t>PYPL</t>
  </si>
  <si>
    <t>PYPLC</t>
  </si>
  <si>
    <t>PYPLD</t>
  </si>
  <si>
    <t>PZCDO</t>
  </si>
  <si>
    <t>PZCEO</t>
  </si>
  <si>
    <t>PZCGD</t>
  </si>
  <si>
    <t>PZCGO</t>
  </si>
  <si>
    <t>QCOM</t>
  </si>
  <si>
    <t>QCOMC</t>
  </si>
  <si>
    <t>QCOMD</t>
  </si>
  <si>
    <t>QQQ</t>
  </si>
  <si>
    <t>QQQB</t>
  </si>
  <si>
    <t>QQQC</t>
  </si>
  <si>
    <t>QQQD</t>
  </si>
  <si>
    <t>RAC4D</t>
  </si>
  <si>
    <t>RAC4O</t>
  </si>
  <si>
    <t>RAC5C</t>
  </si>
  <si>
    <t>RAC5D</t>
  </si>
  <si>
    <t>RAC6C</t>
  </si>
  <si>
    <t>RAC6D</t>
  </si>
  <si>
    <t>RAC6O</t>
  </si>
  <si>
    <t>RAC7D</t>
  </si>
  <si>
    <t>RAC7O</t>
  </si>
  <si>
    <t>RACE</t>
  </si>
  <si>
    <t>RACED</t>
  </si>
  <si>
    <t>RAGH</t>
  </si>
  <si>
    <t>RB57X</t>
  </si>
  <si>
    <t>RBLX</t>
  </si>
  <si>
    <t>RBLXD</t>
  </si>
  <si>
    <t>RCCIO</t>
  </si>
  <si>
    <t>RCCJC</t>
  </si>
  <si>
    <t>RCCJD</t>
  </si>
  <si>
    <t>RCCJO</t>
  </si>
  <si>
    <t>RCCMC</t>
  </si>
  <si>
    <t>RCCMD</t>
  </si>
  <si>
    <t>RCCMO</t>
  </si>
  <si>
    <t>RCCPD</t>
  </si>
  <si>
    <t>RCCPO</t>
  </si>
  <si>
    <t>RCCPX</t>
  </si>
  <si>
    <t>RCCQX</t>
  </si>
  <si>
    <t>RCCRC</t>
  </si>
  <si>
    <t>RCCRD</t>
  </si>
  <si>
    <t>RCCRO</t>
  </si>
  <si>
    <t>RCCRY</t>
  </si>
  <si>
    <t>RCCTO</t>
  </si>
  <si>
    <t>REGE</t>
  </si>
  <si>
    <t>RENT3</t>
  </si>
  <si>
    <t>RFCBO</t>
  </si>
  <si>
    <t>RGTI</t>
  </si>
  <si>
    <t>RGTID</t>
  </si>
  <si>
    <t>RICH</t>
  </si>
  <si>
    <t>RIGO</t>
  </si>
  <si>
    <t>RIO</t>
  </si>
  <si>
    <t>RIOB</t>
  </si>
  <si>
    <t>RIOD</t>
  </si>
  <si>
    <t>RIOT</t>
  </si>
  <si>
    <t>RIOTC</t>
  </si>
  <si>
    <t>RIOTD</t>
  </si>
  <si>
    <t>ROKU</t>
  </si>
  <si>
    <t>ROKUD</t>
  </si>
  <si>
    <t>ROSE</t>
  </si>
  <si>
    <t>ROST</t>
  </si>
  <si>
    <t>ROSTD</t>
  </si>
  <si>
    <t>RTX</t>
  </si>
  <si>
    <t>RTXD</t>
  </si>
  <si>
    <t>RUCAD</t>
  </si>
  <si>
    <t>RUCAO</t>
  </si>
  <si>
    <t>RUCDC</t>
  </si>
  <si>
    <t>RUCDD</t>
  </si>
  <si>
    <t>RUCDO</t>
  </si>
  <si>
    <t>RUCDX</t>
  </si>
  <si>
    <t>RVS1O</t>
  </si>
  <si>
    <t>RZ8BO</t>
  </si>
  <si>
    <t>RZ9AD</t>
  </si>
  <si>
    <t>RZ9AO</t>
  </si>
  <si>
    <t>RZ9BD</t>
  </si>
  <si>
    <t>RZ9BO</t>
  </si>
  <si>
    <t>RZABD</t>
  </si>
  <si>
    <t>RZABO</t>
  </si>
  <si>
    <t>S10N5</t>
  </si>
  <si>
    <t>S12S5</t>
  </si>
  <si>
    <t>S15G5</t>
  </si>
  <si>
    <t>S24DC</t>
  </si>
  <si>
    <t>S24DD</t>
  </si>
  <si>
    <t>S24DX</t>
  </si>
  <si>
    <t>S28N5</t>
  </si>
  <si>
    <t>S29G5</t>
  </si>
  <si>
    <t>S29Y6</t>
  </si>
  <si>
    <t>S2G5D</t>
  </si>
  <si>
    <t>S2G5X</t>
  </si>
  <si>
    <t>S2G5Y</t>
  </si>
  <si>
    <t>S2G5Z</t>
  </si>
  <si>
    <t>S2N5X</t>
  </si>
  <si>
    <t>S2N5Y</t>
  </si>
  <si>
    <t>S2N5Z</t>
  </si>
  <si>
    <t>S2S5D</t>
  </si>
  <si>
    <t>S2S5X</t>
  </si>
  <si>
    <t>S2S5Y</t>
  </si>
  <si>
    <t>S2S5Z</t>
  </si>
  <si>
    <t>S30S5</t>
  </si>
  <si>
    <t>S31L5</t>
  </si>
  <si>
    <t>S31O5</t>
  </si>
  <si>
    <t>SA24D</t>
  </si>
  <si>
    <t>SAMI</t>
  </si>
  <si>
    <t>SAN</t>
  </si>
  <si>
    <t>SAND</t>
  </si>
  <si>
    <t>SAP</t>
  </si>
  <si>
    <t>SAPD</t>
  </si>
  <si>
    <t>SATL</t>
  </si>
  <si>
    <t>SATLD</t>
  </si>
  <si>
    <t>SBS</t>
  </si>
  <si>
    <t>SBSP3</t>
  </si>
  <si>
    <t>SBSRF</t>
  </si>
  <si>
    <t>SBUX</t>
  </si>
  <si>
    <t>SBUXC</t>
  </si>
  <si>
    <t>SBUXD</t>
  </si>
  <si>
    <t>SCCO</t>
  </si>
  <si>
    <t>SDA</t>
  </si>
  <si>
    <t>SE</t>
  </si>
  <si>
    <t>SED</t>
  </si>
  <si>
    <t>SEMI</t>
  </si>
  <si>
    <t>SFN7X</t>
  </si>
  <si>
    <t>SG5D</t>
  </si>
  <si>
    <t>SG5X</t>
  </si>
  <si>
    <t>SG5Y</t>
  </si>
  <si>
    <t>SG5Z</t>
  </si>
  <si>
    <t>SH</t>
  </si>
  <si>
    <t>SHD</t>
  </si>
  <si>
    <t>SHEL</t>
  </si>
  <si>
    <t>SHELC</t>
  </si>
  <si>
    <t>SHELD</t>
  </si>
  <si>
    <t>SHOP</t>
  </si>
  <si>
    <t>SHOPC</t>
  </si>
  <si>
    <t>SHOPD</t>
  </si>
  <si>
    <t>SIC1D</t>
  </si>
  <si>
    <t>SIC1O</t>
  </si>
  <si>
    <t>SID</t>
  </si>
  <si>
    <t>SIDD</t>
  </si>
  <si>
    <t>SL5D</t>
  </si>
  <si>
    <t>SL5X</t>
  </si>
  <si>
    <t>SL5Y</t>
  </si>
  <si>
    <t>SL5Z</t>
  </si>
  <si>
    <t>SLB</t>
  </si>
  <si>
    <t>SLBD</t>
  </si>
  <si>
    <t>SLV</t>
  </si>
  <si>
    <t>SLVC</t>
  </si>
  <si>
    <t>SLVD</t>
  </si>
  <si>
    <t>SMH</t>
  </si>
  <si>
    <t>SMHD</t>
  </si>
  <si>
    <t>SN5C</t>
  </si>
  <si>
    <t>SN5D</t>
  </si>
  <si>
    <t>SN5X</t>
  </si>
  <si>
    <t>SN5Y</t>
  </si>
  <si>
    <t>SN5Z</t>
  </si>
  <si>
    <t>SNA</t>
  </si>
  <si>
    <t>SNAAO</t>
  </si>
  <si>
    <t>SNABD</t>
  </si>
  <si>
    <t>SNABO</t>
  </si>
  <si>
    <t>SNAP</t>
  </si>
  <si>
    <t>SNAPD</t>
  </si>
  <si>
    <t>SNOW</t>
  </si>
  <si>
    <t>SNOWD</t>
  </si>
  <si>
    <t>SNSBD</t>
  </si>
  <si>
    <t>SNSBO</t>
  </si>
  <si>
    <t>SNSDD</t>
  </si>
  <si>
    <t>SNSDO</t>
  </si>
  <si>
    <t>SO5X</t>
  </si>
  <si>
    <t>SO5Y</t>
  </si>
  <si>
    <t>SO5Z</t>
  </si>
  <si>
    <t>SONY</t>
  </si>
  <si>
    <t>SONYD</t>
  </si>
  <si>
    <t>SPC1O</t>
  </si>
  <si>
    <t>SPCE</t>
  </si>
  <si>
    <t>SPGI</t>
  </si>
  <si>
    <t>SPGID</t>
  </si>
  <si>
    <t>SPOT</t>
  </si>
  <si>
    <t>SPOTC</t>
  </si>
  <si>
    <t>SPOTD</t>
  </si>
  <si>
    <t>SPXL</t>
  </si>
  <si>
    <t>SPXLD</t>
  </si>
  <si>
    <t>SPY</t>
  </si>
  <si>
    <t>SPYB</t>
  </si>
  <si>
    <t>SPYC</t>
  </si>
  <si>
    <t>SPYD</t>
  </si>
  <si>
    <t>SPYDB</t>
  </si>
  <si>
    <t>SS5D</t>
  </si>
  <si>
    <t>SS5X</t>
  </si>
  <si>
    <t>SS5Y</t>
  </si>
  <si>
    <t>SS5Z</t>
  </si>
  <si>
    <t>STLA</t>
  </si>
  <si>
    <t>STLAC</t>
  </si>
  <si>
    <t>STLAD</t>
  </si>
  <si>
    <t>STNE</t>
  </si>
  <si>
    <t>SUPV</t>
  </si>
  <si>
    <t>SUPVB</t>
  </si>
  <si>
    <t>SUPVC</t>
  </si>
  <si>
    <t>SUPVD</t>
  </si>
  <si>
    <t>SUZ</t>
  </si>
  <si>
    <t>SUZB3</t>
  </si>
  <si>
    <t>SWKS</t>
  </si>
  <si>
    <t>SY6X</t>
  </si>
  <si>
    <t>SYY</t>
  </si>
  <si>
    <t>T</t>
  </si>
  <si>
    <t>T13F6</t>
  </si>
  <si>
    <t>T15D5</t>
  </si>
  <si>
    <t>T15E7</t>
  </si>
  <si>
    <t>T17O5</t>
  </si>
  <si>
    <t>T30E6</t>
  </si>
  <si>
    <t>T30J6</t>
  </si>
  <si>
    <t>T641D</t>
  </si>
  <si>
    <t>T641O</t>
  </si>
  <si>
    <t>T642O</t>
  </si>
  <si>
    <t>T642X</t>
  </si>
  <si>
    <t>T642Z</t>
  </si>
  <si>
    <t>T643O</t>
  </si>
  <si>
    <t>T643X</t>
  </si>
  <si>
    <t>TBC9O</t>
  </si>
  <si>
    <t>TBC9X</t>
  </si>
  <si>
    <t>TC</t>
  </si>
  <si>
    <t>TCOM</t>
  </si>
  <si>
    <t>TD</t>
  </si>
  <si>
    <t>TD5D</t>
  </si>
  <si>
    <t>TD5X</t>
  </si>
  <si>
    <t>TD5Y</t>
  </si>
  <si>
    <t>TD5Z</t>
  </si>
  <si>
    <t>TE6X</t>
  </si>
  <si>
    <t>TE6Y</t>
  </si>
  <si>
    <t>TE6Z</t>
  </si>
  <si>
    <t>TE7X</t>
  </si>
  <si>
    <t>TE7Y</t>
  </si>
  <si>
    <t>TE7Z</t>
  </si>
  <si>
    <t>TEAM</t>
  </si>
  <si>
    <t>TEAMD</t>
  </si>
  <si>
    <t>TECO2</t>
  </si>
  <si>
    <t>TECOD</t>
  </si>
  <si>
    <t>TEFO</t>
  </si>
  <si>
    <t>TEM</t>
  </si>
  <si>
    <t>TEN</t>
  </si>
  <si>
    <t>TENC</t>
  </si>
  <si>
    <t>TEND</t>
  </si>
  <si>
    <t>TEVIF</t>
  </si>
  <si>
    <t>TF6D</t>
  </si>
  <si>
    <t>TF6X</t>
  </si>
  <si>
    <t>TF6Y</t>
  </si>
  <si>
    <t>TF6Z</t>
  </si>
  <si>
    <t>TG25</t>
  </si>
  <si>
    <t>TGN4C</t>
  </si>
  <si>
    <t>TGN4D</t>
  </si>
  <si>
    <t>TGNO4</t>
  </si>
  <si>
    <t>TGSU2</t>
  </si>
  <si>
    <t>TGSUB</t>
  </si>
  <si>
    <t>TGSUC</t>
  </si>
  <si>
    <t>TGSUD</t>
  </si>
  <si>
    <t>TGT</t>
  </si>
  <si>
    <t>TGTC</t>
  </si>
  <si>
    <t>TGTD</t>
  </si>
  <si>
    <t>TIMB</t>
  </si>
  <si>
    <t>TIMS3</t>
  </si>
  <si>
    <t>TJ6X</t>
  </si>
  <si>
    <t>TJ6Y</t>
  </si>
  <si>
    <t>TJ6Z</t>
  </si>
  <si>
    <t>TJX</t>
  </si>
  <si>
    <t>TLC1C</t>
  </si>
  <si>
    <t>TLC1D</t>
  </si>
  <si>
    <t>TLC1O</t>
  </si>
  <si>
    <t>TLC5C</t>
  </si>
  <si>
    <t>TLC5D</t>
  </si>
  <si>
    <t>TLC5O</t>
  </si>
  <si>
    <t>TLCDD</t>
  </si>
  <si>
    <t>TLCDO</t>
  </si>
  <si>
    <t>TLCDX</t>
  </si>
  <si>
    <t>TLCDZ</t>
  </si>
  <si>
    <t>TLCFD</t>
  </si>
  <si>
    <t>TLCFO</t>
  </si>
  <si>
    <t>TLCGO</t>
  </si>
  <si>
    <t>TLCGX</t>
  </si>
  <si>
    <t>TLCHD</t>
  </si>
  <si>
    <t>TLCHO</t>
  </si>
  <si>
    <t>TLCHX</t>
  </si>
  <si>
    <t>TLCHY</t>
  </si>
  <si>
    <t>TLCHZ</t>
  </si>
  <si>
    <t>TLCJO</t>
  </si>
  <si>
    <t>TLCJX</t>
  </si>
  <si>
    <t>TLCKO</t>
  </si>
  <si>
    <t>TLCKX</t>
  </si>
  <si>
    <t>TLCLO</t>
  </si>
  <si>
    <t>TLCLX</t>
  </si>
  <si>
    <t>TLCMC</t>
  </si>
  <si>
    <t>TLCMD</t>
  </si>
  <si>
    <t>TLCMO</t>
  </si>
  <si>
    <t>TLCMX</t>
  </si>
  <si>
    <t>TLCMY</t>
  </si>
  <si>
    <t>TLCMZ</t>
  </si>
  <si>
    <t>TLCNX</t>
  </si>
  <si>
    <t>TLCOC</t>
  </si>
  <si>
    <t>TLCOD</t>
  </si>
  <si>
    <t>TLCOO</t>
  </si>
  <si>
    <t>TLCPC</t>
  </si>
  <si>
    <t>TLCPD</t>
  </si>
  <si>
    <t>TLCPO</t>
  </si>
  <si>
    <t>TLCQD</t>
  </si>
  <si>
    <t>TLCQO</t>
  </si>
  <si>
    <t>TM</t>
  </si>
  <si>
    <t>TMD</t>
  </si>
  <si>
    <t>TMO</t>
  </si>
  <si>
    <t>TMOD</t>
  </si>
  <si>
    <t>TMUS</t>
  </si>
  <si>
    <t>TMUSD</t>
  </si>
  <si>
    <t>TN63D</t>
  </si>
  <si>
    <t>TN63O</t>
  </si>
  <si>
    <t>TN63X</t>
  </si>
  <si>
    <t>TO26</t>
  </si>
  <si>
    <t>TO26C</t>
  </si>
  <si>
    <t>TO26D</t>
  </si>
  <si>
    <t>TO26X</t>
  </si>
  <si>
    <t>TO26Y</t>
  </si>
  <si>
    <t>TO26Z</t>
  </si>
  <si>
    <t>TO5D</t>
  </si>
  <si>
    <t>TO5X</t>
  </si>
  <si>
    <t>TO5Y</t>
  </si>
  <si>
    <t>TO5Z</t>
  </si>
  <si>
    <t>TRAN</t>
  </si>
  <si>
    <t>TRANC</t>
  </si>
  <si>
    <t>TRAND</t>
  </si>
  <si>
    <t>TRIP</t>
  </si>
  <si>
    <t>TRIPD</t>
  </si>
  <si>
    <t>TRVV</t>
  </si>
  <si>
    <t>TRVVD</t>
  </si>
  <si>
    <t>TSC3C</t>
  </si>
  <si>
    <t>TSC3D</t>
  </si>
  <si>
    <t>TSC3O</t>
  </si>
  <si>
    <t>TSC3Y</t>
  </si>
  <si>
    <t>TSLA</t>
  </si>
  <si>
    <t>TSLAB</t>
  </si>
  <si>
    <t>TSLAC</t>
  </si>
  <si>
    <t>TSLAD</t>
  </si>
  <si>
    <t>TSM</t>
  </si>
  <si>
    <t>TSMC</t>
  </si>
  <si>
    <t>TSMD</t>
  </si>
  <si>
    <t>TTC7C</t>
  </si>
  <si>
    <t>TTC7D</t>
  </si>
  <si>
    <t>TTC7O</t>
  </si>
  <si>
    <t>TTC7X</t>
  </si>
  <si>
    <t>TTC7Y</t>
  </si>
  <si>
    <t>TTC7Z</t>
  </si>
  <si>
    <t>TTC8C</t>
  </si>
  <si>
    <t>TTC8D</t>
  </si>
  <si>
    <t>TTC8O</t>
  </si>
  <si>
    <t>TTC9C</t>
  </si>
  <si>
    <t>TTC9D</t>
  </si>
  <si>
    <t>TTC9O</t>
  </si>
  <si>
    <t>TTCAC</t>
  </si>
  <si>
    <t>TTCAD</t>
  </si>
  <si>
    <t>TTCAO</t>
  </si>
  <si>
    <t>TTD26</t>
  </si>
  <si>
    <t>TTD6D</t>
  </si>
  <si>
    <t>TTD6X</t>
  </si>
  <si>
    <t>TTD6Y</t>
  </si>
  <si>
    <t>TTD6Z</t>
  </si>
  <si>
    <t>TTE</t>
  </si>
  <si>
    <t>TTED</t>
  </si>
  <si>
    <t>TTJ26</t>
  </si>
  <si>
    <t>TTJ6D</t>
  </si>
  <si>
    <t>TTJ6X</t>
  </si>
  <si>
    <t>TTJ6Y</t>
  </si>
  <si>
    <t>TTJ6Z</t>
  </si>
  <si>
    <t>TTM26</t>
  </si>
  <si>
    <t>TTM6D</t>
  </si>
  <si>
    <t>TTM6X</t>
  </si>
  <si>
    <t>TTM6Y</t>
  </si>
  <si>
    <t>TTM6Z</t>
  </si>
  <si>
    <t>TTS26</t>
  </si>
  <si>
    <t>TTS6X</t>
  </si>
  <si>
    <t>TTS6Y</t>
  </si>
  <si>
    <t>TTS6Z</t>
  </si>
  <si>
    <t>TV</t>
  </si>
  <si>
    <t>TVD</t>
  </si>
  <si>
    <t>TVD5D</t>
  </si>
  <si>
    <t>TVD5X</t>
  </si>
  <si>
    <t>TVPA</t>
  </si>
  <si>
    <t>TVPAD</t>
  </si>
  <si>
    <t>TVPE</t>
  </si>
  <si>
    <t>TVPED</t>
  </si>
  <si>
    <t>TVPP</t>
  </si>
  <si>
    <t>TVPPD</t>
  </si>
  <si>
    <t>TVPY</t>
  </si>
  <si>
    <t>TVPYD</t>
  </si>
  <si>
    <t>TVPYX</t>
  </si>
  <si>
    <t>TVY0</t>
  </si>
  <si>
    <t>TWLO</t>
  </si>
  <si>
    <t>TWLOD</t>
  </si>
  <si>
    <t>TX25</t>
  </si>
  <si>
    <t>TX25C</t>
  </si>
  <si>
    <t>TX25D</t>
  </si>
  <si>
    <t>TX25X</t>
  </si>
  <si>
    <t>TX26</t>
  </si>
  <si>
    <t>TX26C</t>
  </si>
  <si>
    <t>TX26D</t>
  </si>
  <si>
    <t>TX26X</t>
  </si>
  <si>
    <t>TX26Y</t>
  </si>
  <si>
    <t>TX26Z</t>
  </si>
  <si>
    <t>TX28</t>
  </si>
  <si>
    <t>TX28C</t>
  </si>
  <si>
    <t>TX28D</t>
  </si>
  <si>
    <t>TX28X</t>
  </si>
  <si>
    <t>TX31</t>
  </si>
  <si>
    <t>TX31D</t>
  </si>
  <si>
    <t>TXAR</t>
  </si>
  <si>
    <t>TXARC</t>
  </si>
  <si>
    <t>TXARD</t>
  </si>
  <si>
    <t>TXD5D</t>
  </si>
  <si>
    <t>TXD5X</t>
  </si>
  <si>
    <t>TXD5Y</t>
  </si>
  <si>
    <t>TXD5Z</t>
  </si>
  <si>
    <t>TXD6D</t>
  </si>
  <si>
    <t>TXD6X</t>
  </si>
  <si>
    <t>TXD6Y</t>
  </si>
  <si>
    <t>TXD6Z</t>
  </si>
  <si>
    <t>TXD7D</t>
  </si>
  <si>
    <t>TXD7X</t>
  </si>
  <si>
    <t>TXD7Y</t>
  </si>
  <si>
    <t>TXD7Z</t>
  </si>
  <si>
    <t>TXM6D</t>
  </si>
  <si>
    <t>TXM6X</t>
  </si>
  <si>
    <t>TXM6Y</t>
  </si>
  <si>
    <t>TXM6Z</t>
  </si>
  <si>
    <t>TXM7X</t>
  </si>
  <si>
    <t>TXM7Z</t>
  </si>
  <si>
    <t>TXN</t>
  </si>
  <si>
    <t>TXND</t>
  </si>
  <si>
    <t>TXO5X</t>
  </si>
  <si>
    <t>TXO5Z</t>
  </si>
  <si>
    <t>TXO6X</t>
  </si>
  <si>
    <t>TXO6Y</t>
  </si>
  <si>
    <t>TXO6Z</t>
  </si>
  <si>
    <t>TXR</t>
  </si>
  <si>
    <t>TXRD</t>
  </si>
  <si>
    <t>TY30C</t>
  </si>
  <si>
    <t>TY30D</t>
  </si>
  <si>
    <t>TY30P</t>
  </si>
  <si>
    <t>TY30X</t>
  </si>
  <si>
    <t>TYCZX</t>
  </si>
  <si>
    <t>TZV26</t>
  </si>
  <si>
    <t>TZV6X</t>
  </si>
  <si>
    <t>TZV6Y</t>
  </si>
  <si>
    <t>TZVD5</t>
  </si>
  <si>
    <t>TZX26</t>
  </si>
  <si>
    <t>TZX27</t>
  </si>
  <si>
    <t>TZX28</t>
  </si>
  <si>
    <t>TZX6D</t>
  </si>
  <si>
    <t>TZX6X</t>
  </si>
  <si>
    <t>TZX6Y</t>
  </si>
  <si>
    <t>TZX6Z</t>
  </si>
  <si>
    <t>TZX7D</t>
  </si>
  <si>
    <t>TZX7X</t>
  </si>
  <si>
    <t>TZX8D</t>
  </si>
  <si>
    <t>TZX8X</t>
  </si>
  <si>
    <t>TZX8Y</t>
  </si>
  <si>
    <t>TZX8Z</t>
  </si>
  <si>
    <t>TZXD5</t>
  </si>
  <si>
    <t>TZXD6</t>
  </si>
  <si>
    <t>TZXD7</t>
  </si>
  <si>
    <t>TZXM6</t>
  </si>
  <si>
    <t>TZXM7</t>
  </si>
  <si>
    <t>TZXO5</t>
  </si>
  <si>
    <t>TZXO6</t>
  </si>
  <si>
    <t>UAL</t>
  </si>
  <si>
    <t>UALD</t>
  </si>
  <si>
    <t>UBER</t>
  </si>
  <si>
    <t>UBERB</t>
  </si>
  <si>
    <t>UBERC</t>
  </si>
  <si>
    <t>UBERD</t>
  </si>
  <si>
    <t>UGP</t>
  </si>
  <si>
    <t>UGPD</t>
  </si>
  <si>
    <t>UL</t>
  </si>
  <si>
    <t>ULD</t>
  </si>
  <si>
    <t>UNH</t>
  </si>
  <si>
    <t>UNHB</t>
  </si>
  <si>
    <t>UNHC</t>
  </si>
  <si>
    <t>UNHD</t>
  </si>
  <si>
    <t>UNP</t>
  </si>
  <si>
    <t>UNPD</t>
  </si>
  <si>
    <t>UPST</t>
  </si>
  <si>
    <t>UPSTD</t>
  </si>
  <si>
    <t>URA</t>
  </si>
  <si>
    <t>URAD</t>
  </si>
  <si>
    <t>URBN</t>
  </si>
  <si>
    <t>USB</t>
  </si>
  <si>
    <t>V</t>
  </si>
  <si>
    <t>VALE</t>
  </si>
  <si>
    <t>VALE3</t>
  </si>
  <si>
    <t>VALEB</t>
  </si>
  <si>
    <t>VALEC</t>
  </si>
  <si>
    <t>VALED</t>
  </si>
  <si>
    <t>VALO</t>
  </si>
  <si>
    <t>VALOC</t>
  </si>
  <si>
    <t>VALOD</t>
  </si>
  <si>
    <t>VBC1C</t>
  </si>
  <si>
    <t>VBC1D</t>
  </si>
  <si>
    <t>VBC1O</t>
  </si>
  <si>
    <t>VC</t>
  </si>
  <si>
    <t>VD</t>
  </si>
  <si>
    <t>VEA</t>
  </si>
  <si>
    <t>VEAC</t>
  </si>
  <si>
    <t>VEAD</t>
  </si>
  <si>
    <t>VIG</t>
  </si>
  <si>
    <t>VIGD</t>
  </si>
  <si>
    <t>VIST</t>
  </si>
  <si>
    <t>VISTB</t>
  </si>
  <si>
    <t>VISTC</t>
  </si>
  <si>
    <t>VISTD</t>
  </si>
  <si>
    <t>VITDB</t>
  </si>
  <si>
    <t>VIV</t>
  </si>
  <si>
    <t>VIVT3</t>
  </si>
  <si>
    <t>VOD</t>
  </si>
  <si>
    <t>VODD</t>
  </si>
  <si>
    <t>VRSN</t>
  </si>
  <si>
    <t>VRSND</t>
  </si>
  <si>
    <t>VRTX</t>
  </si>
  <si>
    <t>VSCHO</t>
  </si>
  <si>
    <t>VSCHX</t>
  </si>
  <si>
    <t>VSCIO</t>
  </si>
  <si>
    <t>VSCJD</t>
  </si>
  <si>
    <t>VSCJO</t>
  </si>
  <si>
    <t>VSCJX</t>
  </si>
  <si>
    <t>VSCKO</t>
  </si>
  <si>
    <t>VSCLD</t>
  </si>
  <si>
    <t>VSCLO</t>
  </si>
  <si>
    <t>VSCMO</t>
  </si>
  <si>
    <t>VSCMX</t>
  </si>
  <si>
    <t>VSCND</t>
  </si>
  <si>
    <t>VSCNO</t>
  </si>
  <si>
    <t>VSCOC</t>
  </si>
  <si>
    <t>VSCOD</t>
  </si>
  <si>
    <t>VSCOO</t>
  </si>
  <si>
    <t>VSCOX</t>
  </si>
  <si>
    <t>VSCOY</t>
  </si>
  <si>
    <t>VSCPC</t>
  </si>
  <si>
    <t>VSCPD</t>
  </si>
  <si>
    <t>VSCPO</t>
  </si>
  <si>
    <t>VSCQD</t>
  </si>
  <si>
    <t>VSCQO</t>
  </si>
  <si>
    <t>VSCQX</t>
  </si>
  <si>
    <t>VSCQZ</t>
  </si>
  <si>
    <t>VSCRC</t>
  </si>
  <si>
    <t>VSCRD</t>
  </si>
  <si>
    <t>VSCRO</t>
  </si>
  <si>
    <t>VSCTC</t>
  </si>
  <si>
    <t>VSCTD</t>
  </si>
  <si>
    <t>VSCTO</t>
  </si>
  <si>
    <t>VSCUC</t>
  </si>
  <si>
    <t>VSCUD</t>
  </si>
  <si>
    <t>VSCUO</t>
  </si>
  <si>
    <t>VSCUX</t>
  </si>
  <si>
    <t>VSCUY</t>
  </si>
  <si>
    <t>VSCVC</t>
  </si>
  <si>
    <t>VSCVD</t>
  </si>
  <si>
    <t>VSCVO</t>
  </si>
  <si>
    <t>VST</t>
  </si>
  <si>
    <t>VSTD</t>
  </si>
  <si>
    <t>VWCBX</t>
  </si>
  <si>
    <t>VWCBY</t>
  </si>
  <si>
    <t>VWCBZ</t>
  </si>
  <si>
    <t>VZ</t>
  </si>
  <si>
    <t>VZC</t>
  </si>
  <si>
    <t>VZD</t>
  </si>
  <si>
    <t>WBA</t>
  </si>
  <si>
    <t>WBAC</t>
  </si>
  <si>
    <t>WBAD</t>
  </si>
  <si>
    <t>WBO</t>
  </si>
  <si>
    <t>WBOD</t>
  </si>
  <si>
    <t>WEGE3</t>
  </si>
  <si>
    <t>WFC</t>
  </si>
  <si>
    <t>WFCD</t>
  </si>
  <si>
    <t>WMT</t>
  </si>
  <si>
    <t>WMT.B</t>
  </si>
  <si>
    <t>WMTC</t>
  </si>
  <si>
    <t>WMTD</t>
  </si>
  <si>
    <t>X</t>
  </si>
  <si>
    <t>XD</t>
  </si>
  <si>
    <t>XLB</t>
  </si>
  <si>
    <t>XLBD</t>
  </si>
  <si>
    <t>XLC</t>
  </si>
  <si>
    <t>XLCD</t>
  </si>
  <si>
    <t>XLE</t>
  </si>
  <si>
    <t>XLEB</t>
  </si>
  <si>
    <t>XLEC</t>
  </si>
  <si>
    <t>XLED</t>
  </si>
  <si>
    <t>XLEDB</t>
  </si>
  <si>
    <t>XLF</t>
  </si>
  <si>
    <t>XLFC</t>
  </si>
  <si>
    <t>XLFD</t>
  </si>
  <si>
    <t>XLI</t>
  </si>
  <si>
    <t>XLID</t>
  </si>
  <si>
    <t>XLK</t>
  </si>
  <si>
    <t>XLKD</t>
  </si>
  <si>
    <t>XLP</t>
  </si>
  <si>
    <t>XLPC</t>
  </si>
  <si>
    <t>XLPD</t>
  </si>
  <si>
    <t>XLRE</t>
  </si>
  <si>
    <t>XLRED</t>
  </si>
  <si>
    <t>XLU</t>
  </si>
  <si>
    <t>XLUD</t>
  </si>
  <si>
    <t>XLV</t>
  </si>
  <si>
    <t>XLVC</t>
  </si>
  <si>
    <t>XLVD</t>
  </si>
  <si>
    <t>XLY</t>
  </si>
  <si>
    <t>XLYD</t>
  </si>
  <si>
    <t>XMC1D</t>
  </si>
  <si>
    <t>XMC1O</t>
  </si>
  <si>
    <t>XOM</t>
  </si>
  <si>
    <t>XOMC</t>
  </si>
  <si>
    <t>XOMD</t>
  </si>
  <si>
    <t>XP</t>
  </si>
  <si>
    <t>XPD</t>
  </si>
  <si>
    <t>XPEV</t>
  </si>
  <si>
    <t>XPEVD</t>
  </si>
  <si>
    <t>XROX</t>
  </si>
  <si>
    <t>XYZ</t>
  </si>
  <si>
    <t>XYZD</t>
  </si>
  <si>
    <t>YCA6C</t>
  </si>
  <si>
    <t>YCA6O</t>
  </si>
  <si>
    <t>YCA6P</t>
  </si>
  <si>
    <t>YCA6Z</t>
  </si>
  <si>
    <t>YCAMC</t>
  </si>
  <si>
    <t>YCAMD</t>
  </si>
  <si>
    <t>YCAMO</t>
  </si>
  <si>
    <t>YELP</t>
  </si>
  <si>
    <t>YFCDO</t>
  </si>
  <si>
    <t>YFCGD</t>
  </si>
  <si>
    <t>YFCGO</t>
  </si>
  <si>
    <t>YFCHD</t>
  </si>
  <si>
    <t>YFCHO</t>
  </si>
  <si>
    <t>YFCHX</t>
  </si>
  <si>
    <t>YFCIC</t>
  </si>
  <si>
    <t>YFCID</t>
  </si>
  <si>
    <t>YFCIO</t>
  </si>
  <si>
    <t>YFCJC</t>
  </si>
  <si>
    <t>YFCJD</t>
  </si>
  <si>
    <t>YFCJO</t>
  </si>
  <si>
    <t>YFCKD</t>
  </si>
  <si>
    <t>YFCKO</t>
  </si>
  <si>
    <t>YFCLD</t>
  </si>
  <si>
    <t>YFCLO</t>
  </si>
  <si>
    <t>YFCMD</t>
  </si>
  <si>
    <t>YFCMO</t>
  </si>
  <si>
    <t>YM34C</t>
  </si>
  <si>
    <t>YM34D</t>
  </si>
  <si>
    <t>YM34O</t>
  </si>
  <si>
    <t>YM34X</t>
  </si>
  <si>
    <t>YM34Z</t>
  </si>
  <si>
    <t>YM35D</t>
  </si>
  <si>
    <t>YM35O</t>
  </si>
  <si>
    <t>YM35X</t>
  </si>
  <si>
    <t>YM36D</t>
  </si>
  <si>
    <t>YM36O</t>
  </si>
  <si>
    <t>YM37C</t>
  </si>
  <si>
    <t>YM37D</t>
  </si>
  <si>
    <t>YM37O</t>
  </si>
  <si>
    <t>YMC1C</t>
  </si>
  <si>
    <t>YMC1D</t>
  </si>
  <si>
    <t>YMC1X</t>
  </si>
  <si>
    <t>YMCHC</t>
  </si>
  <si>
    <t>YMCHD</t>
  </si>
  <si>
    <t>YMCHO</t>
  </si>
  <si>
    <t>YMCHX</t>
  </si>
  <si>
    <t>YMCHY</t>
  </si>
  <si>
    <t>YMCHZ</t>
  </si>
  <si>
    <t>YMCIC</t>
  </si>
  <si>
    <t>YMCID</t>
  </si>
  <si>
    <t>YMCIO</t>
  </si>
  <si>
    <t>YMCJC</t>
  </si>
  <si>
    <t>YMCJD</t>
  </si>
  <si>
    <t>YMCJO</t>
  </si>
  <si>
    <t>YMCMD</t>
  </si>
  <si>
    <t>YMCMO</t>
  </si>
  <si>
    <t>YMCMX</t>
  </si>
  <si>
    <t>YMCQC</t>
  </si>
  <si>
    <t>YMCQD</t>
  </si>
  <si>
    <t>YMCQO</t>
  </si>
  <si>
    <t>YMCQX</t>
  </si>
  <si>
    <t>YMCQY</t>
  </si>
  <si>
    <t>YMCRO</t>
  </si>
  <si>
    <t>YMCTD</t>
  </si>
  <si>
    <t>YMCTO</t>
  </si>
  <si>
    <t>YMCTX</t>
  </si>
  <si>
    <t>YMCVC</t>
  </si>
  <si>
    <t>YMCVD</t>
  </si>
  <si>
    <t>YMCVO</t>
  </si>
  <si>
    <t>YMCVX</t>
  </si>
  <si>
    <t>YMCWD</t>
  </si>
  <si>
    <t>YMCWO</t>
  </si>
  <si>
    <t>YMCWX</t>
  </si>
  <si>
    <t>YMCXC</t>
  </si>
  <si>
    <t>YMCXD</t>
  </si>
  <si>
    <t>YMCXO</t>
  </si>
  <si>
    <t>YMCXX</t>
  </si>
  <si>
    <t>YMCXZ</t>
  </si>
  <si>
    <t>YMCYC</t>
  </si>
  <si>
    <t>YMCYD</t>
  </si>
  <si>
    <t>YMCYO</t>
  </si>
  <si>
    <t>YMCYY</t>
  </si>
  <si>
    <t>YMCZC</t>
  </si>
  <si>
    <t>YMCZD</t>
  </si>
  <si>
    <t>YMCZO</t>
  </si>
  <si>
    <t>YPFD</t>
  </si>
  <si>
    <t>YPFDB</t>
  </si>
  <si>
    <t>YPFDC</t>
  </si>
  <si>
    <t>YPFDD</t>
  </si>
  <si>
    <t>ZM</t>
  </si>
  <si>
    <t>ZMD</t>
  </si>
  <si>
    <t>ZPC1O</t>
  </si>
  <si>
    <t>ZPC2D</t>
  </si>
  <si>
    <t>ZPC2O</t>
  </si>
  <si>
    <t>ZZC1D</t>
  </si>
  <si>
    <t>ZZC1O</t>
  </si>
  <si>
    <t>WC</t>
  </si>
  <si>
    <t>RFUHC</t>
  </si>
  <si>
    <t>RFU+OC</t>
  </si>
  <si>
    <t>RFM+MM</t>
  </si>
  <si>
    <t>RFM+MA</t>
  </si>
  <si>
    <t>Dividendos</t>
  </si>
  <si>
    <t>RMC</t>
  </si>
  <si>
    <t>All Weather</t>
  </si>
  <si>
    <t>RMM</t>
  </si>
  <si>
    <t>RMA</t>
  </si>
  <si>
    <t>CA</t>
  </si>
  <si>
    <t>Factor Alfa</t>
  </si>
  <si>
    <t>Nombre</t>
  </si>
  <si>
    <t>Plazo</t>
  </si>
  <si>
    <t>Working Capital Pesos</t>
  </si>
  <si>
    <t>1-3 meses</t>
  </si>
  <si>
    <t>Working Capital USD/Pesos</t>
  </si>
  <si>
    <t>}</t>
  </si>
  <si>
    <t>Renta fija USD Corto plazo</t>
  </si>
  <si>
    <t>6-12 meses</t>
  </si>
  <si>
    <t>Renta fija USD Hiper Conservador</t>
  </si>
  <si>
    <t>3-10 años</t>
  </si>
  <si>
    <t>Renta fija USD + Oro Conservador</t>
  </si>
  <si>
    <t>Renta Fija Mixta + Metales Moderado</t>
  </si>
  <si>
    <t>Renta Fija Mixta + Metales Agresivo</t>
  </si>
  <si>
    <t>Renta Mixta Conservador</t>
  </si>
  <si>
    <t>Renta Mixta Moderado</t>
  </si>
  <si>
    <t>Renta Mixta Agresivo</t>
  </si>
  <si>
    <t>1 mes - 1 año</t>
  </si>
  <si>
    <t>CERA Conservador</t>
  </si>
  <si>
    <t>CERA Agresivo</t>
  </si>
  <si>
    <t>Argy sin ONs</t>
  </si>
  <si>
    <r>
      <rPr>
        <color rgb="FFFFFFFF"/>
        <sz val="20.0"/>
        <u/>
      </rPr>
      <t xml:space="preserve">Acciones </t>
    </r>
    <r>
      <rPr>
        <color rgb="FFFFFFFF"/>
        <sz val="20.0"/>
      </rPr>
      <t>individuales</t>
    </r>
  </si>
  <si>
    <t>Listado total de los algos</t>
  </si>
  <si>
    <r>
      <rPr>
        <color rgb="FFFFFFFF"/>
        <sz val="20.0"/>
        <u/>
      </rPr>
      <t>Lau</t>
    </r>
    <r>
      <rPr>
        <color rgb="FFFFFFFF"/>
        <sz val="20.0"/>
      </rPr>
      <t xml:space="preserve"> Nazarian</t>
    </r>
  </si>
  <si>
    <t>Portfolio personalizado</t>
  </si>
  <si>
    <t>Quiles Franco</t>
  </si>
  <si>
    <t>Merval</t>
  </si>
  <si>
    <t>Indice</t>
  </si>
  <si>
    <t>Merval + VIST</t>
  </si>
  <si>
    <t>Merval + VIST + MELI</t>
  </si>
  <si>
    <t>Futuros A3</t>
  </si>
  <si>
    <t>EMB</t>
  </si>
  <si>
    <t>https://www,blackrock,com/cl/productos/239572/ishares-jp-morgan-usd-emerging-markets-bond-etf</t>
  </si>
  <si>
    <t>CEMB</t>
  </si>
  <si>
    <t>https://www,blackrock,com/cl/productos/239525/ishares-emerging-markets-corporate-bond-etf</t>
  </si>
  <si>
    <t>EMLC</t>
  </si>
  <si>
    <t>EMLC - J,P, Morgan EM Local Currency Bond ETF | Holdings &amp; Performance | VanEck</t>
  </si>
  <si>
    <t>CME</t>
  </si>
  <si>
    <t>https://interactive,researchaffiliates,com/asset-allocation#!/?category=Multi-Country&amp;currency=USD&amp;model=ER&amp;scale=Log&amp;selected=60&amp;tab=details&amp;terms=Real&amp;type=Government+T-Bills&amp;vs=N4IgxgrgTlCmB2AXAygCwIYAdYGED2ANnlCAFzwQEEA0IqAlgCaMICCAzu7Iu2QNoBWAdQAcI6gEYA7ADZJU8dICckpcIBMABk3UtGzVN0SNEuevUaALCos6LE3QPXVLEh5YDMl3So9yPmgC6tAzMbJzcACoAnti8pHzBdEws8BxciDjoiLAA5sT0sPGJISkI%2BBBIUIXFIOhgILSMALYgSaGpFVXRMXH8SbAAHpjo8CyMvUX8IAAKAKKNIHMAiosASnMAkos4APIAsjtrOwBCiyvqiwBiABqLmwAyZwPDo%2BNZOfnVUwl8S6u0fYAVQekW2wT%2BG22tA2bWofz2h0BILBcL%2Bt0WABE5gA1NH-c6HQIvEZjWCMLqIKA9WI-P6Y2AAN1gRGwjHOzVgUFy9HguUW%2B0oiHoAFpKdS4SB2GAoBAAEZyrk49AECA-UBgLCwEVQbL0PAigi82BkUAEWAAM0QZB0IGquVQ1tImgAvrR8ozECL2KztUb4CbSGbLU7bfbHTa3eA4Ix6F6fXhsIbjaaQOarTbaOHQ1HMMREBbCPr2CLsFBC1BmqMwH6U0G0yHM3b6A6cy6XUA</t>
  </si>
  <si>
    <t>-</t>
  </si>
  <si>
    <t>Asset Type</t>
  </si>
  <si>
    <t>Category</t>
  </si>
  <si>
    <t>Asset Class</t>
  </si>
  <si>
    <t>Nominal Return
 (Expected 10Y)</t>
  </si>
  <si>
    <t>Volatility</t>
  </si>
  <si>
    <t>Real Return
 (Expected 10Y)</t>
  </si>
  <si>
    <t>Yield</t>
  </si>
  <si>
    <t>Real
 Growth</t>
  </si>
  <si>
    <t>Valuation
 Change</t>
  </si>
  <si>
    <t>Diversification
 Return</t>
  </si>
  <si>
    <t>Trading
 Alpha</t>
  </si>
  <si>
    <t>Structural
 Alpha</t>
  </si>
  <si>
    <t>Mean
 Reversion
 Alpha</t>
  </si>
  <si>
    <t>Excess Return
 vs Cash</t>
  </si>
  <si>
    <t>Sharpe Ratio</t>
  </si>
  <si>
    <t>Inflation</t>
  </si>
  <si>
    <t>Style Equity</t>
  </si>
  <si>
    <t>Strategies</t>
  </si>
  <si>
    <t>Dev ex US Large Growth</t>
  </si>
  <si>
    <t>7.7%</t>
  </si>
  <si>
    <t>16.3%</t>
  </si>
  <si>
    <t>5.3%</t>
  </si>
  <si>
    <t>3.1%</t>
  </si>
  <si>
    <t>2.8%</t>
  </si>
  <si>
    <t>0.0%</t>
  </si>
  <si>
    <t>-0.6%</t>
  </si>
  <si>
    <t>3.4%</t>
  </si>
  <si>
    <t>0.21</t>
  </si>
  <si>
    <t>Dev ex US Large Value</t>
  </si>
  <si>
    <t>8.3%</t>
  </si>
  <si>
    <t>17.2%</t>
  </si>
  <si>
    <t>5.9%</t>
  </si>
  <si>
    <t>4.0%</t>
  </si>
  <si>
    <t>0.23</t>
  </si>
  <si>
    <t>Dev ex US Small Growth</t>
  </si>
  <si>
    <t>7.5%</t>
  </si>
  <si>
    <t>17.5%</t>
  </si>
  <si>
    <t>5.1%</t>
  </si>
  <si>
    <t>3.2%</t>
  </si>
  <si>
    <t>2.9%</t>
  </si>
  <si>
    <t>-1.0%</t>
  </si>
  <si>
    <t>0.18</t>
  </si>
  <si>
    <t>Dev ex US Small Value</t>
  </si>
  <si>
    <t>9.2%</t>
  </si>
  <si>
    <t>17.1%</t>
  </si>
  <si>
    <t>6.8%</t>
  </si>
  <si>
    <t>0.8%</t>
  </si>
  <si>
    <t>4.9%</t>
  </si>
  <si>
    <t>0.29</t>
  </si>
  <si>
    <t>Developed Markets Large Growth</t>
  </si>
  <si>
    <t>15.8%</t>
  </si>
  <si>
    <t>4.4%</t>
  </si>
  <si>
    <t>1.9%</t>
  </si>
  <si>
    <t>-0.3%</t>
  </si>
  <si>
    <t>2.4%</t>
  </si>
  <si>
    <t>0.15</t>
  </si>
  <si>
    <t>Developed Markets Large Value</t>
  </si>
  <si>
    <t>6.6%</t>
  </si>
  <si>
    <t>15.2%</t>
  </si>
  <si>
    <t>4.2%</t>
  </si>
  <si>
    <t>-0.5%</t>
  </si>
  <si>
    <t>2.2%</t>
  </si>
  <si>
    <t>Developed Markets Small Growth</t>
  </si>
  <si>
    <t>7.2%</t>
  </si>
  <si>
    <t>18.1%</t>
  </si>
  <si>
    <t>4.8%</t>
  </si>
  <si>
    <t>2.3%</t>
  </si>
  <si>
    <t>0.16</t>
  </si>
  <si>
    <t>Developed Markets Small Value</t>
  </si>
  <si>
    <t>8.0%</t>
  </si>
  <si>
    <t>16.6%</t>
  </si>
  <si>
    <t>5.6%</t>
  </si>
  <si>
    <t>0.4%</t>
  </si>
  <si>
    <t>3.7%</t>
  </si>
  <si>
    <t>0.22</t>
  </si>
  <si>
    <t>Emerging Markets Growth</t>
  </si>
  <si>
    <t>7.0%</t>
  </si>
  <si>
    <t>20.0%</t>
  </si>
  <si>
    <t>4.6%</t>
  </si>
  <si>
    <t>2.7%</t>
  </si>
  <si>
    <t>3.6%</t>
  </si>
  <si>
    <t>-1.7%</t>
  </si>
  <si>
    <t>0.13</t>
  </si>
  <si>
    <t>Emerging Markets Value</t>
  </si>
  <si>
    <t>19.9%</t>
  </si>
  <si>
    <t>0.5%</t>
  </si>
  <si>
    <t>0.25</t>
  </si>
  <si>
    <t>US Large Growth</t>
  </si>
  <si>
    <t>6.3%</t>
  </si>
  <si>
    <t>3.9%</t>
  </si>
  <si>
    <t>1.3%</t>
  </si>
  <si>
    <t>-0.2%</t>
  </si>
  <si>
    <t>2.0%</t>
  </si>
  <si>
    <t>0.11</t>
  </si>
  <si>
    <t>US Large Value</t>
  </si>
  <si>
    <t>6.0%</t>
  </si>
  <si>
    <t>3.5%</t>
  </si>
  <si>
    <t>1.6%</t>
  </si>
  <si>
    <t>US Small Growth</t>
  </si>
  <si>
    <t>22.5%</t>
  </si>
  <si>
    <t>3.8%</t>
  </si>
  <si>
    <t>1.5%</t>
  </si>
  <si>
    <t>0.09</t>
  </si>
  <si>
    <t>US Small Value</t>
  </si>
  <si>
    <t>19.4%</t>
  </si>
  <si>
    <t>Government T-Bills</t>
  </si>
  <si>
    <t>Multi-Country</t>
  </si>
  <si>
    <t>Dev ex US Cash</t>
  </si>
  <si>
    <t>7.1%</t>
  </si>
  <si>
    <t>-1.5%</t>
  </si>
  <si>
    <t>-0.22</t>
  </si>
  <si>
    <t>EM Cash</t>
  </si>
  <si>
    <t>-2.7%</t>
  </si>
  <si>
    <t>1.0%</t>
  </si>
  <si>
    <t>Developed Markets</t>
  </si>
  <si>
    <t>Australia Cash</t>
  </si>
  <si>
    <t>4.5%</t>
  </si>
  <si>
    <t>11.4%</t>
  </si>
  <si>
    <t>-2.1%</t>
  </si>
  <si>
    <t>0.1%</t>
  </si>
  <si>
    <t>0.01</t>
  </si>
  <si>
    <t>Canada Cash</t>
  </si>
  <si>
    <t>3.3%</t>
  </si>
  <si>
    <t>7.9%</t>
  </si>
  <si>
    <t>0.9%</t>
  </si>
  <si>
    <t>-0.13</t>
  </si>
  <si>
    <t>Eurozone Cash</t>
  </si>
  <si>
    <t>9.0%</t>
  </si>
  <si>
    <t>1.8%</t>
  </si>
  <si>
    <t>-1.4%</t>
  </si>
  <si>
    <t>-0.17</t>
  </si>
  <si>
    <t>Hong Kong Cash</t>
  </si>
  <si>
    <t>-2.0%</t>
  </si>
  <si>
    <t>-3.3%</t>
  </si>
  <si>
    <t>-3.31</t>
  </si>
  <si>
    <t>Japan Cash</t>
  </si>
  <si>
    <t>1.7%</t>
  </si>
  <si>
    <t>10.0%</t>
  </si>
  <si>
    <t>-0.7%</t>
  </si>
  <si>
    <t>-1.1%</t>
  </si>
  <si>
    <t>-2.6%</t>
  </si>
  <si>
    <t>-0.26</t>
  </si>
  <si>
    <t>New Zealand Cash</t>
  </si>
  <si>
    <t>12.4%</t>
  </si>
  <si>
    <t>1.1%</t>
  </si>
  <si>
    <t>-2.2%</t>
  </si>
  <si>
    <t>-0.9%</t>
  </si>
  <si>
    <t>-0.07</t>
  </si>
  <si>
    <t>Norway Cash</t>
  </si>
  <si>
    <t>4.3%</t>
  </si>
  <si>
    <t>11.7%</t>
  </si>
  <si>
    <t>-2.8%</t>
  </si>
  <si>
    <t>-0.1%</t>
  </si>
  <si>
    <t>-0.01</t>
  </si>
  <si>
    <t>Sweden Cash</t>
  </si>
  <si>
    <t>10.8%</t>
  </si>
  <si>
    <t>1.2%</t>
  </si>
  <si>
    <t>-0.06</t>
  </si>
  <si>
    <t>Switzerland Cash</t>
  </si>
  <si>
    <t>9.7%</t>
  </si>
  <si>
    <t>United Kingdom Cash</t>
  </si>
  <si>
    <t>4.1%</t>
  </si>
  <si>
    <t>8.6%</t>
  </si>
  <si>
    <t>-0.03</t>
  </si>
  <si>
    <t>United States Cash</t>
  </si>
  <si>
    <t>-2.4%</t>
  </si>
  <si>
    <t>0.00</t>
  </si>
  <si>
    <t>Emerging Markets</t>
  </si>
  <si>
    <t>Brazil Cash</t>
  </si>
  <si>
    <t>11.9%</t>
  </si>
  <si>
    <t>14.7%</t>
  </si>
  <si>
    <t>9.5%</t>
  </si>
  <si>
    <t>13.8%</t>
  </si>
  <si>
    <t>-4.3%</t>
  </si>
  <si>
    <t>7.6%</t>
  </si>
  <si>
    <t>0.51</t>
  </si>
  <si>
    <t>China Cash</t>
  </si>
  <si>
    <t>-0.24</t>
  </si>
  <si>
    <t>India Cash</t>
  </si>
  <si>
    <t>7.3%</t>
  </si>
  <si>
    <t>-4.6%</t>
  </si>
  <si>
    <t>0.2%</t>
  </si>
  <si>
    <t>0.03</t>
  </si>
  <si>
    <t>Indonesia Cash</t>
  </si>
  <si>
    <t>6.1%</t>
  </si>
  <si>
    <t>8.9%</t>
  </si>
  <si>
    <t>5.8%</t>
  </si>
  <si>
    <t>0.20</t>
  </si>
  <si>
    <t>Malaysia Cash</t>
  </si>
  <si>
    <t>-0.15</t>
  </si>
  <si>
    <t>Mexico Cash</t>
  </si>
  <si>
    <t>6.2%</t>
  </si>
  <si>
    <t>11.6%</t>
  </si>
  <si>
    <t>-4.5%</t>
  </si>
  <si>
    <t>Poland Cash</t>
  </si>
  <si>
    <t>12.2%</t>
  </si>
  <si>
    <t>-3.5%</t>
  </si>
  <si>
    <t>-0.08</t>
  </si>
  <si>
    <t>South Africa Cash</t>
  </si>
  <si>
    <t>5.5%</t>
  </si>
  <si>
    <t>14.8%</t>
  </si>
  <si>
    <t>6.7%</t>
  </si>
  <si>
    <t>-3.6%</t>
  </si>
  <si>
    <t>0.08</t>
  </si>
  <si>
    <t>South Korea Cash</t>
  </si>
  <si>
    <t>10.3%</t>
  </si>
  <si>
    <t>0.3%</t>
  </si>
  <si>
    <t>-0.16</t>
  </si>
  <si>
    <t>Thailand Cash</t>
  </si>
  <si>
    <t>Turkey Cash</t>
  </si>
  <si>
    <t>-4.7%</t>
  </si>
  <si>
    <t>18.5%</t>
  </si>
  <si>
    <t>-7.1%</t>
  </si>
  <si>
    <t>22.6%</t>
  </si>
  <si>
    <t>-29.7%</t>
  </si>
  <si>
    <t>-9.0%</t>
  </si>
  <si>
    <t>-0.49</t>
  </si>
  <si>
    <t>Core Bonds</t>
  </si>
  <si>
    <t>Global Aggregate (Hedged)</t>
  </si>
  <si>
    <t>5.2%</t>
  </si>
  <si>
    <t>Global ex US Aggregate (Hedged)</t>
  </si>
  <si>
    <t>5.7%</t>
  </si>
  <si>
    <t>4.7%</t>
  </si>
  <si>
    <t>1.4%</t>
  </si>
  <si>
    <t>0.40</t>
  </si>
  <si>
    <t>Global ex US Treasury</t>
  </si>
  <si>
    <t>-1.3%</t>
  </si>
  <si>
    <t>Australia Government</t>
  </si>
  <si>
    <t>12.5%</t>
  </si>
  <si>
    <t>5.0%</t>
  </si>
  <si>
    <t>0.07</t>
  </si>
  <si>
    <t>Canada Government</t>
  </si>
  <si>
    <t>9.3%</t>
  </si>
  <si>
    <t>European Aggregate</t>
  </si>
  <si>
    <t>10.2%</t>
  </si>
  <si>
    <t>Germany Government</t>
  </si>
  <si>
    <t>9.6%</t>
  </si>
  <si>
    <t>2.6%</t>
  </si>
  <si>
    <t>-0.8%</t>
  </si>
  <si>
    <t>Japan Aggregate</t>
  </si>
  <si>
    <t>UK Aggregate</t>
  </si>
  <si>
    <t>10.6%</t>
  </si>
  <si>
    <t>2.5%</t>
  </si>
  <si>
    <t>5.4%</t>
  </si>
  <si>
    <t>0.6%</t>
  </si>
  <si>
    <t>0.06</t>
  </si>
  <si>
    <t>UK Government</t>
  </si>
  <si>
    <t>15.9%</t>
  </si>
  <si>
    <t>US Aggregate</t>
  </si>
  <si>
    <t>0.7%</t>
  </si>
  <si>
    <t>US Treasury Intermediate</t>
  </si>
  <si>
    <t>-0.05</t>
  </si>
  <si>
    <t>US Treasury Long</t>
  </si>
  <si>
    <t>0.05</t>
  </si>
  <si>
    <t>US Treasury Short</t>
  </si>
  <si>
    <t>-0.46</t>
  </si>
  <si>
    <t>Inflation Linked Bonds</t>
  </si>
  <si>
    <t>Australia ILBs</t>
  </si>
  <si>
    <t>12.8%</t>
  </si>
  <si>
    <t>Canada ILBs</t>
  </si>
  <si>
    <t>-0.02</t>
  </si>
  <si>
    <t>Euro ILBs</t>
  </si>
  <si>
    <t>11.2%</t>
  </si>
  <si>
    <t>Japan ILBs</t>
  </si>
  <si>
    <t>-3.7%</t>
  </si>
  <si>
    <t>-5.7%</t>
  </si>
  <si>
    <t>-0.55</t>
  </si>
  <si>
    <t>UK ILBs</t>
  </si>
  <si>
    <t>12.6%</t>
  </si>
  <si>
    <t>US TIPS</t>
  </si>
  <si>
    <t>US TIPS Long</t>
  </si>
  <si>
    <t>12.9%</t>
  </si>
  <si>
    <t>World ILB (Hedged)</t>
  </si>
  <si>
    <t>3.0%</t>
  </si>
  <si>
    <t>0.19</t>
  </si>
  <si>
    <t>Credit Bonds</t>
  </si>
  <si>
    <t>Emerging Market (Local)</t>
  </si>
  <si>
    <t>6.5%</t>
  </si>
  <si>
    <t>11.1%</t>
  </si>
  <si>
    <t>Emerging Market (Non-Local)</t>
  </si>
  <si>
    <t>6.9%</t>
  </si>
  <si>
    <t>0.12</t>
  </si>
  <si>
    <t>Investment Grade</t>
  </si>
  <si>
    <t>Global Corporates</t>
  </si>
  <si>
    <t>-3.0%</t>
  </si>
  <si>
    <t>US Corporate Intermediate</t>
  </si>
  <si>
    <t>0.10</t>
  </si>
  <si>
    <t>US Corporate Long</t>
  </si>
  <si>
    <t>11.0%</t>
  </si>
  <si>
    <t>-4.1%</t>
  </si>
  <si>
    <t>US Corporate Short</t>
  </si>
  <si>
    <t>-0.10</t>
  </si>
  <si>
    <t>Non-Investment Grade</t>
  </si>
  <si>
    <t>Bank Loans</t>
  </si>
  <si>
    <t>US High Yield</t>
  </si>
  <si>
    <t>-5.9%</t>
  </si>
  <si>
    <t>Commodities</t>
  </si>
  <si>
    <t>Multi-Commodity</t>
  </si>
  <si>
    <t>7.4%</t>
  </si>
  <si>
    <t>14.9%</t>
  </si>
  <si>
    <t>Agriculture</t>
  </si>
  <si>
    <t>Corn</t>
  </si>
  <si>
    <t>23.8%</t>
  </si>
  <si>
    <t>Soybean Meal</t>
  </si>
  <si>
    <t>26.8%</t>
  </si>
  <si>
    <t>0.04</t>
  </si>
  <si>
    <t>Soybean Oil</t>
  </si>
  <si>
    <t>28.2%</t>
  </si>
  <si>
    <t>0.02</t>
  </si>
  <si>
    <t>Soybeans</t>
  </si>
  <si>
    <t>24.2%</t>
  </si>
  <si>
    <t>Wheat</t>
  </si>
  <si>
    <t>26.7%</t>
  </si>
  <si>
    <t>Base Metals</t>
  </si>
  <si>
    <t>Aluminum</t>
  </si>
  <si>
    <t>19.1%</t>
  </si>
  <si>
    <t>Copper</t>
  </si>
  <si>
    <t>24.6%</t>
  </si>
  <si>
    <t>Nickel</t>
  </si>
  <si>
    <t>32.8%</t>
  </si>
  <si>
    <t>Zinc</t>
  </si>
  <si>
    <t>25.1%</t>
  </si>
  <si>
    <t>Energy</t>
  </si>
  <si>
    <t>Brent Crude</t>
  </si>
  <si>
    <t>31.6%</t>
  </si>
  <si>
    <t>Gasoline</t>
  </si>
  <si>
    <t>35.1%</t>
  </si>
  <si>
    <t>Heating Oil</t>
  </si>
  <si>
    <t>31.5%</t>
  </si>
  <si>
    <t>Natural Gas</t>
  </si>
  <si>
    <t>50.6%</t>
  </si>
  <si>
    <t>WTI Crude</t>
  </si>
  <si>
    <t>36.7%</t>
  </si>
  <si>
    <t>Livestock</t>
  </si>
  <si>
    <t>Lean Hogs</t>
  </si>
  <si>
    <t>25.9%</t>
  </si>
  <si>
    <t>Live Cattle</t>
  </si>
  <si>
    <t>13.6%</t>
  </si>
  <si>
    <t>Precious Metals</t>
  </si>
  <si>
    <t>Gold</t>
  </si>
  <si>
    <t>16.1%</t>
  </si>
  <si>
    <t>Silver</t>
  </si>
  <si>
    <t>29.1%</t>
  </si>
  <si>
    <t>Softs</t>
  </si>
  <si>
    <t>Coffee</t>
  </si>
  <si>
    <t>33.1%</t>
  </si>
  <si>
    <t>Cotton</t>
  </si>
  <si>
    <t>25.5%</t>
  </si>
  <si>
    <t>Sugar</t>
  </si>
  <si>
    <t>33.4%</t>
  </si>
  <si>
    <t>Public Equity</t>
  </si>
  <si>
    <t>All Country</t>
  </si>
  <si>
    <t>15.1%</t>
  </si>
  <si>
    <t>Asia ex Japan</t>
  </si>
  <si>
    <t>8.2%</t>
  </si>
  <si>
    <t>Dev ex US Large</t>
  </si>
  <si>
    <t>16.2%</t>
  </si>
  <si>
    <t>0.24</t>
  </si>
  <si>
    <t>Dev ex US Small</t>
  </si>
  <si>
    <t>Developed Markets Large</t>
  </si>
  <si>
    <t>15.0%</t>
  </si>
  <si>
    <t>Developed Markets Small</t>
  </si>
  <si>
    <t>17.8%</t>
  </si>
  <si>
    <t>19.7%</t>
  </si>
  <si>
    <t>Europe</t>
  </si>
  <si>
    <t>7.8%</t>
  </si>
  <si>
    <t>17.4%</t>
  </si>
  <si>
    <t>Europe ex UK</t>
  </si>
  <si>
    <t>18.3%</t>
  </si>
  <si>
    <t>Australia</t>
  </si>
  <si>
    <t>21.5%</t>
  </si>
  <si>
    <t>Austria</t>
  </si>
  <si>
    <t>0.27</t>
  </si>
  <si>
    <t>Belgium</t>
  </si>
  <si>
    <t>20.3%</t>
  </si>
  <si>
    <t>Canada</t>
  </si>
  <si>
    <t>19.0%</t>
  </si>
  <si>
    <t>Denmark</t>
  </si>
  <si>
    <t>8.1%</t>
  </si>
  <si>
    <t>Finland</t>
  </si>
  <si>
    <t>25.6%</t>
  </si>
  <si>
    <t>9.1%</t>
  </si>
  <si>
    <t>0.28</t>
  </si>
  <si>
    <t>France</t>
  </si>
  <si>
    <t>20.8%</t>
  </si>
  <si>
    <t>Germany</t>
  </si>
  <si>
    <t>21.6%</t>
  </si>
  <si>
    <t>Hong Kong</t>
  </si>
  <si>
    <t>22.3%</t>
  </si>
  <si>
    <t>Ireland</t>
  </si>
  <si>
    <t>Italy</t>
  </si>
  <si>
    <t>22.8%</t>
  </si>
  <si>
    <t>Japan</t>
  </si>
  <si>
    <t>Netherlands</t>
  </si>
  <si>
    <t>2.1%</t>
  </si>
  <si>
    <t>New Zealand</t>
  </si>
  <si>
    <t>25.2%</t>
  </si>
  <si>
    <t>Norway</t>
  </si>
  <si>
    <t>12.0%</t>
  </si>
  <si>
    <t>28.1%</t>
  </si>
  <si>
    <t>Portugal</t>
  </si>
  <si>
    <t>20.9%</t>
  </si>
  <si>
    <t>Singapore</t>
  </si>
  <si>
    <t>9.4%</t>
  </si>
  <si>
    <t>23.4%</t>
  </si>
  <si>
    <t>Spain</t>
  </si>
  <si>
    <t>8.4%</t>
  </si>
  <si>
    <t>22.1%</t>
  </si>
  <si>
    <t>Sweden</t>
  </si>
  <si>
    <t>10.1%</t>
  </si>
  <si>
    <t>22.9%</t>
  </si>
  <si>
    <t>Switzerland</t>
  </si>
  <si>
    <t>6.4%</t>
  </si>
  <si>
    <t>0.26</t>
  </si>
  <si>
    <t>US Large</t>
  </si>
  <si>
    <t>US Small</t>
  </si>
  <si>
    <t>United Kingdom</t>
  </si>
  <si>
    <t>17.0%</t>
  </si>
  <si>
    <t>Brazil</t>
  </si>
  <si>
    <t>40.0%</t>
  </si>
  <si>
    <t>Chile</t>
  </si>
  <si>
    <t>China</t>
  </si>
  <si>
    <t>Colombia</t>
  </si>
  <si>
    <t>18.6%</t>
  </si>
  <si>
    <t>36.0%</t>
  </si>
  <si>
    <t>13.9%</t>
  </si>
  <si>
    <t>0.33</t>
  </si>
  <si>
    <t>Czech Republic</t>
  </si>
  <si>
    <t>10.5%</t>
  </si>
  <si>
    <t>0.32</t>
  </si>
  <si>
    <t>Egypt</t>
  </si>
  <si>
    <t>34.3%</t>
  </si>
  <si>
    <t>Hungary</t>
  </si>
  <si>
    <t>9.9%</t>
  </si>
  <si>
    <t>30.9%</t>
  </si>
  <si>
    <t>0.17</t>
  </si>
  <si>
    <t>India</t>
  </si>
  <si>
    <t>24.3%</t>
  </si>
  <si>
    <t>Indonesia</t>
  </si>
  <si>
    <t>33.6%</t>
  </si>
  <si>
    <t>Israel</t>
  </si>
  <si>
    <t>20.7%</t>
  </si>
  <si>
    <t>0.14</t>
  </si>
  <si>
    <t>Malaysia</t>
  </si>
  <si>
    <t>10.9%</t>
  </si>
  <si>
    <t>Mexico</t>
  </si>
  <si>
    <t>Peru</t>
  </si>
  <si>
    <t>33.0%</t>
  </si>
  <si>
    <t>Philippines</t>
  </si>
  <si>
    <t>8.8%</t>
  </si>
  <si>
    <t>26.5%</t>
  </si>
  <si>
    <t>Poland</t>
  </si>
  <si>
    <t>35.3%</t>
  </si>
  <si>
    <t>South Africa</t>
  </si>
  <si>
    <t>South Korea</t>
  </si>
  <si>
    <t>27.6%</t>
  </si>
  <si>
    <t>Taiwan</t>
  </si>
  <si>
    <t>25.8%</t>
  </si>
  <si>
    <t>Thailand</t>
  </si>
  <si>
    <t>29.5%</t>
  </si>
  <si>
    <t>Turkey</t>
  </si>
  <si>
    <t>10.7%</t>
  </si>
  <si>
    <t>41.5%</t>
  </si>
  <si>
    <t>Private Equity</t>
  </si>
  <si>
    <t>Public to Private</t>
  </si>
  <si>
    <t>US LBO</t>
  </si>
  <si>
    <t>39.8%</t>
  </si>
  <si>
    <t>-1.2%</t>
  </si>
  <si>
    <t>-3.1%</t>
  </si>
  <si>
    <t>Venture Capital</t>
  </si>
  <si>
    <t>US Venture Capital</t>
  </si>
  <si>
    <t>19.8%</t>
  </si>
  <si>
    <t>Hedge Funds</t>
  </si>
  <si>
    <t>US Long/Short Equity</t>
  </si>
  <si>
    <t>Real Estate and Infrastructure</t>
  </si>
  <si>
    <t>Real Estate</t>
  </si>
  <si>
    <t>Global REITs</t>
  </si>
  <si>
    <t>REITs</t>
  </si>
  <si>
    <t>18.9%</t>
  </si>
  <si>
    <t>Infrastructure</t>
  </si>
  <si>
    <t>MLPs</t>
  </si>
  <si>
    <t>25.4%</t>
  </si>
  <si>
    <t>Tasa fija</t>
  </si>
  <si>
    <t>Argentina</t>
  </si>
  <si>
    <t>14.5%</t>
  </si>
  <si>
    <t>58.6%</t>
  </si>
  <si>
    <t>Globales</t>
  </si>
  <si>
    <t>Argentina USD</t>
  </si>
  <si>
    <t>21.3%</t>
  </si>
  <si>
    <t>CCC Coporate</t>
  </si>
  <si>
    <t>Conservador</t>
  </si>
  <si>
    <t>M,Duration</t>
  </si>
  <si>
    <t>Vto</t>
  </si>
  <si>
    <t>Inverse m,D</t>
  </si>
  <si>
    <t>Weight</t>
  </si>
  <si>
    <t>Lamina</t>
  </si>
  <si>
    <t>Agresivo</t>
  </si>
  <si>
    <t>6-12 meses Conservador</t>
  </si>
  <si>
    <t>TIR</t>
  </si>
  <si>
    <t>Working Capital</t>
  </si>
  <si>
    <t>M,D</t>
  </si>
  <si>
    <t>Inverse duration</t>
  </si>
  <si>
    <t>Lecap</t>
  </si>
  <si>
    <t>Cer</t>
  </si>
  <si>
    <t>Moderado</t>
  </si>
  <si>
    <t>Boncap</t>
  </si>
  <si>
    <t>Duales</t>
  </si>
  <si>
    <t>Duration</t>
  </si>
  <si>
    <t>Conservador/Moderado</t>
  </si>
  <si>
    <t>Bopreal</t>
  </si>
  <si>
    <t>Alternativa</t>
  </si>
  <si>
    <t>Activo</t>
  </si>
  <si>
    <t>Contrato</t>
  </si>
  <si>
    <t>Tamaño</t>
  </si>
  <si>
    <t>Moneda</t>
  </si>
  <si>
    <t>Variación minima</t>
  </si>
  <si>
    <t>Precio</t>
  </si>
  <si>
    <t>Posición total en U$S</t>
  </si>
  <si>
    <t>Link</t>
  </si>
  <si>
    <t>Oro</t>
  </si>
  <si>
    <t>Onza</t>
  </si>
  <si>
    <t>U$S</t>
  </si>
  <si>
    <t>https://matbarofex.com.ar/documentos/investigacion/guia-de-negociacion-futuros-y-opciones-sobre-oro</t>
  </si>
  <si>
    <t>WTI/JUL25</t>
  </si>
  <si>
    <t>Barriles</t>
  </si>
  <si>
    <t>https://matbarofex.com.ar/documentos/investigacion/guia-de-negociacion-de-futuros-y-opciones-sobre-petroleo</t>
  </si>
  <si>
    <t>ROFX20/JUN25</t>
  </si>
  <si>
    <t>Pesos</t>
  </si>
  <si>
    <t>https://matbarofex.com.ar/documentos/investigacion/guia-de-negociacion-futuro-y-opciones-de-indice-de-acciones-rofex-20</t>
  </si>
  <si>
    <t>SOY.CME/JUL25</t>
  </si>
  <si>
    <t>Toneladas</t>
  </si>
  <si>
    <t>https://matbarofex.com.ar/documentos/legales/reglamento-soja-chicago</t>
  </si>
  <si>
    <t>CRN.CME/JUN25</t>
  </si>
  <si>
    <t>https://matbarofex.com.ar/documentos/legales/reglamento-maiz-chicago</t>
  </si>
  <si>
    <t>TRI.ROS/JUL25</t>
  </si>
  <si>
    <t>https://matbarofex.com.ar/documentos/legales/reglamento-trigo-mini</t>
  </si>
  <si>
    <t>Allocation minimo a materias primas</t>
  </si>
  <si>
    <t>Dólar</t>
  </si>
  <si>
    <t>Materias primas sin Rofex</t>
  </si>
  <si>
    <t>Futuros + Renta Mixta Conservador</t>
  </si>
  <si>
    <t>Ticker</t>
  </si>
  <si>
    <t>Delta</t>
  </si>
  <si>
    <t>YTD</t>
  </si>
  <si>
    <t>Value</t>
  </si>
  <si>
    <t>WB</t>
  </si>
  <si>
    <t>Momentum</t>
  </si>
  <si>
    <t>Low vol</t>
  </si>
  <si>
    <t>BRK.B</t>
  </si>
  <si>
    <t>Berkshire Hathaway</t>
  </si>
  <si>
    <t>Skewness</t>
  </si>
  <si>
    <t>Name</t>
  </si>
  <si>
    <t>Allocation</t>
  </si>
  <si>
    <t>Soberanos en pesos</t>
  </si>
  <si>
    <t>Investment grade USD</t>
  </si>
  <si>
    <t>Security Analysis</t>
  </si>
  <si>
    <t>Modelo</t>
  </si>
  <si>
    <t>Corredor +/- 10%</t>
  </si>
  <si>
    <t>TAA</t>
  </si>
  <si>
    <t>FCI Galileo Income (GIN)</t>
  </si>
  <si>
    <t>https://assets.ctfassets.net/yr8od49a81oq/QLIVVA9qCSqVRJjdnTa8c/2ccd8235bdabd256b186fff7a2f5ec29/GIN_Resumen_Ejecutivo.pdf</t>
  </si>
  <si>
    <t>TIR esperada</t>
  </si>
  <si>
    <t>Tir</t>
  </si>
  <si>
    <t>Stdev</t>
  </si>
  <si>
    <t>Galileo Income</t>
  </si>
  <si>
    <t>3% y 4%</t>
  </si>
  <si>
    <t>Su cartera de inversión está compuesta por
instrumentos de renta fija en dólares de emisores de países como EE. UU.,
México, Chile, Brasil, Paraguay y Uruguay. La calificación de la cartera es
Investment Grade.</t>
  </si>
  <si>
    <t>CONSULTAR ANTES</t>
  </si>
  <si>
    <t>TIR a vencimiento</t>
  </si>
  <si>
    <t>ONs</t>
  </si>
  <si>
    <t>TIR ponderada</t>
  </si>
  <si>
    <t>Desviación estándar esperada</t>
  </si>
  <si>
    <t>TIR Esperada</t>
  </si>
  <si>
    <t>Soberanos Hard Dollar</t>
  </si>
  <si>
    <t>TIR PONDERADA</t>
  </si>
  <si>
    <t>Maximum sharpe</t>
  </si>
  <si>
    <t>Retorno histórico</t>
  </si>
  <si>
    <t>iShares JP Morgan EM Corporate Bond ETF</t>
  </si>
  <si>
    <t>51.75%</t>
  </si>
  <si>
    <t>iShares JP Morgan USD Em Mkts Bd ETF</t>
  </si>
  <si>
    <t>27.23%</t>
  </si>
  <si>
    <t>VanEck JPMorgan EMLcl Ccy Bd ETF</t>
  </si>
  <si>
    <t>8.13%</t>
  </si>
  <si>
    <t>Soberanos pesos</t>
  </si>
  <si>
    <t>SPDR Gold Shares</t>
  </si>
  <si>
    <t>8.87%</t>
  </si>
  <si>
    <t>iShares Silver Trust</t>
  </si>
  <si>
    <t>4.01%</t>
  </si>
  <si>
    <t>Plata</t>
  </si>
  <si>
    <t>33.08%</t>
  </si>
  <si>
    <t>34.35%</t>
  </si>
  <si>
    <t>16.41%</t>
  </si>
  <si>
    <t>11.45%</t>
  </si>
  <si>
    <t>4.71%</t>
  </si>
  <si>
    <t>Volatility targeting</t>
  </si>
  <si>
    <t>Riesgo</t>
  </si>
  <si>
    <t>Retorno esperado</t>
  </si>
  <si>
    <t>69.22%</t>
  </si>
  <si>
    <t>3.01%</t>
  </si>
  <si>
    <t>1.16%</t>
  </si>
  <si>
    <t>5.97%</t>
  </si>
  <si>
    <t>Desarrollados ex US</t>
  </si>
  <si>
    <t>1.93%</t>
  </si>
  <si>
    <t>US small cap</t>
  </si>
  <si>
    <t>EFA</t>
  </si>
  <si>
    <t>iShares MSCI EAFE ETF</t>
  </si>
  <si>
    <t>5.00%</t>
  </si>
  <si>
    <t>Emergentes</t>
  </si>
  <si>
    <t>iShares Russell 2000 ETF</t>
  </si>
  <si>
    <t>3.56%</t>
  </si>
  <si>
    <t>iShares MSCI Emerging Markets ETF</t>
  </si>
  <si>
    <t>2.91%</t>
  </si>
  <si>
    <t>Sector inmobiliario US</t>
  </si>
  <si>
    <t>ARGT</t>
  </si>
  <si>
    <t>Global X MSCI Argentina ETF</t>
  </si>
  <si>
    <t>5.67%</t>
  </si>
  <si>
    <t>The Real Estate Select Sector SPDR</t>
  </si>
  <si>
    <t>1.57%</t>
  </si>
  <si>
    <t>45.53%</t>
  </si>
  <si>
    <t>26.73%</t>
  </si>
  <si>
    <t>7.97%</t>
  </si>
  <si>
    <t>10.45%</t>
  </si>
  <si>
    <t>4.81%</t>
  </si>
  <si>
    <t>Acciones US dividendos</t>
  </si>
  <si>
    <t>Vanguard Dividend Appreciation ETF</t>
  </si>
  <si>
    <t>4.51%</t>
  </si>
  <si>
    <t>Acciones dividendos</t>
  </si>
  <si>
    <t>MV</t>
  </si>
  <si>
    <t>Risk parity</t>
  </si>
  <si>
    <t>23.32%</t>
  </si>
  <si>
    <t>7.20%</t>
  </si>
  <si>
    <t>2.78%</t>
  </si>
  <si>
    <t>16.13%</t>
  </si>
  <si>
    <t>7.40%</t>
  </si>
  <si>
    <t>10.11%</t>
  </si>
  <si>
    <t>10.08%</t>
  </si>
  <si>
    <t>8.31%</t>
  </si>
  <si>
    <t>4.88%</t>
  </si>
  <si>
    <t>9.80%</t>
  </si>
  <si>
    <t>37.90%</t>
  </si>
  <si>
    <t>9.05%</t>
  </si>
  <si>
    <t>3.90%</t>
  </si>
  <si>
    <t>9.03%</t>
  </si>
  <si>
    <t>3.55%</t>
  </si>
  <si>
    <t>9.36%</t>
  </si>
  <si>
    <t>7.21%</t>
  </si>
  <si>
    <t>6.63%</t>
  </si>
  <si>
    <t>12.24%</t>
  </si>
  <si>
    <t>1.13%</t>
  </si>
  <si>
    <t>8.84%</t>
  </si>
  <si>
    <t>5.93%</t>
  </si>
  <si>
    <t>21.06%</t>
  </si>
  <si>
    <t>2.75%</t>
  </si>
  <si>
    <t>3.43%</t>
  </si>
  <si>
    <t>3.57%</t>
  </si>
  <si>
    <t>39.24%</t>
  </si>
  <si>
    <t>2.90%</t>
  </si>
  <si>
    <t>Acciones Individuales</t>
  </si>
  <si>
    <t>Low Vol</t>
  </si>
  <si>
    <t>Skew</t>
  </si>
  <si>
    <t>WTI</t>
  </si>
  <si>
    <t>SOYB</t>
  </si>
  <si>
    <t>CORN</t>
  </si>
  <si>
    <t>WEAT</t>
  </si>
  <si>
    <t>Contratos a comprar</t>
  </si>
  <si>
    <t>P*Q Verdadero</t>
  </si>
  <si>
    <t>Ponderación real</t>
  </si>
  <si>
    <t>Precio por contrato</t>
  </si>
  <si>
    <t>Capital minimo por futuro</t>
  </si>
  <si>
    <t>Contratos sin redondear</t>
  </si>
  <si>
    <t>P*Q Irreal</t>
  </si>
  <si>
    <t>Sobrante para poner a ONS</t>
  </si>
  <si>
    <t>Capital Minimo USD</t>
  </si>
  <si>
    <t>Capital USD</t>
  </si>
  <si>
    <t>Sobrante como porcentaje</t>
  </si>
  <si>
    <t>2.65%</t>
  </si>
  <si>
    <t>USO</t>
  </si>
  <si>
    <t>United States Oil</t>
  </si>
  <si>
    <t>9.01%</t>
  </si>
  <si>
    <t>Teucrium Soybean Fund</t>
  </si>
  <si>
    <t>4.73%</t>
  </si>
  <si>
    <t>Teucrium Corn Fund</t>
  </si>
  <si>
    <t>2.04%</t>
  </si>
  <si>
    <t>Teucrium Wheat Fund</t>
  </si>
  <si>
    <t>4.23%</t>
  </si>
  <si>
    <t>31.83%</t>
  </si>
  <si>
    <t>2.46%</t>
  </si>
  <si>
    <t>Soberanos Pesos</t>
  </si>
  <si>
    <t>25.40%</t>
  </si>
  <si>
    <t>2.92%</t>
  </si>
  <si>
    <t>2.70%</t>
  </si>
  <si>
    <t>4.66%</t>
  </si>
  <si>
    <t>Small cap US</t>
  </si>
  <si>
    <t>5.22%</t>
  </si>
  <si>
    <t>Sector inmobiliario</t>
  </si>
  <si>
    <t>2.16%</t>
  </si>
  <si>
    <t>Sobrante para Hard Dollar</t>
  </si>
  <si>
    <t>ARG</t>
  </si>
  <si>
    <t>75.92%</t>
  </si>
  <si>
    <t>6.65%</t>
  </si>
  <si>
    <t>17.43%</t>
  </si>
  <si>
    <t>MC</t>
  </si>
  <si>
    <t>YPF</t>
  </si>
  <si>
    <t>Pampa Energía</t>
  </si>
  <si>
    <t>TGS</t>
  </si>
  <si>
    <t>52.49%</t>
  </si>
  <si>
    <t>5.35%</t>
  </si>
  <si>
    <t>9.32%</t>
  </si>
  <si>
    <t>1.68%</t>
  </si>
  <si>
    <t>US large</t>
  </si>
  <si>
    <t>8.47%</t>
  </si>
  <si>
    <t>5.26%</t>
  </si>
  <si>
    <t>SPDR S&amp;P 500 ETF Trust</t>
  </si>
  <si>
    <t>0.39%</t>
  </si>
  <si>
    <t>4.93%</t>
  </si>
  <si>
    <t>9.73%</t>
  </si>
  <si>
    <t>2.38%</t>
  </si>
  <si>
    <t>https://www,portfoliovisualizer,com/optimize-portfolio?s=y&amp;sl=01F32UShtI6jgvtMBb8oix</t>
  </si>
  <si>
    <t>Desarrollados</t>
  </si>
  <si>
    <t>Mercados Emergentes</t>
  </si>
  <si>
    <t>Sector inmobiliario de US</t>
  </si>
  <si>
    <t>Bono en moneda local</t>
  </si>
  <si>
    <t>Bono en USD</t>
  </si>
  <si>
    <t>ON</t>
  </si>
  <si>
    <t>Lecap a muy corto plazo</t>
  </si>
  <si>
    <t>Cripto</t>
  </si>
  <si>
    <t>Materias primas</t>
  </si>
  <si>
    <t>ON Corta</t>
  </si>
  <si>
    <t>S28A5</t>
  </si>
  <si>
    <t>S18J5</t>
  </si>
  <si>
    <t>18.75%</t>
  </si>
  <si>
    <t>Bonos corporativos emergentes</t>
  </si>
  <si>
    <t>7.91%</t>
  </si>
  <si>
    <t>12.21%</t>
  </si>
  <si>
    <t>Mercados desarrollados ex USA</t>
  </si>
  <si>
    <t>18.00%</t>
  </si>
  <si>
    <t>Mercados emergentes</t>
  </si>
  <si>
    <t>10.39%</t>
  </si>
  <si>
    <t>4.09%</t>
  </si>
  <si>
    <t>28.65%</t>
  </si>
  <si>
    <t>BONOS CORP EXTRANJEROS</t>
  </si>
  <si>
    <t>BONOS ARGENTINA</t>
  </si>
  <si>
    <t>ORO</t>
  </si>
  <si>
    <t>MERCADOS DESARROLLADOS</t>
  </si>
  <si>
    <t>EUROPA</t>
  </si>
  <si>
    <t>EWH</t>
  </si>
  <si>
    <t>HANG SENG</t>
  </si>
  <si>
    <t>BITCOIN</t>
  </si>
  <si>
    <t>RUSSEL 2000</t>
  </si>
  <si>
    <t>INMOBILIARIO</t>
  </si>
  <si>
    <t xml:space="preserve">YPF </t>
  </si>
  <si>
    <t>VISTA</t>
  </si>
  <si>
    <t>TESLA</t>
  </si>
  <si>
    <t>REP</t>
  </si>
  <si>
    <t>REPSPOL</t>
  </si>
  <si>
    <t>BLK</t>
  </si>
  <si>
    <t>BLACK ROCK</t>
  </si>
  <si>
    <t>JP MORGAN</t>
  </si>
  <si>
    <t>1211.HK</t>
  </si>
  <si>
    <t>BYD</t>
  </si>
  <si>
    <t>1810.HK</t>
  </si>
  <si>
    <t>XIAOMI</t>
  </si>
  <si>
    <t>Retorno anual</t>
  </si>
  <si>
    <t>Vencimiento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</si>
</sst>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/MM/yyyy"/>
    <numFmt numFmtId="165" formatCode="0.0%"/>
    <numFmt numFmtId="166" formatCode="#,##0.000"/>
    <numFmt numFmtId="167" formatCode="&quot;$&quot;#,##0.00"/>
    <numFmt numFmtId="168" formatCode="d/m/yyyy"/>
    <numFmt numFmtId="169" formatCode="mmmm yyyy"/>
    <numFmt numFmtId="170" formatCode="d.m"/>
    <numFmt numFmtId="171" formatCode="dd/mm/yyyy"/>
    <numFmt numFmtId="172" formatCode="0.00000%"/>
    <numFmt numFmtId="173" formatCode="mmm d"/>
    <numFmt numFmtId="174" formatCode="0.000%"/>
    <numFmt numFmtId="175" formatCode="0.0000"/>
  </numFmts>
  <fonts count="66">
    <font>
      <sz val="10.0"/>
      <color rgb="FF000000"/>
      <name val="Arial"/>
      <scheme val="minor"/>
    </font>
    <font>
      <color theme="1"/>
      <name val="Arial"/>
      <scheme val="minor"/>
    </font>
    <font>
      <b/>
      <sz val="11.0"/>
      <color theme="1"/>
      <name val="Calibri"/>
    </font>
    <font>
      <b/>
      <u/>
      <sz val="11.0"/>
      <color rgb="FF0000FF"/>
      <name val="Calibri"/>
    </font>
    <font>
      <sz val="11.0"/>
      <color rgb="FF000000"/>
      <name val="Calibri"/>
    </font>
    <font>
      <b/>
      <color theme="1"/>
      <name val="Arial"/>
      <scheme val="minor"/>
    </font>
    <font>
      <sz val="20.0"/>
      <color rgb="FFFFFFFF"/>
      <name val="Arial"/>
      <scheme val="minor"/>
    </font>
    <font>
      <u/>
      <sz val="20.0"/>
      <color rgb="FFFFFFFF"/>
    </font>
    <font>
      <sz val="20.0"/>
      <color theme="1"/>
      <name val="Arial"/>
      <scheme val="minor"/>
    </font>
    <font>
      <u/>
      <sz val="20.0"/>
      <color rgb="FFF6F8F9"/>
    </font>
    <font>
      <color rgb="FF000000"/>
      <name val="Arial"/>
      <scheme val="minor"/>
    </font>
    <font>
      <sz val="20.0"/>
      <color rgb="FFFFFFFF"/>
      <name val="Roboto"/>
    </font>
    <font>
      <u/>
      <sz val="20.0"/>
      <color rgb="FFFFFFFF"/>
      <name val="Roboto"/>
    </font>
    <font>
      <u/>
      <sz val="20.0"/>
      <color rgb="FFFFFFFF"/>
    </font>
    <font>
      <sz val="10.0"/>
      <color rgb="FF162C4C"/>
      <name val="Arial"/>
    </font>
    <font>
      <sz val="10.0"/>
      <color rgb="FFFFFFFF"/>
      <name val="Arial"/>
    </font>
    <font>
      <sz val="10.0"/>
      <color theme="1"/>
      <name val="Arial"/>
      <scheme val="minor"/>
    </font>
    <font>
      <sz val="10.0"/>
      <color theme="1"/>
      <name val="Arial"/>
    </font>
    <font>
      <b/>
      <sz val="10.0"/>
      <color theme="1"/>
      <name val="Arial"/>
    </font>
    <font>
      <sz val="10.0"/>
      <color rgb="FF898A8D"/>
      <name val="Arial"/>
    </font>
    <font>
      <sz val="12.0"/>
      <color theme="1"/>
      <name val="Calibri"/>
    </font>
    <font>
      <b/>
      <sz val="12.0"/>
      <color theme="1"/>
      <name val="Calibri"/>
    </font>
    <font>
      <sz val="10.0"/>
      <color rgb="FF00FFFF"/>
      <name val="Arial"/>
    </font>
    <font>
      <sz val="10.0"/>
      <color rgb="FF000000"/>
      <name val="Arial"/>
    </font>
    <font>
      <b/>
      <sz val="10.0"/>
      <color rgb="FF000000"/>
      <name val="Arial"/>
    </font>
    <font>
      <color rgb="FFFFFFFF"/>
      <name val="Arial"/>
      <scheme val="minor"/>
    </font>
    <font>
      <u/>
      <color rgb="FFFFFFFF"/>
    </font>
    <font>
      <color rgb="FFFFFFFF"/>
      <name val="Arial"/>
    </font>
    <font>
      <u/>
      <color rgb="FFFFFFFF"/>
    </font>
    <font>
      <sz val="10.0"/>
      <color rgb="FFFFFFFF"/>
      <name val="Arial"/>
      <scheme val="minor"/>
    </font>
    <font>
      <b/>
      <sz val="10.0"/>
      <color rgb="FFFFFFFF"/>
      <name val="Arial"/>
      <scheme val="minor"/>
    </font>
    <font>
      <b/>
      <sz val="10.0"/>
      <color rgb="FFFFFFFF"/>
      <name val="Ui-sans-serif"/>
    </font>
    <font>
      <sz val="10.0"/>
      <color rgb="FFFFFFFF"/>
      <name val="Inherit"/>
    </font>
    <font>
      <u/>
      <sz val="10.0"/>
      <color rgb="FFFFFFFF"/>
      <name val="Ui-sans-serif"/>
    </font>
    <font>
      <sz val="10.0"/>
      <color rgb="FFFFFFFF"/>
      <name val="Ui-sans-serif"/>
    </font>
    <font>
      <u/>
      <sz val="10.0"/>
      <color rgb="FFFFFFFF"/>
      <name val="Ui-sans-serif"/>
    </font>
    <font>
      <u/>
      <sz val="10.0"/>
      <color rgb="FFFFFFFF"/>
    </font>
    <font>
      <u/>
      <sz val="10.0"/>
      <color rgb="FFFFFFFF"/>
      <name val="Ui-sans-serif"/>
    </font>
    <font>
      <u/>
      <sz val="10.0"/>
      <color rgb="FFFFFFFF"/>
      <name val="Ui-sans-serif"/>
    </font>
    <font>
      <color theme="1"/>
      <name val="Arial"/>
    </font>
    <font>
      <u/>
      <color rgb="FF1155CC"/>
      <name val="Arial"/>
    </font>
    <font>
      <u/>
      <color rgb="FF0000FF"/>
      <name val="Arial"/>
    </font>
    <font>
      <u/>
      <color rgb="FF0000FF"/>
    </font>
    <font>
      <b/>
      <color rgb="FFFFFFFF"/>
      <name val="Arial"/>
      <scheme val="minor"/>
    </font>
    <font>
      <b/>
      <i/>
      <color theme="1"/>
      <name val="Arial"/>
      <scheme val="minor"/>
    </font>
    <font>
      <color theme="1"/>
      <name val="&quot;Work Sans&quot;"/>
    </font>
    <font>
      <sz val="11.0"/>
      <color rgb="FF212529"/>
      <name val="Roboto"/>
    </font>
    <font>
      <u/>
      <color rgb="FF0000FF"/>
    </font>
    <font>
      <sz val="20.0"/>
      <color rgb="FFFF0000"/>
      <name val="Arial"/>
      <scheme val="minor"/>
    </font>
    <font>
      <u/>
      <color rgb="FF0000FF"/>
    </font>
    <font>
      <b/>
      <color rgb="FF000000"/>
      <name val="Arial"/>
      <scheme val="minor"/>
    </font>
    <font>
      <color rgb="FF000000"/>
      <name val="&quot;Work Sans&quot;"/>
    </font>
    <font>
      <sz val="11.0"/>
      <color rgb="FF000000"/>
      <name val="Roboto"/>
    </font>
    <font>
      <color rgb="FFFED83A"/>
      <name val="Arial"/>
      <scheme val="minor"/>
    </font>
    <font>
      <u/>
      <color rgb="FF000000"/>
    </font>
    <font>
      <sz val="13.0"/>
      <color rgb="FF000000"/>
      <name val="Arial"/>
    </font>
    <font>
      <sz val="13.0"/>
      <color rgb="FF000000"/>
      <name val="&quot;FF Mark&quot;"/>
    </font>
    <font>
      <sz val="13.0"/>
      <color rgb="FF000000"/>
      <name val="&quot;FF Mark Narrow&quot;"/>
    </font>
    <font>
      <sz val="11.0"/>
      <color rgb="FF212529"/>
      <name val="&quot;Work Sans&quot;"/>
    </font>
    <font>
      <color rgb="FFE06666"/>
      <name val="Arial"/>
      <scheme val="minor"/>
    </font>
    <font>
      <color rgb="FF000000"/>
      <name val="Arial"/>
    </font>
    <font>
      <u/>
      <color rgb="FF0000FF"/>
    </font>
    <font>
      <color rgb="FF274E13"/>
      <name val="Arial"/>
      <scheme val="minor"/>
    </font>
    <font>
      <color rgb="FF95FF90"/>
      <name val="Arial"/>
      <scheme val="minor"/>
    </font>
    <font>
      <u/>
      <color rgb="FF0000FF"/>
    </font>
    <font>
      <color rgb="FF000000"/>
    </font>
  </fonts>
  <fills count="44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162C4C"/>
        <bgColor rgb="FF162C4C"/>
      </patternFill>
    </fill>
    <fill>
      <patternFill patternType="solid">
        <fgColor rgb="FF4A86E8"/>
        <bgColor rgb="FF4A86E8"/>
      </patternFill>
    </fill>
    <fill>
      <patternFill patternType="solid">
        <fgColor rgb="FFFFADFF"/>
        <bgColor rgb="FFFFADFF"/>
      </patternFill>
    </fill>
    <fill>
      <patternFill patternType="solid">
        <fgColor rgb="FF45CFFE"/>
        <bgColor rgb="FF45CFFE"/>
      </patternFill>
    </fill>
    <fill>
      <patternFill patternType="solid">
        <fgColor rgb="FF95FF90"/>
        <bgColor rgb="FF95FF90"/>
      </patternFill>
    </fill>
    <fill>
      <patternFill patternType="solid">
        <fgColor rgb="FF647AFE"/>
        <bgColor rgb="FF647AFE"/>
      </patternFill>
    </fill>
    <fill>
      <patternFill patternType="solid">
        <fgColor rgb="FFFF9901"/>
        <bgColor rgb="FFFF9901"/>
      </patternFill>
    </fill>
    <fill>
      <patternFill patternType="solid">
        <fgColor rgb="FFFD5756"/>
        <bgColor rgb="FFFD5756"/>
      </patternFill>
    </fill>
    <fill>
      <patternFill patternType="solid">
        <fgColor rgb="FFCC82FF"/>
        <bgColor rgb="FFCC82FF"/>
      </patternFill>
    </fill>
    <fill>
      <patternFill patternType="solid">
        <fgColor rgb="FFFFDD49"/>
        <bgColor rgb="FFFFDD49"/>
      </patternFill>
    </fill>
    <fill>
      <patternFill patternType="solid">
        <fgColor rgb="FFFFFEA8"/>
        <bgColor rgb="FFFFFEA8"/>
      </patternFill>
    </fill>
    <fill>
      <patternFill patternType="solid">
        <fgColor rgb="FF00FFFF"/>
        <bgColor rgb="FF00FFFF"/>
      </patternFill>
    </fill>
    <fill>
      <patternFill patternType="solid">
        <fgColor rgb="FFEA9999"/>
        <bgColor rgb="FFEA9999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F6F8F9"/>
        <bgColor rgb="FFF6F8F9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theme="4"/>
        <bgColor theme="4"/>
      </patternFill>
    </fill>
    <fill>
      <patternFill patternType="solid">
        <fgColor rgb="FFD1D4E2"/>
        <bgColor rgb="FFD1D4E2"/>
      </patternFill>
    </fill>
    <fill>
      <patternFill patternType="solid">
        <fgColor rgb="FFFF0000"/>
        <bgColor rgb="FFFF0000"/>
      </patternFill>
    </fill>
    <fill>
      <patternFill patternType="solid">
        <fgColor rgb="FFE06666"/>
        <bgColor rgb="FFE06666"/>
      </patternFill>
    </fill>
    <fill>
      <patternFill patternType="solid">
        <fgColor rgb="FFFED83A"/>
        <bgColor rgb="FFFED83A"/>
      </patternFill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6AA84F"/>
        <bgColor rgb="FF6AA84F"/>
      </patternFill>
    </fill>
    <fill>
      <patternFill patternType="solid">
        <fgColor rgb="FFCC0000"/>
        <bgColor rgb="FFCC0000"/>
      </patternFill>
    </fill>
    <fill>
      <patternFill patternType="solid">
        <fgColor theme="6"/>
        <bgColor theme="6"/>
      </patternFill>
    </fill>
    <fill>
      <patternFill patternType="solid">
        <fgColor rgb="FFB7B7B7"/>
        <bgColor rgb="FFB7B7B7"/>
      </patternFill>
    </fill>
    <fill>
      <patternFill patternType="solid">
        <fgColor rgb="FF34A853"/>
        <bgColor rgb="FF34A853"/>
      </patternFill>
    </fill>
    <fill>
      <patternFill patternType="solid">
        <fgColor rgb="FF0000FF"/>
        <bgColor rgb="FF0000FF"/>
      </patternFill>
    </fill>
    <fill>
      <patternFill patternType="solid">
        <fgColor rgb="FFE67C73"/>
        <bgColor rgb="FFE67C73"/>
      </patternFill>
    </fill>
    <fill>
      <patternFill patternType="solid">
        <fgColor rgb="FFF1C232"/>
        <bgColor rgb="FFF1C232"/>
      </patternFill>
    </fill>
    <fill>
      <patternFill patternType="solid">
        <fgColor rgb="FF212529"/>
        <bgColor rgb="FF212529"/>
      </patternFill>
    </fill>
    <fill>
      <patternFill patternType="solid">
        <fgColor rgb="FF93C47D"/>
        <bgColor rgb="FF93C47D"/>
      </patternFill>
    </fill>
    <fill>
      <patternFill patternType="solid">
        <fgColor rgb="FFFFD666"/>
        <bgColor rgb="FFFFD666"/>
      </patternFill>
    </fill>
    <fill>
      <patternFill patternType="solid">
        <fgColor rgb="FFBF9000"/>
        <bgColor rgb="FFBF9000"/>
      </patternFill>
    </fill>
    <fill>
      <patternFill patternType="solid">
        <fgColor theme="7"/>
        <bgColor theme="7"/>
      </patternFill>
    </fill>
    <fill>
      <patternFill patternType="solid">
        <fgColor rgb="FFFFF2CC"/>
        <bgColor rgb="FFFFF2CC"/>
      </patternFill>
    </fill>
    <fill>
      <patternFill patternType="solid">
        <fgColor rgb="FFCC4125"/>
        <bgColor rgb="FFCC4125"/>
      </patternFill>
    </fill>
    <fill>
      <patternFill patternType="solid">
        <fgColor rgb="FF741B47"/>
        <bgColor rgb="FF741B47"/>
      </patternFill>
    </fill>
  </fills>
  <borders count="2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FFFFFF"/>
      </bottom>
    </border>
    <border>
      <left style="thin">
        <color rgb="FFFFFFFF"/>
      </left>
      <bottom style="thin">
        <color rgb="FFFFFFFF"/>
      </bottom>
    </border>
    <border>
      <left style="thin">
        <color rgb="FFFFFFFF"/>
      </left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bottom style="thin">
        <color rgb="FF162C4C"/>
      </bottom>
    </border>
    <border>
      <left style="thin">
        <color rgb="FF000000"/>
      </left>
      <right style="thin">
        <color rgb="FF000000"/>
      </right>
      <top style="thin">
        <color rgb="FF12203B"/>
      </top>
      <bottom style="thin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000000"/>
      </left>
    </border>
    <border>
      <left style="thin">
        <color rgb="FF38416A"/>
      </left>
      <right style="thin">
        <color rgb="FF4A568D"/>
      </right>
      <top style="thin">
        <color rgb="FF38416A"/>
      </top>
      <bottom style="thin">
        <color rgb="FF38416A"/>
      </bottom>
    </border>
    <border>
      <left style="thin">
        <color rgb="FF4A568D"/>
      </left>
      <right style="thin">
        <color rgb="FF4A568D"/>
      </right>
      <top style="thin">
        <color rgb="FF38416A"/>
      </top>
      <bottom style="thin">
        <color rgb="FF38416A"/>
      </bottom>
    </border>
    <border>
      <left style="thin">
        <color rgb="FF4A568D"/>
      </left>
      <right style="thin">
        <color rgb="FF38416A"/>
      </right>
      <top style="thin">
        <color rgb="FF38416A"/>
      </top>
      <bottom style="thin">
        <color rgb="FF38416A"/>
      </bottom>
    </border>
    <border>
      <left style="thin">
        <color rgb="FF000000"/>
      </left>
      <right style="thin">
        <color rgb="FF38416A"/>
      </right>
      <top style="thin">
        <color rgb="FF000000"/>
      </top>
      <bottom style="thin">
        <color rgb="FF000000"/>
      </bottom>
    </border>
    <border>
      <left style="thin">
        <color rgb="FF38416A"/>
      </left>
      <right style="thin">
        <color rgb="FFD1D4E2"/>
      </right>
      <top style="double">
        <color rgb="FF38416A"/>
      </top>
      <bottom style="thin">
        <color rgb="FF38416A"/>
      </bottom>
    </border>
    <border>
      <left style="thin">
        <color rgb="FFD1D4E2"/>
      </left>
      <right style="thin">
        <color rgb="FFD1D4E2"/>
      </right>
      <top style="double">
        <color rgb="FF38416A"/>
      </top>
      <bottom style="thin">
        <color rgb="FF38416A"/>
      </bottom>
    </border>
    <border>
      <left style="thin">
        <color rgb="FFD1D4E2"/>
      </left>
      <right style="thin">
        <color rgb="FF38416A"/>
      </right>
      <top style="double">
        <color rgb="FF38416A"/>
      </top>
      <bottom style="thin">
        <color rgb="FF38416A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left style="thin">
        <color rgb="FF38416A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38416A"/>
      </right>
      <top style="thin">
        <color rgb="FFFFFFFF"/>
      </top>
      <bottom style="thin">
        <color rgb="FFFFFFFF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9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 shrinkToFit="0" vertical="top" wrapText="0"/>
    </xf>
    <xf borderId="1" fillId="0" fontId="3" numFmtId="0" xfId="0" applyAlignment="1" applyBorder="1" applyFont="1">
      <alignment horizontal="center" readingOrder="0" shrinkToFit="0" vertical="top" wrapText="0"/>
    </xf>
    <xf borderId="0" fillId="0" fontId="4" numFmtId="0" xfId="0" applyAlignment="1" applyFont="1">
      <alignment readingOrder="0" shrinkToFit="0" vertical="bottom" wrapText="0"/>
    </xf>
    <xf borderId="0" fillId="0" fontId="1" numFmtId="10" xfId="0" applyFont="1" applyNumberFormat="1"/>
    <xf borderId="0" fillId="0" fontId="5" numFmtId="10" xfId="0" applyFont="1" applyNumberFormat="1"/>
    <xf borderId="0" fillId="2" fontId="6" numFmtId="0" xfId="0" applyFill="1" applyFont="1"/>
    <xf borderId="2" fillId="2" fontId="6" numFmtId="0" xfId="0" applyAlignment="1" applyBorder="1" applyFont="1">
      <alignment readingOrder="0"/>
    </xf>
    <xf borderId="3" fillId="2" fontId="6" numFmtId="0" xfId="0" applyAlignment="1" applyBorder="1" applyFont="1">
      <alignment readingOrder="0"/>
    </xf>
    <xf borderId="0" fillId="2" fontId="1" numFmtId="0" xfId="0" applyFont="1"/>
    <xf borderId="0" fillId="2" fontId="7" numFmtId="0" xfId="0" applyAlignment="1" applyFont="1">
      <alignment readingOrder="0"/>
    </xf>
    <xf borderId="4" fillId="2" fontId="6" numFmtId="0" xfId="0" applyAlignment="1" applyBorder="1" applyFont="1">
      <alignment readingOrder="0"/>
    </xf>
    <xf borderId="0" fillId="2" fontId="6" numFmtId="0" xfId="0" applyAlignment="1" applyFont="1">
      <alignment readingOrder="0"/>
    </xf>
    <xf borderId="0" fillId="2" fontId="8" numFmtId="0" xfId="0" applyAlignment="1" applyFont="1">
      <alignment readingOrder="0"/>
    </xf>
    <xf borderId="5" fillId="2" fontId="6" numFmtId="0" xfId="0" applyBorder="1" applyFont="1"/>
    <xf borderId="6" fillId="2" fontId="6" numFmtId="0" xfId="0" applyBorder="1" applyFont="1"/>
    <xf borderId="3" fillId="2" fontId="6" numFmtId="0" xfId="0" applyBorder="1" applyFont="1"/>
    <xf borderId="0" fillId="2" fontId="9" numFmtId="0" xfId="0" applyAlignment="1" applyFont="1">
      <alignment readingOrder="0"/>
    </xf>
    <xf borderId="2" fillId="2" fontId="6" numFmtId="0" xfId="0" applyAlignment="1" applyBorder="1" applyFont="1">
      <alignment readingOrder="0"/>
    </xf>
    <xf borderId="0" fillId="2" fontId="10" numFmtId="0" xfId="0" applyFont="1"/>
    <xf borderId="0" fillId="2" fontId="6" numFmtId="0" xfId="0" applyAlignment="1" applyFont="1">
      <alignment readingOrder="0"/>
    </xf>
    <xf borderId="0" fillId="2" fontId="11" numFmtId="0" xfId="0" applyAlignment="1" applyFont="1">
      <alignment readingOrder="0" vertical="bottom"/>
    </xf>
    <xf borderId="0" fillId="2" fontId="12" numFmtId="0" xfId="0" applyAlignment="1" applyFont="1">
      <alignment horizontal="left" readingOrder="0" vertical="bottom"/>
    </xf>
    <xf borderId="0" fillId="2" fontId="13" numFmtId="0" xfId="0" applyAlignment="1" applyFont="1">
      <alignment horizontal="left" readingOrder="0"/>
    </xf>
    <xf borderId="7" fillId="3" fontId="14" numFmtId="0" xfId="0" applyAlignment="1" applyBorder="1" applyFill="1" applyFont="1">
      <alignment horizontal="left" readingOrder="0" vertical="bottom"/>
    </xf>
    <xf borderId="7" fillId="3" fontId="15" numFmtId="0" xfId="0" applyAlignment="1" applyBorder="1" applyFont="1">
      <alignment horizontal="left" readingOrder="0" vertical="bottom"/>
    </xf>
    <xf borderId="7" fillId="3" fontId="15" numFmtId="0" xfId="0" applyAlignment="1" applyBorder="1" applyFont="1">
      <alignment horizontal="right" readingOrder="0" vertical="bottom"/>
    </xf>
    <xf borderId="0" fillId="0" fontId="16" numFmtId="0" xfId="0" applyFont="1"/>
    <xf borderId="7" fillId="4" fontId="15" numFmtId="0" xfId="0" applyAlignment="1" applyBorder="1" applyFill="1" applyFont="1">
      <alignment horizontal="center" readingOrder="0" vertical="bottom"/>
    </xf>
    <xf borderId="0" fillId="4" fontId="15" numFmtId="0" xfId="0" applyAlignment="1" applyFont="1">
      <alignment horizontal="center"/>
    </xf>
    <xf borderId="0" fillId="0" fontId="17" numFmtId="0" xfId="0" applyAlignment="1" applyFont="1">
      <alignment shrinkToFit="0" vertical="bottom" wrapText="0"/>
    </xf>
    <xf borderId="0" fillId="0" fontId="17" numFmtId="0" xfId="0" applyAlignment="1" applyFont="1">
      <alignment readingOrder="0" shrinkToFit="0" vertical="bottom" wrapText="0"/>
    </xf>
    <xf borderId="0" fillId="0" fontId="18" numFmtId="0" xfId="0" applyAlignment="1" applyFont="1">
      <alignment readingOrder="0" shrinkToFit="0" vertical="bottom" wrapText="0"/>
    </xf>
    <xf borderId="0" fillId="0" fontId="17" numFmtId="0" xfId="0" applyAlignment="1" applyFont="1">
      <alignment horizontal="right" readingOrder="0" shrinkToFit="0" vertical="bottom" wrapText="0"/>
    </xf>
    <xf borderId="0" fillId="0" fontId="19" numFmtId="0" xfId="0" applyAlignment="1" applyFont="1">
      <alignment horizontal="right" readingOrder="0" shrinkToFit="0" vertical="bottom" wrapText="0"/>
    </xf>
    <xf borderId="0" fillId="2" fontId="15" numFmtId="0" xfId="0" applyAlignment="1" applyFont="1">
      <alignment horizontal="center" readingOrder="0" shrinkToFit="0" vertical="bottom" wrapText="0"/>
    </xf>
    <xf borderId="0" fillId="2" fontId="15" numFmtId="0" xfId="0" applyAlignment="1" applyFont="1">
      <alignment horizontal="center"/>
    </xf>
    <xf borderId="0" fillId="0" fontId="17" numFmtId="0" xfId="0" applyAlignment="1" applyFont="1">
      <alignment shrinkToFit="0" vertical="bottom" wrapText="0"/>
    </xf>
    <xf borderId="0" fillId="5" fontId="17" numFmtId="0" xfId="0" applyAlignment="1" applyFill="1" applyFont="1">
      <alignment shrinkToFit="0" vertical="bottom" wrapText="0"/>
    </xf>
    <xf borderId="0" fillId="6" fontId="17" numFmtId="0" xfId="0" applyAlignment="1" applyFill="1" applyFont="1">
      <alignment shrinkToFit="0" vertical="bottom" wrapText="0"/>
    </xf>
    <xf borderId="0" fillId="7" fontId="17" numFmtId="0" xfId="0" applyAlignment="1" applyFill="1" applyFont="1">
      <alignment shrinkToFit="0" vertical="bottom" wrapText="0"/>
    </xf>
    <xf borderId="0" fillId="8" fontId="17" numFmtId="0" xfId="0" applyAlignment="1" applyFill="1" applyFont="1">
      <alignment shrinkToFit="0" vertical="bottom" wrapText="0"/>
    </xf>
    <xf borderId="0" fillId="2" fontId="15" numFmtId="10" xfId="0" applyAlignment="1" applyFont="1" applyNumberFormat="1">
      <alignment horizontal="center" readingOrder="0"/>
    </xf>
    <xf borderId="0" fillId="9" fontId="17" numFmtId="0" xfId="0" applyAlignment="1" applyFill="1" applyFont="1">
      <alignment shrinkToFit="0" vertical="bottom" wrapText="0"/>
    </xf>
    <xf borderId="0" fillId="10" fontId="17" numFmtId="0" xfId="0" applyAlignment="1" applyFill="1" applyFont="1">
      <alignment shrinkToFit="0" vertical="bottom" wrapText="0"/>
    </xf>
    <xf borderId="0" fillId="0" fontId="20" numFmtId="0" xfId="0" applyAlignment="1" applyFont="1">
      <alignment readingOrder="0" shrinkToFit="0" vertical="bottom" wrapText="0"/>
    </xf>
    <xf borderId="0" fillId="0" fontId="21" numFmtId="0" xfId="0" applyAlignment="1" applyFont="1">
      <alignment readingOrder="0" shrinkToFit="0" vertical="bottom" wrapText="0"/>
    </xf>
    <xf borderId="0" fillId="0" fontId="20" numFmtId="0" xfId="0" applyAlignment="1" applyFont="1">
      <alignment horizontal="right" readingOrder="0" shrinkToFit="0" vertical="bottom" wrapText="0"/>
    </xf>
    <xf borderId="0" fillId="11" fontId="17" numFmtId="0" xfId="0" applyAlignment="1" applyFill="1" applyFont="1">
      <alignment shrinkToFit="0" vertical="bottom" wrapText="0"/>
    </xf>
    <xf borderId="0" fillId="12" fontId="17" numFmtId="0" xfId="0" applyAlignment="1" applyFill="1" applyFont="1">
      <alignment shrinkToFit="0" vertical="bottom" wrapText="0"/>
    </xf>
    <xf borderId="0" fillId="13" fontId="17" numFmtId="0" xfId="0" applyAlignment="1" applyFill="1" applyFont="1">
      <alignment shrinkToFit="0" vertical="bottom" wrapText="0"/>
    </xf>
    <xf borderId="0" fillId="14" fontId="22" numFmtId="0" xfId="0" applyAlignment="1" applyFill="1" applyFont="1">
      <alignment horizontal="center" shrinkToFit="0" vertical="bottom" wrapText="0"/>
    </xf>
    <xf borderId="0" fillId="0" fontId="23" numFmtId="0" xfId="0" applyAlignment="1" applyFont="1">
      <alignment horizontal="center" readingOrder="0" shrinkToFit="0" vertical="bottom" wrapText="0"/>
    </xf>
    <xf borderId="0" fillId="0" fontId="24" numFmtId="0" xfId="0" applyAlignment="1" applyFont="1">
      <alignment horizontal="left" readingOrder="0" shrinkToFit="0" vertical="bottom" wrapText="0"/>
    </xf>
    <xf borderId="0" fillId="0" fontId="23" numFmtId="0" xfId="0" applyAlignment="1" applyFont="1">
      <alignment horizontal="right" readingOrder="0" shrinkToFit="0" vertical="bottom" wrapText="0"/>
    </xf>
    <xf borderId="0" fillId="0" fontId="23" numFmtId="10" xfId="0" applyAlignment="1" applyFont="1" applyNumberFormat="1">
      <alignment horizontal="center" readingOrder="0" shrinkToFit="0" vertical="bottom" wrapText="0"/>
    </xf>
    <xf borderId="0" fillId="0" fontId="23" numFmtId="0" xfId="0" applyAlignment="1" applyFont="1">
      <alignment horizontal="center"/>
    </xf>
    <xf borderId="0" fillId="14" fontId="22" numFmtId="0" xfId="0" applyAlignment="1" applyFont="1">
      <alignment horizontal="center" vertical="bottom"/>
    </xf>
    <xf borderId="0" fillId="0" fontId="23" numFmtId="0" xfId="0" applyAlignment="1" applyFont="1">
      <alignment horizontal="center" shrinkToFit="0" vertical="bottom" wrapText="0"/>
    </xf>
    <xf borderId="0" fillId="0" fontId="23" numFmtId="10" xfId="0" applyAlignment="1" applyFont="1" applyNumberFormat="1">
      <alignment horizontal="right" readingOrder="0" shrinkToFit="0" vertical="bottom" wrapText="0"/>
    </xf>
    <xf borderId="0" fillId="0" fontId="17" numFmtId="0" xfId="0" applyFont="1"/>
    <xf borderId="0" fillId="0" fontId="17" numFmtId="0" xfId="0" applyAlignment="1" applyFont="1">
      <alignment horizontal="right"/>
    </xf>
    <xf borderId="0" fillId="0" fontId="23" numFmtId="0" xfId="0" applyAlignment="1" applyFont="1">
      <alignment horizontal="center" shrinkToFit="0" vertical="bottom" wrapText="0"/>
    </xf>
    <xf borderId="0" fillId="0" fontId="23" numFmtId="0" xfId="0" applyAlignment="1" applyFont="1">
      <alignment horizontal="center" vertical="bottom"/>
    </xf>
    <xf borderId="0" fillId="0" fontId="23" numFmtId="0" xfId="0" applyAlignment="1" applyFont="1">
      <alignment horizontal="center" vertical="bottom"/>
    </xf>
    <xf borderId="0" fillId="0" fontId="23" numFmtId="0" xfId="0" applyAlignment="1" applyFont="1">
      <alignment horizontal="center" readingOrder="0" vertical="bottom"/>
    </xf>
    <xf borderId="0" fillId="0" fontId="23" numFmtId="0" xfId="0" applyAlignment="1" applyFont="1">
      <alignment horizontal="left" vertical="bottom"/>
    </xf>
    <xf borderId="0" fillId="0" fontId="23" numFmtId="0" xfId="0" applyAlignment="1" applyFont="1">
      <alignment horizontal="right" vertical="bottom"/>
    </xf>
    <xf borderId="0" fillId="0" fontId="23" numFmtId="0" xfId="0" applyAlignment="1" applyFont="1">
      <alignment horizontal="left" readingOrder="0" vertical="bottom"/>
    </xf>
    <xf borderId="0" fillId="0" fontId="23" numFmtId="0" xfId="0" applyAlignment="1" applyFont="1">
      <alignment horizontal="left"/>
    </xf>
    <xf borderId="0" fillId="0" fontId="23" numFmtId="0" xfId="0" applyAlignment="1" applyFont="1">
      <alignment horizontal="right"/>
    </xf>
    <xf borderId="8" fillId="0" fontId="23" numFmtId="0" xfId="0" applyAlignment="1" applyBorder="1" applyFont="1">
      <alignment horizontal="center" readingOrder="0" vertical="bottom"/>
    </xf>
    <xf borderId="0" fillId="2" fontId="25" numFmtId="0" xfId="0" applyFont="1"/>
    <xf borderId="0" fillId="2" fontId="25" numFmtId="14" xfId="0" applyFont="1" applyNumberFormat="1"/>
    <xf borderId="0" fillId="2" fontId="25" numFmtId="0" xfId="0" applyAlignment="1" applyFont="1">
      <alignment readingOrder="0"/>
    </xf>
    <xf borderId="9" fillId="4" fontId="25" numFmtId="0" xfId="0" applyBorder="1" applyFont="1"/>
    <xf borderId="9" fillId="4" fontId="25" numFmtId="0" xfId="0" applyAlignment="1" applyBorder="1" applyFont="1">
      <alignment readingOrder="0"/>
    </xf>
    <xf borderId="9" fillId="4" fontId="25" numFmtId="0" xfId="0" applyAlignment="1" applyBorder="1" applyFont="1">
      <alignment horizontal="center" readingOrder="0"/>
    </xf>
    <xf borderId="9" fillId="4" fontId="25" numFmtId="49" xfId="0" applyBorder="1" applyFont="1" applyNumberFormat="1"/>
    <xf borderId="9" fillId="2" fontId="25" numFmtId="0" xfId="0" applyAlignment="1" applyBorder="1" applyFont="1">
      <alignment readingOrder="0"/>
    </xf>
    <xf borderId="9" fillId="2" fontId="25" numFmtId="10" xfId="0" applyBorder="1" applyFont="1" applyNumberFormat="1"/>
    <xf borderId="9" fillId="2" fontId="25" numFmtId="4" xfId="0" applyBorder="1" applyFont="1" applyNumberFormat="1"/>
    <xf borderId="9" fillId="2" fontId="25" numFmtId="164" xfId="0" applyBorder="1" applyFont="1" applyNumberFormat="1"/>
    <xf borderId="9" fillId="2" fontId="25" numFmtId="0" xfId="0" applyBorder="1" applyFont="1"/>
    <xf borderId="9" fillId="2" fontId="25" numFmtId="9" xfId="0" applyBorder="1" applyFont="1" applyNumberFormat="1"/>
    <xf borderId="9" fillId="2" fontId="26" numFmtId="0" xfId="0" applyBorder="1" applyFont="1"/>
    <xf borderId="9" fillId="2" fontId="25" numFmtId="2" xfId="0" applyBorder="1" applyFont="1" applyNumberFormat="1"/>
    <xf borderId="9" fillId="2" fontId="25" numFmtId="0" xfId="0" applyBorder="1" applyFont="1"/>
    <xf borderId="9" fillId="2" fontId="25" numFmtId="3" xfId="0" applyBorder="1" applyFont="1" applyNumberFormat="1"/>
    <xf borderId="9" fillId="2" fontId="25" numFmtId="0" xfId="0" applyAlignment="1" applyBorder="1" applyFont="1">
      <alignment horizontal="right"/>
    </xf>
    <xf borderId="10" fillId="2" fontId="25" numFmtId="0" xfId="0" applyBorder="1" applyFont="1"/>
    <xf borderId="9" fillId="2" fontId="25" numFmtId="0" xfId="0" applyAlignment="1" applyBorder="1" applyFont="1">
      <alignment readingOrder="0"/>
    </xf>
    <xf borderId="0" fillId="2" fontId="25" numFmtId="10" xfId="0" applyFont="1" applyNumberFormat="1"/>
    <xf borderId="0" fillId="2" fontId="25" numFmtId="2" xfId="0" applyFont="1" applyNumberFormat="1"/>
    <xf borderId="0" fillId="2" fontId="25" numFmtId="0" xfId="0" applyFont="1"/>
    <xf borderId="0" fillId="2" fontId="25" numFmtId="4" xfId="0" applyFont="1" applyNumberFormat="1"/>
    <xf borderId="0" fillId="2" fontId="25" numFmtId="164" xfId="0" applyFont="1" applyNumberFormat="1"/>
    <xf borderId="0" fillId="2" fontId="25" numFmtId="3" xfId="0" applyFont="1" applyNumberFormat="1"/>
    <xf borderId="9" fillId="2" fontId="27" numFmtId="10" xfId="0" applyAlignment="1" applyBorder="1" applyFont="1" applyNumberFormat="1">
      <alignment horizontal="right" vertical="bottom"/>
    </xf>
    <xf borderId="9" fillId="2" fontId="27" numFmtId="4" xfId="0" applyAlignment="1" applyBorder="1" applyFont="1" applyNumberFormat="1">
      <alignment horizontal="right" vertical="bottom"/>
    </xf>
    <xf borderId="9" fillId="2" fontId="27" numFmtId="164" xfId="0" applyAlignment="1" applyBorder="1" applyFont="1" applyNumberFormat="1">
      <alignment horizontal="right" vertical="bottom"/>
    </xf>
    <xf borderId="9" fillId="2" fontId="27" numFmtId="0" xfId="0" applyAlignment="1" applyBorder="1" applyFont="1">
      <alignment horizontal="right" vertical="bottom"/>
    </xf>
    <xf borderId="0" fillId="2" fontId="28" numFmtId="0" xfId="0" applyFont="1"/>
    <xf borderId="0" fillId="2" fontId="29" numFmtId="0" xfId="0" applyAlignment="1" applyFont="1">
      <alignment horizontal="center"/>
    </xf>
    <xf borderId="0" fillId="2" fontId="29" numFmtId="164" xfId="0" applyAlignment="1" applyFont="1" applyNumberFormat="1">
      <alignment horizontal="center"/>
    </xf>
    <xf borderId="0" fillId="2" fontId="29" numFmtId="4" xfId="0" applyAlignment="1" applyFont="1" applyNumberFormat="1">
      <alignment horizontal="center"/>
    </xf>
    <xf borderId="9" fillId="4" fontId="30" numFmtId="0" xfId="0" applyAlignment="1" applyBorder="1" applyFont="1">
      <alignment horizontal="center" readingOrder="0"/>
    </xf>
    <xf borderId="9" fillId="4" fontId="29" numFmtId="0" xfId="0" applyAlignment="1" applyBorder="1" applyFont="1">
      <alignment horizontal="center" readingOrder="0"/>
    </xf>
    <xf borderId="0" fillId="2" fontId="29" numFmtId="0" xfId="0" applyAlignment="1" applyFont="1">
      <alignment horizontal="center" readingOrder="0"/>
    </xf>
    <xf borderId="9" fillId="2" fontId="29" numFmtId="0" xfId="0" applyAlignment="1" applyBorder="1" applyFont="1">
      <alignment horizontal="center" readingOrder="0"/>
    </xf>
    <xf borderId="9" fillId="2" fontId="29" numFmtId="10" xfId="0" applyAlignment="1" applyBorder="1" applyFont="1" applyNumberFormat="1">
      <alignment horizontal="center"/>
    </xf>
    <xf borderId="9" fillId="2" fontId="29" numFmtId="4" xfId="0" applyAlignment="1" applyBorder="1" applyFont="1" applyNumberFormat="1">
      <alignment horizontal="center"/>
    </xf>
    <xf borderId="9" fillId="2" fontId="29" numFmtId="165" xfId="0" applyAlignment="1" applyBorder="1" applyFont="1" applyNumberFormat="1">
      <alignment horizontal="center"/>
    </xf>
    <xf borderId="9" fillId="2" fontId="29" numFmtId="9" xfId="0" applyAlignment="1" applyBorder="1" applyFont="1" applyNumberFormat="1">
      <alignment horizontal="center"/>
    </xf>
    <xf borderId="11" fillId="2" fontId="30" numFmtId="0" xfId="0" applyAlignment="1" applyBorder="1" applyFont="1">
      <alignment horizontal="center" readingOrder="0"/>
    </xf>
    <xf borderId="11" fillId="2" fontId="29" numFmtId="0" xfId="0" applyAlignment="1" applyBorder="1" applyFont="1">
      <alignment horizontal="center"/>
    </xf>
    <xf borderId="0" fillId="2" fontId="29" numFmtId="14" xfId="0" applyAlignment="1" applyFont="1" applyNumberFormat="1">
      <alignment horizontal="center"/>
    </xf>
    <xf borderId="9" fillId="2" fontId="29" numFmtId="166" xfId="0" applyAlignment="1" applyBorder="1" applyFont="1" applyNumberFormat="1">
      <alignment horizontal="center"/>
    </xf>
    <xf borderId="0" fillId="2" fontId="31" numFmtId="0" xfId="0" applyAlignment="1" applyFont="1">
      <alignment horizontal="center" readingOrder="0"/>
    </xf>
    <xf borderId="9" fillId="4" fontId="31" numFmtId="0" xfId="0" applyAlignment="1" applyBorder="1" applyFont="1">
      <alignment horizontal="center" readingOrder="0"/>
    </xf>
    <xf borderId="9" fillId="4" fontId="31" numFmtId="164" xfId="0" applyAlignment="1" applyBorder="1" applyFont="1" applyNumberFormat="1">
      <alignment horizontal="center" readingOrder="0"/>
    </xf>
    <xf borderId="9" fillId="4" fontId="31" numFmtId="4" xfId="0" applyAlignment="1" applyBorder="1" applyFont="1" applyNumberFormat="1">
      <alignment horizontal="center" readingOrder="0"/>
    </xf>
    <xf borderId="0" fillId="2" fontId="32" numFmtId="0" xfId="0" applyAlignment="1" applyFont="1">
      <alignment horizontal="center" readingOrder="0"/>
    </xf>
    <xf borderId="9" fillId="2" fontId="32" numFmtId="0" xfId="0" applyAlignment="1" applyBorder="1" applyFont="1">
      <alignment horizontal="center" readingOrder="0"/>
    </xf>
    <xf borderId="9" fillId="2" fontId="32" numFmtId="164" xfId="0" applyAlignment="1" applyBorder="1" applyFont="1" applyNumberFormat="1">
      <alignment horizontal="center" readingOrder="0"/>
    </xf>
    <xf borderId="9" fillId="2" fontId="29" numFmtId="0" xfId="0" applyAlignment="1" applyBorder="1" applyFont="1">
      <alignment horizontal="center"/>
    </xf>
    <xf borderId="9" fillId="2" fontId="33" numFmtId="3" xfId="0" applyAlignment="1" applyBorder="1" applyFont="1" applyNumberFormat="1">
      <alignment horizontal="center" readingOrder="0"/>
    </xf>
    <xf borderId="9" fillId="2" fontId="34" numFmtId="164" xfId="0" applyAlignment="1" applyBorder="1" applyFont="1" applyNumberFormat="1">
      <alignment horizontal="center" readingOrder="0"/>
    </xf>
    <xf borderId="9" fillId="2" fontId="34" numFmtId="4" xfId="0" applyAlignment="1" applyBorder="1" applyFont="1" applyNumberFormat="1">
      <alignment horizontal="center" readingOrder="0"/>
    </xf>
    <xf borderId="9" fillId="2" fontId="34" numFmtId="10" xfId="0" applyAlignment="1" applyBorder="1" applyFont="1" applyNumberFormat="1">
      <alignment horizontal="center" readingOrder="0"/>
    </xf>
    <xf borderId="0" fillId="2" fontId="34" numFmtId="167" xfId="0" applyAlignment="1" applyFont="1" applyNumberFormat="1">
      <alignment horizontal="center" readingOrder="0"/>
    </xf>
    <xf borderId="0" fillId="2" fontId="34" numFmtId="3" xfId="0" applyAlignment="1" applyFont="1" applyNumberFormat="1">
      <alignment horizontal="center" readingOrder="0"/>
    </xf>
    <xf borderId="0" fillId="2" fontId="34" numFmtId="0" xfId="0" applyAlignment="1" applyFont="1">
      <alignment horizontal="center" readingOrder="0"/>
    </xf>
    <xf borderId="9" fillId="2" fontId="35" numFmtId="0" xfId="0" applyAlignment="1" applyBorder="1" applyFont="1">
      <alignment horizontal="center" readingOrder="0"/>
    </xf>
    <xf borderId="9" fillId="2" fontId="34" numFmtId="3" xfId="0" applyAlignment="1" applyBorder="1" applyFont="1" applyNumberFormat="1">
      <alignment horizontal="center" readingOrder="0"/>
    </xf>
    <xf borderId="9" fillId="2" fontId="29" numFmtId="167" xfId="0" applyAlignment="1" applyBorder="1" applyFont="1" applyNumberFormat="1">
      <alignment horizontal="center"/>
    </xf>
    <xf borderId="0" fillId="2" fontId="36" numFmtId="0" xfId="0" applyAlignment="1" applyFont="1">
      <alignment horizontal="center"/>
    </xf>
    <xf borderId="0" fillId="2" fontId="29" numFmtId="10" xfId="0" applyAlignment="1" applyFont="1" applyNumberFormat="1">
      <alignment horizontal="center"/>
    </xf>
    <xf borderId="0" fillId="2" fontId="29" numFmtId="168" xfId="0" applyAlignment="1" applyFont="1" applyNumberFormat="1">
      <alignment horizontal="center"/>
    </xf>
    <xf borderId="0" fillId="2" fontId="29" numFmtId="167" xfId="0" applyAlignment="1" applyFont="1" applyNumberFormat="1">
      <alignment horizontal="center"/>
    </xf>
    <xf borderId="0" fillId="2" fontId="29" numFmtId="2" xfId="0" applyAlignment="1" applyFont="1" applyNumberFormat="1">
      <alignment horizontal="center"/>
    </xf>
    <xf borderId="10" fillId="2" fontId="29" numFmtId="0" xfId="0" applyAlignment="1" applyBorder="1" applyFont="1">
      <alignment horizontal="center"/>
    </xf>
    <xf borderId="10" fillId="2" fontId="29" numFmtId="166" xfId="0" applyAlignment="1" applyBorder="1" applyFont="1" applyNumberFormat="1">
      <alignment horizontal="center"/>
    </xf>
    <xf borderId="10" fillId="2" fontId="29" numFmtId="4" xfId="0" applyAlignment="1" applyBorder="1" applyFont="1" applyNumberFormat="1">
      <alignment horizontal="center"/>
    </xf>
    <xf borderId="0" fillId="2" fontId="29" numFmtId="167" xfId="0" applyAlignment="1" applyFont="1" applyNumberFormat="1">
      <alignment horizontal="center"/>
    </xf>
    <xf borderId="9" fillId="2" fontId="34" numFmtId="0" xfId="0" applyAlignment="1" applyBorder="1" applyFont="1">
      <alignment horizontal="center" readingOrder="0"/>
    </xf>
    <xf borderId="12" fillId="2" fontId="29" numFmtId="10" xfId="0" applyAlignment="1" applyBorder="1" applyFont="1" applyNumberFormat="1">
      <alignment horizontal="center"/>
    </xf>
    <xf borderId="12" fillId="2" fontId="29" numFmtId="4" xfId="0" applyAlignment="1" applyBorder="1" applyFont="1" applyNumberFormat="1">
      <alignment horizontal="center"/>
    </xf>
    <xf borderId="12" fillId="2" fontId="29" numFmtId="2" xfId="0" applyAlignment="1" applyBorder="1" applyFont="1" applyNumberFormat="1">
      <alignment horizontal="center"/>
    </xf>
    <xf borderId="0" fillId="2" fontId="34" numFmtId="164" xfId="0" applyAlignment="1" applyFont="1" applyNumberFormat="1">
      <alignment horizontal="center" readingOrder="0"/>
    </xf>
    <xf borderId="12" fillId="2" fontId="37" numFmtId="3" xfId="0" applyAlignment="1" applyBorder="1" applyFont="1" applyNumberFormat="1">
      <alignment horizontal="center" readingOrder="0"/>
    </xf>
    <xf borderId="12" fillId="2" fontId="34" numFmtId="164" xfId="0" applyAlignment="1" applyBorder="1" applyFont="1" applyNumberFormat="1">
      <alignment horizontal="center" readingOrder="0"/>
    </xf>
    <xf borderId="12" fillId="2" fontId="34" numFmtId="4" xfId="0" applyAlignment="1" applyBorder="1" applyFont="1" applyNumberFormat="1">
      <alignment horizontal="center" readingOrder="0"/>
    </xf>
    <xf borderId="12" fillId="2" fontId="34" numFmtId="10" xfId="0" applyAlignment="1" applyBorder="1" applyFont="1" applyNumberFormat="1">
      <alignment horizontal="center" readingOrder="0"/>
    </xf>
    <xf borderId="1" fillId="2" fontId="38" numFmtId="0" xfId="0" applyAlignment="1" applyBorder="1" applyFont="1">
      <alignment horizontal="center" readingOrder="0"/>
    </xf>
    <xf borderId="1" fillId="2" fontId="34" numFmtId="164" xfId="0" applyAlignment="1" applyBorder="1" applyFont="1" applyNumberFormat="1">
      <alignment horizontal="center" readingOrder="0"/>
    </xf>
    <xf borderId="1" fillId="2" fontId="34" numFmtId="4" xfId="0" applyAlignment="1" applyBorder="1" applyFont="1" applyNumberFormat="1">
      <alignment horizontal="center" readingOrder="0"/>
    </xf>
    <xf borderId="1" fillId="2" fontId="34" numFmtId="10" xfId="0" applyAlignment="1" applyBorder="1" applyFont="1" applyNumberFormat="1">
      <alignment horizontal="center" readingOrder="0"/>
    </xf>
    <xf borderId="0" fillId="2" fontId="34" numFmtId="10" xfId="0" applyAlignment="1" applyFont="1" applyNumberFormat="1">
      <alignment horizontal="center" readingOrder="0"/>
    </xf>
    <xf borderId="0" fillId="2" fontId="34" numFmtId="4" xfId="0" applyAlignment="1" applyFont="1" applyNumberFormat="1">
      <alignment horizontal="center" readingOrder="0"/>
    </xf>
    <xf borderId="0" fillId="2" fontId="0" numFmtId="0" xfId="0" applyFont="1"/>
    <xf borderId="9" fillId="4" fontId="34" numFmtId="3" xfId="0" applyAlignment="1" applyBorder="1" applyFont="1" applyNumberFormat="1">
      <alignment horizontal="center" readingOrder="0"/>
    </xf>
    <xf borderId="9" fillId="4" fontId="34" numFmtId="164" xfId="0" applyAlignment="1" applyBorder="1" applyFont="1" applyNumberFormat="1">
      <alignment horizontal="center" readingOrder="0"/>
    </xf>
    <xf borderId="9" fillId="4" fontId="34" numFmtId="4" xfId="0" applyAlignment="1" applyBorder="1" applyFont="1" applyNumberFormat="1">
      <alignment horizontal="center" readingOrder="0"/>
    </xf>
    <xf borderId="9" fillId="4" fontId="34" numFmtId="10" xfId="0" applyAlignment="1" applyBorder="1" applyFont="1" applyNumberFormat="1">
      <alignment horizontal="center" readingOrder="0"/>
    </xf>
    <xf borderId="9" fillId="4" fontId="34" numFmtId="0" xfId="0" applyAlignment="1" applyBorder="1" applyFont="1">
      <alignment horizontal="center" readingOrder="0"/>
    </xf>
    <xf borderId="0" fillId="2" fontId="29" numFmtId="4" xfId="0" applyFont="1" applyNumberFormat="1"/>
    <xf borderId="0" fillId="2" fontId="34" numFmtId="169" xfId="0" applyAlignment="1" applyFont="1" applyNumberFormat="1">
      <alignment horizontal="center" readingOrder="0"/>
    </xf>
    <xf borderId="0" fillId="2" fontId="34" numFmtId="170" xfId="0" applyAlignment="1" applyFont="1" applyNumberFormat="1">
      <alignment horizontal="center" readingOrder="0"/>
    </xf>
    <xf borderId="0" fillId="0" fontId="39" numFmtId="0" xfId="0" applyAlignment="1" applyFont="1">
      <alignment horizontal="center" vertical="bottom"/>
    </xf>
    <xf borderId="13" fillId="0" fontId="39" numFmtId="0" xfId="0" applyAlignment="1" applyBorder="1" applyFont="1">
      <alignment horizontal="center" vertical="bottom"/>
    </xf>
    <xf borderId="0" fillId="0" fontId="39" numFmtId="0" xfId="0" applyAlignment="1" applyFont="1">
      <alignment vertical="bottom"/>
    </xf>
    <xf borderId="13" fillId="15" fontId="39" numFmtId="0" xfId="0" applyAlignment="1" applyBorder="1" applyFill="1" applyFont="1">
      <alignment horizontal="center" vertical="bottom"/>
    </xf>
    <xf borderId="0" fillId="15" fontId="39" numFmtId="0" xfId="0" applyAlignment="1" applyFont="1">
      <alignment horizontal="center" vertical="bottom"/>
    </xf>
    <xf borderId="0" fillId="15" fontId="39" numFmtId="3" xfId="0" applyAlignment="1" applyFont="1" applyNumberFormat="1">
      <alignment horizontal="center" vertical="bottom"/>
    </xf>
    <xf borderId="13" fillId="0" fontId="40" numFmtId="0" xfId="0" applyAlignment="1" applyBorder="1" applyFont="1">
      <alignment vertical="bottom"/>
    </xf>
    <xf borderId="13" fillId="16" fontId="39" numFmtId="0" xfId="0" applyAlignment="1" applyBorder="1" applyFill="1" applyFont="1">
      <alignment horizontal="center" readingOrder="0" vertical="bottom"/>
    </xf>
    <xf borderId="0" fillId="16" fontId="39" numFmtId="0" xfId="0" applyAlignment="1" applyFont="1">
      <alignment horizontal="center" vertical="bottom"/>
    </xf>
    <xf borderId="0" fillId="16" fontId="39" numFmtId="0" xfId="0" applyAlignment="1" applyFont="1">
      <alignment horizontal="center" readingOrder="0" vertical="bottom"/>
    </xf>
    <xf borderId="0" fillId="16" fontId="39" numFmtId="3" xfId="0" applyAlignment="1" applyFont="1" applyNumberFormat="1">
      <alignment horizontal="center" vertical="bottom"/>
    </xf>
    <xf borderId="0" fillId="16" fontId="39" numFmtId="0" xfId="0" applyAlignment="1" applyFont="1">
      <alignment vertical="bottom"/>
    </xf>
    <xf borderId="13" fillId="0" fontId="39" numFmtId="0" xfId="0" applyAlignment="1" applyBorder="1" applyFont="1">
      <alignment vertical="bottom"/>
    </xf>
    <xf borderId="0" fillId="0" fontId="39" numFmtId="1" xfId="0" applyAlignment="1" applyFont="1" applyNumberFormat="1">
      <alignment horizontal="center" vertical="bottom"/>
    </xf>
    <xf borderId="13" fillId="0" fontId="39" numFmtId="0" xfId="0" applyAlignment="1" applyBorder="1" applyFont="1">
      <alignment readingOrder="0" vertical="bottom"/>
    </xf>
    <xf borderId="0" fillId="0" fontId="39" numFmtId="3" xfId="0" applyAlignment="1" applyFont="1" applyNumberFormat="1">
      <alignment vertical="bottom"/>
    </xf>
    <xf borderId="13" fillId="17" fontId="39" numFmtId="0" xfId="0" applyAlignment="1" applyBorder="1" applyFill="1" applyFont="1">
      <alignment readingOrder="0" vertical="bottom"/>
    </xf>
    <xf borderId="13" fillId="0" fontId="41" numFmtId="0" xfId="0" applyAlignment="1" applyBorder="1" applyFont="1">
      <alignment readingOrder="0" vertical="bottom"/>
    </xf>
    <xf borderId="0" fillId="0" fontId="42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0" fontId="1" numFmtId="171" xfId="0" applyAlignment="1" applyFont="1" applyNumberFormat="1">
      <alignment horizontal="center" readingOrder="0"/>
    </xf>
    <xf borderId="0" fillId="0" fontId="1" numFmtId="14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18" fontId="1" numFmtId="0" xfId="0" applyAlignment="1" applyFill="1" applyFont="1">
      <alignment horizontal="center"/>
    </xf>
    <xf borderId="0" fillId="2" fontId="43" numFmtId="0" xfId="0" applyAlignment="1" applyFont="1">
      <alignment readingOrder="0"/>
    </xf>
    <xf borderId="0" fillId="2" fontId="43" numFmtId="0" xfId="0" applyFont="1"/>
    <xf borderId="0" fillId="18" fontId="1" numFmtId="0" xfId="0" applyFont="1"/>
    <xf borderId="0" fillId="0" fontId="1" numFmtId="0" xfId="0" applyFont="1"/>
    <xf borderId="0" fillId="0" fontId="5" numFmtId="165" xfId="0" applyFont="1" applyNumberFormat="1"/>
    <xf borderId="0" fillId="0" fontId="5" numFmtId="10" xfId="0" applyFont="1" applyNumberFormat="1"/>
    <xf borderId="0" fillId="18" fontId="4" numFmtId="0" xfId="0" applyAlignment="1" applyFont="1">
      <alignment readingOrder="0" shrinkToFit="0" vertical="bottom" wrapText="0"/>
    </xf>
    <xf borderId="0" fillId="18" fontId="1" numFmtId="10" xfId="0" applyFont="1" applyNumberFormat="1"/>
    <xf borderId="0" fillId="18" fontId="10" numFmtId="0" xfId="0" applyFont="1"/>
    <xf borderId="0" fillId="0" fontId="5" numFmtId="0" xfId="0" applyFont="1"/>
    <xf borderId="0" fillId="0" fontId="4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5" numFmtId="165" xfId="0" applyAlignment="1" applyFont="1" applyNumberFormat="1">
      <alignment readingOrder="0"/>
    </xf>
    <xf borderId="0" fillId="0" fontId="5" numFmtId="10" xfId="0" applyAlignment="1" applyFont="1" applyNumberFormat="1">
      <alignment readingOrder="0"/>
    </xf>
    <xf borderId="0" fillId="19" fontId="45" numFmtId="0" xfId="0" applyAlignment="1" applyFill="1" applyFont="1">
      <alignment readingOrder="0"/>
    </xf>
    <xf borderId="1" fillId="19" fontId="46" numFmtId="0" xfId="0" applyAlignment="1" applyBorder="1" applyFont="1">
      <alignment readingOrder="0" vertical="bottom"/>
    </xf>
    <xf borderId="1" fillId="19" fontId="46" numFmtId="0" xfId="0" applyAlignment="1" applyBorder="1" applyFont="1">
      <alignment horizontal="right" readingOrder="0" vertical="bottom"/>
    </xf>
    <xf borderId="0" fillId="19" fontId="46" numFmtId="0" xfId="0" applyAlignment="1" applyFont="1">
      <alignment readingOrder="0" vertical="bottom"/>
    </xf>
    <xf borderId="0" fillId="19" fontId="46" numFmtId="0" xfId="0" applyAlignment="1" applyFont="1">
      <alignment horizontal="right" readingOrder="0" vertical="bottom"/>
    </xf>
    <xf borderId="0" fillId="20" fontId="1" numFmtId="0" xfId="0" applyFill="1" applyFont="1"/>
    <xf borderId="1" fillId="19" fontId="46" numFmtId="0" xfId="0" applyAlignment="1" applyBorder="1" applyFont="1">
      <alignment readingOrder="0"/>
    </xf>
    <xf borderId="1" fillId="19" fontId="46" numFmtId="10" xfId="0" applyAlignment="1" applyBorder="1" applyFont="1" applyNumberFormat="1">
      <alignment horizontal="right" readingOrder="0"/>
    </xf>
    <xf borderId="0" fillId="19" fontId="46" numFmtId="0" xfId="0" applyAlignment="1" applyFont="1">
      <alignment readingOrder="0"/>
    </xf>
    <xf borderId="0" fillId="19" fontId="46" numFmtId="0" xfId="0" applyAlignment="1" applyFont="1">
      <alignment horizontal="right" readingOrder="0"/>
    </xf>
    <xf borderId="0" fillId="21" fontId="1" numFmtId="0" xfId="0" applyFill="1" applyFont="1"/>
    <xf borderId="0" fillId="19" fontId="46" numFmtId="10" xfId="0" applyAlignment="1" applyFont="1" applyNumberFormat="1">
      <alignment horizontal="right" readingOrder="0"/>
    </xf>
    <xf borderId="14" fillId="0" fontId="1" numFmtId="0" xfId="0" applyAlignment="1" applyBorder="1" applyFont="1">
      <alignment horizontal="left" readingOrder="0" shrinkToFit="0" vertical="center" wrapText="0"/>
    </xf>
    <xf borderId="15" fillId="0" fontId="1" numFmtId="0" xfId="0" applyAlignment="1" applyBorder="1" applyFont="1">
      <alignment horizontal="center" readingOrder="0" shrinkToFit="0" vertical="center" wrapText="0"/>
    </xf>
    <xf borderId="15" fillId="0" fontId="1" numFmtId="0" xfId="0" applyAlignment="1" applyBorder="1" applyFont="1">
      <alignment horizontal="left" readingOrder="0" shrinkToFit="0" vertical="center" wrapText="0"/>
    </xf>
    <xf borderId="16" fillId="0" fontId="1" numFmtId="0" xfId="0" applyAlignment="1" applyBorder="1" applyFont="1">
      <alignment horizontal="center" readingOrder="0" shrinkToFit="0" vertical="center" wrapText="0"/>
    </xf>
    <xf borderId="1" fillId="19" fontId="46" numFmtId="0" xfId="0" applyAlignment="1" applyBorder="1" applyFont="1">
      <alignment readingOrder="0" shrinkToFit="0" vertical="center" wrapText="0"/>
    </xf>
    <xf borderId="1" fillId="0" fontId="1" numFmtId="10" xfId="0" applyAlignment="1" applyBorder="1" applyFont="1" applyNumberFormat="1">
      <alignment shrinkToFit="0" vertical="center" wrapText="0"/>
    </xf>
    <xf borderId="1" fillId="0" fontId="1" numFmtId="165" xfId="0" applyAlignment="1" applyBorder="1" applyFont="1" applyNumberFormat="1">
      <alignment readingOrder="0" shrinkToFit="0" vertical="center" wrapText="0"/>
    </xf>
    <xf borderId="17" fillId="0" fontId="5" numFmtId="10" xfId="0" applyAlignment="1" applyBorder="1" applyFont="1" applyNumberFormat="1">
      <alignment horizontal="right" shrinkToFit="0" vertical="center" wrapText="0"/>
    </xf>
    <xf borderId="18" fillId="22" fontId="1" numFmtId="0" xfId="0" applyAlignment="1" applyBorder="1" applyFill="1" applyFont="1">
      <alignment readingOrder="0" shrinkToFit="0" vertical="center" wrapText="0"/>
    </xf>
    <xf borderId="19" fillId="22" fontId="1" numFmtId="165" xfId="0" applyAlignment="1" applyBorder="1" applyFont="1" applyNumberFormat="1">
      <alignment shrinkToFit="0" vertical="center" wrapText="0"/>
    </xf>
    <xf borderId="19" fillId="23" fontId="1" numFmtId="172" xfId="0" applyAlignment="1" applyBorder="1" applyFill="1" applyFont="1" applyNumberFormat="1">
      <alignment readingOrder="0" shrinkToFit="0" vertical="center" wrapText="0"/>
    </xf>
    <xf borderId="20" fillId="22" fontId="1" numFmtId="165" xfId="0" applyAlignment="1" applyBorder="1" applyFont="1" applyNumberFormat="1">
      <alignment shrinkToFit="0" vertical="center" wrapText="0"/>
    </xf>
    <xf borderId="1" fillId="0" fontId="1" numFmtId="0" xfId="0" applyAlignment="1" applyBorder="1" applyFont="1">
      <alignment readingOrder="0"/>
    </xf>
    <xf borderId="1" fillId="0" fontId="1" numFmtId="9" xfId="0" applyBorder="1" applyFont="1" applyNumberFormat="1"/>
    <xf borderId="1" fillId="0" fontId="1" numFmtId="0" xfId="0" applyBorder="1" applyFont="1"/>
    <xf borderId="0" fillId="0" fontId="1" numFmtId="165" xfId="0" applyFont="1" applyNumberFormat="1"/>
    <xf borderId="0" fillId="0" fontId="1" numFmtId="9" xfId="0" applyFont="1" applyNumberFormat="1"/>
    <xf borderId="1" fillId="0" fontId="1" numFmtId="10" xfId="0" applyBorder="1" applyFont="1" applyNumberFormat="1"/>
    <xf borderId="0" fillId="0" fontId="1" numFmtId="173" xfId="0" applyAlignment="1" applyFont="1" applyNumberFormat="1">
      <alignment readingOrder="0"/>
    </xf>
    <xf borderId="0" fillId="0" fontId="1" numFmtId="174" xfId="0" applyAlignment="1" applyFont="1" applyNumberFormat="1">
      <alignment readingOrder="0"/>
    </xf>
    <xf borderId="0" fillId="0" fontId="47" numFmtId="0" xfId="0" applyAlignment="1" applyFont="1">
      <alignment readingOrder="0"/>
    </xf>
    <xf borderId="0" fillId="0" fontId="39" numFmtId="4" xfId="0" applyAlignment="1" applyFont="1" applyNumberFormat="1">
      <alignment horizontal="right" readingOrder="0" vertical="bottom"/>
    </xf>
    <xf borderId="0" fillId="0" fontId="39" numFmtId="10" xfId="0" applyAlignment="1" applyFont="1" applyNumberFormat="1">
      <alignment horizontal="right" vertical="bottom"/>
    </xf>
    <xf borderId="0" fillId="0" fontId="1" numFmtId="0" xfId="0" applyAlignment="1" applyFont="1">
      <alignment horizontal="right" readingOrder="0"/>
    </xf>
    <xf borderId="0" fillId="0" fontId="1" numFmtId="2" xfId="0" applyFont="1" applyNumberFormat="1"/>
    <xf borderId="0" fillId="0" fontId="1" numFmtId="10" xfId="0" applyAlignment="1" applyFont="1" applyNumberFormat="1">
      <alignment readingOrder="0"/>
    </xf>
    <xf borderId="0" fillId="0" fontId="1" numFmtId="173" xfId="0" applyAlignment="1" applyFont="1" applyNumberFormat="1">
      <alignment horizontal="right" readingOrder="0"/>
    </xf>
    <xf borderId="0" fillId="2" fontId="48" numFmtId="0" xfId="0" applyAlignment="1" applyFont="1">
      <alignment readingOrder="0"/>
    </xf>
    <xf borderId="0" fillId="4" fontId="1" numFmtId="0" xfId="0" applyFont="1"/>
    <xf borderId="21" fillId="0" fontId="1" numFmtId="0" xfId="0" applyBorder="1" applyFont="1"/>
    <xf borderId="0" fillId="0" fontId="1" numFmtId="3" xfId="0" applyFont="1" applyNumberFormat="1"/>
    <xf borderId="0" fillId="24" fontId="1" numFmtId="0" xfId="0" applyFill="1" applyFont="1"/>
    <xf borderId="0" fillId="0" fontId="1" numFmtId="165" xfId="0" applyAlignment="1" applyFont="1" applyNumberFormat="1">
      <alignment readingOrder="0"/>
    </xf>
    <xf borderId="1" fillId="0" fontId="1" numFmtId="165" xfId="0" applyBorder="1" applyFont="1" applyNumberFormat="1"/>
    <xf borderId="1" fillId="0" fontId="49" numFmtId="0" xfId="0" applyAlignment="1" applyBorder="1" applyFont="1">
      <alignment readingOrder="0"/>
    </xf>
    <xf borderId="21" fillId="0" fontId="1" numFmtId="10" xfId="0" applyBorder="1" applyFont="1" applyNumberFormat="1"/>
    <xf borderId="0" fillId="0" fontId="10" numFmtId="0" xfId="0" applyFont="1"/>
    <xf borderId="0" fillId="0" fontId="50" numFmtId="0" xfId="0" applyAlignment="1" applyFont="1">
      <alignment readingOrder="0"/>
    </xf>
    <xf borderId="0" fillId="0" fontId="50" numFmtId="165" xfId="0" applyAlignment="1" applyFont="1" applyNumberFormat="1">
      <alignment readingOrder="0"/>
    </xf>
    <xf borderId="0" fillId="0" fontId="50" numFmtId="10" xfId="0" applyAlignment="1" applyFont="1" applyNumberFormat="1">
      <alignment readingOrder="0"/>
    </xf>
    <xf borderId="0" fillId="0" fontId="51" numFmtId="0" xfId="0" applyAlignment="1" applyFont="1">
      <alignment readingOrder="0"/>
    </xf>
    <xf borderId="1" fillId="0" fontId="52" numFmtId="0" xfId="0" applyAlignment="1" applyBorder="1" applyFont="1">
      <alignment readingOrder="0" vertical="bottom"/>
    </xf>
    <xf borderId="1" fillId="0" fontId="52" numFmtId="0" xfId="0" applyAlignment="1" applyBorder="1" applyFont="1">
      <alignment horizontal="right" readingOrder="0" vertical="bottom"/>
    </xf>
    <xf borderId="0" fillId="0" fontId="52" numFmtId="0" xfId="0" applyAlignment="1" applyFont="1">
      <alignment readingOrder="0" vertical="bottom"/>
    </xf>
    <xf borderId="0" fillId="0" fontId="52" numFmtId="0" xfId="0" applyAlignment="1" applyFont="1">
      <alignment horizontal="right" readingOrder="0" vertical="bottom"/>
    </xf>
    <xf borderId="1" fillId="0" fontId="52" numFmtId="0" xfId="0" applyAlignment="1" applyBorder="1" applyFont="1">
      <alignment readingOrder="0"/>
    </xf>
    <xf borderId="1" fillId="0" fontId="52" numFmtId="10" xfId="0" applyAlignment="1" applyBorder="1" applyFont="1" applyNumberFormat="1">
      <alignment horizontal="right" readingOrder="0"/>
    </xf>
    <xf borderId="0" fillId="0" fontId="52" numFmtId="0" xfId="0" applyAlignment="1" applyFont="1">
      <alignment readingOrder="0"/>
    </xf>
    <xf borderId="0" fillId="0" fontId="52" numFmtId="0" xfId="0" applyAlignment="1" applyFont="1">
      <alignment horizontal="right" readingOrder="0"/>
    </xf>
    <xf borderId="0" fillId="25" fontId="53" numFmtId="0" xfId="0" applyFill="1" applyFont="1"/>
    <xf borderId="0" fillId="0" fontId="52" numFmtId="10" xfId="0" applyAlignment="1" applyFont="1" applyNumberFormat="1">
      <alignment horizontal="right" readingOrder="0"/>
    </xf>
    <xf borderId="14" fillId="0" fontId="25" numFmtId="0" xfId="0" applyAlignment="1" applyBorder="1" applyFont="1">
      <alignment horizontal="left" readingOrder="0" shrinkToFit="0" vertical="center" wrapText="0"/>
    </xf>
    <xf borderId="15" fillId="0" fontId="25" numFmtId="0" xfId="0" applyAlignment="1" applyBorder="1" applyFont="1">
      <alignment horizontal="center" readingOrder="0" shrinkToFit="0" vertical="center" wrapText="0"/>
    </xf>
    <xf borderId="15" fillId="0" fontId="25" numFmtId="0" xfId="0" applyAlignment="1" applyBorder="1" applyFont="1">
      <alignment horizontal="left" readingOrder="0" shrinkToFit="0" vertical="center" wrapText="0"/>
    </xf>
    <xf borderId="16" fillId="0" fontId="25" numFmtId="0" xfId="0" applyAlignment="1" applyBorder="1" applyFont="1">
      <alignment horizontal="center" readingOrder="0" shrinkToFit="0" vertical="center" wrapText="0"/>
    </xf>
    <xf borderId="1" fillId="0" fontId="52" numFmtId="0" xfId="0" applyAlignment="1" applyBorder="1" applyFont="1">
      <alignment readingOrder="0" shrinkToFit="0" vertical="center" wrapText="0"/>
    </xf>
    <xf borderId="1" fillId="0" fontId="10" numFmtId="10" xfId="0" applyAlignment="1" applyBorder="1" applyFont="1" applyNumberFormat="1">
      <alignment shrinkToFit="0" vertical="center" wrapText="0"/>
    </xf>
    <xf borderId="1" fillId="0" fontId="10" numFmtId="165" xfId="0" applyAlignment="1" applyBorder="1" applyFont="1" applyNumberFormat="1">
      <alignment readingOrder="0" shrinkToFit="0" vertical="center" wrapText="0"/>
    </xf>
    <xf borderId="17" fillId="0" fontId="50" numFmtId="10" xfId="0" applyAlignment="1" applyBorder="1" applyFont="1" applyNumberFormat="1">
      <alignment horizontal="right" shrinkToFit="0" vertical="center" wrapText="0"/>
    </xf>
    <xf borderId="18" fillId="22" fontId="10" numFmtId="0" xfId="0" applyAlignment="1" applyBorder="1" applyFont="1">
      <alignment readingOrder="0" shrinkToFit="0" vertical="center" wrapText="0"/>
    </xf>
    <xf borderId="19" fillId="22" fontId="10" numFmtId="165" xfId="0" applyAlignment="1" applyBorder="1" applyFont="1" applyNumberFormat="1">
      <alignment shrinkToFit="0" vertical="center" wrapText="0"/>
    </xf>
    <xf borderId="19" fillId="22" fontId="10" numFmtId="172" xfId="0" applyAlignment="1" applyBorder="1" applyFont="1" applyNumberFormat="1">
      <alignment readingOrder="0" shrinkToFit="0" vertical="center" wrapText="0"/>
    </xf>
    <xf borderId="20" fillId="22" fontId="10" numFmtId="165" xfId="0" applyAlignment="1" applyBorder="1" applyFont="1" applyNumberFormat="1">
      <alignment shrinkToFit="0" vertical="center" wrapText="0"/>
    </xf>
    <xf borderId="1" fillId="0" fontId="10" numFmtId="0" xfId="0" applyAlignment="1" applyBorder="1" applyFont="1">
      <alignment readingOrder="0"/>
    </xf>
    <xf borderId="1" fillId="0" fontId="50" numFmtId="165" xfId="0" applyBorder="1" applyFont="1" applyNumberFormat="1"/>
    <xf borderId="0" fillId="0" fontId="10" numFmtId="0" xfId="0" applyAlignment="1" applyFont="1">
      <alignment horizontal="center" readingOrder="0"/>
    </xf>
    <xf borderId="0" fillId="0" fontId="10" numFmtId="165" xfId="0" applyFont="1" applyNumberFormat="1"/>
    <xf borderId="0" fillId="0" fontId="10" numFmtId="0" xfId="0" applyAlignment="1" applyFont="1">
      <alignment readingOrder="0"/>
    </xf>
    <xf borderId="0" fillId="0" fontId="10" numFmtId="0" xfId="0" applyAlignment="1" applyFont="1">
      <alignment horizontal="right" readingOrder="0"/>
    </xf>
    <xf borderId="1" fillId="0" fontId="54" numFmtId="0" xfId="0" applyAlignment="1" applyBorder="1" applyFont="1">
      <alignment readingOrder="0"/>
    </xf>
    <xf borderId="22" fillId="0" fontId="50" numFmtId="165" xfId="0" applyBorder="1" applyFont="1" applyNumberFormat="1"/>
    <xf borderId="21" fillId="0" fontId="10" numFmtId="0" xfId="0" applyAlignment="1" applyBorder="1" applyFont="1">
      <alignment readingOrder="0"/>
    </xf>
    <xf borderId="21" fillId="0" fontId="50" numFmtId="165" xfId="0" applyBorder="1" applyFont="1" applyNumberFormat="1"/>
    <xf borderId="0" fillId="0" fontId="10" numFmtId="174" xfId="0" applyAlignment="1" applyFont="1" applyNumberFormat="1">
      <alignment readingOrder="0"/>
    </xf>
    <xf borderId="0" fillId="0" fontId="10" numFmtId="173" xfId="0" applyAlignment="1" applyFont="1" applyNumberFormat="1">
      <alignment readingOrder="0"/>
    </xf>
    <xf borderId="0" fillId="0" fontId="10" numFmtId="10" xfId="0" applyAlignment="1" applyFont="1" applyNumberFormat="1">
      <alignment readingOrder="0"/>
    </xf>
    <xf borderId="0" fillId="0" fontId="10" numFmtId="2" xfId="0" applyFont="1" applyNumberFormat="1"/>
    <xf borderId="0" fillId="0" fontId="10" numFmtId="173" xfId="0" applyAlignment="1" applyFont="1" applyNumberFormat="1">
      <alignment horizontal="right" readingOrder="0"/>
    </xf>
    <xf borderId="0" fillId="0" fontId="10" numFmtId="9" xfId="0" applyFont="1" applyNumberFormat="1"/>
    <xf borderId="21" fillId="19" fontId="52" numFmtId="0" xfId="0" applyAlignment="1" applyBorder="1" applyFont="1">
      <alignment readingOrder="0"/>
    </xf>
    <xf borderId="21" fillId="19" fontId="52" numFmtId="0" xfId="0" applyAlignment="1" applyBorder="1" applyFont="1">
      <alignment horizontal="right" readingOrder="0"/>
    </xf>
    <xf borderId="1" fillId="19" fontId="52" numFmtId="10" xfId="0" applyAlignment="1" applyBorder="1" applyFont="1" applyNumberFormat="1">
      <alignment horizontal="right" readingOrder="0"/>
    </xf>
    <xf borderId="0" fillId="5" fontId="1" numFmtId="0" xfId="0" applyFont="1"/>
    <xf borderId="0" fillId="26" fontId="1" numFmtId="0" xfId="0" applyFill="1" applyFont="1"/>
    <xf borderId="21" fillId="19" fontId="46" numFmtId="0" xfId="0" applyAlignment="1" applyBorder="1" applyFont="1">
      <alignment readingOrder="0"/>
    </xf>
    <xf borderId="9" fillId="0" fontId="1" numFmtId="165" xfId="0" applyAlignment="1" applyBorder="1" applyFont="1" applyNumberFormat="1">
      <alignment readingOrder="0" shrinkToFit="0" vertical="center" wrapText="0"/>
    </xf>
    <xf borderId="11" fillId="0" fontId="1" numFmtId="0" xfId="0" applyAlignment="1" applyBorder="1" applyFont="1">
      <alignment readingOrder="0"/>
    </xf>
    <xf borderId="23" fillId="0" fontId="1" numFmtId="0" xfId="0" applyAlignment="1" applyBorder="1" applyFont="1">
      <alignment readingOrder="0"/>
    </xf>
    <xf borderId="23" fillId="0" fontId="1" numFmtId="0" xfId="0" applyBorder="1" applyFont="1"/>
    <xf borderId="0" fillId="0" fontId="1" numFmtId="9" xfId="0" applyAlignment="1" applyFont="1" applyNumberFormat="1">
      <alignment readingOrder="0"/>
    </xf>
    <xf borderId="21" fillId="19" fontId="52" numFmtId="10" xfId="0" applyAlignment="1" applyBorder="1" applyFont="1" applyNumberFormat="1">
      <alignment horizontal="right" readingOrder="0"/>
    </xf>
    <xf borderId="24" fillId="19" fontId="46" numFmtId="0" xfId="0" applyAlignment="1" applyBorder="1" applyFont="1">
      <alignment readingOrder="0" shrinkToFit="0" vertical="center" wrapText="0"/>
    </xf>
    <xf borderId="9" fillId="0" fontId="1" numFmtId="10" xfId="0" applyAlignment="1" applyBorder="1" applyFont="1" applyNumberFormat="1">
      <alignment shrinkToFit="0" vertical="center" wrapText="0"/>
    </xf>
    <xf borderId="25" fillId="0" fontId="5" numFmtId="10" xfId="0" applyAlignment="1" applyBorder="1" applyFont="1" applyNumberFormat="1">
      <alignment horizontal="right" shrinkToFit="0" vertical="center" wrapText="0"/>
    </xf>
    <xf borderId="1" fillId="4" fontId="1" numFmtId="0" xfId="0" applyBorder="1" applyFont="1"/>
    <xf borderId="1" fillId="5" fontId="1" numFmtId="0" xfId="0" applyBorder="1" applyFont="1"/>
    <xf borderId="1" fillId="25" fontId="53" numFmtId="0" xfId="0" applyBorder="1" applyFont="1"/>
    <xf borderId="0" fillId="27" fontId="53" numFmtId="0" xfId="0" applyFill="1" applyFont="1"/>
    <xf borderId="0" fillId="23" fontId="1" numFmtId="0" xfId="0" applyFont="1"/>
    <xf borderId="0" fillId="28" fontId="1" numFmtId="0" xfId="0" applyFill="1" applyFont="1"/>
    <xf borderId="1" fillId="0" fontId="5" numFmtId="10" xfId="0" applyAlignment="1" applyBorder="1" applyFont="1" applyNumberFormat="1">
      <alignment horizontal="right" shrinkToFit="0" vertical="center" wrapText="0"/>
    </xf>
    <xf borderId="1" fillId="23" fontId="1" numFmtId="0" xfId="0" applyBorder="1" applyFont="1"/>
    <xf borderId="1" fillId="7" fontId="1" numFmtId="0" xfId="0" applyBorder="1" applyFont="1"/>
    <xf borderId="1" fillId="0" fontId="1" numFmtId="174" xfId="0" applyBorder="1" applyFont="1" applyNumberFormat="1"/>
    <xf borderId="0" fillId="19" fontId="55" numFmtId="0" xfId="0" applyAlignment="1" applyFont="1">
      <alignment horizontal="left" readingOrder="0" shrinkToFit="0" vertical="bottom" wrapText="0"/>
    </xf>
    <xf borderId="0" fillId="19" fontId="56" numFmtId="0" xfId="0" applyAlignment="1" applyFont="1">
      <alignment horizontal="left" readingOrder="0" shrinkToFit="0" vertical="bottom" wrapText="0"/>
    </xf>
    <xf borderId="0" fillId="19" fontId="56" numFmtId="0" xfId="0" applyAlignment="1" applyFont="1">
      <alignment horizontal="right" readingOrder="0" shrinkToFit="0" vertical="bottom" wrapText="0"/>
    </xf>
    <xf borderId="0" fillId="19" fontId="52" numFmtId="0" xfId="0" applyAlignment="1" applyFont="1">
      <alignment readingOrder="0"/>
    </xf>
    <xf borderId="0" fillId="19" fontId="52" numFmtId="0" xfId="0" applyAlignment="1" applyFont="1">
      <alignment horizontal="right" readingOrder="0"/>
    </xf>
    <xf borderId="0" fillId="19" fontId="57" numFmtId="0" xfId="0" applyAlignment="1" applyFont="1">
      <alignment horizontal="left" readingOrder="0" vertical="top"/>
    </xf>
    <xf borderId="0" fillId="19" fontId="57" numFmtId="0" xfId="0" applyAlignment="1" applyFont="1">
      <alignment horizontal="right" readingOrder="0" shrinkToFit="0" vertical="top" wrapText="0"/>
    </xf>
    <xf borderId="21" fillId="19" fontId="52" numFmtId="10" xfId="0" applyAlignment="1" applyBorder="1" applyFont="1" applyNumberFormat="1">
      <alignment horizontal="right"/>
    </xf>
    <xf borderId="0" fillId="19" fontId="58" numFmtId="0" xfId="0" applyAlignment="1" applyFont="1">
      <alignment vertical="top"/>
    </xf>
    <xf borderId="0" fillId="29" fontId="1" numFmtId="0" xfId="0" applyFill="1" applyFont="1"/>
    <xf borderId="0" fillId="30" fontId="59" numFmtId="0" xfId="0" applyFill="1" applyFont="1"/>
    <xf borderId="9" fillId="19" fontId="60" numFmtId="0" xfId="0" applyAlignment="1" applyBorder="1" applyFont="1">
      <alignment readingOrder="0" vertical="bottom"/>
    </xf>
    <xf borderId="9" fillId="0" fontId="60" numFmtId="0" xfId="0" applyAlignment="1" applyBorder="1" applyFont="1">
      <alignment readingOrder="0" vertical="bottom"/>
    </xf>
    <xf borderId="9" fillId="0" fontId="60" numFmtId="0" xfId="0" applyAlignment="1" applyBorder="1" applyFont="1">
      <alignment vertical="bottom"/>
    </xf>
    <xf borderId="9" fillId="0" fontId="10" numFmtId="0" xfId="0" applyAlignment="1" applyBorder="1" applyFont="1">
      <alignment readingOrder="0"/>
    </xf>
    <xf borderId="0" fillId="31" fontId="53" numFmtId="0" xfId="0" applyFill="1" applyFont="1"/>
    <xf borderId="26" fillId="0" fontId="1" numFmtId="10" xfId="0" applyBorder="1" applyFont="1" applyNumberFormat="1"/>
    <xf borderId="0" fillId="0" fontId="61" numFmtId="0" xfId="0" applyAlignment="1" applyFont="1">
      <alignment readingOrder="0"/>
    </xf>
    <xf borderId="0" fillId="30" fontId="1" numFmtId="0" xfId="0" applyFont="1"/>
    <xf borderId="0" fillId="32" fontId="1" numFmtId="0" xfId="0" applyFill="1" applyFont="1"/>
    <xf borderId="0" fillId="33" fontId="1" numFmtId="0" xfId="0" applyFill="1" applyFont="1"/>
    <xf borderId="0" fillId="34" fontId="53" numFmtId="0" xfId="0" applyFill="1" applyFont="1"/>
    <xf borderId="0" fillId="0" fontId="53" numFmtId="0" xfId="0" applyFont="1"/>
    <xf borderId="0" fillId="19" fontId="52" numFmtId="10" xfId="0" applyAlignment="1" applyFont="1" applyNumberFormat="1">
      <alignment horizontal="right" readingOrder="0"/>
    </xf>
    <xf borderId="1" fillId="0" fontId="5" numFmtId="9" xfId="0" applyBorder="1" applyFont="1" applyNumberFormat="1"/>
    <xf borderId="0" fillId="35" fontId="1" numFmtId="0" xfId="0" applyFill="1" applyFont="1"/>
    <xf borderId="0" fillId="36" fontId="1" numFmtId="0" xfId="0" applyFill="1" applyFont="1"/>
    <xf borderId="0" fillId="37" fontId="62" numFmtId="0" xfId="0" applyFill="1" applyFont="1"/>
    <xf borderId="0" fillId="38" fontId="1" numFmtId="0" xfId="0" applyFill="1" applyFont="1"/>
    <xf borderId="0" fillId="39" fontId="1" numFmtId="0" xfId="0" applyFill="1" applyFont="1"/>
    <xf borderId="1" fillId="40" fontId="25" numFmtId="0" xfId="0" applyAlignment="1" applyBorder="1" applyFill="1" applyFont="1">
      <alignment horizontal="center" readingOrder="0"/>
    </xf>
    <xf borderId="1" fillId="0" fontId="1" numFmtId="0" xfId="0" applyAlignment="1" applyBorder="1" applyFont="1">
      <alignment horizontal="center" readingOrder="0"/>
    </xf>
    <xf borderId="1" fillId="40" fontId="25" numFmtId="2" xfId="0" applyBorder="1" applyFont="1" applyNumberFormat="1"/>
    <xf borderId="1" fillId="40" fontId="25" numFmtId="0" xfId="0" applyBorder="1" applyFont="1"/>
    <xf borderId="0" fillId="0" fontId="1" numFmtId="4" xfId="0" applyFont="1" applyNumberFormat="1"/>
    <xf borderId="1" fillId="40" fontId="25" numFmtId="175" xfId="0" applyBorder="1" applyFont="1" applyNumberFormat="1"/>
    <xf borderId="1" fillId="40" fontId="43" numFmtId="1" xfId="0" applyBorder="1" applyFont="1" applyNumberFormat="1"/>
    <xf borderId="0" fillId="0" fontId="1" numFmtId="4" xfId="0" applyAlignment="1" applyFont="1" applyNumberFormat="1">
      <alignment readingOrder="0"/>
    </xf>
    <xf borderId="1" fillId="41" fontId="1" numFmtId="0" xfId="0" applyAlignment="1" applyBorder="1" applyFill="1" applyFont="1">
      <alignment readingOrder="0"/>
    </xf>
    <xf borderId="1" fillId="41" fontId="1" numFmtId="3" xfId="0" applyBorder="1" applyFont="1" applyNumberFormat="1"/>
    <xf borderId="0" fillId="0" fontId="1" numFmtId="0" xfId="0" applyAlignment="1" applyFont="1">
      <alignment readingOrder="0"/>
    </xf>
    <xf borderId="0" fillId="0" fontId="5" numFmtId="3" xfId="0" applyAlignment="1" applyFont="1" applyNumberFormat="1">
      <alignment readingOrder="0"/>
    </xf>
    <xf borderId="21" fillId="19" fontId="52" numFmtId="0" xfId="0" applyAlignment="1" applyBorder="1" applyFont="1">
      <alignment readingOrder="0" vertical="bottom"/>
    </xf>
    <xf borderId="21" fillId="19" fontId="52" numFmtId="0" xfId="0" applyAlignment="1" applyBorder="1" applyFont="1">
      <alignment horizontal="right" readingOrder="0" vertical="bottom"/>
    </xf>
    <xf borderId="0" fillId="42" fontId="1" numFmtId="0" xfId="0" applyFill="1" applyFont="1"/>
    <xf borderId="0" fillId="7" fontId="63" numFmtId="0" xfId="0" applyFont="1"/>
    <xf borderId="1" fillId="40" fontId="25" numFmtId="1" xfId="0" applyBorder="1" applyFont="1" applyNumberFormat="1"/>
    <xf borderId="1" fillId="0" fontId="1" numFmtId="10" xfId="0" applyAlignment="1" applyBorder="1" applyFont="1" applyNumberFormat="1">
      <alignment horizontal="center" shrinkToFit="0" vertical="center" wrapText="0"/>
    </xf>
    <xf borderId="1" fillId="24" fontId="1" numFmtId="0" xfId="0" applyBorder="1" applyFont="1"/>
    <xf borderId="9" fillId="2" fontId="27" numFmtId="0" xfId="0" applyAlignment="1" applyBorder="1" applyFont="1">
      <alignment readingOrder="0" vertical="bottom"/>
    </xf>
    <xf borderId="9" fillId="2" fontId="27" numFmtId="0" xfId="0" applyAlignment="1" applyBorder="1" applyFont="1">
      <alignment vertical="bottom"/>
    </xf>
    <xf borderId="0" fillId="2" fontId="25" numFmtId="10" xfId="0" applyAlignment="1" applyFont="1" applyNumberFormat="1">
      <alignment readingOrder="0"/>
    </xf>
    <xf borderId="9" fillId="2" fontId="27" numFmtId="4" xfId="0" applyAlignment="1" applyBorder="1" applyFont="1" applyNumberFormat="1">
      <alignment horizontal="right" readingOrder="0" vertical="bottom"/>
    </xf>
    <xf borderId="0" fillId="2" fontId="25" numFmtId="0" xfId="0" applyAlignment="1" applyFont="1">
      <alignment horizontal="center" readingOrder="0"/>
    </xf>
    <xf borderId="1" fillId="0" fontId="64" numFmtId="0" xfId="0" applyAlignment="1" applyBorder="1" applyFont="1">
      <alignment readingOrder="0"/>
    </xf>
    <xf borderId="1" fillId="0" fontId="1" numFmtId="10" xfId="0" applyAlignment="1" applyBorder="1" applyFont="1" applyNumberFormat="1">
      <alignment readingOrder="0"/>
    </xf>
    <xf borderId="21" fillId="19" fontId="52" numFmtId="9" xfId="0" applyAlignment="1" applyBorder="1" applyFont="1" applyNumberFormat="1">
      <alignment horizontal="right" readingOrder="0"/>
    </xf>
    <xf borderId="1" fillId="0" fontId="1" numFmtId="9" xfId="0" applyAlignment="1" applyBorder="1" applyFont="1" applyNumberFormat="1">
      <alignment readingOrder="0"/>
    </xf>
    <xf borderId="1" fillId="23" fontId="53" numFmtId="0" xfId="0" applyBorder="1" applyFont="1"/>
    <xf borderId="1" fillId="28" fontId="1" numFmtId="0" xfId="0" applyBorder="1" applyFont="1"/>
    <xf borderId="1" fillId="0" fontId="1" numFmtId="165" xfId="0" applyAlignment="1" applyBorder="1" applyFont="1" applyNumberFormat="1">
      <alignment readingOrder="0"/>
    </xf>
    <xf borderId="1" fillId="43" fontId="1" numFmtId="0" xfId="0" applyBorder="1" applyFill="1" applyFont="1"/>
    <xf borderId="1" fillId="0" fontId="10" numFmtId="0" xfId="0" applyAlignment="1" applyBorder="1" applyFont="1">
      <alignment readingOrder="0"/>
    </xf>
    <xf borderId="1" fillId="0" fontId="65" numFmtId="0" xfId="0" applyAlignment="1" applyBorder="1" applyFont="1">
      <alignment readingOrder="0"/>
    </xf>
    <xf borderId="1" fillId="0" fontId="1" numFmtId="0" xfId="0" applyAlignment="1" applyBorder="1" applyFont="1">
      <alignment readingOrder="0"/>
    </xf>
    <xf borderId="0" fillId="0" fontId="1" numFmtId="164" xfId="0" applyFont="1" applyNumberFormat="1"/>
    <xf borderId="0" fillId="0" fontId="1" numFmtId="171" xfId="0" applyAlignment="1" applyFont="1" applyNumberFormat="1">
      <alignment readingOrder="0"/>
    </xf>
  </cellXfs>
  <cellStyles count="1">
    <cellStyle xfId="0" name="Normal" builtinId="0"/>
  </cellStyles>
  <dxfs count="7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4A568D"/>
          <bgColor rgb="FF4A568D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/>
      <fill>
        <patternFill patternType="solid">
          <fgColor rgb="FFD1D4E2"/>
          <bgColor rgb="FFD1D4E2"/>
        </patternFill>
      </fill>
      <border/>
    </dxf>
  </dxfs>
  <tableStyles count="25">
    <tableStyle count="3" pivot="0" name="Acciones individuales-style">
      <tableStyleElement dxfId="1" type="headerRow"/>
      <tableStyleElement dxfId="2" type="firstRowStripe"/>
      <tableStyleElement dxfId="3" type="secondRowStripe"/>
    </tableStyle>
    <tableStyle count="2" pivot="0" name="Acciones individuales-style 2">
      <tableStyleElement dxfId="2" type="firstRowStripe"/>
      <tableStyleElement dxfId="3" type="secondRowStripe"/>
    </tableStyle>
    <tableStyle count="4" pivot="0" name="Working Capital USDPes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Working Capital Pes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Corto Plaz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Hiper Conserv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+ Oro Conserv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Mixta + Metales Mode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Mixta + Metales Agre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Conservado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Dividend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All Weathe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Moder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actor Alfa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uturos + Renta Mixta Conservad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uturos + Renta Mixta Moder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uturos + Renta Mixta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CERA Conservado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CERA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ARGY sin ON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Lau 8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Marian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Quile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Hector Mori-style">
      <tableStyleElement dxfId="4" type="headerRow"/>
      <tableStyleElement dxfId="2" type="firstRowStripe"/>
      <tableStyleElement dxfId="5" type="secondRowStripe"/>
      <tableStyleElement dxfId="6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6" Type="http://schemas.openxmlformats.org/officeDocument/2006/relationships/worksheet" Target="worksheets/sheet33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ONs NY</a:t>
            </a:r>
          </a:p>
        </c:rich>
      </c:tx>
      <c:layout>
        <c:manualLayout>
          <c:xMode val="edge"/>
          <c:yMode val="edge"/>
          <c:x val="0.03397365532381998"/>
          <c:y val="0.04838449111470113"/>
        </c:manualLayout>
      </c:layout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Ons!$L$5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xVal>
            <c:numRef>
              <c:f>Ons!$O$6:$O$34</c:f>
            </c:numRef>
          </c:xVal>
          <c:yVal>
            <c:numRef>
              <c:f>Ons!$L$6:$L$34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030632"/>
        <c:axId val="21164182"/>
      </c:scatterChart>
      <c:valAx>
        <c:axId val="136303063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M.D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64182"/>
      </c:valAx>
      <c:valAx>
        <c:axId val="211641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30306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ONs Argentina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Ons!$AJ$5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Línea de tendencia de TIR</c:name>
            <c:spPr>
              <a:ln w="19050">
                <a:solidFill>
                  <a:srgbClr val="000000"/>
                </a:solidFill>
              </a:ln>
            </c:spPr>
            <c:trendlineType val="exp"/>
            <c:dispRSqr val="1"/>
            <c:dispEq val="0"/>
          </c:trendline>
          <c:xVal>
            <c:numRef>
              <c:f>Ons!$AM$6:$AM$20</c:f>
            </c:numRef>
          </c:xVal>
          <c:yVal>
            <c:numRef>
              <c:f>Ons!$AJ$6:$AJ$20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799398"/>
        <c:axId val="142852989"/>
      </c:scatterChart>
      <c:valAx>
        <c:axId val="166779939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852989"/>
      </c:valAx>
      <c:valAx>
        <c:axId val="1428529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779939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tx>
            <c:strRef>
              <c:f>'Working Capital USDPesos'!$D$10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USDPesos'!$A$11:$A$13</c:f>
            </c:strRef>
          </c:cat>
          <c:val>
            <c:numRef>
              <c:f>'Working Capital USDPesos'!$D$11:$D$13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Working Capital USD/Pesos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</c:dPt>
          <c:dPt>
            <c:idx val="5"/>
          </c:dPt>
          <c:dPt>
            <c:idx val="6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USDPesos'!$B$17:$B$23</c:f>
            </c:strRef>
          </c:cat>
          <c:val>
            <c:numRef>
              <c:f>'Working Capital USDPesos'!$C$17:$C$23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</c:dPt>
          <c:dPt>
            <c:idx val="4"/>
          </c:dPt>
          <c:dPt>
            <c:idx val="5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Pesos'!$B$16:$B$21</c:f>
            </c:strRef>
          </c:cat>
          <c:val>
            <c:numRef>
              <c:f>'Working Capital Pesos'!$C$16:$C$21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Hiper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Corto Plazo'!$B$16:$B$21</c:f>
            </c:strRef>
          </c:cat>
          <c:val>
            <c:numRef>
              <c:f>'Renta fija USD Corto Plazo'!$C$16:$C$21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'Renta fija USD Hiper Conservado'!$D$10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Hiper Conservado'!$A$11:$A$13</c:f>
            </c:strRef>
          </c:cat>
          <c:val>
            <c:numRef>
              <c:f>'Renta fija USD Hiper Conservado'!$D$11:$D$13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Hiper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Hiper Conservado'!$B$17:$B$25</c:f>
            </c:strRef>
          </c:cat>
          <c:val>
            <c:numRef>
              <c:f>'Renta fija USD Hiper Conservado'!$C$17:$C$25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'Renta Fija USD + Oro Conservado'!$D$10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+ Oro Conservado'!$A$11:$A$13</c:f>
            </c:strRef>
          </c:cat>
          <c:val>
            <c:numRef>
              <c:f>'Renta Fija USD + Oro Conservado'!$D$11:$D$13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+ Oro Conservador</a:t>
            </a:r>
          </a:p>
        </c:rich>
      </c:tx>
      <c:layout>
        <c:manualLayout>
          <c:xMode val="edge"/>
          <c:yMode val="edge"/>
          <c:x val="0.03091666666666667"/>
          <c:y val="0.04730458221024259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</c:dPt>
          <c:dPt>
            <c:idx val="8"/>
          </c:dPt>
          <c:dPt>
            <c:idx val="9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+ Oro Conservado'!$B$18:$B$27</c:f>
            </c:strRef>
          </c:cat>
          <c:val>
            <c:numRef>
              <c:f>'Renta Fija USD + Oro Conservado'!$C$18:$C$27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Mixta + Metales Moderado</a:t>
            </a:r>
          </a:p>
        </c:rich>
      </c:tx>
      <c:layout>
        <c:manualLayout>
          <c:xMode val="edge"/>
          <c:yMode val="edge"/>
          <c:x val="0.03258333333333333"/>
          <c:y val="0.055390835579514824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Mode'!$B$22:$B$36</c:f>
            </c:strRef>
          </c:cat>
          <c:val>
            <c:numRef>
              <c:f>'Renta Fija Mixta + Metales Mode'!$C$22:$C$36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Mode'!$B$5:$B$9</c:f>
            </c:strRef>
          </c:cat>
          <c:val>
            <c:numRef>
              <c:f>'Renta Fija Mixta + Metales Mode'!$C$5:$C$9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Mixta + Metales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Agre'!$B$22:$B$35</c:f>
            </c:strRef>
          </c:cat>
          <c:val>
            <c:numRef>
              <c:f>'Renta Fija Mixta + Metales Agre'!$C$22:$C$35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Agre'!$B$5:$B$9</c:f>
            </c:strRef>
          </c:cat>
          <c:val>
            <c:numRef>
              <c:f>'Renta Fija Mixta + Metales Agre'!$C$5:$C$9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</c:dPt>
          <c:dPt>
            <c:idx val="18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Conservador'!$B$35:$B$53</c:f>
            </c:strRef>
          </c:cat>
          <c:val>
            <c:numRef>
              <c:f>'Renta Mixta Conservador'!$C$35:$C$53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Conservador'!$D$20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Conservador'!$A$21:$A$30</c:f>
            </c:strRef>
          </c:cat>
          <c:val>
            <c:numRef>
              <c:f>'Renta Mixta Conservador'!$D$21:$D$30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Dividendos</a:t>
            </a:r>
          </a:p>
        </c:rich>
      </c:tx>
      <c:layout>
        <c:manualLayout>
          <c:xMode val="edge"/>
          <c:yMode val="edge"/>
          <c:x val="0.03258333333333333"/>
          <c:y val="0.055390835579514824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Dividendos!$B$24:$B$39</c:f>
            </c:strRef>
          </c:cat>
          <c:val>
            <c:numRef>
              <c:f>Dividendos!$C$24:$C$39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Dividendos!$B$5:$B$10</c:f>
            </c:strRef>
          </c:cat>
          <c:val>
            <c:numRef>
              <c:f>Dividendos!$C$5:$C$10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All Weather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</c:dPt>
          <c:dPt>
            <c:idx val="20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'All Weather'!$B$35:$B$55</c:f>
            </c:strRef>
          </c:cat>
          <c:val>
            <c:numRef>
              <c:f>'All Weather'!$C$35:$C$55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All Weather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'All Weather'!$D$20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'All Weather'!$A$21:$A$30</c:f>
            </c:strRef>
          </c:cat>
          <c:val>
            <c:numRef>
              <c:f>'All Weather'!$D$21:$D$30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</c:dPt>
          <c:dPt>
            <c:idx val="27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Moderado'!$B$35:$B$62</c:f>
            </c:strRef>
          </c:cat>
          <c:val>
            <c:numRef>
              <c:f>'Renta Mixta Moderado'!$C$35:$C$62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Moderado'!$D$20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Moderado'!$A$21:$A$30</c:f>
            </c:strRef>
          </c:cat>
          <c:val>
            <c:numRef>
              <c:f>'Renta Mixta Moderado'!$D$21:$D$30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Agresivo'!$B$35:$B$57</c:f>
            </c:strRef>
          </c:cat>
          <c:val>
            <c:numRef>
              <c:f>'Renta Mixta Agresivo'!$C$35:$C$57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Agresivo'!$D$20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Agresivo'!$A$21:$A$30</c:f>
            </c:strRef>
          </c:cat>
          <c:val>
            <c:numRef>
              <c:f>'Renta Mixta Agresivo'!$D$21:$D$30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 Alfa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'Factor Alfa'!$D$17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'Factor Alfa'!$A$18:$A$21</c:f>
            </c:strRef>
          </c:cat>
          <c:val>
            <c:numRef>
              <c:f>'Factor Alfa'!$D$18:$D$21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 Alfa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'Factor Alfa'!$B$26:$B$45</c:f>
            </c:strRef>
          </c:cat>
          <c:val>
            <c:numRef>
              <c:f>'Factor Alfa'!$C$26:$C$45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Futuros + 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</c:dPt>
          <c:dPt>
            <c:idx val="10"/>
          </c:dPt>
          <c:dPt>
            <c:idx val="11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Conservad'!$B$29:$B$40</c:f>
            </c:strRef>
          </c:cat>
          <c:val>
            <c:numRef>
              <c:f>'Futuros + Renta Mixta Conservad'!$C$29:$C$40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'Futuros + Renta Mixta Conservad'!$D$18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Conservad'!$A$19:$A$24</c:f>
            </c:strRef>
          </c:cat>
          <c:val>
            <c:numRef>
              <c:f>'Futuros + Renta Mixta Conservad'!$D$19:$D$24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Futuros + Renta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'Futuros + Renta Mixta Moderado'!$D$21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Moderado'!$A$22:$A$34</c:f>
            </c:strRef>
          </c:cat>
          <c:val>
            <c:numRef>
              <c:f>'Futuros + Renta Mixta Moderado'!$D$22:$D$34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'Futuros + Renta Mixta Moderado'!$D$21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Moderado'!$A$22:$A$28</c:f>
            </c:strRef>
          </c:cat>
          <c:val>
            <c:numRef>
              <c:f>'Futuros + Renta Mixta Moderado'!$D$22:$D$28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Futuros + Renta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'Futuros + Renta Mixta Agresivo'!$D$21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Agresivo'!$A$22:$A$34</c:f>
            </c:strRef>
          </c:cat>
          <c:val>
            <c:numRef>
              <c:f>'Futuros + Renta Mixta Agresivo'!$D$22:$D$34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'CERA Conservador'!$D$19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Conservador'!$A$20:$A$23</c:f>
            </c:strRef>
          </c:cat>
          <c:val>
            <c:numRef>
              <c:f>'CERA Conservador'!$D$20:$D$23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Conservador'!$B$28:$B$35</c:f>
            </c:strRef>
          </c:cat>
          <c:val>
            <c:numRef>
              <c:f>'CERA Conservador'!$C$28:$C$35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'CERA Agresivo'!$D$14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Agresivo'!$A$15:$A$18</c:f>
            </c:strRef>
          </c:cat>
          <c:val>
            <c:numRef>
              <c:f>'CERA Agresivo'!$D$15:$D$18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Agresivo'!$B$23:$B$40</c:f>
            </c:strRef>
          </c:cat>
          <c:val>
            <c:numRef>
              <c:f>'CERA Agresivo'!$C$23:$C$40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'ARGY sin ONs'!$D$14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'ARGY sin ONs'!$A$15:$A$18</c:f>
            </c:strRef>
          </c:cat>
          <c:val>
            <c:numRef>
              <c:f>'ARGY sin ONs'!$D$15:$D$18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Pt>
            <c:idx val="16"/>
          </c:dPt>
          <c:dPt>
            <c:idx val="17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'ARGY sin ONs'!$B$23:$B$40</c:f>
            </c:strRef>
          </c:cat>
          <c:val>
            <c:numRef>
              <c:f>'ARGY sin ONs'!$C$23:$C$40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Merval!$D$2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Merval!$B$3:$B$9</c:f>
            </c:strRef>
          </c:cat>
          <c:val>
            <c:numRef>
              <c:f>Merval!$D$3:$D$9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'Merval + VIST'!$D$2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'Merval + VIST'!$B$3:$B$10</c:f>
            </c:strRef>
          </c:cat>
          <c:val>
            <c:numRef>
              <c:f>'Merval + VIST'!$D$3:$D$10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'Merval + VIST + MELI'!$D$2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'Merval + VIST + MELI'!$B$3:$B$11</c:f>
            </c:strRef>
          </c:cat>
          <c:val>
            <c:numRef>
              <c:f>'Merval + VIST + MELI'!$D$3:$D$11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</c:dPt>
          <c:dPt>
            <c:idx val="19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'Lau 8'!$B$34:$B$53</c:f>
            </c:strRef>
          </c:cat>
          <c:val>
            <c:numRef>
              <c:f>'Lau 8'!$C$34:$C$53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'Lau 8'!$D$19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'Lau 8'!$A$20:$A$29</c:f>
            </c:strRef>
          </c:cat>
          <c:val>
            <c:numRef>
              <c:f>'Lau 8'!$D$20:$D$29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conservadora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Marian!$E$18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Marian!$B$19:$B$29</c:f>
            </c:strRef>
          </c:cat>
          <c:val>
            <c:numRef>
              <c:f>Marian!$E$19:$E$29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Quiles!$D$19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Quiles!$A$20:$A$26</c:f>
            </c:strRef>
          </c:cat>
          <c:val>
            <c:numRef>
              <c:f>Quiles!$D$20:$D$26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Weight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Quiles!$B$31:$B$42</c:f>
            </c:strRef>
          </c:cat>
          <c:val>
            <c:numRef>
              <c:f>Quiles!$C$31:$C$42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Conservador + Metales</a:t>
            </a:r>
          </a:p>
        </c:rich>
      </c:tx>
      <c:layout>
        <c:manualLayout>
          <c:xMode val="edge"/>
          <c:yMode val="edge"/>
          <c:x val="0.03258333333333333"/>
          <c:y val="0.055390835579514824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'Hector Mori'!$B$22:$B$27</c:f>
            </c:strRef>
          </c:cat>
          <c:val>
            <c:numRef>
              <c:f>'Hector Mori'!$C$22:$C$27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Conservador + Metales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'Hector Mori'!$D$12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'Hector Mori'!$A$13:$A$17</c:f>
            </c:strRef>
          </c:cat>
          <c:val>
            <c:numRef>
              <c:f>'Hector Mori'!$D$13:$D$17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image" Target="../media/image3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6.xml"/><Relationship Id="rId2" Type="http://schemas.openxmlformats.org/officeDocument/2006/relationships/chart" Target="../charts/chart37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4.xml"/><Relationship Id="rId2" Type="http://schemas.openxmlformats.org/officeDocument/2006/relationships/chart" Target="../charts/chart45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6.xml"/><Relationship Id="rId2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1476375</xdr:colOff>
      <xdr:row>10</xdr:row>
      <xdr:rowOff>314325</xdr:rowOff>
    </xdr:from>
    <xdr:ext cx="438150" cy="43815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38100</xdr:colOff>
      <xdr:row>3</xdr:row>
      <xdr:rowOff>180975</xdr:rowOff>
    </xdr:from>
    <xdr:ext cx="11229975" cy="7620000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44</xdr:col>
      <xdr:colOff>38100</xdr:colOff>
      <xdr:row>3</xdr:row>
      <xdr:rowOff>123825</xdr:rowOff>
    </xdr:from>
    <xdr:ext cx="8543925" cy="5276850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76200</xdr:colOff>
      <xdr:row>0</xdr:row>
      <xdr:rowOff>142875</xdr:rowOff>
    </xdr:from>
    <xdr:ext cx="1781175" cy="10477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314325</xdr:colOff>
      <xdr:row>0</xdr:row>
      <xdr:rowOff>0</xdr:rowOff>
    </xdr:from>
    <xdr:ext cx="5715000" cy="353377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314325</xdr:colOff>
      <xdr:row>16</xdr:row>
      <xdr:rowOff>142875</xdr:rowOff>
    </xdr:from>
    <xdr:ext cx="5715000" cy="353377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1219200</xdr:colOff>
      <xdr:row>5</xdr:row>
      <xdr:rowOff>85725</xdr:rowOff>
    </xdr:from>
    <xdr:ext cx="5715000" cy="353377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57150</xdr:colOff>
      <xdr:row>15</xdr:row>
      <xdr:rowOff>95250</xdr:rowOff>
    </xdr:from>
    <xdr:ext cx="5715000" cy="3533775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19050</xdr:colOff>
      <xdr:row>0</xdr:row>
      <xdr:rowOff>0</xdr:rowOff>
    </xdr:from>
    <xdr:ext cx="5715000" cy="3533775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19050</xdr:colOff>
      <xdr:row>14</xdr:row>
      <xdr:rowOff>152400</xdr:rowOff>
    </xdr:from>
    <xdr:ext cx="5715000" cy="3533775"/>
    <xdr:graphicFrame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38100</xdr:colOff>
      <xdr:row>1</xdr:row>
      <xdr:rowOff>133350</xdr:rowOff>
    </xdr:from>
    <xdr:ext cx="5715000" cy="3533775"/>
    <xdr:graphicFrame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38100</xdr:colOff>
      <xdr:row>16</xdr:row>
      <xdr:rowOff>57150</xdr:rowOff>
    </xdr:from>
    <xdr:ext cx="5715000" cy="3533775"/>
    <xdr:graphicFrame>
      <xdr:nvGraphicFramePr>
        <xdr:cNvPr id="10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238125</xdr:colOff>
      <xdr:row>18</xdr:row>
      <xdr:rowOff>9525</xdr:rowOff>
    </xdr:from>
    <xdr:ext cx="5715000" cy="3533775"/>
    <xdr:graphicFrame>
      <xdr:nvGraphicFramePr>
        <xdr:cNvPr id="11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238125</xdr:colOff>
      <xdr:row>2</xdr:row>
      <xdr:rowOff>66675</xdr:rowOff>
    </xdr:from>
    <xdr:ext cx="5715000" cy="3533775"/>
    <xdr:graphicFrame>
      <xdr:nvGraphicFramePr>
        <xdr:cNvPr id="12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180975</xdr:colOff>
      <xdr:row>17</xdr:row>
      <xdr:rowOff>180975</xdr:rowOff>
    </xdr:from>
    <xdr:ext cx="5715000" cy="3533775"/>
    <xdr:graphicFrame>
      <xdr:nvGraphicFramePr>
        <xdr:cNvPr id="13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1495425</xdr:colOff>
      <xdr:row>0</xdr:row>
      <xdr:rowOff>66675</xdr:rowOff>
    </xdr:from>
    <xdr:ext cx="5715000" cy="3533775"/>
    <xdr:graphicFrame>
      <xdr:nvGraphicFramePr>
        <xdr:cNvPr id="14" name="Chart 1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19</xdr:row>
      <xdr:rowOff>47625</xdr:rowOff>
    </xdr:from>
    <xdr:ext cx="5715000" cy="3533775"/>
    <xdr:graphicFrame>
      <xdr:nvGraphicFramePr>
        <xdr:cNvPr id="15" name="Chart 1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304800</xdr:colOff>
      <xdr:row>2</xdr:row>
      <xdr:rowOff>95250</xdr:rowOff>
    </xdr:from>
    <xdr:ext cx="5715000" cy="3533775"/>
    <xdr:graphicFrame>
      <xdr:nvGraphicFramePr>
        <xdr:cNvPr id="16" name="Chart 1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22</xdr:row>
      <xdr:rowOff>133350</xdr:rowOff>
    </xdr:from>
    <xdr:ext cx="5715000" cy="3533775"/>
    <xdr:graphicFrame>
      <xdr:nvGraphicFramePr>
        <xdr:cNvPr id="17" name="Chart 1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57150</xdr:colOff>
      <xdr:row>1</xdr:row>
      <xdr:rowOff>161925</xdr:rowOff>
    </xdr:from>
    <xdr:ext cx="7429500" cy="4591050"/>
    <xdr:graphicFrame>
      <xdr:nvGraphicFramePr>
        <xdr:cNvPr id="18" name="Chart 1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390525</xdr:colOff>
      <xdr:row>17</xdr:row>
      <xdr:rowOff>104775</xdr:rowOff>
    </xdr:from>
    <xdr:ext cx="5715000" cy="3533775"/>
    <xdr:graphicFrame>
      <xdr:nvGraphicFramePr>
        <xdr:cNvPr id="19" name="Chart 1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38100</xdr:colOff>
      <xdr:row>0</xdr:row>
      <xdr:rowOff>95250</xdr:rowOff>
    </xdr:from>
    <xdr:ext cx="5715000" cy="3533775"/>
    <xdr:graphicFrame>
      <xdr:nvGraphicFramePr>
        <xdr:cNvPr id="20" name="Chart 2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28575</xdr:colOff>
      <xdr:row>0</xdr:row>
      <xdr:rowOff>19050</xdr:rowOff>
    </xdr:from>
    <xdr:ext cx="3419475" cy="3476625"/>
    <xdr:pic>
      <xdr:nvPicPr>
        <xdr:cNvPr id="0" name="image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390525</xdr:colOff>
      <xdr:row>17</xdr:row>
      <xdr:rowOff>104775</xdr:rowOff>
    </xdr:from>
    <xdr:ext cx="5715000" cy="3533775"/>
    <xdr:graphicFrame>
      <xdr:nvGraphicFramePr>
        <xdr:cNvPr id="21" name="Chart 2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38100</xdr:colOff>
      <xdr:row>0</xdr:row>
      <xdr:rowOff>66675</xdr:rowOff>
    </xdr:from>
    <xdr:ext cx="5715000" cy="3533775"/>
    <xdr:graphicFrame>
      <xdr:nvGraphicFramePr>
        <xdr:cNvPr id="22" name="Chart 2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314325</xdr:colOff>
      <xdr:row>17</xdr:row>
      <xdr:rowOff>66675</xdr:rowOff>
    </xdr:from>
    <xdr:ext cx="5715000" cy="3533775"/>
    <xdr:graphicFrame>
      <xdr:nvGraphicFramePr>
        <xdr:cNvPr id="23" name="Chart 2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314325</xdr:colOff>
      <xdr:row>0</xdr:row>
      <xdr:rowOff>0</xdr:rowOff>
    </xdr:from>
    <xdr:ext cx="5715000" cy="3533775"/>
    <xdr:graphicFrame>
      <xdr:nvGraphicFramePr>
        <xdr:cNvPr id="24" name="Chart 2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57150</xdr:colOff>
      <xdr:row>0</xdr:row>
      <xdr:rowOff>0</xdr:rowOff>
    </xdr:from>
    <xdr:ext cx="5715000" cy="3533775"/>
    <xdr:graphicFrame>
      <xdr:nvGraphicFramePr>
        <xdr:cNvPr id="25" name="Chart 2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57150</xdr:colOff>
      <xdr:row>17</xdr:row>
      <xdr:rowOff>47625</xdr:rowOff>
    </xdr:from>
    <xdr:ext cx="5715000" cy="3533775"/>
    <xdr:graphicFrame>
      <xdr:nvGraphicFramePr>
        <xdr:cNvPr id="26" name="Chart 2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17</xdr:row>
      <xdr:rowOff>19050</xdr:rowOff>
    </xdr:from>
    <xdr:ext cx="5715000" cy="3533775"/>
    <xdr:graphicFrame>
      <xdr:nvGraphicFramePr>
        <xdr:cNvPr id="27" name="Chart 2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485775</xdr:colOff>
      <xdr:row>0</xdr:row>
      <xdr:rowOff>0</xdr:rowOff>
    </xdr:from>
    <xdr:ext cx="5819775" cy="3600450"/>
    <xdr:graphicFrame>
      <xdr:nvGraphicFramePr>
        <xdr:cNvPr id="28" name="Chart 2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542925</xdr:colOff>
      <xdr:row>17</xdr:row>
      <xdr:rowOff>66675</xdr:rowOff>
    </xdr:from>
    <xdr:ext cx="5715000" cy="3533775"/>
    <xdr:graphicFrame>
      <xdr:nvGraphicFramePr>
        <xdr:cNvPr id="29" name="Chart 2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485775</xdr:colOff>
      <xdr:row>0</xdr:row>
      <xdr:rowOff>0</xdr:rowOff>
    </xdr:from>
    <xdr:ext cx="5819775" cy="3600450"/>
    <xdr:graphicFrame>
      <xdr:nvGraphicFramePr>
        <xdr:cNvPr id="30" name="Chart 3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1676400</xdr:colOff>
      <xdr:row>0</xdr:row>
      <xdr:rowOff>76200</xdr:rowOff>
    </xdr:from>
    <xdr:ext cx="5715000" cy="3533775"/>
    <xdr:graphicFrame>
      <xdr:nvGraphicFramePr>
        <xdr:cNvPr id="31" name="Chart 3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228600</xdr:colOff>
      <xdr:row>0</xdr:row>
      <xdr:rowOff>0</xdr:rowOff>
    </xdr:from>
    <xdr:ext cx="5715000" cy="3533775"/>
    <xdr:graphicFrame>
      <xdr:nvGraphicFramePr>
        <xdr:cNvPr id="32" name="Chart 3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171450</xdr:colOff>
      <xdr:row>17</xdr:row>
      <xdr:rowOff>9525</xdr:rowOff>
    </xdr:from>
    <xdr:ext cx="5715000" cy="3533775"/>
    <xdr:graphicFrame>
      <xdr:nvGraphicFramePr>
        <xdr:cNvPr id="33" name="Chart 3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</xdr:colOff>
      <xdr:row>0</xdr:row>
      <xdr:rowOff>152400</xdr:rowOff>
    </xdr:from>
    <xdr:ext cx="5715000" cy="3533775"/>
    <xdr:graphicFrame>
      <xdr:nvGraphicFramePr>
        <xdr:cNvPr id="34" name="Chart 3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85725</xdr:colOff>
      <xdr:row>16</xdr:row>
      <xdr:rowOff>28575</xdr:rowOff>
    </xdr:from>
    <xdr:ext cx="5715000" cy="3533775"/>
    <xdr:graphicFrame>
      <xdr:nvGraphicFramePr>
        <xdr:cNvPr id="35" name="Chart 3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</xdr:colOff>
      <xdr:row>0</xdr:row>
      <xdr:rowOff>152400</xdr:rowOff>
    </xdr:from>
    <xdr:ext cx="5715000" cy="3533775"/>
    <xdr:graphicFrame>
      <xdr:nvGraphicFramePr>
        <xdr:cNvPr id="36" name="Chart 3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85725</xdr:colOff>
      <xdr:row>16</xdr:row>
      <xdr:rowOff>28575</xdr:rowOff>
    </xdr:from>
    <xdr:ext cx="5715000" cy="3533775"/>
    <xdr:graphicFrame>
      <xdr:nvGraphicFramePr>
        <xdr:cNvPr id="37" name="Chart 3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219075</xdr:colOff>
      <xdr:row>1</xdr:row>
      <xdr:rowOff>95250</xdr:rowOff>
    </xdr:from>
    <xdr:ext cx="5715000" cy="3533775"/>
    <xdr:graphicFrame>
      <xdr:nvGraphicFramePr>
        <xdr:cNvPr id="38" name="Chart 3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85725</xdr:colOff>
      <xdr:row>1</xdr:row>
      <xdr:rowOff>190500</xdr:rowOff>
    </xdr:from>
    <xdr:ext cx="5715000" cy="3533775"/>
    <xdr:graphicFrame>
      <xdr:nvGraphicFramePr>
        <xdr:cNvPr id="39" name="Chart 3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</xdr:colOff>
      <xdr:row>2</xdr:row>
      <xdr:rowOff>47625</xdr:rowOff>
    </xdr:from>
    <xdr:ext cx="5715000" cy="3533775"/>
    <xdr:graphicFrame>
      <xdr:nvGraphicFramePr>
        <xdr:cNvPr id="40" name="Chart 4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76200</xdr:colOff>
      <xdr:row>0</xdr:row>
      <xdr:rowOff>0</xdr:rowOff>
    </xdr:from>
    <xdr:ext cx="5715000" cy="3533775"/>
    <xdr:graphicFrame>
      <xdr:nvGraphicFramePr>
        <xdr:cNvPr id="41" name="Chart 4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76200</xdr:colOff>
      <xdr:row>17</xdr:row>
      <xdr:rowOff>66675</xdr:rowOff>
    </xdr:from>
    <xdr:ext cx="5715000" cy="3533775"/>
    <xdr:graphicFrame>
      <xdr:nvGraphicFramePr>
        <xdr:cNvPr id="42" name="Chart 4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66675</xdr:colOff>
      <xdr:row>0</xdr:row>
      <xdr:rowOff>9525</xdr:rowOff>
    </xdr:from>
    <xdr:ext cx="5715000" cy="3533775"/>
    <xdr:graphicFrame>
      <xdr:nvGraphicFramePr>
        <xdr:cNvPr id="43" name="Chart 4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1504950</xdr:colOff>
      <xdr:row>0</xdr:row>
      <xdr:rowOff>85725</xdr:rowOff>
    </xdr:from>
    <xdr:ext cx="5715000" cy="3533775"/>
    <xdr:graphicFrame>
      <xdr:nvGraphicFramePr>
        <xdr:cNvPr id="44" name="Chart 4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28575</xdr:colOff>
      <xdr:row>17</xdr:row>
      <xdr:rowOff>257175</xdr:rowOff>
    </xdr:from>
    <xdr:ext cx="5715000" cy="3533775"/>
    <xdr:graphicFrame>
      <xdr:nvGraphicFramePr>
        <xdr:cNvPr id="45" name="Chart 4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66675</xdr:colOff>
      <xdr:row>21</xdr:row>
      <xdr:rowOff>47625</xdr:rowOff>
    </xdr:from>
    <xdr:ext cx="5715000" cy="3533775"/>
    <xdr:graphicFrame>
      <xdr:nvGraphicFramePr>
        <xdr:cNvPr id="46" name="Chart 4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190500</xdr:colOff>
      <xdr:row>5</xdr:row>
      <xdr:rowOff>9525</xdr:rowOff>
    </xdr:from>
    <xdr:ext cx="5715000" cy="3533775"/>
    <xdr:graphicFrame>
      <xdr:nvGraphicFramePr>
        <xdr:cNvPr id="47" name="Chart 4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headerRowCount="0" ref="F3:G34" displayName="Table_1" name="Table_1" id="1">
  <tableColumns count="2">
    <tableColumn name="Column1" id="1"/>
    <tableColumn name="Column2" id="2"/>
  </tableColumns>
  <tableStyleInfo name="Acciones individual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F36:G36" displayName="Table_2" name="Table_2" id="2">
  <tableColumns count="2">
    <tableColumn name="Column1" id="1"/>
    <tableColumn name="Column2" id="2"/>
  </tableColumns>
  <tableStyleInfo name="Acciones individuales-style 2" showColumnStripes="0" showFirstColumn="1" showLastColumn="1" showRowStripes="1"/>
</table>
</file>

<file path=xl/tables/table3.xml><?xml version="1.0" encoding="utf-8"?>
<table xmlns="http://schemas.openxmlformats.org/spreadsheetml/2006/main" totalsRowCount="1" ref="A10:D14" displayName="Tactical_15" name="Tactical_15" id="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Working Capital USDPesos-style" showColumnStripes="0" showFirstColumn="1" showLastColumn="1" showRowStripes="1"/>
</table>
</file>

<file path=xl/tables/table4.xml><?xml version="1.0" encoding="utf-8"?>
<table xmlns="http://schemas.openxmlformats.org/spreadsheetml/2006/main" totalsRowCount="1" ref="A9:D13" displayName="Tactical_19" name="Tactical_19" id="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Working Capital Pesos-style" showColumnStripes="0" showFirstColumn="1" showLastColumn="1" showRowStripes="1"/>
</table>
</file>

<file path=xl/tables/table5.xml><?xml version="1.0" encoding="utf-8"?>
<table xmlns="http://schemas.openxmlformats.org/spreadsheetml/2006/main" totalsRowCount="1" ref="A9:D13" displayName="Tactical_10" name="Tactical_10" id="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Corto Plazo-style" showColumnStripes="0" showFirstColumn="1" showLastColumn="1" showRowStripes="1"/>
</table>
</file>

<file path=xl/tables/table6.xml><?xml version="1.0" encoding="utf-8"?>
<table xmlns="http://schemas.openxmlformats.org/spreadsheetml/2006/main" totalsRowCount="1" ref="A10:D14" displayName="Tactical" name="Tactical" id="6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Hiper Conservado-style" showColumnStripes="0" showFirstColumn="1" showLastColumn="1" showRowStripes="1"/>
</table>
</file>

<file path=xl/tables/table7.xml><?xml version="1.0" encoding="utf-8"?>
<table xmlns="http://schemas.openxmlformats.org/spreadsheetml/2006/main" totalsRowCount="1" ref="A10:D14" displayName="Tactical_2" name="Tactical_2" id="7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+ Oro Conservado-style" showColumnStripes="0" showFirstColumn="1" showLastColumn="1" showRowStripes="1"/>
</table>
</file>

<file path=xl/tables/table8.xml><?xml version="1.0" encoding="utf-8"?>
<table xmlns="http://schemas.openxmlformats.org/spreadsheetml/2006/main" totalsRowCount="1" ref="A12:D18" displayName="Tactical_3" name="Tactical_3" id="8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Mixta + Metales Mode-style" showColumnStripes="0" showFirstColumn="1" showLastColumn="1" showRowStripes="1"/>
</table>
</file>

<file path=xl/tables/table9.xml><?xml version="1.0" encoding="utf-8"?>
<table xmlns="http://schemas.openxmlformats.org/spreadsheetml/2006/main" totalsRowCount="1" ref="A12:D18" displayName="Tactical_5" name="Tactical_5" id="9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Mixta + Metales Agre-style" showColumnStripes="0" showFirstColumn="1" showLastColumn="1" showRowStripes="1"/>
</table>
</file>

<file path=xl/tables/table10.xml><?xml version="1.0" encoding="utf-8"?>
<table xmlns="http://schemas.openxmlformats.org/spreadsheetml/2006/main" totalsRowCount="1" ref="A20:D31" displayName="Tactical_4" name="Tactical_4" id="10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Conservador-style" showColumnStripes="0" showFirstColumn="1" showLastColumn="1" showRowStripes="1"/>
</table>
</file>

<file path=xl/tables/table11.xml><?xml version="1.0" encoding="utf-8"?>
<table xmlns="http://schemas.openxmlformats.org/spreadsheetml/2006/main" totalsRowCount="1" ref="A13:D20" displayName="Tactical_12" name="Tactical_12" id="11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Dividendos-style" showColumnStripes="0" showFirstColumn="1" showLastColumn="1" showRowStripes="1"/>
</table>
</file>

<file path=xl/tables/table12.xml><?xml version="1.0" encoding="utf-8"?>
<table xmlns="http://schemas.openxmlformats.org/spreadsheetml/2006/main" totalsRowCount="1" ref="A20:D31" displayName="Tactical_21" name="Tactical_21" id="12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All Weather-style" showColumnStripes="0" showFirstColumn="1" showLastColumn="1" showRowStripes="1"/>
</table>
</file>

<file path=xl/tables/table13.xml><?xml version="1.0" encoding="utf-8"?>
<table xmlns="http://schemas.openxmlformats.org/spreadsheetml/2006/main" totalsRowCount="1" ref="A20:D31" displayName="Tactical_6" name="Tactical_6" id="1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Moderado-style" showColumnStripes="0" showFirstColumn="1" showLastColumn="1" showRowStripes="1"/>
</table>
</file>

<file path=xl/tables/table14.xml><?xml version="1.0" encoding="utf-8"?>
<table xmlns="http://schemas.openxmlformats.org/spreadsheetml/2006/main" totalsRowCount="1" ref="A20:D31" displayName="Tactical_7" name="Tactical_7" id="1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Agresivo-style" showColumnStripes="0" showFirstColumn="1" showLastColumn="1" showRowStripes="1"/>
</table>
</file>

<file path=xl/tables/table15.xml><?xml version="1.0" encoding="utf-8"?>
<table xmlns="http://schemas.openxmlformats.org/spreadsheetml/2006/main" totalsRowCount="1" ref="A17:D22" displayName="Tactical_13" name="Tactical_13" id="1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actor Alfa-style" showColumnStripes="0" showFirstColumn="1" showLastColumn="1" showRowStripes="1"/>
</table>
</file>

<file path=xl/tables/table16.xml><?xml version="1.0" encoding="utf-8"?>
<table xmlns="http://schemas.openxmlformats.org/spreadsheetml/2006/main" totalsRowCount="1" ref="A18:D25" displayName="Tactical_16" name="Tactical_16" id="16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uturos + Renta Mixta Conservad-style" showColumnStripes="0" showFirstColumn="1" showLastColumn="1" showRowStripes="1"/>
</table>
</file>

<file path=xl/tables/table17.xml><?xml version="1.0" encoding="utf-8"?>
<table xmlns="http://schemas.openxmlformats.org/spreadsheetml/2006/main" totalsRowCount="1" ref="A21:D35" displayName="Tactical_17" name="Tactical_17" id="17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uturos + Renta Mixta Moderado-style" showColumnStripes="0" showFirstColumn="1" showLastColumn="1" showRowStripes="1"/>
</table>
</file>

<file path=xl/tables/table18.xml><?xml version="1.0" encoding="utf-8"?>
<table xmlns="http://schemas.openxmlformats.org/spreadsheetml/2006/main" totalsRowCount="1" ref="A21:D35" displayName="Tactical_18" name="Tactical_18" id="18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uturos + Renta Mixta Agresivo-style" showColumnStripes="0" showFirstColumn="1" showLastColumn="1" showRowStripes="1"/>
</table>
</file>

<file path=xl/tables/table19.xml><?xml version="1.0" encoding="utf-8"?>
<table xmlns="http://schemas.openxmlformats.org/spreadsheetml/2006/main" totalsRowCount="1" ref="A19:D24" displayName="Tactical_8" name="Tactical_8" id="19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CERA Conservador-style" showColumnStripes="0" showFirstColumn="1" showLastColumn="1" showRowStripes="1"/>
</table>
</file>

<file path=xl/tables/table20.xml><?xml version="1.0" encoding="utf-8"?>
<table xmlns="http://schemas.openxmlformats.org/spreadsheetml/2006/main" totalsRowCount="1" ref="A14:D19" displayName="Tactical_9" name="Tactical_9" id="20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CERA Agresivo-style" showColumnStripes="0" showFirstColumn="1" showLastColumn="1" showRowStripes="1"/>
</table>
</file>

<file path=xl/tables/table21.xml><?xml version="1.0" encoding="utf-8"?>
<table xmlns="http://schemas.openxmlformats.org/spreadsheetml/2006/main" totalsRowCount="1" ref="A14:D19" displayName="Tactical_22" name="Tactical_22" id="21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ARGY sin ONs-style" showColumnStripes="0" showFirstColumn="1" showLastColumn="1" showRowStripes="1"/>
</table>
</file>

<file path=xl/tables/table22.xml><?xml version="1.0" encoding="utf-8"?>
<table xmlns="http://schemas.openxmlformats.org/spreadsheetml/2006/main" totalsRowCount="1" ref="A19:D30" displayName="Tactical_11" name="Tactical_11" id="22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Lau 8-style" showColumnStripes="0" showFirstColumn="1" showLastColumn="1" showRowStripes="1"/>
</table>
</file>

<file path=xl/tables/table23.xml><?xml version="1.0" encoding="utf-8"?>
<table xmlns="http://schemas.openxmlformats.org/spreadsheetml/2006/main" totalsRowCount="1" ref="B18:E30" displayName="Tabla_2" name="Tabla_2" id="2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Marian-style" showColumnStripes="0" showFirstColumn="1" showLastColumn="1" showRowStripes="1"/>
</table>
</file>

<file path=xl/tables/table24.xml><?xml version="1.0" encoding="utf-8"?>
<table xmlns="http://schemas.openxmlformats.org/spreadsheetml/2006/main" totalsRowCount="1" ref="A19:D27" displayName="Tactical_14" name="Tactical_14" id="2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Quiles-style" showColumnStripes="0" showFirstColumn="1" showLastColumn="1" showRowStripes="1"/>
</table>
</file>

<file path=xl/tables/table25.xml><?xml version="1.0" encoding="utf-8"?>
<table xmlns="http://schemas.openxmlformats.org/spreadsheetml/2006/main" totalsRowCount="1" ref="A12:D18" displayName="Tactical_20" name="Tactical_20" id="2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Hector Mori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ba.cd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lackrock.com/cl/productos/239572/ishares-jp-morgan-usd-emerging-markets-bond-etf" TargetMode="External"/><Relationship Id="rId2" Type="http://schemas.openxmlformats.org/officeDocument/2006/relationships/hyperlink" Target="https://www.blackrock.com/cl/productos/239525/ishares-emerging-markets-corporate-bond-etf" TargetMode="External"/><Relationship Id="rId3" Type="http://schemas.openxmlformats.org/officeDocument/2006/relationships/hyperlink" Target="https://www.vaneck.com/us/en/investments/jp-morgan-em-local-currency-bond-etf-emlc/" TargetMode="External"/><Relationship Id="rId4" Type="http://schemas.openxmlformats.org/officeDocument/2006/relationships/hyperlink" Target="https://interactive.researchaffiliates.com/asset-allocation" TargetMode="External"/><Relationship Id="rId5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app.powerbi.com/links/IE6ye0vHLu?ctid=1123ebae-a006-42c7-9ea3-c84a2feb0e65&amp;pbi_source=linkShare&amp;bookmarkGuid=4130a6f3-0dff-4d8c-a2a6-b90b72c6bc28" TargetMode="External"/><Relationship Id="rId42" Type="http://schemas.openxmlformats.org/officeDocument/2006/relationships/hyperlink" Target="https://app.powerbi.com/links/IE6ye0vHLu?ctid=1123ebae-a006-42c7-9ea3-c84a2feb0e65&amp;pbi_source=linkShare&amp;bookmarkGuid=d68a35ed-ee43-4b9a-8c14-a94be9249a89" TargetMode="External"/><Relationship Id="rId41" Type="http://schemas.openxmlformats.org/officeDocument/2006/relationships/hyperlink" Target="https://app.powerbi.com/links/IE6ye0vHLu?ctid=1123ebae-a006-42c7-9ea3-c84a2feb0e65&amp;pbi_source=linkShare&amp;bookmarkGuid=f8d90fab-5753-4d34-b897-a8944f6a3384" TargetMode="External"/><Relationship Id="rId44" Type="http://schemas.openxmlformats.org/officeDocument/2006/relationships/hyperlink" Target="https://app.powerbi.com/links/IE6ye0vHLu?ctid=1123ebae-a006-42c7-9ea3-c84a2feb0e65&amp;pbi_source=linkShare&amp;bookmarkGuid=f71d8da6-9b2e-44a8-bbe4-c42547918597" TargetMode="External"/><Relationship Id="rId43" Type="http://schemas.openxmlformats.org/officeDocument/2006/relationships/hyperlink" Target="https://app.powerbi.com/links/IE6ye0vHLu?ctid=1123ebae-a006-42c7-9ea3-c84a2feb0e65&amp;pbi_source=linkShare&amp;bookmarkGuid=3dc43da3-e218-4e61-9e7b-4c02e476f0b3" TargetMode="External"/><Relationship Id="rId46" Type="http://schemas.openxmlformats.org/officeDocument/2006/relationships/hyperlink" Target="https://app.powerbi.com/links/IE6ye0vHLu?ctid=1123ebae-a006-42c7-9ea3-c84a2feb0e65&amp;pbi_source=linkShare&amp;bookmarkGuid=2391da23-6c8f-427e-a1c0-b50ca4916300" TargetMode="External"/><Relationship Id="rId45" Type="http://schemas.openxmlformats.org/officeDocument/2006/relationships/hyperlink" Target="https://app.powerbi.com/links/IE6ye0vHLu?ctid=1123ebae-a006-42c7-9ea3-c84a2feb0e65&amp;pbi_source=linkShare&amp;bookmarkGuid=d3303bdb-4e4f-49ab-a4a6-32872a1e85e4" TargetMode="External"/><Relationship Id="rId1" Type="http://schemas.openxmlformats.org/officeDocument/2006/relationships/hyperlink" Target="https://app.powerbi.com/links/IE6ye0vHLu?ctid=1123ebae-a006-42c7-9ea3-c84a2feb0e65&amp;pbi_source=linkShare&amp;bookmarkGuid=e8142c36-029e-47d3-9207-82867a0ab3ae" TargetMode="External"/><Relationship Id="rId2" Type="http://schemas.openxmlformats.org/officeDocument/2006/relationships/hyperlink" Target="https://app.powerbi.com/links/IE6ye0vHLu?ctid=1123ebae-a006-42c7-9ea3-c84a2feb0e65&amp;pbi_source=linkShare&amp;bookmarkGuid=e0da2d30-1e6d-4d01-b2b4-dc804f107d73" TargetMode="External"/><Relationship Id="rId3" Type="http://schemas.openxmlformats.org/officeDocument/2006/relationships/hyperlink" Target="https://app.powerbi.com/links/IE6ye0vHLu?ctid=1123ebae-a006-42c7-9ea3-c84a2feb0e65&amp;pbi_source=linkShare&amp;bookmarkGuid=5b2383dc-d56f-4533-a142-67b556b7d271" TargetMode="External"/><Relationship Id="rId4" Type="http://schemas.openxmlformats.org/officeDocument/2006/relationships/hyperlink" Target="https://app.powerbi.com/links/IE6ye0vHLu?ctid=1123ebae-a006-42c7-9ea3-c84a2feb0e65&amp;pbi_source=linkShare&amp;bookmarkGuid=be6a5825-b86f-4b5c-9e4e-d3dba33e89de" TargetMode="External"/><Relationship Id="rId9" Type="http://schemas.openxmlformats.org/officeDocument/2006/relationships/hyperlink" Target="https://app.powerbi.com/links/IE6ye0vHLu?ctid=1123ebae-a006-42c7-9ea3-c84a2feb0e65&amp;pbi_source=linkShare&amp;bookmarkGuid=d3fccec9-980f-4995-aeea-fd5f9e1bda7a" TargetMode="External"/><Relationship Id="rId48" Type="http://schemas.openxmlformats.org/officeDocument/2006/relationships/hyperlink" Target="https://app.powerbi.com/links/IE6ye0vHLu?ctid=1123ebae-a006-42c7-9ea3-c84a2feb0e65&amp;pbi_source=linkShare&amp;bookmarkGuid=2fd82ab5-1f7d-4112-8965-8df2865d78d3" TargetMode="External"/><Relationship Id="rId47" Type="http://schemas.openxmlformats.org/officeDocument/2006/relationships/hyperlink" Target="https://app.powerbi.com/links/IE6ye0vHLu?ctid=1123ebae-a006-42c7-9ea3-c84a2feb0e65&amp;pbi_source=linkShare&amp;bookmarkGuid=20acfe7e-7a3d-48fe-9b3a-049fc714abb1" TargetMode="External"/><Relationship Id="rId49" Type="http://schemas.openxmlformats.org/officeDocument/2006/relationships/hyperlink" Target="https://app.powerbi.com/links/IE6ye0vHLu?ctid=1123ebae-a006-42c7-9ea3-c84a2feb0e65&amp;pbi_source=linkShare&amp;bookmarkGuid=accc7534-87e8-45b6-8b9f-4aae6e3e6360" TargetMode="External"/><Relationship Id="rId5" Type="http://schemas.openxmlformats.org/officeDocument/2006/relationships/hyperlink" Target="https://app.powerbi.com/links/IE6ye0vHLu?ctid=1123ebae-a006-42c7-9ea3-c84a2feb0e65&amp;pbi_source=linkShare&amp;bookmarkGuid=6054b7f3-278f-48a0-bfe2-54c2605f03f8" TargetMode="External"/><Relationship Id="rId6" Type="http://schemas.openxmlformats.org/officeDocument/2006/relationships/hyperlink" Target="https://app.powerbi.com/links/IE6ye0vHLu?ctid=1123ebae-a006-42c7-9ea3-c84a2feb0e65&amp;pbi_source=linkShare&amp;bookmarkGuid=39b51713-8a51-4106-840f-132eb5efcbe3" TargetMode="External"/><Relationship Id="rId7" Type="http://schemas.openxmlformats.org/officeDocument/2006/relationships/hyperlink" Target="https://app.powerbi.com/links/IE6ye0vHLu?ctid=1123ebae-a006-42c7-9ea3-c84a2feb0e65&amp;pbi_source=linkShare&amp;bookmarkGuid=f8f4da37-2ec2-4c05-9ac8-7bc828c8b4cf" TargetMode="External"/><Relationship Id="rId8" Type="http://schemas.openxmlformats.org/officeDocument/2006/relationships/hyperlink" Target="https://app.powerbi.com/links/IE6ye0vHLu?ctid=1123ebae-a006-42c7-9ea3-c84a2feb0e65&amp;pbi_source=linkShare&amp;bookmarkGuid=250e2137-bbe4-43e1-a96e-17ebfb19e5cb" TargetMode="External"/><Relationship Id="rId31" Type="http://schemas.openxmlformats.org/officeDocument/2006/relationships/hyperlink" Target="https://app.powerbi.com/links/IE6ye0vHLu?ctid=1123ebae-a006-42c7-9ea3-c84a2feb0e65&amp;pbi_source=linkShare&amp;bookmarkGuid=2f175728-27fd-468a-8879-91fefc95e526" TargetMode="External"/><Relationship Id="rId30" Type="http://schemas.openxmlformats.org/officeDocument/2006/relationships/hyperlink" Target="https://app.powerbi.com/links/IE6ye0vHLu?ctid=1123ebae-a006-42c7-9ea3-c84a2feb0e65&amp;pbi_source=linkShare&amp;bookmarkGuid=aab0eb50-3e70-4b50-983a-9c6dabd5aecc" TargetMode="External"/><Relationship Id="rId33" Type="http://schemas.openxmlformats.org/officeDocument/2006/relationships/hyperlink" Target="https://app.powerbi.com/links/IE6ye0vHLu?ctid=1123ebae-a006-42c7-9ea3-c84a2feb0e65&amp;pbi_source=linkShare&amp;bookmarkGuid=9980effe-624c-4ee4-b0dd-0975518695e4" TargetMode="External"/><Relationship Id="rId32" Type="http://schemas.openxmlformats.org/officeDocument/2006/relationships/hyperlink" Target="https://app.powerbi.com/links/IE6ye0vHLu?ctid=1123ebae-a006-42c7-9ea3-c84a2feb0e65&amp;pbi_source=linkShare&amp;bookmarkGuid=8ed2858c-df8c-41ce-8cc6-50f30bfc1eef" TargetMode="External"/><Relationship Id="rId35" Type="http://schemas.openxmlformats.org/officeDocument/2006/relationships/hyperlink" Target="https://app.powerbi.com/links/IE6ye0vHLu?ctid=1123ebae-a006-42c7-9ea3-c84a2feb0e65&amp;pbi_source=linkShare&amp;bookmarkGuid=2c4cf0bf-43c4-482d-b56d-0eb7abe758b3" TargetMode="External"/><Relationship Id="rId34" Type="http://schemas.openxmlformats.org/officeDocument/2006/relationships/hyperlink" Target="https://app.powerbi.com/links/IE6ye0vHLu?ctid=1123ebae-a006-42c7-9ea3-c84a2feb0e65&amp;pbi_source=linkShare&amp;bookmarkGuid=a7175178-f806-41fb-9d54-8ca638f00005" TargetMode="External"/><Relationship Id="rId37" Type="http://schemas.openxmlformats.org/officeDocument/2006/relationships/hyperlink" Target="https://app.powerbi.com/links/IE6ye0vHLu?ctid=1123ebae-a006-42c7-9ea3-c84a2feb0e65&amp;pbi_source=linkShare&amp;bookmarkGuid=d68adc12-0107-4c73-8e19-1ba43f3ff8bd" TargetMode="External"/><Relationship Id="rId36" Type="http://schemas.openxmlformats.org/officeDocument/2006/relationships/hyperlink" Target="https://app.powerbi.com/links/IE6ye0vHLu?ctid=1123ebae-a006-42c7-9ea3-c84a2feb0e65&amp;pbi_source=linkShare&amp;bookmarkGuid=e3bd795b-3fb0-47ae-a6fb-47f97f3254bb" TargetMode="External"/><Relationship Id="rId39" Type="http://schemas.openxmlformats.org/officeDocument/2006/relationships/hyperlink" Target="https://app.powerbi.com/links/IE6ye0vHLu?ctid=1123ebae-a006-42c7-9ea3-c84a2feb0e65&amp;pbi_source=linkShare&amp;bookmarkGuid=ee8db934-a6f4-459c-98f2-a58abc17c5da" TargetMode="External"/><Relationship Id="rId38" Type="http://schemas.openxmlformats.org/officeDocument/2006/relationships/hyperlink" Target="https://app.powerbi.com/links/IE6ye0vHLu?ctid=1123ebae-a006-42c7-9ea3-c84a2feb0e65&amp;pbi_source=linkShare&amp;bookmarkGuid=360430f1-9738-4867-85af-8a7061e47203" TargetMode="External"/><Relationship Id="rId20" Type="http://schemas.openxmlformats.org/officeDocument/2006/relationships/hyperlink" Target="https://app.powerbi.com/links/IE6ye0vHLu?ctid=1123ebae-a006-42c7-9ea3-c84a2feb0e65&amp;pbi_source=linkShare&amp;bookmarkGuid=e2747e1f-9a23-4cb9-b694-2617b41b5981" TargetMode="External"/><Relationship Id="rId22" Type="http://schemas.openxmlformats.org/officeDocument/2006/relationships/hyperlink" Target="https://app.powerbi.com/links/IE6ye0vHLu?ctid=1123ebae-a006-42c7-9ea3-c84a2feb0e65&amp;pbi_source=linkShare&amp;bookmarkGuid=9287818c-0786-487f-98e9-902bd050c5ee" TargetMode="External"/><Relationship Id="rId21" Type="http://schemas.openxmlformats.org/officeDocument/2006/relationships/hyperlink" Target="https://app.powerbi.com/links/IE6ye0vHLu?ctid=1123ebae-a006-42c7-9ea3-c84a2feb0e65&amp;pbi_source=linkShare&amp;bookmarkGuid=eb385cb5-c452-4f3c-a813-553120c4b7c2" TargetMode="External"/><Relationship Id="rId24" Type="http://schemas.openxmlformats.org/officeDocument/2006/relationships/hyperlink" Target="https://app.powerbi.com/links/IE6ye0vHLu?ctid=1123ebae-a006-42c7-9ea3-c84a2feb0e65&amp;pbi_source=linkShare&amp;bookmarkGuid=2fd82ab5-1f7d-4112-8965-8df2865d78d3" TargetMode="External"/><Relationship Id="rId23" Type="http://schemas.openxmlformats.org/officeDocument/2006/relationships/hyperlink" Target="https://app.powerbi.com/links/IE6ye0vHLu?ctid=1123ebae-a006-42c7-9ea3-c84a2feb0e65&amp;pbi_source=linkShare&amp;bookmarkGuid=cad91663-165e-49b9-90ce-c214561db139" TargetMode="External"/><Relationship Id="rId26" Type="http://schemas.openxmlformats.org/officeDocument/2006/relationships/hyperlink" Target="https://app.powerbi.com/links/IE6ye0vHLu?ctid=1123ebae-a006-42c7-9ea3-c84a2feb0e65&amp;pbi_source=linkShare&amp;bookmarkGuid=d19ce574-03cb-4356-8a1f-b0214daaf333" TargetMode="External"/><Relationship Id="rId25" Type="http://schemas.openxmlformats.org/officeDocument/2006/relationships/hyperlink" Target="https://app.powerbi.com/links/IE6ye0vHLu?ctid=1123ebae-a006-42c7-9ea3-c84a2feb0e65&amp;pbi_source=linkShare&amp;bookmarkGuid=b6756a16-6183-428e-aa8f-03b426374cea" TargetMode="External"/><Relationship Id="rId28" Type="http://schemas.openxmlformats.org/officeDocument/2006/relationships/hyperlink" Target="https://app.powerbi.com/links/IE6ye0vHLu?ctid=1123ebae-a006-42c7-9ea3-c84a2feb0e65&amp;pbi_source=linkShare&amp;bookmarkGuid=2f3e33f5-160c-4c19-a586-16b08d4bdf21" TargetMode="External"/><Relationship Id="rId27" Type="http://schemas.openxmlformats.org/officeDocument/2006/relationships/hyperlink" Target="https://app.powerbi.com/links/IE6ye0vHLu?ctid=1123ebae-a006-42c7-9ea3-c84a2feb0e65&amp;pbi_source=linkShare&amp;bookmarkGuid=58f7cbc2-4b26-4f20-8d7d-c228b279216b" TargetMode="External"/><Relationship Id="rId29" Type="http://schemas.openxmlformats.org/officeDocument/2006/relationships/hyperlink" Target="https://app.powerbi.com/links/IE6ye0vHLu?ctid=1123ebae-a006-42c7-9ea3-c84a2feb0e65&amp;pbi_source=linkShare&amp;bookmarkGuid=cabb3816-8870-48f4-969b-bb0d02ce5407" TargetMode="External"/><Relationship Id="rId51" Type="http://schemas.openxmlformats.org/officeDocument/2006/relationships/hyperlink" Target="https://app.powerbi.com/links/IE6ye0vHLu?ctid=1123ebae-a006-42c7-9ea3-c84a2feb0e65&amp;pbi_source=linkShare&amp;bookmarkGuid=df792f10-c576-4e9f-b5a3-8ad8c3480658" TargetMode="External"/><Relationship Id="rId50" Type="http://schemas.openxmlformats.org/officeDocument/2006/relationships/hyperlink" Target="https://app.powerbi.com/links/IE6ye0vHLu?ctid=1123ebae-a006-42c7-9ea3-c84a2feb0e65&amp;pbi_source=linkShare&amp;bookmarkGuid=a2b11f21-166d-4ca2-9b2e-324b4d3e0aae" TargetMode="External"/><Relationship Id="rId53" Type="http://schemas.openxmlformats.org/officeDocument/2006/relationships/hyperlink" Target="https://app.powerbi.com/links/IE6ye0vHLu?ctid=1123ebae-a006-42c7-9ea3-c84a2feb0e65&amp;pbi_source=linkShare&amp;bookmarkGuid=2fd82ab5-1f7d-4112-8965-8df2865d78d3" TargetMode="External"/><Relationship Id="rId52" Type="http://schemas.openxmlformats.org/officeDocument/2006/relationships/hyperlink" Target="https://app.powerbi.com/links/IE6ye0vHLu?ctid=1123ebae-a006-42c7-9ea3-c84a2feb0e65&amp;pbi_source=linkShare&amp;bookmarkGuid=7ceb7b9f-eef3-41f4-b4d0-0a5a4130f093" TargetMode="External"/><Relationship Id="rId11" Type="http://schemas.openxmlformats.org/officeDocument/2006/relationships/hyperlink" Target="https://app.powerbi.com/links/IE6ye0vHLu?ctid=1123ebae-a006-42c7-9ea3-c84a2feb0e65&amp;pbi_source=linkShare&amp;bookmarkGuid=d991c3b8-1c18-4821-a70d-8b2dfbadebe4" TargetMode="External"/><Relationship Id="rId10" Type="http://schemas.openxmlformats.org/officeDocument/2006/relationships/hyperlink" Target="https://app.powerbi.com/links/IE6ye0vHLu?ctid=1123ebae-a006-42c7-9ea3-c84a2feb0e65&amp;pbi_source=linkShare&amp;bookmarkGuid=4adeffc3-1871-433c-8f4c-52957ab5fe6a" TargetMode="External"/><Relationship Id="rId54" Type="http://schemas.openxmlformats.org/officeDocument/2006/relationships/drawing" Target="../drawings/drawing5.xml"/><Relationship Id="rId13" Type="http://schemas.openxmlformats.org/officeDocument/2006/relationships/hyperlink" Target="https://app.powerbi.com/links/IE6ye0vHLu?ctid=1123ebae-a006-42c7-9ea3-c84a2feb0e65&amp;pbi_source=linkShare&amp;bookmarkGuid=ec8b944f-f1de-4061-931d-7fdf24828f58" TargetMode="External"/><Relationship Id="rId12" Type="http://schemas.openxmlformats.org/officeDocument/2006/relationships/hyperlink" Target="https://app.powerbi.com/links/IE6ye0vHLu?ctid=1123ebae-a006-42c7-9ea3-c84a2feb0e65&amp;pbi_source=linkShare&amp;bookmarkGuid=d4302ba9-bcb2-45b1-ad2f-031dc74f5e29" TargetMode="External"/><Relationship Id="rId15" Type="http://schemas.openxmlformats.org/officeDocument/2006/relationships/hyperlink" Target="https://app.powerbi.com/links/IE6ye0vHLu?ctid=1123ebae-a006-42c7-9ea3-c84a2feb0e65&amp;pbi_source=linkShare&amp;bookmarkGuid=6fb85a1a-c1f4-4ba2-b065-0fff1e65383d" TargetMode="External"/><Relationship Id="rId14" Type="http://schemas.openxmlformats.org/officeDocument/2006/relationships/hyperlink" Target="https://app.powerbi.com/links/IE6ye0vHLu?ctid=1123ebae-a006-42c7-9ea3-c84a2feb0e65&amp;pbi_source=linkShare&amp;bookmarkGuid=4808bf50-5a6b-462a-840a-91f509409c35" TargetMode="External"/><Relationship Id="rId17" Type="http://schemas.openxmlformats.org/officeDocument/2006/relationships/hyperlink" Target="https://app.powerbi.com/links/IE6ye0vHLu?ctid=1123ebae-a006-42c7-9ea3-c84a2feb0e65&amp;pbi_source=linkShare&amp;bookmarkGuid=8d9f4c72-5863-49da-93e7-f2f4ce5d3a62" TargetMode="External"/><Relationship Id="rId16" Type="http://schemas.openxmlformats.org/officeDocument/2006/relationships/hyperlink" Target="https://app.powerbi.com/links/IE6ye0vHLu?ctid=1123ebae-a006-42c7-9ea3-c84a2feb0e65&amp;pbi_source=linkShare&amp;bookmarkGuid=674e5179-c8af-458d-b140-285a0d959841" TargetMode="External"/><Relationship Id="rId19" Type="http://schemas.openxmlformats.org/officeDocument/2006/relationships/hyperlink" Target="https://app.powerbi.com/links/IE6ye0vHLu?ctid=1123ebae-a006-42c7-9ea3-c84a2feb0e65&amp;pbi_source=linkShare&amp;bookmarkGuid=74d7a466-7f41-438e-bab8-9740fe702529" TargetMode="External"/><Relationship Id="rId18" Type="http://schemas.openxmlformats.org/officeDocument/2006/relationships/hyperlink" Target="https://app.powerbi.com/links/IE6ye0vHLu?ctid=1123ebae-a006-42c7-9ea3-c84a2feb0e65&amp;pbi_source=linkShare&amp;bookmarkGuid=974ab97c-ee1c-48e3-9303-b44a36602daa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matbarofex.com.ar/documentos/investigacion/guia-de-negociacion-futuros-y-opciones-sobre-oro" TargetMode="External"/><Relationship Id="rId2" Type="http://schemas.openxmlformats.org/officeDocument/2006/relationships/hyperlink" Target="https://matbarofex.com.ar/documentos/investigacion/guia-de-negociacion-de-futuros-y-opciones-sobre-petroleo" TargetMode="External"/><Relationship Id="rId3" Type="http://schemas.openxmlformats.org/officeDocument/2006/relationships/hyperlink" Target="https://matbarofex.com.ar/documentos/investigacion/guia-de-negociacion-futuro-y-opciones-de-indice-de-acciones-rofex-20" TargetMode="External"/><Relationship Id="rId4" Type="http://schemas.openxmlformats.org/officeDocument/2006/relationships/hyperlink" Target="https://matbarofex.com.ar/documentos/legales/reglamento-soja-chicago" TargetMode="External"/><Relationship Id="rId5" Type="http://schemas.openxmlformats.org/officeDocument/2006/relationships/hyperlink" Target="https://matbarofex.com.ar/documentos/legales/reglamento-maiz-chicago" TargetMode="External"/><Relationship Id="rId6" Type="http://schemas.openxmlformats.org/officeDocument/2006/relationships/hyperlink" Target="https://matbarofex.com.ar/documentos/legales/reglamento-trigo-mini" TargetMode="External"/><Relationship Id="rId7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4" Type="http://schemas.openxmlformats.org/officeDocument/2006/relationships/table" Target="../tables/table1.xml"/><Relationship Id="rId5" Type="http://schemas.openxmlformats.org/officeDocument/2006/relationships/table" Target="../tables/table2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assets.ctfassets.net/yr8od49a81oq/QLIVVA9qCSqVRJjdnTa8c/2ccd8235bdabd256b186fff7a2f5ec29/GIN_Resumen_Ejecutivo.pdf" TargetMode="External"/><Relationship Id="rId2" Type="http://schemas.openxmlformats.org/officeDocument/2006/relationships/drawing" Target="../drawings/drawing8.xml"/><Relationship Id="rId4" Type="http://schemas.openxmlformats.org/officeDocument/2006/relationships/table" Target="../tables/table3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4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5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6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7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8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3" Type="http://schemas.openxmlformats.org/officeDocument/2006/relationships/table" Target="../tables/table9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Relationship Id="rId3" Type="http://schemas.openxmlformats.org/officeDocument/2006/relationships/table" Target="../tables/table10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11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3" Type="http://schemas.openxmlformats.org/officeDocument/2006/relationships/table" Target="../tables/table12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Relationship Id="rId3" Type="http://schemas.openxmlformats.org/officeDocument/2006/relationships/table" Target="../tables/table13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Relationship Id="rId3" Type="http://schemas.openxmlformats.org/officeDocument/2006/relationships/table" Target="../tables/table14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Relationship Id="rId3" Type="http://schemas.openxmlformats.org/officeDocument/2006/relationships/table" Target="../tables/table15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Relationship Id="rId3" Type="http://schemas.openxmlformats.org/officeDocument/2006/relationships/table" Target="../tables/table16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Relationship Id="rId3" Type="http://schemas.openxmlformats.org/officeDocument/2006/relationships/table" Target="../tables/table17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Relationship Id="rId3" Type="http://schemas.openxmlformats.org/officeDocument/2006/relationships/table" Target="../tables/table18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Relationship Id="rId3" Type="http://schemas.openxmlformats.org/officeDocument/2006/relationships/table" Target="../tables/table19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Relationship Id="rId3" Type="http://schemas.openxmlformats.org/officeDocument/2006/relationships/table" Target="../tables/table20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Relationship Id="rId3" Type="http://schemas.openxmlformats.org/officeDocument/2006/relationships/table" Target="../tables/table21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Relationship Id="rId3" Type="http://schemas.openxmlformats.org/officeDocument/2006/relationships/table" Target="../tables/table22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portfoliovisualizer.com/optimize-portfolio?s=y&amp;sl=01F32UShtI6jgvtMBb8oix" TargetMode="External"/><Relationship Id="rId2" Type="http://schemas.openxmlformats.org/officeDocument/2006/relationships/drawing" Target="../drawings/drawing31.xml"/><Relationship Id="rId4" Type="http://schemas.openxmlformats.org/officeDocument/2006/relationships/table" Target="../tables/table23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hyperlink" Target="http://01211.hk/" TargetMode="External"/><Relationship Id="rId2" Type="http://schemas.openxmlformats.org/officeDocument/2006/relationships/drawing" Target="../drawings/drawing32.xml"/><Relationship Id="rId4" Type="http://schemas.openxmlformats.org/officeDocument/2006/relationships/table" Target="../tables/table24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Relationship Id="rId3" Type="http://schemas.openxmlformats.org/officeDocument/2006/relationships/table" Target="../tables/table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3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  <c r="XV1" s="2" t="s">
        <v>645</v>
      </c>
      <c r="XW1" s="2" t="s">
        <v>646</v>
      </c>
      <c r="XX1" s="2" t="s">
        <v>647</v>
      </c>
      <c r="XY1" s="2" t="s">
        <v>648</v>
      </c>
      <c r="XZ1" s="2" t="s">
        <v>649</v>
      </c>
      <c r="YA1" s="2" t="s">
        <v>650</v>
      </c>
      <c r="YB1" s="2" t="s">
        <v>651</v>
      </c>
      <c r="YC1" s="2" t="s">
        <v>652</v>
      </c>
      <c r="YD1" s="2" t="s">
        <v>653</v>
      </c>
      <c r="YE1" s="2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2" t="s">
        <v>659</v>
      </c>
      <c r="YK1" s="2" t="s">
        <v>660</v>
      </c>
      <c r="YL1" s="2" t="s">
        <v>661</v>
      </c>
      <c r="YM1" s="2" t="s">
        <v>662</v>
      </c>
      <c r="YN1" s="2" t="s">
        <v>663</v>
      </c>
      <c r="YO1" s="2" t="s">
        <v>664</v>
      </c>
      <c r="YP1" s="2" t="s">
        <v>665</v>
      </c>
      <c r="YQ1" s="2" t="s">
        <v>666</v>
      </c>
      <c r="YR1" s="2" t="s">
        <v>667</v>
      </c>
      <c r="YS1" s="2" t="s">
        <v>668</v>
      </c>
      <c r="YT1" s="2" t="s">
        <v>669</v>
      </c>
      <c r="YU1" s="2" t="s">
        <v>670</v>
      </c>
      <c r="YV1" s="2" t="s">
        <v>671</v>
      </c>
      <c r="YW1" s="2" t="s">
        <v>672</v>
      </c>
      <c r="YX1" s="2" t="s">
        <v>673</v>
      </c>
      <c r="YY1" s="2" t="s">
        <v>674</v>
      </c>
      <c r="YZ1" s="2" t="s">
        <v>675</v>
      </c>
      <c r="ZA1" s="2" t="s">
        <v>676</v>
      </c>
      <c r="ZB1" s="2" t="s">
        <v>677</v>
      </c>
      <c r="ZC1" s="2" t="s">
        <v>678</v>
      </c>
      <c r="ZD1" s="2" t="s">
        <v>679</v>
      </c>
      <c r="ZE1" s="2" t="s">
        <v>680</v>
      </c>
      <c r="ZF1" s="2" t="s">
        <v>681</v>
      </c>
      <c r="ZG1" s="2" t="s">
        <v>682</v>
      </c>
      <c r="ZH1" s="2" t="s">
        <v>683</v>
      </c>
      <c r="ZI1" s="2" t="s">
        <v>684</v>
      </c>
      <c r="ZJ1" s="2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2" t="s">
        <v>690</v>
      </c>
      <c r="ZP1" s="2" t="s">
        <v>691</v>
      </c>
      <c r="ZQ1" s="2" t="s">
        <v>692</v>
      </c>
      <c r="ZR1" s="2" t="s">
        <v>693</v>
      </c>
      <c r="ZS1" s="2" t="s">
        <v>694</v>
      </c>
      <c r="ZT1" s="2" t="s">
        <v>695</v>
      </c>
      <c r="ZU1" s="2" t="s">
        <v>696</v>
      </c>
      <c r="ZV1" s="2" t="s">
        <v>697</v>
      </c>
      <c r="ZW1" s="2" t="s">
        <v>698</v>
      </c>
      <c r="ZX1" s="2" t="s">
        <v>699</v>
      </c>
      <c r="ZY1" s="2" t="s">
        <v>700</v>
      </c>
      <c r="ZZ1" s="2" t="s">
        <v>701</v>
      </c>
      <c r="AAA1" s="2" t="s">
        <v>702</v>
      </c>
      <c r="AAB1" s="2" t="s">
        <v>703</v>
      </c>
      <c r="AAC1" s="2" t="s">
        <v>704</v>
      </c>
      <c r="AAD1" s="2" t="s">
        <v>705</v>
      </c>
      <c r="AAE1" s="2" t="s">
        <v>706</v>
      </c>
      <c r="AAF1" s="2" t="s">
        <v>707</v>
      </c>
      <c r="AAG1" s="2" t="s">
        <v>708</v>
      </c>
      <c r="AAH1" s="2" t="s">
        <v>709</v>
      </c>
      <c r="AAI1" s="2" t="s">
        <v>710</v>
      </c>
      <c r="AAJ1" s="2" t="s">
        <v>711</v>
      </c>
      <c r="AAK1" s="2" t="s">
        <v>712</v>
      </c>
      <c r="AAL1" s="2" t="s">
        <v>713</v>
      </c>
      <c r="AAM1" s="2" t="s">
        <v>714</v>
      </c>
      <c r="AAN1" s="2" t="s">
        <v>715</v>
      </c>
      <c r="AAO1" s="2" t="s">
        <v>716</v>
      </c>
      <c r="AAP1" s="2" t="s">
        <v>717</v>
      </c>
      <c r="AAQ1" s="2" t="s">
        <v>718</v>
      </c>
      <c r="AAR1" s="2" t="s">
        <v>719</v>
      </c>
      <c r="AAS1" s="2" t="s">
        <v>720</v>
      </c>
      <c r="AAT1" s="2" t="s">
        <v>721</v>
      </c>
      <c r="AAU1" s="2" t="s">
        <v>722</v>
      </c>
      <c r="AAV1" s="2" t="s">
        <v>723</v>
      </c>
      <c r="AAW1" s="2" t="s">
        <v>724</v>
      </c>
      <c r="AAX1" s="2" t="s">
        <v>725</v>
      </c>
      <c r="AAY1" s="2" t="s">
        <v>726</v>
      </c>
      <c r="AAZ1" s="2" t="s">
        <v>727</v>
      </c>
      <c r="ABA1" s="2" t="s">
        <v>728</v>
      </c>
      <c r="ABB1" s="2" t="s">
        <v>729</v>
      </c>
      <c r="ABC1" s="2" t="s">
        <v>730</v>
      </c>
      <c r="ABD1" s="2" t="s">
        <v>731</v>
      </c>
      <c r="ABE1" s="2" t="s">
        <v>732</v>
      </c>
      <c r="ABF1" s="2" t="s">
        <v>733</v>
      </c>
      <c r="ABG1" s="2" t="s">
        <v>734</v>
      </c>
      <c r="ABH1" s="2" t="s">
        <v>735</v>
      </c>
      <c r="ABI1" s="2" t="s">
        <v>736</v>
      </c>
      <c r="ABJ1" s="2" t="s">
        <v>737</v>
      </c>
      <c r="ABK1" s="2" t="s">
        <v>738</v>
      </c>
      <c r="ABL1" s="2" t="s">
        <v>739</v>
      </c>
      <c r="ABM1" s="2" t="s">
        <v>740</v>
      </c>
      <c r="ABN1" s="2" t="s">
        <v>741</v>
      </c>
      <c r="ABO1" s="2" t="s">
        <v>742</v>
      </c>
      <c r="ABP1" s="2" t="s">
        <v>743</v>
      </c>
      <c r="ABQ1" s="2" t="s">
        <v>744</v>
      </c>
      <c r="ABR1" s="2" t="s">
        <v>745</v>
      </c>
      <c r="ABS1" s="2" t="s">
        <v>746</v>
      </c>
      <c r="ABT1" s="2" t="s">
        <v>747</v>
      </c>
      <c r="ABU1" s="2" t="s">
        <v>748</v>
      </c>
      <c r="ABV1" s="2" t="s">
        <v>749</v>
      </c>
      <c r="ABW1" s="2" t="s">
        <v>750</v>
      </c>
      <c r="ABX1" s="2" t="s">
        <v>751</v>
      </c>
      <c r="ABY1" s="2" t="s">
        <v>752</v>
      </c>
      <c r="ABZ1" s="2" t="s">
        <v>753</v>
      </c>
      <c r="ACA1" s="2" t="s">
        <v>754</v>
      </c>
      <c r="ACB1" s="2" t="s">
        <v>755</v>
      </c>
      <c r="ACC1" s="2" t="s">
        <v>756</v>
      </c>
      <c r="ACD1" s="2" t="s">
        <v>757</v>
      </c>
      <c r="ACE1" s="2" t="s">
        <v>758</v>
      </c>
      <c r="ACF1" s="2" t="s">
        <v>759</v>
      </c>
      <c r="ACG1" s="2" t="s">
        <v>760</v>
      </c>
      <c r="ACH1" s="2" t="s">
        <v>761</v>
      </c>
      <c r="ACI1" s="2" t="s">
        <v>762</v>
      </c>
      <c r="ACJ1" s="2" t="s">
        <v>763</v>
      </c>
      <c r="ACK1" s="2" t="s">
        <v>764</v>
      </c>
      <c r="ACL1" s="2" t="s">
        <v>765</v>
      </c>
      <c r="ACM1" s="2" t="s">
        <v>766</v>
      </c>
      <c r="ACN1" s="2" t="s">
        <v>767</v>
      </c>
      <c r="ACO1" s="2" t="s">
        <v>768</v>
      </c>
      <c r="ACP1" s="2" t="s">
        <v>769</v>
      </c>
      <c r="ACQ1" s="2" t="s">
        <v>770</v>
      </c>
      <c r="ACR1" s="2" t="s">
        <v>771</v>
      </c>
      <c r="ACS1" s="2" t="s">
        <v>772</v>
      </c>
      <c r="ACT1" s="2" t="s">
        <v>773</v>
      </c>
      <c r="ACU1" s="2" t="s">
        <v>774</v>
      </c>
      <c r="ACV1" s="2" t="s">
        <v>775</v>
      </c>
      <c r="ACW1" s="2" t="s">
        <v>776</v>
      </c>
      <c r="ACX1" s="2" t="s">
        <v>777</v>
      </c>
      <c r="ACY1" s="2" t="s">
        <v>778</v>
      </c>
      <c r="ACZ1" s="2" t="s">
        <v>779</v>
      </c>
      <c r="ADA1" s="2" t="s">
        <v>780</v>
      </c>
      <c r="ADB1" s="2" t="s">
        <v>781</v>
      </c>
      <c r="ADC1" s="2" t="s">
        <v>782</v>
      </c>
      <c r="ADD1" s="2" t="s">
        <v>783</v>
      </c>
      <c r="ADE1" s="2" t="s">
        <v>784</v>
      </c>
      <c r="ADF1" s="2" t="s">
        <v>785</v>
      </c>
      <c r="ADG1" s="2" t="s">
        <v>786</v>
      </c>
      <c r="ADH1" s="2" t="s">
        <v>787</v>
      </c>
      <c r="ADI1" s="2" t="s">
        <v>788</v>
      </c>
      <c r="ADJ1" s="2" t="s">
        <v>789</v>
      </c>
      <c r="ADK1" s="2" t="s">
        <v>790</v>
      </c>
      <c r="ADL1" s="2" t="s">
        <v>791</v>
      </c>
      <c r="ADM1" s="2" t="s">
        <v>792</v>
      </c>
      <c r="ADN1" s="2" t="s">
        <v>793</v>
      </c>
      <c r="ADO1" s="2" t="s">
        <v>794</v>
      </c>
      <c r="ADP1" s="2" t="s">
        <v>795</v>
      </c>
      <c r="ADQ1" s="2" t="s">
        <v>796</v>
      </c>
      <c r="ADR1" s="2" t="s">
        <v>797</v>
      </c>
      <c r="ADS1" s="2" t="s">
        <v>798</v>
      </c>
      <c r="ADT1" s="2" t="s">
        <v>799</v>
      </c>
      <c r="ADU1" s="2" t="s">
        <v>800</v>
      </c>
      <c r="ADV1" s="2" t="s">
        <v>801</v>
      </c>
      <c r="ADW1" s="2" t="s">
        <v>802</v>
      </c>
      <c r="ADX1" s="2" t="s">
        <v>803</v>
      </c>
      <c r="ADY1" s="2" t="s">
        <v>804</v>
      </c>
      <c r="ADZ1" s="2" t="s">
        <v>805</v>
      </c>
      <c r="AEA1" s="2" t="s">
        <v>806</v>
      </c>
      <c r="AEB1" s="2" t="s">
        <v>807</v>
      </c>
      <c r="AEC1" s="2" t="s">
        <v>808</v>
      </c>
      <c r="AED1" s="2" t="s">
        <v>809</v>
      </c>
      <c r="AEE1" s="2" t="s">
        <v>810</v>
      </c>
      <c r="AEF1" s="2" t="s">
        <v>811</v>
      </c>
      <c r="AEG1" s="2" t="s">
        <v>812</v>
      </c>
      <c r="AEH1" s="2" t="s">
        <v>813</v>
      </c>
      <c r="AEI1" s="2" t="s">
        <v>814</v>
      </c>
      <c r="AEJ1" s="2" t="s">
        <v>815</v>
      </c>
      <c r="AEK1" s="2" t="s">
        <v>816</v>
      </c>
      <c r="AEL1" s="2" t="s">
        <v>817</v>
      </c>
      <c r="AEM1" s="2" t="s">
        <v>818</v>
      </c>
      <c r="AEN1" s="2" t="s">
        <v>819</v>
      </c>
      <c r="AEO1" s="2" t="s">
        <v>820</v>
      </c>
      <c r="AEP1" s="2" t="s">
        <v>821</v>
      </c>
      <c r="AEQ1" s="2" t="s">
        <v>822</v>
      </c>
      <c r="AER1" s="2" t="s">
        <v>823</v>
      </c>
      <c r="AES1" s="2" t="s">
        <v>824</v>
      </c>
      <c r="AET1" s="2" t="s">
        <v>825</v>
      </c>
      <c r="AEU1" s="2" t="s">
        <v>826</v>
      </c>
      <c r="AEV1" s="2" t="s">
        <v>827</v>
      </c>
      <c r="AEW1" s="2" t="s">
        <v>828</v>
      </c>
      <c r="AEX1" s="2" t="s">
        <v>829</v>
      </c>
      <c r="AEY1" s="2" t="s">
        <v>830</v>
      </c>
      <c r="AEZ1" s="2" t="s">
        <v>831</v>
      </c>
      <c r="AFA1" s="2" t="s">
        <v>832</v>
      </c>
      <c r="AFB1" s="2" t="s">
        <v>833</v>
      </c>
      <c r="AFC1" s="2" t="s">
        <v>834</v>
      </c>
      <c r="AFD1" s="2" t="s">
        <v>835</v>
      </c>
      <c r="AFE1" s="2" t="s">
        <v>836</v>
      </c>
      <c r="AFF1" s="2" t="s">
        <v>837</v>
      </c>
      <c r="AFG1" s="2" t="s">
        <v>838</v>
      </c>
      <c r="AFH1" s="2" t="s">
        <v>839</v>
      </c>
      <c r="AFI1" s="2" t="s">
        <v>840</v>
      </c>
      <c r="AFJ1" s="2" t="s">
        <v>841</v>
      </c>
      <c r="AFK1" s="2" t="s">
        <v>842</v>
      </c>
      <c r="AFL1" s="2" t="s">
        <v>843</v>
      </c>
      <c r="AFM1" s="2" t="s">
        <v>844</v>
      </c>
      <c r="AFN1" s="2" t="s">
        <v>845</v>
      </c>
      <c r="AFO1" s="2" t="s">
        <v>846</v>
      </c>
      <c r="AFP1" s="2" t="s">
        <v>847</v>
      </c>
      <c r="AFQ1" s="2" t="s">
        <v>848</v>
      </c>
      <c r="AFR1" s="2" t="s">
        <v>849</v>
      </c>
      <c r="AFS1" s="2" t="s">
        <v>850</v>
      </c>
      <c r="AFT1" s="2" t="s">
        <v>851</v>
      </c>
      <c r="AFU1" s="2" t="s">
        <v>852</v>
      </c>
      <c r="AFV1" s="2" t="s">
        <v>853</v>
      </c>
      <c r="AFW1" s="2" t="s">
        <v>854</v>
      </c>
      <c r="AFX1" s="2" t="s">
        <v>855</v>
      </c>
      <c r="AFY1" s="2" t="s">
        <v>856</v>
      </c>
      <c r="AFZ1" s="2" t="s">
        <v>857</v>
      </c>
      <c r="AGA1" s="2" t="s">
        <v>858</v>
      </c>
      <c r="AGB1" s="2" t="s">
        <v>859</v>
      </c>
      <c r="AGC1" s="2" t="s">
        <v>860</v>
      </c>
      <c r="AGD1" s="2" t="s">
        <v>861</v>
      </c>
      <c r="AGE1" s="2" t="s">
        <v>862</v>
      </c>
      <c r="AGF1" s="2" t="s">
        <v>863</v>
      </c>
      <c r="AGG1" s="2" t="s">
        <v>864</v>
      </c>
      <c r="AGH1" s="2" t="s">
        <v>865</v>
      </c>
      <c r="AGI1" s="2" t="s">
        <v>866</v>
      </c>
      <c r="AGJ1" s="2" t="s">
        <v>867</v>
      </c>
      <c r="AGK1" s="2" t="s">
        <v>868</v>
      </c>
      <c r="AGL1" s="2" t="s">
        <v>869</v>
      </c>
      <c r="AGM1" s="2" t="s">
        <v>870</v>
      </c>
      <c r="AGN1" s="2" t="s">
        <v>871</v>
      </c>
      <c r="AGO1" s="2" t="s">
        <v>872</v>
      </c>
      <c r="AGP1" s="2" t="s">
        <v>873</v>
      </c>
      <c r="AGQ1" s="2" t="s">
        <v>874</v>
      </c>
      <c r="AGR1" s="2" t="s">
        <v>875</v>
      </c>
      <c r="AGS1" s="2" t="s">
        <v>876</v>
      </c>
      <c r="AGT1" s="2" t="s">
        <v>877</v>
      </c>
      <c r="AGU1" s="2" t="s">
        <v>878</v>
      </c>
      <c r="AGV1" s="2" t="s">
        <v>879</v>
      </c>
      <c r="AGW1" s="2" t="s">
        <v>880</v>
      </c>
      <c r="AGX1" s="2" t="s">
        <v>881</v>
      </c>
      <c r="AGY1" s="2" t="s">
        <v>882</v>
      </c>
      <c r="AGZ1" s="2" t="s">
        <v>883</v>
      </c>
      <c r="AHA1" s="2" t="s">
        <v>884</v>
      </c>
      <c r="AHB1" s="2" t="s">
        <v>885</v>
      </c>
      <c r="AHC1" s="2" t="s">
        <v>886</v>
      </c>
      <c r="AHD1" s="2" t="s">
        <v>887</v>
      </c>
      <c r="AHE1" s="2" t="s">
        <v>888</v>
      </c>
      <c r="AHF1" s="2" t="s">
        <v>889</v>
      </c>
      <c r="AHG1" s="2" t="s">
        <v>890</v>
      </c>
      <c r="AHH1" s="2" t="s">
        <v>891</v>
      </c>
      <c r="AHI1" s="2" t="s">
        <v>892</v>
      </c>
      <c r="AHJ1" s="2" t="s">
        <v>893</v>
      </c>
      <c r="AHK1" s="2" t="s">
        <v>894</v>
      </c>
      <c r="AHL1" s="2" t="s">
        <v>895</v>
      </c>
      <c r="AHM1" s="2" t="s">
        <v>896</v>
      </c>
      <c r="AHN1" s="2" t="s">
        <v>897</v>
      </c>
      <c r="AHO1" s="2" t="s">
        <v>898</v>
      </c>
      <c r="AHP1" s="2" t="s">
        <v>899</v>
      </c>
      <c r="AHQ1" s="2" t="s">
        <v>900</v>
      </c>
      <c r="AHR1" s="2" t="s">
        <v>901</v>
      </c>
      <c r="AHS1" s="2" t="s">
        <v>902</v>
      </c>
      <c r="AHT1" s="2" t="s">
        <v>903</v>
      </c>
      <c r="AHU1" s="2" t="s">
        <v>904</v>
      </c>
      <c r="AHV1" s="2" t="s">
        <v>905</v>
      </c>
      <c r="AHW1" s="2" t="s">
        <v>906</v>
      </c>
      <c r="AHX1" s="2" t="s">
        <v>907</v>
      </c>
      <c r="AHY1" s="2" t="s">
        <v>908</v>
      </c>
      <c r="AHZ1" s="2" t="s">
        <v>909</v>
      </c>
      <c r="AIA1" s="2" t="s">
        <v>910</v>
      </c>
      <c r="AIB1" s="2" t="s">
        <v>911</v>
      </c>
      <c r="AIC1" s="2" t="s">
        <v>912</v>
      </c>
      <c r="AID1" s="2" t="s">
        <v>913</v>
      </c>
      <c r="AIE1" s="2" t="s">
        <v>914</v>
      </c>
      <c r="AIF1" s="2" t="s">
        <v>915</v>
      </c>
      <c r="AIG1" s="2" t="s">
        <v>916</v>
      </c>
      <c r="AIH1" s="2" t="s">
        <v>917</v>
      </c>
      <c r="AII1" s="2" t="s">
        <v>918</v>
      </c>
      <c r="AIJ1" s="2" t="s">
        <v>919</v>
      </c>
      <c r="AIK1" s="2" t="s">
        <v>920</v>
      </c>
      <c r="AIL1" s="2" t="s">
        <v>921</v>
      </c>
      <c r="AIM1" s="2" t="s">
        <v>922</v>
      </c>
      <c r="AIN1" s="2" t="s">
        <v>923</v>
      </c>
      <c r="AIO1" s="2" t="s">
        <v>924</v>
      </c>
      <c r="AIP1" s="2" t="s">
        <v>925</v>
      </c>
      <c r="AIQ1" s="2" t="s">
        <v>926</v>
      </c>
      <c r="AIR1" s="2" t="s">
        <v>927</v>
      </c>
      <c r="AIS1" s="2" t="s">
        <v>928</v>
      </c>
      <c r="AIT1" s="2" t="s">
        <v>929</v>
      </c>
      <c r="AIU1" s="2" t="s">
        <v>930</v>
      </c>
      <c r="AIV1" s="2" t="s">
        <v>931</v>
      </c>
      <c r="AIW1" s="2" t="s">
        <v>932</v>
      </c>
      <c r="AIX1" s="2" t="s">
        <v>933</v>
      </c>
      <c r="AIY1" s="2" t="s">
        <v>934</v>
      </c>
      <c r="AIZ1" s="2" t="s">
        <v>935</v>
      </c>
      <c r="AJA1" s="2" t="s">
        <v>936</v>
      </c>
      <c r="AJB1" s="2" t="s">
        <v>937</v>
      </c>
      <c r="AJC1" s="2" t="s">
        <v>938</v>
      </c>
      <c r="AJD1" s="2" t="s">
        <v>939</v>
      </c>
      <c r="AJE1" s="2" t="s">
        <v>940</v>
      </c>
      <c r="AJF1" s="2" t="s">
        <v>941</v>
      </c>
      <c r="AJG1" s="2" t="s">
        <v>942</v>
      </c>
      <c r="AJH1" s="2" t="s">
        <v>943</v>
      </c>
      <c r="AJI1" s="2" t="s">
        <v>944</v>
      </c>
      <c r="AJJ1" s="2" t="s">
        <v>945</v>
      </c>
      <c r="AJK1" s="2" t="s">
        <v>946</v>
      </c>
      <c r="AJL1" s="2" t="s">
        <v>947</v>
      </c>
      <c r="AJM1" s="2" t="s">
        <v>948</v>
      </c>
      <c r="AJN1" s="2" t="s">
        <v>949</v>
      </c>
      <c r="AJO1" s="2" t="s">
        <v>950</v>
      </c>
      <c r="AJP1" s="2" t="s">
        <v>951</v>
      </c>
      <c r="AJQ1" s="2" t="s">
        <v>952</v>
      </c>
      <c r="AJR1" s="2" t="s">
        <v>953</v>
      </c>
      <c r="AJS1" s="2" t="s">
        <v>954</v>
      </c>
      <c r="AJT1" s="2" t="s">
        <v>955</v>
      </c>
      <c r="AJU1" s="2" t="s">
        <v>956</v>
      </c>
      <c r="AJV1" s="2" t="s">
        <v>957</v>
      </c>
      <c r="AJW1" s="2" t="s">
        <v>958</v>
      </c>
      <c r="AJX1" s="2" t="s">
        <v>959</v>
      </c>
      <c r="AJY1" s="2" t="s">
        <v>960</v>
      </c>
      <c r="AJZ1" s="2" t="s">
        <v>961</v>
      </c>
      <c r="AKA1" s="2" t="s">
        <v>962</v>
      </c>
      <c r="AKB1" s="2" t="s">
        <v>963</v>
      </c>
      <c r="AKC1" s="2" t="s">
        <v>964</v>
      </c>
      <c r="AKD1" s="2" t="s">
        <v>965</v>
      </c>
      <c r="AKE1" s="2" t="s">
        <v>966</v>
      </c>
      <c r="AKF1" s="2" t="s">
        <v>967</v>
      </c>
      <c r="AKG1" s="2" t="s">
        <v>968</v>
      </c>
      <c r="AKH1" s="2" t="s">
        <v>969</v>
      </c>
      <c r="AKI1" s="2" t="s">
        <v>970</v>
      </c>
      <c r="AKJ1" s="2" t="s">
        <v>971</v>
      </c>
      <c r="AKK1" s="2" t="s">
        <v>972</v>
      </c>
      <c r="AKL1" s="2" t="s">
        <v>973</v>
      </c>
      <c r="AKM1" s="2" t="s">
        <v>974</v>
      </c>
      <c r="AKN1" s="2" t="s">
        <v>975</v>
      </c>
      <c r="AKO1" s="2" t="s">
        <v>976</v>
      </c>
      <c r="AKP1" s="2" t="s">
        <v>977</v>
      </c>
      <c r="AKQ1" s="2" t="s">
        <v>978</v>
      </c>
      <c r="AKR1" s="2" t="s">
        <v>979</v>
      </c>
      <c r="AKS1" s="2" t="s">
        <v>980</v>
      </c>
      <c r="AKT1" s="2" t="s">
        <v>981</v>
      </c>
      <c r="AKU1" s="2" t="s">
        <v>982</v>
      </c>
      <c r="AKV1" s="2" t="s">
        <v>983</v>
      </c>
      <c r="AKW1" s="2" t="s">
        <v>984</v>
      </c>
      <c r="AKX1" s="2" t="s">
        <v>985</v>
      </c>
      <c r="AKY1" s="2" t="s">
        <v>986</v>
      </c>
      <c r="AKZ1" s="2" t="s">
        <v>987</v>
      </c>
      <c r="ALA1" s="2" t="s">
        <v>988</v>
      </c>
      <c r="ALB1" s="2" t="s">
        <v>989</v>
      </c>
      <c r="ALC1" s="2" t="s">
        <v>990</v>
      </c>
      <c r="ALD1" s="2" t="s">
        <v>991</v>
      </c>
      <c r="ALE1" s="2" t="s">
        <v>992</v>
      </c>
      <c r="ALF1" s="2" t="s">
        <v>993</v>
      </c>
      <c r="ALG1" s="2" t="s">
        <v>994</v>
      </c>
      <c r="ALH1" s="2" t="s">
        <v>995</v>
      </c>
      <c r="ALI1" s="2" t="s">
        <v>996</v>
      </c>
      <c r="ALJ1" s="2" t="s">
        <v>997</v>
      </c>
      <c r="ALK1" s="2" t="s">
        <v>998</v>
      </c>
      <c r="ALL1" s="2" t="s">
        <v>999</v>
      </c>
      <c r="ALM1" s="2" t="s">
        <v>1000</v>
      </c>
      <c r="ALN1" s="2" t="s">
        <v>1001</v>
      </c>
      <c r="ALO1" s="2" t="s">
        <v>1002</v>
      </c>
      <c r="ALP1" s="2" t="s">
        <v>1003</v>
      </c>
      <c r="ALQ1" s="2" t="s">
        <v>1004</v>
      </c>
      <c r="ALR1" s="2" t="s">
        <v>1005</v>
      </c>
      <c r="ALS1" s="2" t="s">
        <v>1006</v>
      </c>
      <c r="ALT1" s="2" t="s">
        <v>1007</v>
      </c>
      <c r="ALU1" s="2" t="s">
        <v>1008</v>
      </c>
      <c r="ALV1" s="2" t="s">
        <v>1009</v>
      </c>
      <c r="ALW1" s="2" t="s">
        <v>1010</v>
      </c>
      <c r="ALX1" s="2" t="s">
        <v>1011</v>
      </c>
      <c r="ALY1" s="2" t="s">
        <v>1012</v>
      </c>
      <c r="ALZ1" s="2" t="s">
        <v>1013</v>
      </c>
      <c r="AMA1" s="2" t="s">
        <v>1014</v>
      </c>
      <c r="AMB1" s="2" t="s">
        <v>1015</v>
      </c>
      <c r="AMC1" s="2" t="s">
        <v>1016</v>
      </c>
      <c r="AMD1" s="2" t="s">
        <v>1017</v>
      </c>
      <c r="AME1" s="2" t="s">
        <v>1018</v>
      </c>
      <c r="AMF1" s="2" t="s">
        <v>1019</v>
      </c>
      <c r="AMG1" s="2" t="s">
        <v>1020</v>
      </c>
      <c r="AMH1" s="2" t="s">
        <v>1021</v>
      </c>
      <c r="AMI1" s="2" t="s">
        <v>1022</v>
      </c>
      <c r="AMJ1" s="2" t="s">
        <v>1023</v>
      </c>
      <c r="AMK1" s="2" t="s">
        <v>1024</v>
      </c>
      <c r="AML1" s="2" t="s">
        <v>1025</v>
      </c>
      <c r="AMM1" s="2" t="s">
        <v>1026</v>
      </c>
      <c r="AMN1" s="2" t="s">
        <v>1027</v>
      </c>
      <c r="AMO1" s="2" t="s">
        <v>1028</v>
      </c>
      <c r="AMP1" s="2" t="s">
        <v>1029</v>
      </c>
      <c r="AMQ1" s="2" t="s">
        <v>1030</v>
      </c>
      <c r="AMR1" s="2" t="s">
        <v>1031</v>
      </c>
      <c r="AMS1" s="2" t="s">
        <v>1032</v>
      </c>
      <c r="AMT1" s="2" t="s">
        <v>1033</v>
      </c>
      <c r="AMU1" s="2" t="s">
        <v>1034</v>
      </c>
      <c r="AMV1" s="2" t="s">
        <v>1035</v>
      </c>
      <c r="AMW1" s="2" t="s">
        <v>1036</v>
      </c>
      <c r="AMX1" s="2" t="s">
        <v>1037</v>
      </c>
      <c r="AMY1" s="2" t="s">
        <v>1038</v>
      </c>
      <c r="AMZ1" s="2" t="s">
        <v>1039</v>
      </c>
      <c r="ANA1" s="2" t="s">
        <v>1040</v>
      </c>
      <c r="ANB1" s="2" t="s">
        <v>1041</v>
      </c>
      <c r="ANC1" s="2" t="s">
        <v>1042</v>
      </c>
      <c r="AND1" s="2" t="s">
        <v>1043</v>
      </c>
      <c r="ANE1" s="2" t="s">
        <v>1044</v>
      </c>
      <c r="ANF1" s="2" t="s">
        <v>1045</v>
      </c>
      <c r="ANG1" s="2" t="s">
        <v>1046</v>
      </c>
      <c r="ANH1" s="2" t="s">
        <v>1047</v>
      </c>
      <c r="ANI1" s="2" t="s">
        <v>1048</v>
      </c>
      <c r="ANJ1" s="2" t="s">
        <v>1049</v>
      </c>
      <c r="ANK1" s="2" t="s">
        <v>1050</v>
      </c>
      <c r="ANL1" s="2" t="s">
        <v>1051</v>
      </c>
      <c r="ANM1" s="2" t="s">
        <v>1052</v>
      </c>
      <c r="ANN1" s="2" t="s">
        <v>1053</v>
      </c>
      <c r="ANO1" s="2" t="s">
        <v>1054</v>
      </c>
      <c r="ANP1" s="2" t="s">
        <v>1055</v>
      </c>
      <c r="ANQ1" s="2" t="s">
        <v>1056</v>
      </c>
      <c r="ANR1" s="2" t="s">
        <v>1057</v>
      </c>
      <c r="ANS1" s="2" t="s">
        <v>1058</v>
      </c>
      <c r="ANT1" s="2" t="s">
        <v>1059</v>
      </c>
      <c r="ANU1" s="2" t="s">
        <v>1060</v>
      </c>
      <c r="ANV1" s="2" t="s">
        <v>1061</v>
      </c>
      <c r="ANW1" s="2" t="s">
        <v>1062</v>
      </c>
      <c r="ANX1" s="2" t="s">
        <v>1063</v>
      </c>
      <c r="ANY1" s="2" t="s">
        <v>1064</v>
      </c>
      <c r="ANZ1" s="2" t="s">
        <v>1065</v>
      </c>
      <c r="AOA1" s="2" t="s">
        <v>1066</v>
      </c>
      <c r="AOB1" s="2" t="s">
        <v>1067</v>
      </c>
      <c r="AOC1" s="2" t="s">
        <v>1068</v>
      </c>
      <c r="AOD1" s="2" t="s">
        <v>1069</v>
      </c>
      <c r="AOE1" s="2" t="s">
        <v>1070</v>
      </c>
      <c r="AOF1" s="2" t="s">
        <v>1071</v>
      </c>
      <c r="AOG1" s="2" t="s">
        <v>1072</v>
      </c>
      <c r="AOH1" s="2" t="s">
        <v>1073</v>
      </c>
      <c r="AOI1" s="2" t="s">
        <v>1074</v>
      </c>
      <c r="AOJ1" s="2" t="s">
        <v>1075</v>
      </c>
      <c r="AOK1" s="2" t="s">
        <v>1076</v>
      </c>
      <c r="AOL1" s="2" t="s">
        <v>1077</v>
      </c>
      <c r="AOM1" s="2" t="s">
        <v>1078</v>
      </c>
      <c r="AON1" s="2" t="s">
        <v>1079</v>
      </c>
      <c r="AOO1" s="2" t="s">
        <v>1080</v>
      </c>
      <c r="AOP1" s="2" t="s">
        <v>1081</v>
      </c>
      <c r="AOQ1" s="2" t="s">
        <v>1082</v>
      </c>
      <c r="AOR1" s="2" t="s">
        <v>1083</v>
      </c>
      <c r="AOS1" s="2" t="s">
        <v>1084</v>
      </c>
      <c r="AOT1" s="2" t="s">
        <v>1085</v>
      </c>
      <c r="AOU1" s="2" t="s">
        <v>1086</v>
      </c>
      <c r="AOV1" s="2" t="s">
        <v>1087</v>
      </c>
      <c r="AOW1" s="2" t="s">
        <v>1088</v>
      </c>
      <c r="AOX1" s="2" t="s">
        <v>1089</v>
      </c>
      <c r="AOY1" s="2" t="s">
        <v>1090</v>
      </c>
      <c r="AOZ1" s="2" t="s">
        <v>1091</v>
      </c>
      <c r="APA1" s="2" t="s">
        <v>1092</v>
      </c>
      <c r="APB1" s="2" t="s">
        <v>1093</v>
      </c>
      <c r="APC1" s="2" t="s">
        <v>1094</v>
      </c>
      <c r="APD1" s="2" t="s">
        <v>1095</v>
      </c>
      <c r="APE1" s="2" t="s">
        <v>1096</v>
      </c>
      <c r="APF1" s="2" t="s">
        <v>1097</v>
      </c>
      <c r="APG1" s="2" t="s">
        <v>1098</v>
      </c>
      <c r="APH1" s="2" t="s">
        <v>1099</v>
      </c>
      <c r="API1" s="2" t="s">
        <v>1100</v>
      </c>
      <c r="APJ1" s="2" t="s">
        <v>1101</v>
      </c>
      <c r="APK1" s="2" t="s">
        <v>1102</v>
      </c>
      <c r="APL1" s="2" t="s">
        <v>1103</v>
      </c>
      <c r="APM1" s="2" t="s">
        <v>1104</v>
      </c>
      <c r="APN1" s="2" t="s">
        <v>1105</v>
      </c>
      <c r="APO1" s="2" t="s">
        <v>1106</v>
      </c>
      <c r="APP1" s="2" t="s">
        <v>1107</v>
      </c>
      <c r="APQ1" s="2" t="s">
        <v>1108</v>
      </c>
      <c r="APR1" s="2" t="s">
        <v>1109</v>
      </c>
      <c r="APS1" s="2" t="s">
        <v>1110</v>
      </c>
      <c r="APT1" s="2" t="s">
        <v>1111</v>
      </c>
      <c r="APU1" s="2" t="s">
        <v>1112</v>
      </c>
      <c r="APV1" s="2" t="s">
        <v>1113</v>
      </c>
      <c r="APW1" s="2" t="s">
        <v>1114</v>
      </c>
      <c r="APX1" s="2" t="s">
        <v>1115</v>
      </c>
      <c r="APY1" s="2" t="s">
        <v>1116</v>
      </c>
      <c r="APZ1" s="2" t="s">
        <v>1117</v>
      </c>
      <c r="AQA1" s="2" t="s">
        <v>1118</v>
      </c>
      <c r="AQB1" s="2" t="s">
        <v>1119</v>
      </c>
      <c r="AQC1" s="2" t="s">
        <v>1120</v>
      </c>
      <c r="AQD1" s="2" t="s">
        <v>1121</v>
      </c>
      <c r="AQE1" s="2" t="s">
        <v>1122</v>
      </c>
      <c r="AQF1" s="2" t="s">
        <v>1123</v>
      </c>
      <c r="AQG1" s="2" t="s">
        <v>1124</v>
      </c>
      <c r="AQH1" s="2" t="s">
        <v>1125</v>
      </c>
      <c r="AQI1" s="2" t="s">
        <v>1126</v>
      </c>
      <c r="AQJ1" s="2" t="s">
        <v>1127</v>
      </c>
      <c r="AQK1" s="2" t="s">
        <v>1128</v>
      </c>
      <c r="AQL1" s="2" t="s">
        <v>1129</v>
      </c>
      <c r="AQM1" s="2" t="s">
        <v>1130</v>
      </c>
      <c r="AQN1" s="2" t="s">
        <v>1131</v>
      </c>
      <c r="AQO1" s="2" t="s">
        <v>1132</v>
      </c>
      <c r="AQP1" s="2" t="s">
        <v>1133</v>
      </c>
      <c r="AQQ1" s="2" t="s">
        <v>1134</v>
      </c>
      <c r="AQR1" s="2" t="s">
        <v>1135</v>
      </c>
      <c r="AQS1" s="2" t="s">
        <v>1136</v>
      </c>
      <c r="AQT1" s="2" t="s">
        <v>1137</v>
      </c>
      <c r="AQU1" s="2" t="s">
        <v>1138</v>
      </c>
      <c r="AQV1" s="2" t="s">
        <v>1139</v>
      </c>
      <c r="AQW1" s="2" t="s">
        <v>1140</v>
      </c>
      <c r="AQX1" s="2" t="s">
        <v>1141</v>
      </c>
      <c r="AQY1" s="2" t="s">
        <v>1142</v>
      </c>
      <c r="AQZ1" s="2" t="s">
        <v>1143</v>
      </c>
      <c r="ARA1" s="2" t="s">
        <v>1144</v>
      </c>
      <c r="ARB1" s="2" t="s">
        <v>1145</v>
      </c>
      <c r="ARC1" s="2" t="s">
        <v>1146</v>
      </c>
      <c r="ARD1" s="2" t="s">
        <v>1147</v>
      </c>
      <c r="ARE1" s="2" t="s">
        <v>1148</v>
      </c>
      <c r="ARF1" s="2" t="s">
        <v>1149</v>
      </c>
      <c r="ARG1" s="2" t="s">
        <v>1150</v>
      </c>
      <c r="ARH1" s="2" t="s">
        <v>1151</v>
      </c>
      <c r="ARI1" s="2" t="s">
        <v>1152</v>
      </c>
      <c r="ARJ1" s="2" t="s">
        <v>1153</v>
      </c>
      <c r="ARK1" s="2" t="s">
        <v>1154</v>
      </c>
      <c r="ARL1" s="2" t="s">
        <v>1155</v>
      </c>
      <c r="ARM1" s="2" t="s">
        <v>1156</v>
      </c>
      <c r="ARN1" s="2" t="s">
        <v>1157</v>
      </c>
      <c r="ARO1" s="2" t="s">
        <v>1158</v>
      </c>
      <c r="ARP1" s="2" t="s">
        <v>1159</v>
      </c>
      <c r="ARQ1" s="2" t="s">
        <v>1160</v>
      </c>
      <c r="ARR1" s="2" t="s">
        <v>1161</v>
      </c>
      <c r="ARS1" s="2" t="s">
        <v>1162</v>
      </c>
      <c r="ART1" s="2" t="s">
        <v>1163</v>
      </c>
      <c r="ARU1" s="2" t="s">
        <v>1164</v>
      </c>
      <c r="ARV1" s="2" t="s">
        <v>1165</v>
      </c>
      <c r="ARW1" s="2" t="s">
        <v>1166</v>
      </c>
      <c r="ARX1" s="2" t="s">
        <v>1167</v>
      </c>
      <c r="ARY1" s="2" t="s">
        <v>1168</v>
      </c>
      <c r="ARZ1" s="2" t="s">
        <v>1169</v>
      </c>
      <c r="ASA1" s="2" t="s">
        <v>1170</v>
      </c>
      <c r="ASB1" s="2" t="s">
        <v>1171</v>
      </c>
      <c r="ASC1" s="2" t="s">
        <v>1172</v>
      </c>
      <c r="ASD1" s="2" t="s">
        <v>1173</v>
      </c>
      <c r="ASE1" s="2" t="s">
        <v>1174</v>
      </c>
      <c r="ASF1" s="2" t="s">
        <v>1175</v>
      </c>
      <c r="ASG1" s="2" t="s">
        <v>1176</v>
      </c>
      <c r="ASH1" s="2" t="s">
        <v>1177</v>
      </c>
      <c r="ASI1" s="2" t="s">
        <v>1178</v>
      </c>
      <c r="ASJ1" s="2" t="s">
        <v>1179</v>
      </c>
      <c r="ASK1" s="2" t="s">
        <v>1180</v>
      </c>
      <c r="ASL1" s="2" t="s">
        <v>1181</v>
      </c>
      <c r="ASM1" s="2" t="s">
        <v>1182</v>
      </c>
      <c r="ASN1" s="2" t="s">
        <v>1183</v>
      </c>
      <c r="ASO1" s="2" t="s">
        <v>1184</v>
      </c>
      <c r="ASP1" s="2" t="s">
        <v>1185</v>
      </c>
      <c r="ASQ1" s="2" t="s">
        <v>1186</v>
      </c>
      <c r="ASR1" s="2" t="s">
        <v>1187</v>
      </c>
      <c r="ASS1" s="2" t="s">
        <v>1188</v>
      </c>
      <c r="AST1" s="2" t="s">
        <v>1189</v>
      </c>
      <c r="ASU1" s="2" t="s">
        <v>1190</v>
      </c>
      <c r="ASV1" s="2" t="s">
        <v>1191</v>
      </c>
      <c r="ASW1" s="2" t="s">
        <v>1192</v>
      </c>
      <c r="ASX1" s="2" t="s">
        <v>1193</v>
      </c>
      <c r="ASY1" s="2" t="s">
        <v>1194</v>
      </c>
      <c r="ASZ1" s="2" t="s">
        <v>1195</v>
      </c>
      <c r="ATA1" s="2" t="s">
        <v>1196</v>
      </c>
      <c r="ATB1" s="2" t="s">
        <v>1197</v>
      </c>
      <c r="ATC1" s="2" t="s">
        <v>1198</v>
      </c>
      <c r="ATD1" s="2" t="s">
        <v>1199</v>
      </c>
      <c r="ATE1" s="2" t="s">
        <v>1200</v>
      </c>
      <c r="ATF1" s="2" t="s">
        <v>1201</v>
      </c>
      <c r="ATG1" s="2" t="s">
        <v>1202</v>
      </c>
      <c r="ATH1" s="2" t="s">
        <v>1203</v>
      </c>
      <c r="ATI1" s="2" t="s">
        <v>1204</v>
      </c>
      <c r="ATJ1" s="2" t="s">
        <v>1205</v>
      </c>
      <c r="ATK1" s="2" t="s">
        <v>1206</v>
      </c>
      <c r="ATL1" s="2" t="s">
        <v>1207</v>
      </c>
      <c r="ATM1" s="2" t="s">
        <v>1208</v>
      </c>
      <c r="ATN1" s="2" t="s">
        <v>1209</v>
      </c>
      <c r="ATO1" s="2" t="s">
        <v>1210</v>
      </c>
      <c r="ATP1" s="2" t="s">
        <v>1211</v>
      </c>
      <c r="ATQ1" s="2" t="s">
        <v>1212</v>
      </c>
      <c r="ATR1" s="2" t="s">
        <v>1213</v>
      </c>
      <c r="ATS1" s="2" t="s">
        <v>1214</v>
      </c>
      <c r="ATT1" s="2" t="s">
        <v>1215</v>
      </c>
      <c r="ATU1" s="2" t="s">
        <v>1216</v>
      </c>
      <c r="ATV1" s="2" t="s">
        <v>1217</v>
      </c>
      <c r="ATW1" s="2" t="s">
        <v>1218</v>
      </c>
      <c r="ATX1" s="2" t="s">
        <v>1219</v>
      </c>
      <c r="ATY1" s="2" t="s">
        <v>1220</v>
      </c>
      <c r="ATZ1" s="2" t="s">
        <v>1221</v>
      </c>
      <c r="AUA1" s="2" t="s">
        <v>1222</v>
      </c>
      <c r="AUB1" s="2" t="s">
        <v>1223</v>
      </c>
      <c r="AUC1" s="2" t="s">
        <v>1224</v>
      </c>
      <c r="AUD1" s="2" t="s">
        <v>1225</v>
      </c>
      <c r="AUE1" s="2" t="s">
        <v>1226</v>
      </c>
      <c r="AUF1" s="2" t="s">
        <v>1227</v>
      </c>
      <c r="AUG1" s="2" t="s">
        <v>1228</v>
      </c>
      <c r="AUH1" s="2" t="s">
        <v>1229</v>
      </c>
      <c r="AUI1" s="2" t="s">
        <v>1230</v>
      </c>
      <c r="AUJ1" s="2" t="s">
        <v>1231</v>
      </c>
      <c r="AUK1" s="2" t="s">
        <v>1232</v>
      </c>
      <c r="AUL1" s="2" t="s">
        <v>1233</v>
      </c>
      <c r="AUM1" s="2" t="s">
        <v>1234</v>
      </c>
      <c r="AUN1" s="2" t="s">
        <v>1235</v>
      </c>
      <c r="AUO1" s="2" t="s">
        <v>1236</v>
      </c>
      <c r="AUP1" s="2" t="s">
        <v>1237</v>
      </c>
      <c r="AUQ1" s="2" t="s">
        <v>1238</v>
      </c>
      <c r="AUR1" s="2" t="s">
        <v>1239</v>
      </c>
      <c r="AUS1" s="2" t="s">
        <v>1240</v>
      </c>
      <c r="AUT1" s="2" t="s">
        <v>1241</v>
      </c>
      <c r="AUU1" s="2" t="s">
        <v>1242</v>
      </c>
      <c r="AUV1" s="2" t="s">
        <v>1243</v>
      </c>
      <c r="AUW1" s="2" t="s">
        <v>1244</v>
      </c>
      <c r="AUX1" s="2" t="s">
        <v>1245</v>
      </c>
      <c r="AUY1" s="2" t="s">
        <v>1246</v>
      </c>
      <c r="AUZ1" s="2" t="s">
        <v>1247</v>
      </c>
      <c r="AVA1" s="2" t="s">
        <v>1248</v>
      </c>
      <c r="AVB1" s="2" t="s">
        <v>1249</v>
      </c>
      <c r="AVC1" s="2" t="s">
        <v>1250</v>
      </c>
      <c r="AVD1" s="2" t="s">
        <v>1251</v>
      </c>
      <c r="AVE1" s="2" t="s">
        <v>1252</v>
      </c>
      <c r="AVF1" s="2" t="s">
        <v>1253</v>
      </c>
      <c r="AVG1" s="2" t="s">
        <v>1254</v>
      </c>
      <c r="AVH1" s="2" t="s">
        <v>1255</v>
      </c>
      <c r="AVI1" s="2" t="s">
        <v>1256</v>
      </c>
      <c r="AVJ1" s="2" t="s">
        <v>1257</v>
      </c>
      <c r="AVK1" s="2" t="s">
        <v>1258</v>
      </c>
      <c r="AVL1" s="2" t="s">
        <v>1259</v>
      </c>
      <c r="AVM1" s="2" t="s">
        <v>1260</v>
      </c>
      <c r="AVN1" s="2" t="s">
        <v>1261</v>
      </c>
      <c r="AVO1" s="2" t="s">
        <v>1262</v>
      </c>
      <c r="AVP1" s="2" t="s">
        <v>1263</v>
      </c>
      <c r="AVQ1" s="2" t="s">
        <v>1264</v>
      </c>
      <c r="AVR1" s="2" t="s">
        <v>1265</v>
      </c>
      <c r="AVS1" s="2" t="s">
        <v>1266</v>
      </c>
      <c r="AVT1" s="2" t="s">
        <v>1267</v>
      </c>
      <c r="AVU1" s="2" t="s">
        <v>1268</v>
      </c>
      <c r="AVV1" s="2" t="s">
        <v>1269</v>
      </c>
      <c r="AVW1" s="2" t="s">
        <v>1270</v>
      </c>
      <c r="AVX1" s="2" t="s">
        <v>1271</v>
      </c>
      <c r="AVY1" s="2" t="s">
        <v>1272</v>
      </c>
      <c r="AVZ1" s="2" t="s">
        <v>1273</v>
      </c>
      <c r="AWA1" s="2" t="s">
        <v>1274</v>
      </c>
      <c r="AWB1" s="2" t="s">
        <v>1275</v>
      </c>
      <c r="AWC1" s="2" t="s">
        <v>1276</v>
      </c>
      <c r="AWD1" s="2" t="s">
        <v>1277</v>
      </c>
      <c r="AWE1" s="2" t="s">
        <v>1278</v>
      </c>
      <c r="AWF1" s="2" t="s">
        <v>1279</v>
      </c>
      <c r="AWG1" s="2" t="s">
        <v>1280</v>
      </c>
      <c r="AWH1" s="2" t="s">
        <v>1281</v>
      </c>
      <c r="AWI1" s="2" t="s">
        <v>1282</v>
      </c>
      <c r="AWJ1" s="2" t="s">
        <v>1283</v>
      </c>
      <c r="AWK1" s="2" t="s">
        <v>1284</v>
      </c>
      <c r="AWL1" s="2" t="s">
        <v>1285</v>
      </c>
      <c r="AWM1" s="2" t="s">
        <v>1286</v>
      </c>
      <c r="AWN1" s="2" t="s">
        <v>1287</v>
      </c>
      <c r="AWO1" s="2" t="s">
        <v>1288</v>
      </c>
      <c r="AWP1" s="2" t="s">
        <v>1289</v>
      </c>
      <c r="AWQ1" s="2" t="s">
        <v>1290</v>
      </c>
      <c r="AWR1" s="2" t="s">
        <v>1291</v>
      </c>
      <c r="AWS1" s="2" t="s">
        <v>1292</v>
      </c>
      <c r="AWT1" s="2" t="s">
        <v>1293</v>
      </c>
      <c r="AWU1" s="2" t="s">
        <v>1294</v>
      </c>
      <c r="AWV1" s="2" t="s">
        <v>1295</v>
      </c>
      <c r="AWW1" s="2" t="s">
        <v>1296</v>
      </c>
      <c r="AWX1" s="2" t="s">
        <v>1297</v>
      </c>
      <c r="AWY1" s="2" t="s">
        <v>1298</v>
      </c>
      <c r="AWZ1" s="2" t="s">
        <v>1299</v>
      </c>
      <c r="AXA1" s="2" t="s">
        <v>1300</v>
      </c>
      <c r="AXB1" s="2" t="s">
        <v>1301</v>
      </c>
      <c r="AXC1" s="2" t="s">
        <v>1302</v>
      </c>
      <c r="AXD1" s="2" t="s">
        <v>1303</v>
      </c>
      <c r="AXE1" s="2" t="s">
        <v>1304</v>
      </c>
      <c r="AXF1" s="2" t="s">
        <v>1305</v>
      </c>
      <c r="AXG1" s="2" t="s">
        <v>1306</v>
      </c>
      <c r="AXH1" s="2" t="s">
        <v>1307</v>
      </c>
      <c r="AXI1" s="2" t="s">
        <v>1308</v>
      </c>
      <c r="AXJ1" s="2" t="s">
        <v>1309</v>
      </c>
      <c r="AXK1" s="2" t="s">
        <v>1310</v>
      </c>
      <c r="AXL1" s="2" t="s">
        <v>1311</v>
      </c>
      <c r="AXM1" s="2" t="s">
        <v>1312</v>
      </c>
      <c r="AXN1" s="2" t="s">
        <v>1313</v>
      </c>
      <c r="AXO1" s="2" t="s">
        <v>1314</v>
      </c>
      <c r="AXP1" s="2" t="s">
        <v>1315</v>
      </c>
      <c r="AXQ1" s="2" t="s">
        <v>1316</v>
      </c>
      <c r="AXR1" s="2" t="s">
        <v>1317</v>
      </c>
      <c r="AXS1" s="2" t="s">
        <v>1318</v>
      </c>
      <c r="AXT1" s="2" t="s">
        <v>1319</v>
      </c>
      <c r="AXU1" s="2" t="s">
        <v>1320</v>
      </c>
      <c r="AXV1" s="2" t="s">
        <v>1321</v>
      </c>
      <c r="AXW1" s="2" t="s">
        <v>1322</v>
      </c>
      <c r="AXX1" s="2" t="s">
        <v>1323</v>
      </c>
      <c r="AXY1" s="2" t="s">
        <v>1324</v>
      </c>
      <c r="AXZ1" s="2" t="s">
        <v>1325</v>
      </c>
      <c r="AYA1" s="2" t="s">
        <v>1326</v>
      </c>
      <c r="AYB1" s="2" t="s">
        <v>1327</v>
      </c>
      <c r="AYC1" s="2" t="s">
        <v>1328</v>
      </c>
      <c r="AYD1" s="2" t="s">
        <v>1329</v>
      </c>
      <c r="AYE1" s="2" t="s">
        <v>1330</v>
      </c>
      <c r="AYF1" s="2" t="s">
        <v>1331</v>
      </c>
      <c r="AYG1" s="2" t="s">
        <v>1332</v>
      </c>
      <c r="AYH1" s="2" t="s">
        <v>1333</v>
      </c>
      <c r="AYI1" s="2" t="s">
        <v>1334</v>
      </c>
      <c r="AYJ1" s="2" t="s">
        <v>1335</v>
      </c>
      <c r="AYK1" s="2" t="s">
        <v>1336</v>
      </c>
      <c r="AYL1" s="2" t="s">
        <v>1337</v>
      </c>
      <c r="AYM1" s="2" t="s">
        <v>1338</v>
      </c>
      <c r="AYN1" s="2" t="s">
        <v>1339</v>
      </c>
      <c r="AYO1" s="2" t="s">
        <v>1340</v>
      </c>
      <c r="AYP1" s="2" t="s">
        <v>1341</v>
      </c>
      <c r="AYQ1" s="2" t="s">
        <v>1342</v>
      </c>
      <c r="AYR1" s="2" t="s">
        <v>1343</v>
      </c>
      <c r="AYS1" s="2" t="s">
        <v>1344</v>
      </c>
      <c r="AYT1" s="2" t="s">
        <v>1345</v>
      </c>
      <c r="AYU1" s="2" t="s">
        <v>1346</v>
      </c>
      <c r="AYV1" s="2" t="s">
        <v>1347</v>
      </c>
      <c r="AYW1" s="2" t="s">
        <v>1348</v>
      </c>
      <c r="AYX1" s="2" t="s">
        <v>1349</v>
      </c>
      <c r="AYY1" s="2" t="s">
        <v>1350</v>
      </c>
      <c r="AYZ1" s="2" t="s">
        <v>1351</v>
      </c>
      <c r="AZA1" s="2" t="s">
        <v>1352</v>
      </c>
      <c r="AZB1" s="2" t="s">
        <v>1353</v>
      </c>
      <c r="AZC1" s="2" t="s">
        <v>1354</v>
      </c>
      <c r="AZD1" s="2" t="s">
        <v>1355</v>
      </c>
      <c r="AZE1" s="2" t="s">
        <v>1356</v>
      </c>
      <c r="AZF1" s="2" t="s">
        <v>1357</v>
      </c>
      <c r="AZG1" s="2" t="s">
        <v>1358</v>
      </c>
      <c r="AZH1" s="2" t="s">
        <v>1359</v>
      </c>
      <c r="AZI1" s="2" t="s">
        <v>1360</v>
      </c>
      <c r="AZJ1" s="2" t="s">
        <v>1361</v>
      </c>
      <c r="AZK1" s="2" t="s">
        <v>1362</v>
      </c>
      <c r="AZL1" s="2" t="s">
        <v>1363</v>
      </c>
      <c r="AZM1" s="2" t="s">
        <v>1364</v>
      </c>
      <c r="AZN1" s="2" t="s">
        <v>1365</v>
      </c>
      <c r="AZO1" s="2" t="s">
        <v>1366</v>
      </c>
      <c r="AZP1" s="2" t="s">
        <v>1367</v>
      </c>
      <c r="AZQ1" s="2" t="s">
        <v>1368</v>
      </c>
      <c r="AZR1" s="2" t="s">
        <v>1369</v>
      </c>
      <c r="AZS1" s="2" t="s">
        <v>1370</v>
      </c>
      <c r="AZT1" s="2" t="s">
        <v>1371</v>
      </c>
      <c r="AZU1" s="2" t="s">
        <v>1372</v>
      </c>
      <c r="AZV1" s="2" t="s">
        <v>1373</v>
      </c>
      <c r="AZW1" s="2" t="s">
        <v>1374</v>
      </c>
      <c r="AZX1" s="2" t="s">
        <v>1375</v>
      </c>
      <c r="AZY1" s="2" t="s">
        <v>1376</v>
      </c>
      <c r="AZZ1" s="2" t="s">
        <v>1377</v>
      </c>
      <c r="BAA1" s="2" t="s">
        <v>1378</v>
      </c>
      <c r="BAB1" s="2" t="s">
        <v>1379</v>
      </c>
      <c r="BAC1" s="2" t="s">
        <v>1380</v>
      </c>
      <c r="BAD1" s="2" t="s">
        <v>1381</v>
      </c>
      <c r="BAE1" s="2" t="s">
        <v>1382</v>
      </c>
      <c r="BAF1" s="2" t="s">
        <v>1383</v>
      </c>
      <c r="BAG1" s="2" t="s">
        <v>1384</v>
      </c>
      <c r="BAH1" s="2" t="s">
        <v>1385</v>
      </c>
      <c r="BAI1" s="2" t="s">
        <v>1386</v>
      </c>
      <c r="BAJ1" s="2" t="s">
        <v>1387</v>
      </c>
      <c r="BAK1" s="2" t="s">
        <v>1388</v>
      </c>
      <c r="BAL1" s="2" t="s">
        <v>1389</v>
      </c>
      <c r="BAM1" s="2" t="s">
        <v>1390</v>
      </c>
      <c r="BAN1" s="2" t="s">
        <v>1391</v>
      </c>
      <c r="BAO1" s="2" t="s">
        <v>1392</v>
      </c>
      <c r="BAP1" s="2" t="s">
        <v>1393</v>
      </c>
      <c r="BAQ1" s="2" t="s">
        <v>1394</v>
      </c>
      <c r="BAR1" s="2" t="s">
        <v>1395</v>
      </c>
      <c r="BAS1" s="2" t="s">
        <v>1396</v>
      </c>
      <c r="BAT1" s="2" t="s">
        <v>1397</v>
      </c>
      <c r="BAU1" s="2" t="s">
        <v>1398</v>
      </c>
      <c r="BAV1" s="2" t="s">
        <v>1399</v>
      </c>
      <c r="BAW1" s="2" t="s">
        <v>1400</v>
      </c>
      <c r="BAX1" s="2" t="s">
        <v>1401</v>
      </c>
      <c r="BAY1" s="2" t="s">
        <v>1402</v>
      </c>
      <c r="BAZ1" s="2" t="s">
        <v>1403</v>
      </c>
      <c r="BBA1" s="2" t="s">
        <v>1404</v>
      </c>
      <c r="BBB1" s="2" t="s">
        <v>1405</v>
      </c>
      <c r="BBC1" s="2" t="s">
        <v>1406</v>
      </c>
      <c r="BBD1" s="2" t="s">
        <v>1407</v>
      </c>
      <c r="BBE1" s="2" t="s">
        <v>1408</v>
      </c>
      <c r="BBF1" s="2" t="s">
        <v>1409</v>
      </c>
      <c r="BBG1" s="2" t="s">
        <v>1410</v>
      </c>
      <c r="BBH1" s="2" t="s">
        <v>1411</v>
      </c>
      <c r="BBI1" s="2" t="s">
        <v>1412</v>
      </c>
      <c r="BBJ1" s="2" t="s">
        <v>1413</v>
      </c>
      <c r="BBK1" s="2" t="s">
        <v>1414</v>
      </c>
      <c r="BBL1" s="2" t="s">
        <v>1415</v>
      </c>
      <c r="BBM1" s="2" t="s">
        <v>1416</v>
      </c>
      <c r="BBN1" s="2" t="s">
        <v>1417</v>
      </c>
      <c r="BBO1" s="2" t="s">
        <v>1418</v>
      </c>
      <c r="BBP1" s="2" t="s">
        <v>1419</v>
      </c>
      <c r="BBQ1" s="2" t="s">
        <v>1420</v>
      </c>
      <c r="BBR1" s="2" t="s">
        <v>1421</v>
      </c>
      <c r="BBS1" s="2" t="s">
        <v>1422</v>
      </c>
      <c r="BBT1" s="2" t="s">
        <v>1423</v>
      </c>
      <c r="BBU1" s="2" t="s">
        <v>1424</v>
      </c>
      <c r="BBV1" s="2" t="s">
        <v>1425</v>
      </c>
      <c r="BBW1" s="2" t="s">
        <v>1426</v>
      </c>
      <c r="BBX1" s="2" t="s">
        <v>1427</v>
      </c>
      <c r="BBY1" s="2" t="s">
        <v>1428</v>
      </c>
      <c r="BBZ1" s="2" t="s">
        <v>1429</v>
      </c>
      <c r="BCA1" s="2" t="s">
        <v>1430</v>
      </c>
      <c r="BCB1" s="2" t="s">
        <v>1431</v>
      </c>
      <c r="BCC1" s="2" t="s">
        <v>1432</v>
      </c>
      <c r="BCD1" s="2" t="s">
        <v>1433</v>
      </c>
      <c r="BCE1" s="2" t="s">
        <v>1434</v>
      </c>
      <c r="BCF1" s="2" t="s">
        <v>1435</v>
      </c>
      <c r="BCG1" s="2" t="s">
        <v>1436</v>
      </c>
      <c r="BCH1" s="2" t="s">
        <v>1437</v>
      </c>
      <c r="BCI1" s="2" t="s">
        <v>1438</v>
      </c>
      <c r="BCJ1" s="2" t="s">
        <v>1439</v>
      </c>
      <c r="BCK1" s="2" t="s">
        <v>1440</v>
      </c>
      <c r="BCL1" s="2" t="s">
        <v>1441</v>
      </c>
      <c r="BCM1" s="2" t="s">
        <v>1442</v>
      </c>
      <c r="BCN1" s="2" t="s">
        <v>1443</v>
      </c>
      <c r="BCO1" s="2" t="s">
        <v>1444</v>
      </c>
      <c r="BCP1" s="2" t="s">
        <v>1445</v>
      </c>
      <c r="BCQ1" s="2" t="s">
        <v>1446</v>
      </c>
      <c r="BCR1" s="2" t="s">
        <v>1447</v>
      </c>
      <c r="BCS1" s="2" t="s">
        <v>1448</v>
      </c>
      <c r="BCT1" s="2" t="s">
        <v>1449</v>
      </c>
      <c r="BCU1" s="2" t="s">
        <v>1450</v>
      </c>
      <c r="BCV1" s="2" t="s">
        <v>1451</v>
      </c>
      <c r="BCW1" s="2" t="s">
        <v>1452</v>
      </c>
      <c r="BCX1" s="2" t="s">
        <v>1453</v>
      </c>
      <c r="BCY1" s="2" t="s">
        <v>1454</v>
      </c>
      <c r="BCZ1" s="2" t="s">
        <v>1455</v>
      </c>
      <c r="BDA1" s="2" t="s">
        <v>1456</v>
      </c>
      <c r="BDB1" s="2" t="s">
        <v>1457</v>
      </c>
      <c r="BDC1" s="2" t="s">
        <v>1458</v>
      </c>
      <c r="BDD1" s="2" t="s">
        <v>1459</v>
      </c>
      <c r="BDE1" s="2" t="s">
        <v>1460</v>
      </c>
      <c r="BDF1" s="2" t="s">
        <v>1461</v>
      </c>
      <c r="BDG1" s="2" t="s">
        <v>1462</v>
      </c>
      <c r="BDH1" s="2" t="s">
        <v>1463</v>
      </c>
      <c r="BDI1" s="2" t="s">
        <v>1464</v>
      </c>
      <c r="BDJ1" s="2" t="s">
        <v>1465</v>
      </c>
      <c r="BDK1" s="2" t="s">
        <v>1466</v>
      </c>
      <c r="BDL1" s="2" t="s">
        <v>1467</v>
      </c>
      <c r="BDM1" s="2" t="s">
        <v>1468</v>
      </c>
      <c r="BDN1" s="2" t="s">
        <v>1469</v>
      </c>
      <c r="BDO1" s="2" t="s">
        <v>1470</v>
      </c>
      <c r="BDP1" s="2" t="s">
        <v>1471</v>
      </c>
      <c r="BDQ1" s="2" t="s">
        <v>1472</v>
      </c>
      <c r="BDR1" s="2" t="s">
        <v>1473</v>
      </c>
      <c r="BDS1" s="2" t="s">
        <v>1474</v>
      </c>
      <c r="BDT1" s="2" t="s">
        <v>1475</v>
      </c>
      <c r="BDU1" s="2" t="s">
        <v>1476</v>
      </c>
      <c r="BDV1" s="2" t="s">
        <v>1477</v>
      </c>
      <c r="BDW1" s="2" t="s">
        <v>1478</v>
      </c>
      <c r="BDX1" s="2" t="s">
        <v>1479</v>
      </c>
      <c r="BDY1" s="2" t="s">
        <v>1480</v>
      </c>
      <c r="BDZ1" s="2" t="s">
        <v>1481</v>
      </c>
      <c r="BEA1" s="2" t="s">
        <v>1482</v>
      </c>
      <c r="BEB1" s="2" t="s">
        <v>1483</v>
      </c>
      <c r="BEC1" s="2" t="s">
        <v>1484</v>
      </c>
      <c r="BED1" s="2" t="s">
        <v>1485</v>
      </c>
      <c r="BEE1" s="2" t="s">
        <v>1486</v>
      </c>
      <c r="BEF1" s="2" t="s">
        <v>1487</v>
      </c>
      <c r="BEG1" s="2" t="s">
        <v>1488</v>
      </c>
      <c r="BEH1" s="2" t="s">
        <v>1489</v>
      </c>
      <c r="BEI1" s="2" t="s">
        <v>1490</v>
      </c>
      <c r="BEJ1" s="2" t="s">
        <v>1491</v>
      </c>
      <c r="BEK1" s="2" t="s">
        <v>1492</v>
      </c>
      <c r="BEL1" s="2" t="s">
        <v>1493</v>
      </c>
      <c r="BEM1" s="2" t="s">
        <v>1494</v>
      </c>
      <c r="BEN1" s="2" t="s">
        <v>1495</v>
      </c>
      <c r="BEO1" s="2" t="s">
        <v>1496</v>
      </c>
      <c r="BEP1" s="2" t="s">
        <v>1497</v>
      </c>
      <c r="BEQ1" s="2" t="s">
        <v>1498</v>
      </c>
      <c r="BER1" s="2" t="s">
        <v>1499</v>
      </c>
      <c r="BES1" s="2" t="s">
        <v>1500</v>
      </c>
      <c r="BET1" s="2" t="s">
        <v>1501</v>
      </c>
      <c r="BEU1" s="2" t="s">
        <v>1502</v>
      </c>
      <c r="BEV1" s="2" t="s">
        <v>1503</v>
      </c>
      <c r="BEW1" s="2" t="s">
        <v>1504</v>
      </c>
      <c r="BEX1" s="2" t="s">
        <v>1505</v>
      </c>
      <c r="BEY1" s="2" t="s">
        <v>1506</v>
      </c>
      <c r="BEZ1" s="2" t="s">
        <v>1507</v>
      </c>
      <c r="BFA1" s="2" t="s">
        <v>1508</v>
      </c>
      <c r="BFB1" s="2" t="s">
        <v>1509</v>
      </c>
      <c r="BFC1" s="2" t="s">
        <v>1510</v>
      </c>
      <c r="BFD1" s="2" t="s">
        <v>1511</v>
      </c>
      <c r="BFE1" s="2" t="s">
        <v>1512</v>
      </c>
      <c r="BFF1" s="2" t="s">
        <v>1513</v>
      </c>
      <c r="BFG1" s="2" t="s">
        <v>1514</v>
      </c>
      <c r="BFH1" s="2" t="s">
        <v>1515</v>
      </c>
      <c r="BFI1" s="2" t="s">
        <v>1516</v>
      </c>
      <c r="BFJ1" s="2" t="s">
        <v>1517</v>
      </c>
      <c r="BFK1" s="2" t="s">
        <v>1518</v>
      </c>
      <c r="BFL1" s="2" t="s">
        <v>1519</v>
      </c>
      <c r="BFM1" s="2" t="s">
        <v>1520</v>
      </c>
      <c r="BFN1" s="2" t="s">
        <v>1521</v>
      </c>
      <c r="BFO1" s="2" t="s">
        <v>1522</v>
      </c>
      <c r="BFP1" s="2" t="s">
        <v>1523</v>
      </c>
      <c r="BFQ1" s="2" t="s">
        <v>1524</v>
      </c>
      <c r="BFR1" s="2" t="s">
        <v>1525</v>
      </c>
      <c r="BFS1" s="2" t="s">
        <v>1526</v>
      </c>
      <c r="BFT1" s="2" t="s">
        <v>1527</v>
      </c>
      <c r="BFU1" s="2" t="s">
        <v>1528</v>
      </c>
      <c r="BFV1" s="2" t="s">
        <v>1529</v>
      </c>
      <c r="BFW1" s="2" t="s">
        <v>1530</v>
      </c>
      <c r="BFX1" s="2" t="s">
        <v>1531</v>
      </c>
      <c r="BFY1" s="2" t="s">
        <v>1532</v>
      </c>
      <c r="BFZ1" s="2" t="s">
        <v>1533</v>
      </c>
      <c r="BGA1" s="2" t="s">
        <v>1534</v>
      </c>
      <c r="BGB1" s="2" t="s">
        <v>1535</v>
      </c>
      <c r="BGC1" s="2" t="s">
        <v>1536</v>
      </c>
      <c r="BGD1" s="2" t="s">
        <v>1537</v>
      </c>
      <c r="BGE1" s="2" t="s">
        <v>1538</v>
      </c>
      <c r="BGF1" s="2" t="s">
        <v>1539</v>
      </c>
      <c r="BGG1" s="2" t="s">
        <v>1540</v>
      </c>
      <c r="BGH1" s="2" t="s">
        <v>1541</v>
      </c>
      <c r="BGI1" s="2" t="s">
        <v>1542</v>
      </c>
      <c r="BGJ1" s="2" t="s">
        <v>1543</v>
      </c>
      <c r="BGK1" s="2" t="s">
        <v>1544</v>
      </c>
      <c r="BGL1" s="2" t="s">
        <v>1545</v>
      </c>
      <c r="BGM1" s="2" t="s">
        <v>1546</v>
      </c>
      <c r="BGN1" s="2" t="s">
        <v>1547</v>
      </c>
      <c r="BGO1" s="2" t="s">
        <v>1548</v>
      </c>
      <c r="BGP1" s="2" t="s">
        <v>1549</v>
      </c>
      <c r="BGQ1" s="2" t="s">
        <v>1550</v>
      </c>
      <c r="BGR1" s="2" t="s">
        <v>1551</v>
      </c>
      <c r="BGS1" s="2" t="s">
        <v>1552</v>
      </c>
      <c r="BGT1" s="2" t="s">
        <v>1553</v>
      </c>
      <c r="BGU1" s="2" t="s">
        <v>1554</v>
      </c>
      <c r="BGV1" s="2" t="s">
        <v>1555</v>
      </c>
      <c r="BGW1" s="2" t="s">
        <v>1556</v>
      </c>
      <c r="BGX1" s="2" t="s">
        <v>1557</v>
      </c>
      <c r="BGY1" s="2" t="s">
        <v>1558</v>
      </c>
      <c r="BGZ1" s="2" t="s">
        <v>1559</v>
      </c>
      <c r="BHA1" s="2" t="s">
        <v>1560</v>
      </c>
      <c r="BHB1" s="2" t="s">
        <v>1561</v>
      </c>
      <c r="BHC1" s="2" t="s">
        <v>1562</v>
      </c>
      <c r="BHD1" s="2" t="s">
        <v>1563</v>
      </c>
      <c r="BHE1" s="2" t="s">
        <v>1564</v>
      </c>
      <c r="BHF1" s="2" t="s">
        <v>1565</v>
      </c>
      <c r="BHG1" s="2" t="s">
        <v>1566</v>
      </c>
      <c r="BHH1" s="2" t="s">
        <v>1567</v>
      </c>
      <c r="BHI1" s="2" t="s">
        <v>1568</v>
      </c>
      <c r="BHJ1" s="2" t="s">
        <v>1569</v>
      </c>
      <c r="BHK1" s="2" t="s">
        <v>1570</v>
      </c>
      <c r="BHL1" s="2" t="s">
        <v>1571</v>
      </c>
      <c r="BHM1" s="2" t="s">
        <v>1572</v>
      </c>
      <c r="BHN1" s="2" t="s">
        <v>1573</v>
      </c>
      <c r="BHO1" s="2" t="s">
        <v>1574</v>
      </c>
      <c r="BHP1" s="2" t="s">
        <v>1575</v>
      </c>
      <c r="BHQ1" s="2" t="s">
        <v>1576</v>
      </c>
      <c r="BHR1" s="2" t="s">
        <v>1577</v>
      </c>
      <c r="BHS1" s="2" t="s">
        <v>1578</v>
      </c>
      <c r="BHT1" s="2" t="s">
        <v>1579</v>
      </c>
      <c r="BHU1" s="2" t="s">
        <v>1580</v>
      </c>
      <c r="BHV1" s="2" t="s">
        <v>1581</v>
      </c>
      <c r="BHW1" s="2" t="s">
        <v>1582</v>
      </c>
      <c r="BHX1" s="2" t="s">
        <v>1583</v>
      </c>
      <c r="BHY1" s="2" t="s">
        <v>1584</v>
      </c>
      <c r="BHZ1" s="2" t="s">
        <v>1585</v>
      </c>
      <c r="BIA1" s="2" t="s">
        <v>1586</v>
      </c>
      <c r="BIB1" s="2" t="s">
        <v>1587</v>
      </c>
      <c r="BIC1" s="2" t="s">
        <v>1588</v>
      </c>
      <c r="BID1" s="2" t="s">
        <v>1589</v>
      </c>
      <c r="BIE1" s="2" t="s">
        <v>1590</v>
      </c>
      <c r="BIF1" s="2" t="s">
        <v>1591</v>
      </c>
      <c r="BIG1" s="2" t="s">
        <v>1592</v>
      </c>
      <c r="BIH1" s="2" t="s">
        <v>1593</v>
      </c>
      <c r="BII1" s="2" t="s">
        <v>1594</v>
      </c>
      <c r="BIJ1" s="2" t="s">
        <v>1595</v>
      </c>
      <c r="BIK1" s="2" t="s">
        <v>1596</v>
      </c>
      <c r="BIL1" s="2" t="s">
        <v>1597</v>
      </c>
      <c r="BIM1" s="2" t="s">
        <v>1598</v>
      </c>
      <c r="BIN1" s="2" t="s">
        <v>1599</v>
      </c>
      <c r="BIO1" s="2" t="s">
        <v>1600</v>
      </c>
      <c r="BIP1" s="2" t="s">
        <v>1601</v>
      </c>
      <c r="BIQ1" s="2" t="s">
        <v>1602</v>
      </c>
      <c r="BIR1" s="2" t="s">
        <v>1603</v>
      </c>
      <c r="BIS1" s="2" t="s">
        <v>1604</v>
      </c>
      <c r="BIT1" s="2" t="s">
        <v>1605</v>
      </c>
      <c r="BIU1" s="2" t="s">
        <v>1606</v>
      </c>
      <c r="BIV1" s="2" t="s">
        <v>1607</v>
      </c>
      <c r="BIW1" s="2" t="s">
        <v>1608</v>
      </c>
      <c r="BIX1" s="2" t="s">
        <v>1609</v>
      </c>
      <c r="BIY1" s="2" t="s">
        <v>1610</v>
      </c>
      <c r="BIZ1" s="2" t="s">
        <v>1611</v>
      </c>
      <c r="BJA1" s="2" t="s">
        <v>1612</v>
      </c>
      <c r="BJB1" s="2" t="s">
        <v>1613</v>
      </c>
      <c r="BJC1" s="2" t="s">
        <v>1614</v>
      </c>
      <c r="BJD1" s="2" t="s">
        <v>1615</v>
      </c>
      <c r="BJE1" s="2" t="s">
        <v>1616</v>
      </c>
      <c r="BJF1" s="2" t="s">
        <v>1617</v>
      </c>
      <c r="BJG1" s="2" t="s">
        <v>1618</v>
      </c>
      <c r="BJH1" s="2" t="s">
        <v>1619</v>
      </c>
      <c r="BJI1" s="2" t="s">
        <v>1620</v>
      </c>
      <c r="BJJ1" s="2" t="s">
        <v>1621</v>
      </c>
      <c r="BJK1" s="2" t="s">
        <v>1622</v>
      </c>
      <c r="BJL1" s="2" t="s">
        <v>1623</v>
      </c>
      <c r="BJM1" s="2" t="s">
        <v>1624</v>
      </c>
      <c r="BJN1" s="2" t="s">
        <v>1625</v>
      </c>
      <c r="BJO1" s="2" t="s">
        <v>1626</v>
      </c>
      <c r="BJP1" s="2" t="s">
        <v>1627</v>
      </c>
      <c r="BJQ1" s="2" t="s">
        <v>1628</v>
      </c>
      <c r="BJR1" s="2" t="s">
        <v>1629</v>
      </c>
      <c r="BJS1" s="2" t="s">
        <v>1630</v>
      </c>
      <c r="BJT1" s="2" t="s">
        <v>1631</v>
      </c>
      <c r="BJU1" s="2" t="s">
        <v>1632</v>
      </c>
      <c r="BJV1" s="2" t="s">
        <v>1633</v>
      </c>
      <c r="BJW1" s="2" t="s">
        <v>1634</v>
      </c>
      <c r="BJX1" s="2" t="s">
        <v>1635</v>
      </c>
      <c r="BJY1" s="2" t="s">
        <v>1636</v>
      </c>
      <c r="BJZ1" s="2" t="s">
        <v>1637</v>
      </c>
      <c r="BKA1" s="2" t="s">
        <v>1638</v>
      </c>
      <c r="BKB1" s="2" t="s">
        <v>1639</v>
      </c>
      <c r="BKC1" s="2" t="s">
        <v>1640</v>
      </c>
      <c r="BKD1" s="2" t="s">
        <v>1641</v>
      </c>
      <c r="BKE1" s="2" t="s">
        <v>1642</v>
      </c>
      <c r="BKF1" s="2" t="s">
        <v>1643</v>
      </c>
      <c r="BKG1" s="2" t="s">
        <v>1644</v>
      </c>
      <c r="BKH1" s="2" t="s">
        <v>1645</v>
      </c>
      <c r="BKI1" s="2" t="s">
        <v>1646</v>
      </c>
      <c r="BKJ1" s="2" t="s">
        <v>1647</v>
      </c>
      <c r="BKK1" s="2" t="s">
        <v>1648</v>
      </c>
      <c r="BKL1" s="2" t="s">
        <v>1649</v>
      </c>
      <c r="BKM1" s="2" t="s">
        <v>1650</v>
      </c>
      <c r="BKN1" s="2" t="s">
        <v>1651</v>
      </c>
      <c r="BKO1" s="2" t="s">
        <v>1652</v>
      </c>
      <c r="BKP1" s="2" t="s">
        <v>1653</v>
      </c>
      <c r="BKQ1" s="2" t="s">
        <v>1654</v>
      </c>
      <c r="BKR1" s="2" t="s">
        <v>1655</v>
      </c>
      <c r="BKS1" s="2" t="s">
        <v>1656</v>
      </c>
      <c r="BKT1" s="2" t="s">
        <v>1657</v>
      </c>
      <c r="BKU1" s="2" t="s">
        <v>1658</v>
      </c>
      <c r="BKV1" s="2" t="s">
        <v>1659</v>
      </c>
      <c r="BKW1" s="2" t="s">
        <v>1660</v>
      </c>
      <c r="BKX1" s="2" t="s">
        <v>1661</v>
      </c>
      <c r="BKY1" s="2" t="s">
        <v>1662</v>
      </c>
      <c r="BKZ1" s="2" t="s">
        <v>1663</v>
      </c>
      <c r="BLA1" s="2" t="s">
        <v>1664</v>
      </c>
      <c r="BLB1" s="2" t="s">
        <v>1665</v>
      </c>
      <c r="BLC1" s="2" t="s">
        <v>1666</v>
      </c>
      <c r="BLD1" s="2" t="s">
        <v>1667</v>
      </c>
      <c r="BLE1" s="2" t="s">
        <v>1668</v>
      </c>
      <c r="BLF1" s="2" t="s">
        <v>1669</v>
      </c>
      <c r="BLG1" s="2" t="s">
        <v>1670</v>
      </c>
      <c r="BLH1" s="2" t="s">
        <v>1671</v>
      </c>
      <c r="BLI1" s="2" t="s">
        <v>1672</v>
      </c>
      <c r="BLJ1" s="2" t="s">
        <v>1673</v>
      </c>
      <c r="BLK1" s="2" t="s">
        <v>1674</v>
      </c>
      <c r="BLL1" s="2" t="s">
        <v>1675</v>
      </c>
      <c r="BLM1" s="2" t="s">
        <v>1676</v>
      </c>
      <c r="BLN1" s="2" t="s">
        <v>1677</v>
      </c>
      <c r="BLO1" s="2" t="s">
        <v>1678</v>
      </c>
      <c r="BLP1" s="2" t="s">
        <v>1679</v>
      </c>
      <c r="BLQ1" s="2" t="s">
        <v>1680</v>
      </c>
      <c r="BLR1" s="2" t="s">
        <v>1681</v>
      </c>
      <c r="BLS1" s="2" t="s">
        <v>1682</v>
      </c>
      <c r="BLT1" s="2" t="s">
        <v>1683</v>
      </c>
      <c r="BLU1" s="2" t="s">
        <v>1684</v>
      </c>
      <c r="BLV1" s="2" t="s">
        <v>1685</v>
      </c>
      <c r="BLW1" s="2" t="s">
        <v>1686</v>
      </c>
      <c r="BLX1" s="2" t="s">
        <v>1687</v>
      </c>
      <c r="BLY1" s="2" t="s">
        <v>1688</v>
      </c>
      <c r="BLZ1" s="2" t="s">
        <v>1689</v>
      </c>
      <c r="BMA1" s="2" t="s">
        <v>1690</v>
      </c>
      <c r="BMB1" s="2" t="s">
        <v>1691</v>
      </c>
      <c r="BMC1" s="2" t="s">
        <v>1692</v>
      </c>
      <c r="BMD1" s="2" t="s">
        <v>1693</v>
      </c>
      <c r="BME1" s="2" t="s">
        <v>1694</v>
      </c>
      <c r="BMF1" s="2" t="s">
        <v>1695</v>
      </c>
      <c r="BMG1" s="2" t="s">
        <v>1696</v>
      </c>
      <c r="BMH1" s="2" t="s">
        <v>1697</v>
      </c>
      <c r="BMI1" s="2" t="s">
        <v>1698</v>
      </c>
      <c r="BMJ1" s="2" t="s">
        <v>1699</v>
      </c>
      <c r="BMK1" s="2" t="s">
        <v>1700</v>
      </c>
      <c r="BML1" s="2" t="s">
        <v>1701</v>
      </c>
      <c r="BMM1" s="2" t="s">
        <v>1702</v>
      </c>
      <c r="BMN1" s="2" t="s">
        <v>1703</v>
      </c>
      <c r="BMO1" s="2" t="s">
        <v>1704</v>
      </c>
      <c r="BMP1" s="2" t="s">
        <v>1705</v>
      </c>
      <c r="BMQ1" s="2" t="s">
        <v>1706</v>
      </c>
      <c r="BMR1" s="2" t="s">
        <v>1707</v>
      </c>
      <c r="BMS1" s="2" t="s">
        <v>1708</v>
      </c>
      <c r="BMT1" s="2" t="s">
        <v>1709</v>
      </c>
      <c r="BMU1" s="2" t="s">
        <v>1710</v>
      </c>
      <c r="BMV1" s="2" t="s">
        <v>1711</v>
      </c>
      <c r="BMW1" s="2" t="s">
        <v>1712</v>
      </c>
      <c r="BMX1" s="2" t="s">
        <v>1713</v>
      </c>
      <c r="BMY1" s="2" t="s">
        <v>1714</v>
      </c>
      <c r="BMZ1" s="2" t="s">
        <v>1715</v>
      </c>
      <c r="BNA1" s="2" t="s">
        <v>1716</v>
      </c>
      <c r="BNB1" s="2" t="s">
        <v>1717</v>
      </c>
      <c r="BNC1" s="2" t="s">
        <v>1718</v>
      </c>
      <c r="BND1" s="2" t="s">
        <v>1719</v>
      </c>
      <c r="BNE1" s="2" t="s">
        <v>1720</v>
      </c>
      <c r="BNF1" s="2" t="s">
        <v>1721</v>
      </c>
      <c r="BNG1" s="2" t="s">
        <v>1722</v>
      </c>
      <c r="BNH1" s="2" t="s">
        <v>1723</v>
      </c>
      <c r="BNI1" s="2" t="s">
        <v>1724</v>
      </c>
      <c r="BNJ1" s="2" t="s">
        <v>1725</v>
      </c>
      <c r="BNK1" s="2" t="s">
        <v>1726</v>
      </c>
      <c r="BNL1" s="2" t="s">
        <v>1727</v>
      </c>
      <c r="BNM1" s="2" t="s">
        <v>1728</v>
      </c>
      <c r="BNN1" s="2" t="s">
        <v>1729</v>
      </c>
      <c r="BNO1" s="2" t="s">
        <v>1730</v>
      </c>
      <c r="BNP1" s="2" t="s">
        <v>1731</v>
      </c>
      <c r="BNQ1" s="2" t="s">
        <v>1732</v>
      </c>
      <c r="BNR1" s="2" t="s">
        <v>1733</v>
      </c>
      <c r="BNS1" s="2" t="s">
        <v>1734</v>
      </c>
      <c r="BNT1" s="2" t="s">
        <v>1735</v>
      </c>
      <c r="BNU1" s="2" t="s">
        <v>1736</v>
      </c>
      <c r="BNV1" s="2" t="s">
        <v>1737</v>
      </c>
      <c r="BNW1" s="2" t="s">
        <v>1738</v>
      </c>
      <c r="BNX1" s="2" t="s">
        <v>1739</v>
      </c>
      <c r="BNY1" s="2" t="s">
        <v>1740</v>
      </c>
      <c r="BNZ1" s="2" t="s">
        <v>1741</v>
      </c>
      <c r="BOA1" s="2" t="s">
        <v>1742</v>
      </c>
      <c r="BOB1" s="2" t="s">
        <v>1743</v>
      </c>
      <c r="BOC1" s="2" t="s">
        <v>1744</v>
      </c>
      <c r="BOD1" s="2" t="s">
        <v>1745</v>
      </c>
      <c r="BOE1" s="2" t="s">
        <v>1746</v>
      </c>
      <c r="BOF1" s="2" t="s">
        <v>1747</v>
      </c>
      <c r="BOG1" s="2" t="s">
        <v>1748</v>
      </c>
      <c r="BOH1" s="2" t="s">
        <v>1749</v>
      </c>
      <c r="BOI1" s="2" t="s">
        <v>1750</v>
      </c>
      <c r="BOJ1" s="2" t="s">
        <v>1751</v>
      </c>
      <c r="BOK1" s="2" t="s">
        <v>1752</v>
      </c>
      <c r="BOL1" s="2" t="s">
        <v>1753</v>
      </c>
      <c r="BOM1" s="2" t="s">
        <v>1754</v>
      </c>
      <c r="BON1" s="2" t="s">
        <v>1755</v>
      </c>
      <c r="BOO1" s="2" t="s">
        <v>1756</v>
      </c>
      <c r="BOP1" s="2" t="s">
        <v>1757</v>
      </c>
      <c r="BOQ1" s="2" t="s">
        <v>1758</v>
      </c>
      <c r="BOR1" s="2" t="s">
        <v>1759</v>
      </c>
      <c r="BOS1" s="2" t="s">
        <v>1760</v>
      </c>
      <c r="BOT1" s="2" t="s">
        <v>1761</v>
      </c>
      <c r="BOU1" s="2" t="s">
        <v>1762</v>
      </c>
      <c r="BOV1" s="2" t="s">
        <v>1763</v>
      </c>
      <c r="BOW1" s="2" t="s">
        <v>1764</v>
      </c>
      <c r="BOX1" s="2" t="s">
        <v>1765</v>
      </c>
      <c r="BOY1" s="2" t="s">
        <v>1766</v>
      </c>
      <c r="BOZ1" s="2" t="s">
        <v>1767</v>
      </c>
      <c r="BPA1" s="2" t="s">
        <v>1768</v>
      </c>
      <c r="BPB1" s="2" t="s">
        <v>1769</v>
      </c>
      <c r="BPC1" s="2" t="s">
        <v>1770</v>
      </c>
      <c r="BPD1" s="2" t="s">
        <v>1771</v>
      </c>
      <c r="BPE1" s="2" t="s">
        <v>1772</v>
      </c>
      <c r="BPF1" s="2" t="s">
        <v>1773</v>
      </c>
      <c r="BPG1" s="2" t="s">
        <v>1774</v>
      </c>
      <c r="BPH1" s="2" t="s">
        <v>1775</v>
      </c>
      <c r="BPI1" s="2" t="s">
        <v>1776</v>
      </c>
      <c r="BPJ1" s="2" t="s">
        <v>1777</v>
      </c>
      <c r="BPK1" s="2" t="s">
        <v>1778</v>
      </c>
      <c r="BPL1" s="2" t="s">
        <v>1779</v>
      </c>
      <c r="BPM1" s="2" t="s">
        <v>1780</v>
      </c>
      <c r="BPN1" s="2" t="s">
        <v>1781</v>
      </c>
      <c r="BPO1" s="2" t="s">
        <v>1782</v>
      </c>
      <c r="BPP1" s="2" t="s">
        <v>1783</v>
      </c>
      <c r="BPQ1" s="2" t="s">
        <v>1784</v>
      </c>
      <c r="BPR1" s="2" t="s">
        <v>1785</v>
      </c>
      <c r="BPS1" s="2" t="s">
        <v>1786</v>
      </c>
      <c r="BPT1" s="2" t="s">
        <v>1787</v>
      </c>
      <c r="BPU1" s="2" t="s">
        <v>1788</v>
      </c>
      <c r="BPV1" s="2" t="s">
        <v>1789</v>
      </c>
      <c r="BPW1" s="2" t="s">
        <v>1790</v>
      </c>
      <c r="BPX1" s="2" t="s">
        <v>1791</v>
      </c>
      <c r="BPY1" s="2" t="s">
        <v>1792</v>
      </c>
      <c r="BPZ1" s="2" t="s">
        <v>1793</v>
      </c>
      <c r="BQA1" s="2" t="s">
        <v>1794</v>
      </c>
      <c r="BQB1" s="2" t="s">
        <v>1795</v>
      </c>
      <c r="BQC1" s="2" t="s">
        <v>1796</v>
      </c>
      <c r="BQD1" s="2" t="s">
        <v>1797</v>
      </c>
      <c r="BQE1" s="2" t="s">
        <v>1798</v>
      </c>
      <c r="BQF1" s="2" t="s">
        <v>1799</v>
      </c>
      <c r="BQG1" s="2" t="s">
        <v>1800</v>
      </c>
      <c r="BQH1" s="2" t="s">
        <v>1801</v>
      </c>
      <c r="BQI1" s="2" t="s">
        <v>1802</v>
      </c>
      <c r="BQJ1" s="2" t="s">
        <v>1803</v>
      </c>
      <c r="BQK1" s="2" t="s">
        <v>1804</v>
      </c>
      <c r="BQL1" s="2" t="s">
        <v>1805</v>
      </c>
      <c r="BQM1" s="2" t="s">
        <v>1806</v>
      </c>
      <c r="BQN1" s="2" t="s">
        <v>1807</v>
      </c>
      <c r="BQO1" s="2" t="s">
        <v>1808</v>
      </c>
      <c r="BQP1" s="2" t="s">
        <v>1809</v>
      </c>
      <c r="BQQ1" s="2" t="s">
        <v>1810</v>
      </c>
      <c r="BQR1" s="2" t="s">
        <v>1811</v>
      </c>
      <c r="BQS1" s="2" t="s">
        <v>1812</v>
      </c>
      <c r="BQT1" s="2" t="s">
        <v>1813</v>
      </c>
      <c r="BQU1" s="2" t="s">
        <v>1814</v>
      </c>
      <c r="BQV1" s="2" t="s">
        <v>1815</v>
      </c>
      <c r="BQW1" s="2" t="s">
        <v>1816</v>
      </c>
      <c r="BQX1" s="2" t="s">
        <v>1817</v>
      </c>
      <c r="BQY1" s="2" t="s">
        <v>1818</v>
      </c>
      <c r="BQZ1" s="2" t="s">
        <v>1819</v>
      </c>
      <c r="BRA1" s="2" t="s">
        <v>1820</v>
      </c>
      <c r="BRB1" s="2" t="s">
        <v>1821</v>
      </c>
      <c r="BRC1" s="2" t="s">
        <v>1822</v>
      </c>
      <c r="BRD1" s="2" t="s">
        <v>1823</v>
      </c>
      <c r="BRE1" s="2" t="s">
        <v>1824</v>
      </c>
      <c r="BRF1" s="2" t="s">
        <v>1825</v>
      </c>
      <c r="BRG1" s="2" t="s">
        <v>1826</v>
      </c>
      <c r="BRH1" s="2" t="s">
        <v>1827</v>
      </c>
      <c r="BRI1" s="2" t="s">
        <v>1828</v>
      </c>
      <c r="BRJ1" s="2" t="s">
        <v>1829</v>
      </c>
      <c r="BRK1" s="2" t="s">
        <v>1830</v>
      </c>
      <c r="BRL1" s="2" t="s">
        <v>1831</v>
      </c>
      <c r="BRM1" s="2" t="s">
        <v>1832</v>
      </c>
      <c r="BRN1" s="2" t="s">
        <v>1833</v>
      </c>
      <c r="BRO1" s="2" t="s">
        <v>1834</v>
      </c>
      <c r="BRP1" s="2" t="s">
        <v>1835</v>
      </c>
      <c r="BRQ1" s="2" t="s">
        <v>1836</v>
      </c>
      <c r="BRR1" s="2" t="s">
        <v>1837</v>
      </c>
      <c r="BRS1" s="2" t="s">
        <v>1838</v>
      </c>
      <c r="BRT1" s="2" t="s">
        <v>1839</v>
      </c>
      <c r="BRU1" s="2" t="s">
        <v>1840</v>
      </c>
      <c r="BRV1" s="2" t="s">
        <v>1841</v>
      </c>
      <c r="BRW1" s="2" t="s">
        <v>1842</v>
      </c>
      <c r="BRX1" s="2" t="s">
        <v>1843</v>
      </c>
      <c r="BRY1" s="2" t="s">
        <v>1844</v>
      </c>
      <c r="BRZ1" s="2" t="s">
        <v>1845</v>
      </c>
      <c r="BSA1" s="2" t="s">
        <v>1846</v>
      </c>
      <c r="BSB1" s="2" t="s">
        <v>1847</v>
      </c>
      <c r="BSC1" s="2" t="s">
        <v>1848</v>
      </c>
      <c r="BSD1" s="2" t="s">
        <v>1849</v>
      </c>
      <c r="BSE1" s="2" t="s">
        <v>1850</v>
      </c>
      <c r="BSF1" s="2" t="s">
        <v>1851</v>
      </c>
      <c r="BSG1" s="2" t="s">
        <v>1852</v>
      </c>
      <c r="BSH1" s="2" t="s">
        <v>1853</v>
      </c>
      <c r="BSI1" s="2" t="s">
        <v>1854</v>
      </c>
      <c r="BSJ1" s="2" t="s">
        <v>1855</v>
      </c>
      <c r="BSK1" s="2" t="s">
        <v>1856</v>
      </c>
      <c r="BSL1" s="2" t="s">
        <v>1857</v>
      </c>
      <c r="BSM1" s="2" t="s">
        <v>1858</v>
      </c>
      <c r="BSN1" s="2" t="s">
        <v>1859</v>
      </c>
      <c r="BSO1" s="2" t="s">
        <v>1860</v>
      </c>
      <c r="BSP1" s="2" t="s">
        <v>1861</v>
      </c>
      <c r="BSQ1" s="2" t="s">
        <v>1862</v>
      </c>
      <c r="BSR1" s="2" t="s">
        <v>1863</v>
      </c>
      <c r="BSS1" s="2" t="s">
        <v>1864</v>
      </c>
      <c r="BST1" s="2" t="s">
        <v>1865</v>
      </c>
      <c r="BSU1" s="2" t="s">
        <v>1866</v>
      </c>
      <c r="BSV1" s="2" t="s">
        <v>1867</v>
      </c>
      <c r="BSW1" s="2" t="s">
        <v>1868</v>
      </c>
      <c r="BSX1" s="2" t="s">
        <v>1869</v>
      </c>
      <c r="BSY1" s="2" t="s">
        <v>1870</v>
      </c>
      <c r="BSZ1" s="2" t="s">
        <v>1871</v>
      </c>
      <c r="BTA1" s="2" t="s">
        <v>1872</v>
      </c>
      <c r="BTB1" s="2" t="s">
        <v>1873</v>
      </c>
      <c r="BTC1" s="2" t="s">
        <v>1874</v>
      </c>
      <c r="BTD1" s="2" t="s">
        <v>1875</v>
      </c>
      <c r="BTE1" s="2" t="s">
        <v>1876</v>
      </c>
      <c r="BTF1" s="2" t="s">
        <v>1877</v>
      </c>
      <c r="BTG1" s="2" t="s">
        <v>1878</v>
      </c>
      <c r="BTH1" s="2" t="s">
        <v>1879</v>
      </c>
      <c r="BTI1" s="2" t="s">
        <v>1880</v>
      </c>
      <c r="BTJ1" s="2" t="s">
        <v>1881</v>
      </c>
      <c r="BTK1" s="2" t="s">
        <v>1882</v>
      </c>
      <c r="BTL1" s="2" t="s">
        <v>1883</v>
      </c>
      <c r="BTM1" s="2" t="s">
        <v>1884</v>
      </c>
      <c r="BTN1" s="2" t="s">
        <v>1885</v>
      </c>
      <c r="BTO1" s="2" t="s">
        <v>1886</v>
      </c>
      <c r="BTP1" s="2" t="s">
        <v>1887</v>
      </c>
      <c r="BTQ1" s="2" t="s">
        <v>1888</v>
      </c>
      <c r="BTR1" s="2" t="s">
        <v>1889</v>
      </c>
      <c r="BTS1" s="2" t="s">
        <v>1890</v>
      </c>
      <c r="BTT1" s="2" t="s">
        <v>1891</v>
      </c>
      <c r="BTU1" s="2" t="s">
        <v>1892</v>
      </c>
      <c r="BTV1" s="2" t="s">
        <v>1893</v>
      </c>
      <c r="BTW1" s="2" t="s">
        <v>1894</v>
      </c>
      <c r="BTX1" s="2" t="s">
        <v>1895</v>
      </c>
      <c r="BTY1" s="2" t="s">
        <v>1896</v>
      </c>
      <c r="BTZ1" s="2" t="s">
        <v>1897</v>
      </c>
      <c r="BUA1" s="2" t="s">
        <v>1898</v>
      </c>
      <c r="BUB1" s="2" t="s">
        <v>1899</v>
      </c>
      <c r="BUC1" s="2" t="s">
        <v>1900</v>
      </c>
      <c r="BUD1" s="2" t="s">
        <v>1901</v>
      </c>
      <c r="BUE1" s="2" t="s">
        <v>1902</v>
      </c>
      <c r="BUF1" s="2" t="s">
        <v>1903</v>
      </c>
      <c r="BUG1" s="2" t="s">
        <v>1904</v>
      </c>
      <c r="BUH1" s="2" t="s">
        <v>1905</v>
      </c>
      <c r="BUI1" s="2" t="s">
        <v>1906</v>
      </c>
      <c r="BUJ1" s="2" t="s">
        <v>1907</v>
      </c>
      <c r="BUK1" s="2" t="s">
        <v>1908</v>
      </c>
      <c r="BUL1" s="2" t="s">
        <v>1909</v>
      </c>
      <c r="BUM1" s="2" t="s">
        <v>1910</v>
      </c>
      <c r="BUN1" s="2" t="s">
        <v>1911</v>
      </c>
      <c r="BUO1" s="2" t="s">
        <v>1912</v>
      </c>
      <c r="BUP1" s="2" t="s">
        <v>1913</v>
      </c>
      <c r="BUQ1" s="2" t="s">
        <v>1914</v>
      </c>
      <c r="BUR1" s="2" t="s">
        <v>1915</v>
      </c>
      <c r="BUS1" s="2" t="s">
        <v>1916</v>
      </c>
      <c r="BUT1" s="2" t="s">
        <v>1917</v>
      </c>
      <c r="BUU1" s="2" t="s">
        <v>1918</v>
      </c>
      <c r="BUV1" s="2" t="s">
        <v>1919</v>
      </c>
      <c r="BUW1" s="2" t="s">
        <v>1920</v>
      </c>
      <c r="BUX1" s="2" t="s">
        <v>1921</v>
      </c>
      <c r="BUY1" s="2" t="s">
        <v>1922</v>
      </c>
      <c r="BUZ1" s="2" t="s">
        <v>1923</v>
      </c>
      <c r="BVA1" s="2" t="s">
        <v>1924</v>
      </c>
      <c r="BVB1" s="2" t="s">
        <v>1925</v>
      </c>
      <c r="BVC1" s="2" t="s">
        <v>1926</v>
      </c>
      <c r="BVD1" s="2" t="s">
        <v>1927</v>
      </c>
      <c r="BVE1" s="2" t="s">
        <v>1928</v>
      </c>
      <c r="BVF1" s="2" t="s">
        <v>1929</v>
      </c>
      <c r="BVG1" s="2" t="s">
        <v>1930</v>
      </c>
      <c r="BVH1" s="2" t="s">
        <v>1931</v>
      </c>
      <c r="BVI1" s="2" t="s">
        <v>1932</v>
      </c>
      <c r="BVJ1" s="2" t="s">
        <v>1933</v>
      </c>
      <c r="BVK1" s="2" t="s">
        <v>1934</v>
      </c>
      <c r="BVL1" s="2" t="s">
        <v>1935</v>
      </c>
      <c r="BVM1" s="2" t="s">
        <v>1936</v>
      </c>
      <c r="BVN1" s="2" t="s">
        <v>1937</v>
      </c>
      <c r="BVO1" s="2" t="s">
        <v>1938</v>
      </c>
      <c r="BVP1" s="2" t="s">
        <v>1939</v>
      </c>
      <c r="BVQ1" s="2" t="s">
        <v>1940</v>
      </c>
      <c r="BVR1" s="2" t="s">
        <v>1941</v>
      </c>
      <c r="BVS1" s="2" t="s">
        <v>1942</v>
      </c>
      <c r="BVT1" s="2" t="s">
        <v>1943</v>
      </c>
      <c r="BVU1" s="2" t="s">
        <v>1944</v>
      </c>
      <c r="BVV1" s="2" t="s">
        <v>1945</v>
      </c>
      <c r="BVW1" s="2" t="s">
        <v>1946</v>
      </c>
      <c r="BVX1" s="2" t="s">
        <v>1947</v>
      </c>
      <c r="BVY1" s="2" t="s">
        <v>1948</v>
      </c>
      <c r="BVZ1" s="2" t="s">
        <v>1949</v>
      </c>
      <c r="BWA1" s="2" t="s">
        <v>1950</v>
      </c>
      <c r="BWB1" s="2" t="s">
        <v>1951</v>
      </c>
      <c r="BWC1" s="2" t="s">
        <v>1952</v>
      </c>
      <c r="BWD1" s="2" t="s">
        <v>1953</v>
      </c>
      <c r="BWE1" s="2" t="s">
        <v>1954</v>
      </c>
      <c r="BWF1" s="2" t="s">
        <v>1955</v>
      </c>
      <c r="BWG1" s="2" t="s">
        <v>1956</v>
      </c>
      <c r="BWH1" s="2" t="s">
        <v>1957</v>
      </c>
      <c r="BWI1" s="2" t="s">
        <v>1958</v>
      </c>
      <c r="BWJ1" s="2" t="s">
        <v>1959</v>
      </c>
      <c r="BWK1" s="2" t="s">
        <v>1960</v>
      </c>
      <c r="BWL1" s="2" t="s">
        <v>1961</v>
      </c>
      <c r="BWM1" s="2" t="s">
        <v>1962</v>
      </c>
      <c r="BWN1" s="2" t="s">
        <v>1963</v>
      </c>
      <c r="BWO1" s="2" t="s">
        <v>1964</v>
      </c>
      <c r="BWP1" s="2" t="s">
        <v>1965</v>
      </c>
      <c r="BWQ1" s="2" t="s">
        <v>1966</v>
      </c>
      <c r="BWR1" s="2" t="s">
        <v>1967</v>
      </c>
      <c r="BWS1" s="2" t="s">
        <v>1968</v>
      </c>
      <c r="BWT1" s="2" t="s">
        <v>1969</v>
      </c>
      <c r="BWU1" s="2" t="s">
        <v>1970</v>
      </c>
      <c r="BWV1" s="2" t="s">
        <v>1971</v>
      </c>
      <c r="BWW1" s="2" t="s">
        <v>1972</v>
      </c>
      <c r="BWX1" s="2" t="s">
        <v>1973</v>
      </c>
      <c r="BWY1" s="2" t="s">
        <v>1974</v>
      </c>
      <c r="BWZ1" s="2" t="s">
        <v>1975</v>
      </c>
      <c r="BXA1" s="2" t="s">
        <v>1976</v>
      </c>
      <c r="BXB1" s="2" t="s">
        <v>1977</v>
      </c>
      <c r="BXC1" s="2" t="s">
        <v>1978</v>
      </c>
      <c r="BXD1" s="2" t="s">
        <v>1979</v>
      </c>
      <c r="BXE1" s="2" t="s">
        <v>1980</v>
      </c>
      <c r="BXF1" s="2" t="s">
        <v>1981</v>
      </c>
      <c r="BXG1" s="2" t="s">
        <v>1982</v>
      </c>
      <c r="BXH1" s="2" t="s">
        <v>1983</v>
      </c>
      <c r="BXI1" s="2" t="s">
        <v>1984</v>
      </c>
      <c r="BXJ1" s="2" t="s">
        <v>1985</v>
      </c>
      <c r="BXK1" s="2" t="s">
        <v>1986</v>
      </c>
      <c r="BXL1" s="2" t="s">
        <v>1987</v>
      </c>
      <c r="BXM1" s="2" t="s">
        <v>1988</v>
      </c>
      <c r="BXN1" s="2" t="s">
        <v>1989</v>
      </c>
      <c r="BXO1" s="2" t="s">
        <v>1990</v>
      </c>
      <c r="BXP1" s="2" t="s">
        <v>1991</v>
      </c>
      <c r="BXQ1" s="2" t="s">
        <v>1992</v>
      </c>
      <c r="BXR1" s="2" t="s">
        <v>1993</v>
      </c>
      <c r="BXS1" s="2" t="s">
        <v>1994</v>
      </c>
      <c r="BXT1" s="2" t="s">
        <v>1995</v>
      </c>
      <c r="BXU1" s="2" t="s">
        <v>1996</v>
      </c>
      <c r="BXV1" s="2" t="s">
        <v>1997</v>
      </c>
      <c r="BXW1" s="2" t="s">
        <v>1998</v>
      </c>
      <c r="BXX1" s="2" t="s">
        <v>1999</v>
      </c>
      <c r="BXY1" s="2" t="s">
        <v>2000</v>
      </c>
      <c r="BXZ1" s="2" t="s">
        <v>2001</v>
      </c>
      <c r="BYA1" s="2" t="s">
        <v>2002</v>
      </c>
      <c r="BYB1" s="2" t="s">
        <v>2003</v>
      </c>
      <c r="BYC1" s="2" t="s">
        <v>2004</v>
      </c>
      <c r="BYD1" s="2" t="s">
        <v>2005</v>
      </c>
      <c r="BYE1" s="2" t="s">
        <v>2006</v>
      </c>
      <c r="BYF1" s="2" t="s">
        <v>2007</v>
      </c>
      <c r="BYG1" s="2" t="s">
        <v>2008</v>
      </c>
      <c r="BYH1" s="2" t="s">
        <v>2009</v>
      </c>
      <c r="BYI1" s="2" t="s">
        <v>2010</v>
      </c>
      <c r="BYJ1" s="2" t="s">
        <v>2011</v>
      </c>
      <c r="BYK1" s="2" t="s">
        <v>2012</v>
      </c>
      <c r="BYL1" s="2" t="s">
        <v>2013</v>
      </c>
    </row>
    <row r="2">
      <c r="A2" s="4" t="s">
        <v>2014</v>
      </c>
      <c r="B2" s="5">
        <f>IFERROR(VLOOKUP(B$1,'Working Capital Pesos'!$B$16:$C$18,2,FALSE),0%)</f>
        <v>0</v>
      </c>
      <c r="C2" s="6">
        <f>IFERROR(VLOOKUP(C$1,'Working Capital Pesos'!$B$16:$C$18,2,FALSE),0%)</f>
        <v>0</v>
      </c>
      <c r="D2" s="5">
        <f>IFERROR(VLOOKUP(D$1,'Working Capital Pesos'!$B$16:$C$18,2,FALSE),0%)</f>
        <v>0</v>
      </c>
      <c r="E2" s="5">
        <f>IFERROR(VLOOKUP(E$1,'Working Capital Pesos'!$B$16:$C$18,2,FALSE),0%)</f>
        <v>0</v>
      </c>
      <c r="F2" s="5">
        <f>IFERROR(VLOOKUP(F$1,'Working Capital Pesos'!$B$16:$C$18,2,FALSE),0%)</f>
        <v>0</v>
      </c>
      <c r="G2" s="5">
        <f>IFERROR(VLOOKUP(G$1,'Working Capital Pesos'!$B$16:$C$18,2,FALSE),0%)</f>
        <v>0</v>
      </c>
      <c r="H2" s="5">
        <f>IFERROR(VLOOKUP(H$1,'Working Capital Pesos'!$B$16:$C$18,2,FALSE),0%)</f>
        <v>0</v>
      </c>
      <c r="I2" s="5">
        <f>IFERROR(VLOOKUP(I$1,'Working Capital Pesos'!$B$16:$C$18,2,FALSE),0%)</f>
        <v>0</v>
      </c>
      <c r="J2" s="5">
        <f>IFERROR(VLOOKUP(J$1,'Working Capital Pesos'!$B$16:$C$18,2,FALSE),0%)</f>
        <v>0</v>
      </c>
      <c r="K2" s="5">
        <f>IFERROR(VLOOKUP(K$1,'Working Capital Pesos'!$B$16:$C$18,2,FALSE),0%)</f>
        <v>0</v>
      </c>
      <c r="L2" s="5">
        <f>IFERROR(VLOOKUP(L$1,'Working Capital Pesos'!$B$16:$C$18,2,FALSE),0%)</f>
        <v>0</v>
      </c>
      <c r="M2" s="5">
        <f>IFERROR(VLOOKUP(M$1,'Working Capital Pesos'!$B$16:$C$18,2,FALSE),0%)</f>
        <v>0</v>
      </c>
      <c r="N2" s="5">
        <f>IFERROR(VLOOKUP(N$1,'Working Capital Pesos'!$B$16:$C$18,2,FALSE),0%)</f>
        <v>0</v>
      </c>
      <c r="O2" s="5">
        <f>IFERROR(VLOOKUP(O$1,'Working Capital Pesos'!$B$16:$C$18,2,FALSE),0%)</f>
        <v>0</v>
      </c>
      <c r="P2" s="5">
        <f>IFERROR(VLOOKUP(P$1,'Working Capital Pesos'!$B$16:$C$18,2,FALSE),0%)</f>
        <v>0</v>
      </c>
      <c r="Q2" s="5">
        <f>IFERROR(VLOOKUP(Q$1,'Working Capital Pesos'!$B$16:$C$18,2,FALSE),0%)</f>
        <v>0</v>
      </c>
      <c r="R2" s="5">
        <f>IFERROR(VLOOKUP(R$1,'Working Capital Pesos'!$B$16:$C$18,2,FALSE),0%)</f>
        <v>0</v>
      </c>
      <c r="S2" s="5">
        <f>IFERROR(VLOOKUP(S$1,'Working Capital Pesos'!$B$16:$C$18,2,FALSE),0%)</f>
        <v>0</v>
      </c>
      <c r="T2" s="5">
        <f>IFERROR(VLOOKUP(T$1,'Working Capital Pesos'!$B$16:$C$18,2,FALSE),0%)</f>
        <v>0</v>
      </c>
      <c r="U2" s="5">
        <f>IFERROR(VLOOKUP(U$1,'Working Capital Pesos'!$B$16:$C$18,2,FALSE),0%)</f>
        <v>0</v>
      </c>
      <c r="V2" s="5">
        <f>IFERROR(VLOOKUP(V$1,'Working Capital Pesos'!$B$16:$C$18,2,FALSE),0%)</f>
        <v>0</v>
      </c>
      <c r="W2" s="5">
        <f>IFERROR(VLOOKUP(W$1,'Working Capital Pesos'!$B$16:$C$18,2,FALSE),0%)</f>
        <v>0</v>
      </c>
      <c r="X2" s="5">
        <f>IFERROR(VLOOKUP(X$1,'Working Capital Pesos'!$B$16:$C$18,2,FALSE),0%)</f>
        <v>0</v>
      </c>
      <c r="Y2" s="5">
        <f>IFERROR(VLOOKUP(Y$1,'Working Capital Pesos'!$B$16:$C$18,2,FALSE),0%)</f>
        <v>0</v>
      </c>
      <c r="Z2" s="5">
        <f>IFERROR(VLOOKUP(Z$1,'Working Capital Pesos'!$B$16:$C$18,2,FALSE),0%)</f>
        <v>0</v>
      </c>
      <c r="AA2" s="5">
        <f>IFERROR(VLOOKUP(AA$1,'Working Capital Pesos'!$B$16:$C$18,2,FALSE),0%)</f>
        <v>0</v>
      </c>
      <c r="AB2" s="5">
        <f>IFERROR(VLOOKUP(AB$1,'Working Capital Pesos'!$B$16:$C$18,2,FALSE),0%)</f>
        <v>0</v>
      </c>
      <c r="AC2" s="5">
        <f>IFERROR(VLOOKUP(AC$1,'Working Capital Pesos'!$B$16:$C$18,2,FALSE),0%)</f>
        <v>0</v>
      </c>
      <c r="AD2" s="5">
        <f>IFERROR(VLOOKUP(AD$1,'Working Capital Pesos'!$B$16:$C$18,2,FALSE),0%)</f>
        <v>0</v>
      </c>
      <c r="AE2" s="5">
        <f>IFERROR(VLOOKUP(AE$1,'Working Capital Pesos'!$B$16:$C$18,2,FALSE),0%)</f>
        <v>0</v>
      </c>
      <c r="AF2" s="5">
        <f>IFERROR(VLOOKUP(AF$1,'Working Capital Pesos'!$B$16:$C$18,2,FALSE),0%)</f>
        <v>0</v>
      </c>
      <c r="AG2" s="5">
        <f>IFERROR(VLOOKUP(AG$1,'Working Capital Pesos'!$B$16:$C$18,2,FALSE),0%)</f>
        <v>0</v>
      </c>
      <c r="AH2" s="5">
        <f>IFERROR(VLOOKUP(AH$1,'Working Capital Pesos'!$B$16:$C$18,2,FALSE),0%)</f>
        <v>0</v>
      </c>
      <c r="AI2" s="5">
        <f>IFERROR(VLOOKUP(AI$1,'Working Capital Pesos'!$B$16:$C$18,2,FALSE),0%)</f>
        <v>0</v>
      </c>
      <c r="AJ2" s="5">
        <f>IFERROR(VLOOKUP(AJ$1,'Working Capital Pesos'!$B$16:$C$18,2,FALSE),0%)</f>
        <v>0</v>
      </c>
      <c r="AK2" s="5">
        <f>IFERROR(VLOOKUP(AK$1,'Working Capital Pesos'!$B$16:$C$18,2,FALSE),0%)</f>
        <v>0</v>
      </c>
      <c r="AL2" s="5">
        <f>IFERROR(VLOOKUP(AL$1,'Working Capital Pesos'!$B$16:$C$18,2,FALSE),0%)</f>
        <v>0</v>
      </c>
      <c r="AM2" s="5">
        <f>IFERROR(VLOOKUP(AM$1,'Working Capital Pesos'!$B$16:$C$18,2,FALSE),0%)</f>
        <v>0</v>
      </c>
      <c r="AN2" s="5">
        <f>IFERROR(VLOOKUP(AN$1,'Working Capital Pesos'!$B$16:$C$18,2,FALSE),0%)</f>
        <v>0</v>
      </c>
      <c r="AO2" s="5">
        <f>IFERROR(VLOOKUP(AO$1,'Working Capital Pesos'!$B$16:$C$18,2,FALSE),0%)</f>
        <v>0</v>
      </c>
      <c r="AP2" s="5">
        <f>IFERROR(VLOOKUP(AP$1,'Working Capital Pesos'!$B$16:$C$18,2,FALSE),0%)</f>
        <v>0</v>
      </c>
      <c r="AQ2" s="5">
        <f>IFERROR(VLOOKUP(AQ$1,'Working Capital Pesos'!$B$16:$C$18,2,FALSE),0%)</f>
        <v>0</v>
      </c>
      <c r="AR2" s="5">
        <f>IFERROR(VLOOKUP(AR$1,'Working Capital Pesos'!$B$16:$C$18,2,FALSE),0%)</f>
        <v>0</v>
      </c>
      <c r="AS2" s="5">
        <f>IFERROR(VLOOKUP(AS$1,'Working Capital Pesos'!$B$16:$C$18,2,FALSE),0%)</f>
        <v>0</v>
      </c>
      <c r="AT2" s="5">
        <f>IFERROR(VLOOKUP(AT$1,'Working Capital Pesos'!$B$16:$C$18,2,FALSE),0%)</f>
        <v>0</v>
      </c>
      <c r="AU2" s="5">
        <f>IFERROR(VLOOKUP(AU$1,'Working Capital Pesos'!$B$16:$C$18,2,FALSE),0%)</f>
        <v>0</v>
      </c>
      <c r="AV2" s="5">
        <f>IFERROR(VLOOKUP(AV$1,'Working Capital Pesos'!$B$16:$C$18,2,FALSE),0%)</f>
        <v>0</v>
      </c>
      <c r="AW2" s="5">
        <f>IFERROR(VLOOKUP(AW$1,'Working Capital Pesos'!$B$16:$C$18,2,FALSE),0%)</f>
        <v>0</v>
      </c>
      <c r="AX2" s="5">
        <f>IFERROR(VLOOKUP(AX$1,'Working Capital Pesos'!$B$16:$C$18,2,FALSE),0%)</f>
        <v>0</v>
      </c>
      <c r="AY2" s="5">
        <f>IFERROR(VLOOKUP(AY$1,'Working Capital Pesos'!$B$16:$C$18,2,FALSE),0%)</f>
        <v>0</v>
      </c>
      <c r="AZ2" s="5">
        <f>IFERROR(VLOOKUP(AZ$1,'Working Capital Pesos'!$B$16:$C$18,2,FALSE),0%)</f>
        <v>0</v>
      </c>
      <c r="BA2" s="5">
        <f>IFERROR(VLOOKUP(BA$1,'Working Capital Pesos'!$B$16:$C$18,2,FALSE),0%)</f>
        <v>0</v>
      </c>
      <c r="BB2" s="5">
        <f>IFERROR(VLOOKUP(BB$1,'Working Capital Pesos'!$B$16:$C$18,2,FALSE),0%)</f>
        <v>0</v>
      </c>
      <c r="BC2" s="5">
        <f>IFERROR(VLOOKUP(BC$1,'Working Capital Pesos'!$B$16:$C$18,2,FALSE),0%)</f>
        <v>0</v>
      </c>
      <c r="BD2" s="5">
        <f>IFERROR(VLOOKUP(BD$1,'Working Capital Pesos'!$B$16:$C$18,2,FALSE),0%)</f>
        <v>0</v>
      </c>
      <c r="BE2" s="5">
        <f>IFERROR(VLOOKUP(BE$1,'Working Capital Pesos'!$B$16:$C$18,2,FALSE),0%)</f>
        <v>0</v>
      </c>
      <c r="BF2" s="5">
        <f>IFERROR(VLOOKUP(BF$1,'Working Capital Pesos'!$B$16:$C$18,2,FALSE),0%)</f>
        <v>0</v>
      </c>
      <c r="BG2" s="5">
        <f>IFERROR(VLOOKUP(BG$1,'Working Capital Pesos'!$B$16:$C$18,2,FALSE),0%)</f>
        <v>0</v>
      </c>
      <c r="BH2" s="5">
        <f>IFERROR(VLOOKUP(BH$1,'Working Capital Pesos'!$B$16:$C$18,2,FALSE),0%)</f>
        <v>0</v>
      </c>
      <c r="BI2" s="5">
        <f>IFERROR(VLOOKUP(BI$1,'Working Capital Pesos'!$B$16:$C$18,2,FALSE),0%)</f>
        <v>0</v>
      </c>
      <c r="BJ2" s="5">
        <f>IFERROR(VLOOKUP(BJ$1,'Working Capital Pesos'!$B$16:$C$18,2,FALSE),0%)</f>
        <v>0</v>
      </c>
      <c r="BK2" s="5">
        <f>IFERROR(VLOOKUP(BK$1,'Working Capital Pesos'!$B$16:$C$18,2,FALSE),0%)</f>
        <v>0</v>
      </c>
      <c r="BL2" s="5">
        <f>IFERROR(VLOOKUP(BL$1,'Working Capital Pesos'!$B$16:$C$18,2,FALSE),0%)</f>
        <v>0</v>
      </c>
      <c r="BM2" s="5">
        <f>IFERROR(VLOOKUP(BM$1,'Working Capital Pesos'!$B$16:$C$18,2,FALSE),0%)</f>
        <v>0</v>
      </c>
      <c r="BN2" s="5">
        <f>IFERROR(VLOOKUP(BN$1,'Working Capital Pesos'!$B$16:$C$18,2,FALSE),0%)</f>
        <v>0</v>
      </c>
      <c r="BO2" s="5">
        <f>IFERROR(VLOOKUP(BO$1,'Working Capital Pesos'!$B$16:$C$18,2,FALSE),0%)</f>
        <v>0</v>
      </c>
      <c r="BP2" s="5">
        <f>IFERROR(VLOOKUP(BP$1,'Working Capital Pesos'!$B$16:$C$18,2,FALSE),0%)</f>
        <v>0</v>
      </c>
      <c r="BQ2" s="5">
        <f>IFERROR(VLOOKUP(BQ$1,'Working Capital Pesos'!$B$16:$C$18,2,FALSE),0%)</f>
        <v>0</v>
      </c>
      <c r="BR2" s="5">
        <f>IFERROR(VLOOKUP(BR$1,'Working Capital Pesos'!$B$16:$C$18,2,FALSE),0%)</f>
        <v>0</v>
      </c>
      <c r="BS2" s="5">
        <f>IFERROR(VLOOKUP(BS$1,'Working Capital Pesos'!$B$16:$C$18,2,FALSE),0%)</f>
        <v>0</v>
      </c>
      <c r="BT2" s="5">
        <f>IFERROR(VLOOKUP(BT$1,'Working Capital Pesos'!$B$16:$C$18,2,FALSE),0%)</f>
        <v>0</v>
      </c>
      <c r="BU2" s="5">
        <f>IFERROR(VLOOKUP(BU$1,'Working Capital Pesos'!$B$16:$C$18,2,FALSE),0%)</f>
        <v>0</v>
      </c>
      <c r="BV2" s="5">
        <f>IFERROR(VLOOKUP(BV$1,'Working Capital Pesos'!$B$16:$C$18,2,FALSE),0%)</f>
        <v>0</v>
      </c>
      <c r="BW2" s="5">
        <f>IFERROR(VLOOKUP(BW$1,'Working Capital Pesos'!$B$16:$C$18,2,FALSE),0%)</f>
        <v>0</v>
      </c>
      <c r="BX2" s="5">
        <f>IFERROR(VLOOKUP(BX$1,'Working Capital Pesos'!$B$16:$C$18,2,FALSE),0%)</f>
        <v>0</v>
      </c>
      <c r="BY2" s="5">
        <f>IFERROR(VLOOKUP(BY$1,'Working Capital Pesos'!$B$16:$C$18,2,FALSE),0%)</f>
        <v>0</v>
      </c>
      <c r="BZ2" s="5">
        <f>IFERROR(VLOOKUP(BZ$1,'Working Capital Pesos'!$B$16:$C$18,2,FALSE),0%)</f>
        <v>0</v>
      </c>
      <c r="CA2" s="5">
        <f>IFERROR(VLOOKUP(CA$1,'Working Capital Pesos'!$B$16:$C$18,2,FALSE),0%)</f>
        <v>0</v>
      </c>
      <c r="CB2" s="5">
        <f>IFERROR(VLOOKUP(CB$1,'Working Capital Pesos'!$B$16:$C$18,2,FALSE),0%)</f>
        <v>0</v>
      </c>
      <c r="CC2" s="5">
        <f>IFERROR(VLOOKUP(CC$1,'Working Capital Pesos'!$B$16:$C$18,2,FALSE),0%)</f>
        <v>0</v>
      </c>
      <c r="CD2" s="5">
        <f>IFERROR(VLOOKUP(CD$1,'Working Capital Pesos'!$B$16:$C$18,2,FALSE),0%)</f>
        <v>0</v>
      </c>
      <c r="CE2" s="5">
        <f>IFERROR(VLOOKUP(CE$1,'Working Capital Pesos'!$B$16:$C$18,2,FALSE),0%)</f>
        <v>0</v>
      </c>
      <c r="CF2" s="5">
        <f>IFERROR(VLOOKUP(CF$1,'Working Capital Pesos'!$B$16:$C$18,2,FALSE),0%)</f>
        <v>0</v>
      </c>
      <c r="CG2" s="5">
        <f>IFERROR(VLOOKUP(CG$1,'Working Capital Pesos'!$B$16:$C$18,2,FALSE),0%)</f>
        <v>0</v>
      </c>
      <c r="CH2" s="5">
        <f>IFERROR(VLOOKUP(CH$1,'Working Capital Pesos'!$B$16:$C$18,2,FALSE),0%)</f>
        <v>0</v>
      </c>
      <c r="CI2" s="5">
        <f>IFERROR(VLOOKUP(CI$1,'Working Capital Pesos'!$B$16:$C$18,2,FALSE),0%)</f>
        <v>0</v>
      </c>
      <c r="CJ2" s="5">
        <f>IFERROR(VLOOKUP(CJ$1,'Working Capital Pesos'!$B$16:$C$18,2,FALSE),0%)</f>
        <v>0</v>
      </c>
      <c r="CK2" s="5">
        <f>IFERROR(VLOOKUP(CK$1,'Working Capital Pesos'!$B$16:$C$18,2,FALSE),0%)</f>
        <v>0</v>
      </c>
      <c r="CL2" s="5">
        <f>IFERROR(VLOOKUP(CL$1,'Working Capital Pesos'!$B$16:$C$18,2,FALSE),0%)</f>
        <v>0</v>
      </c>
      <c r="CM2" s="5">
        <f>IFERROR(VLOOKUP(CM$1,'Working Capital Pesos'!$B$16:$C$18,2,FALSE),0%)</f>
        <v>0</v>
      </c>
      <c r="CN2" s="5">
        <f>IFERROR(VLOOKUP(CN$1,'Working Capital Pesos'!$B$16:$C$18,2,FALSE),0%)</f>
        <v>0</v>
      </c>
      <c r="CO2" s="5">
        <f>IFERROR(VLOOKUP(CO$1,'Working Capital Pesos'!$B$16:$C$18,2,FALSE),0%)</f>
        <v>0</v>
      </c>
      <c r="CP2" s="5">
        <f>IFERROR(VLOOKUP(CP$1,'Working Capital Pesos'!$B$16:$C$18,2,FALSE),0%)</f>
        <v>0</v>
      </c>
      <c r="CQ2" s="5">
        <f>IFERROR(VLOOKUP(CQ$1,'Working Capital Pesos'!$B$16:$C$18,2,FALSE),0%)</f>
        <v>0</v>
      </c>
      <c r="CR2" s="5">
        <f>IFERROR(VLOOKUP(CR$1,'Working Capital Pesos'!$B$16:$C$18,2,FALSE),0%)</f>
        <v>0</v>
      </c>
      <c r="CS2" s="5">
        <f>IFERROR(VLOOKUP(CS$1,'Working Capital Pesos'!$B$16:$C$18,2,FALSE),0%)</f>
        <v>0</v>
      </c>
      <c r="CT2" s="5">
        <f>IFERROR(VLOOKUP(CT$1,'Working Capital Pesos'!$B$16:$C$18,2,FALSE),0%)</f>
        <v>0</v>
      </c>
      <c r="CU2" s="5">
        <f>IFERROR(VLOOKUP(CU$1,'Working Capital Pesos'!$B$16:$C$18,2,FALSE),0%)</f>
        <v>0</v>
      </c>
      <c r="CV2" s="5">
        <f>IFERROR(VLOOKUP(CV$1,'Working Capital Pesos'!$B$16:$C$18,2,FALSE),0%)</f>
        <v>0</v>
      </c>
      <c r="CW2" s="5">
        <f>IFERROR(VLOOKUP(CW$1,'Working Capital Pesos'!$B$16:$C$18,2,FALSE),0%)</f>
        <v>0</v>
      </c>
      <c r="CX2" s="5">
        <f>IFERROR(VLOOKUP(CX$1,'Working Capital Pesos'!$B$16:$C$18,2,FALSE),0%)</f>
        <v>0</v>
      </c>
      <c r="CY2" s="5">
        <f>IFERROR(VLOOKUP(CY$1,'Working Capital Pesos'!$B$16:$C$18,2,FALSE),0%)</f>
        <v>0</v>
      </c>
      <c r="CZ2" s="5">
        <f>IFERROR(VLOOKUP(CZ$1,'Working Capital Pesos'!$B$16:$C$18,2,FALSE),0%)</f>
        <v>0</v>
      </c>
      <c r="DA2" s="5">
        <f>IFERROR(VLOOKUP(DA$1,'Working Capital Pesos'!$B$16:$C$18,2,FALSE),0%)</f>
        <v>0</v>
      </c>
      <c r="DB2" s="5">
        <f>IFERROR(VLOOKUP(DB$1,'Working Capital Pesos'!$B$16:$C$18,2,FALSE),0%)</f>
        <v>0</v>
      </c>
      <c r="DC2" s="5">
        <f>IFERROR(VLOOKUP(DC$1,'Working Capital Pesos'!$B$16:$C$18,2,FALSE),0%)</f>
        <v>0</v>
      </c>
      <c r="DD2" s="5">
        <f>IFERROR(VLOOKUP(DD$1,'Working Capital Pesos'!$B$16:$C$18,2,FALSE),0%)</f>
        <v>0</v>
      </c>
      <c r="DE2" s="5">
        <f>IFERROR(VLOOKUP(DE$1,'Working Capital Pesos'!$B$16:$C$18,2,FALSE),0%)</f>
        <v>0</v>
      </c>
      <c r="DF2" s="5">
        <f>IFERROR(VLOOKUP(DF$1,'Working Capital Pesos'!$B$16:$C$18,2,FALSE),0%)</f>
        <v>0</v>
      </c>
      <c r="DG2" s="5">
        <f>IFERROR(VLOOKUP(DG$1,'Working Capital Pesos'!$B$16:$C$18,2,FALSE),0%)</f>
        <v>0</v>
      </c>
      <c r="DH2" s="5">
        <f>IFERROR(VLOOKUP(DH$1,'Working Capital Pesos'!$B$16:$C$18,2,FALSE),0%)</f>
        <v>0</v>
      </c>
      <c r="DI2" s="5">
        <f>IFERROR(VLOOKUP(DI$1,'Working Capital Pesos'!$B$16:$C$18,2,FALSE),0%)</f>
        <v>0</v>
      </c>
      <c r="DJ2" s="5">
        <f>IFERROR(VLOOKUP(DJ$1,'Working Capital Pesos'!$B$16:$C$18,2,FALSE),0%)</f>
        <v>0</v>
      </c>
      <c r="DK2" s="5">
        <f>IFERROR(VLOOKUP(DK$1,'Working Capital Pesos'!$B$16:$C$18,2,FALSE),0%)</f>
        <v>0</v>
      </c>
      <c r="DL2" s="5">
        <f>IFERROR(VLOOKUP(DL$1,'Working Capital Pesos'!$B$16:$C$18,2,FALSE),0%)</f>
        <v>0</v>
      </c>
      <c r="DM2" s="5">
        <f>IFERROR(VLOOKUP(DM$1,'Working Capital Pesos'!$B$16:$C$18,2,FALSE),0%)</f>
        <v>0</v>
      </c>
      <c r="DN2" s="5">
        <f>IFERROR(VLOOKUP(DN$1,'Working Capital Pesos'!$B$16:$C$18,2,FALSE),0%)</f>
        <v>0</v>
      </c>
      <c r="DO2" s="5">
        <f>IFERROR(VLOOKUP(DO$1,'Working Capital Pesos'!$B$16:$C$18,2,FALSE),0%)</f>
        <v>0</v>
      </c>
      <c r="DP2" s="5">
        <f>IFERROR(VLOOKUP(DP$1,'Working Capital Pesos'!$B$16:$C$18,2,FALSE),0%)</f>
        <v>0</v>
      </c>
      <c r="DQ2" s="5">
        <f>IFERROR(VLOOKUP(DQ$1,'Working Capital Pesos'!$B$16:$C$18,2,FALSE),0%)</f>
        <v>0</v>
      </c>
      <c r="DR2" s="5">
        <f>IFERROR(VLOOKUP(DR$1,'Working Capital Pesos'!$B$16:$C$18,2,FALSE),0%)</f>
        <v>0</v>
      </c>
      <c r="DS2" s="5">
        <f>IFERROR(VLOOKUP(DS$1,'Working Capital Pesos'!$B$16:$C$18,2,FALSE),0%)</f>
        <v>0</v>
      </c>
      <c r="DT2" s="5">
        <f>IFERROR(VLOOKUP(DT$1,'Working Capital Pesos'!$B$16:$C$18,2,FALSE),0%)</f>
        <v>0</v>
      </c>
      <c r="DU2" s="5">
        <f>IFERROR(VLOOKUP(DU$1,'Working Capital Pesos'!$B$16:$C$18,2,FALSE),0%)</f>
        <v>0</v>
      </c>
      <c r="DV2" s="5">
        <f>IFERROR(VLOOKUP(DV$1,'Working Capital Pesos'!$B$16:$C$18,2,FALSE),0%)</f>
        <v>0</v>
      </c>
      <c r="DW2" s="5">
        <f>IFERROR(VLOOKUP(DW$1,'Working Capital Pesos'!$B$16:$C$18,2,FALSE),0%)</f>
        <v>0</v>
      </c>
      <c r="DX2" s="5">
        <f>IFERROR(VLOOKUP(DX$1,'Working Capital Pesos'!$B$16:$C$18,2,FALSE),0%)</f>
        <v>0</v>
      </c>
      <c r="DY2" s="5">
        <f>IFERROR(VLOOKUP(DY$1,'Working Capital Pesos'!$B$16:$C$18,2,FALSE),0%)</f>
        <v>0</v>
      </c>
      <c r="DZ2" s="5">
        <f>IFERROR(VLOOKUP(DZ$1,'Working Capital Pesos'!$B$16:$C$18,2,FALSE),0%)</f>
        <v>0</v>
      </c>
      <c r="EA2" s="5">
        <f>IFERROR(VLOOKUP(EA$1,'Working Capital Pesos'!$B$16:$C$18,2,FALSE),0%)</f>
        <v>0</v>
      </c>
      <c r="EB2" s="5">
        <f>IFERROR(VLOOKUP(EB$1,'Working Capital Pesos'!$B$16:$C$18,2,FALSE),0%)</f>
        <v>0</v>
      </c>
      <c r="EC2" s="5">
        <f>IFERROR(VLOOKUP(EC$1,'Working Capital Pesos'!$B$16:$C$18,2,FALSE),0%)</f>
        <v>0</v>
      </c>
      <c r="ED2" s="5">
        <f>IFERROR(VLOOKUP(ED$1,'Working Capital Pesos'!$B$16:$C$18,2,FALSE),0%)</f>
        <v>0</v>
      </c>
      <c r="EE2" s="5">
        <f>IFERROR(VLOOKUP(EE$1,'Working Capital Pesos'!$B$16:$C$18,2,FALSE),0%)</f>
        <v>0</v>
      </c>
      <c r="EF2" s="5">
        <f>IFERROR(VLOOKUP(EF$1,'Working Capital Pesos'!$B$16:$C$18,2,FALSE),0%)</f>
        <v>0</v>
      </c>
      <c r="EG2" s="5">
        <f>IFERROR(VLOOKUP(EG$1,'Working Capital Pesos'!$B$16:$C$18,2,FALSE),0%)</f>
        <v>0</v>
      </c>
      <c r="EH2" s="5">
        <f>IFERROR(VLOOKUP(EH$1,'Working Capital Pesos'!$B$16:$C$18,2,FALSE),0%)</f>
        <v>0</v>
      </c>
      <c r="EI2" s="5">
        <f>IFERROR(VLOOKUP(EI$1,'Working Capital Pesos'!$B$16:$C$18,2,FALSE),0%)</f>
        <v>0</v>
      </c>
      <c r="EJ2" s="5">
        <f>IFERROR(VLOOKUP(EJ$1,'Working Capital Pesos'!$B$16:$C$18,2,FALSE),0%)</f>
        <v>0</v>
      </c>
      <c r="EK2" s="5">
        <f>IFERROR(VLOOKUP(EK$1,'Working Capital Pesos'!$B$16:$C$18,2,FALSE),0%)</f>
        <v>0</v>
      </c>
      <c r="EL2" s="5">
        <f>IFERROR(VLOOKUP(EL$1,'Working Capital Pesos'!$B$16:$C$18,2,FALSE),0%)</f>
        <v>0</v>
      </c>
      <c r="EM2" s="5">
        <f>IFERROR(VLOOKUP(EM$1,'Working Capital Pesos'!$B$16:$C$18,2,FALSE),0%)</f>
        <v>0</v>
      </c>
      <c r="EN2" s="5">
        <f>IFERROR(VLOOKUP(EN$1,'Working Capital Pesos'!$B$16:$C$18,2,FALSE),0%)</f>
        <v>0</v>
      </c>
      <c r="EO2" s="5">
        <f>IFERROR(VLOOKUP(EO$1,'Working Capital Pesos'!$B$16:$C$18,2,FALSE),0%)</f>
        <v>0</v>
      </c>
      <c r="EP2" s="5">
        <f>IFERROR(VLOOKUP(EP$1,'Working Capital Pesos'!$B$16:$C$18,2,FALSE),0%)</f>
        <v>0</v>
      </c>
      <c r="EQ2" s="5">
        <f>IFERROR(VLOOKUP(EQ$1,'Working Capital Pesos'!$B$16:$C$18,2,FALSE),0%)</f>
        <v>0</v>
      </c>
      <c r="ER2" s="5">
        <f>IFERROR(VLOOKUP(ER$1,'Working Capital Pesos'!$B$16:$C$18,2,FALSE),0%)</f>
        <v>0</v>
      </c>
      <c r="ES2" s="5">
        <f>IFERROR(VLOOKUP(ES$1,'Working Capital Pesos'!$B$16:$C$18,2,FALSE),0%)</f>
        <v>0</v>
      </c>
      <c r="ET2" s="5">
        <f>IFERROR(VLOOKUP(ET$1,'Working Capital Pesos'!$B$16:$C$18,2,FALSE),0%)</f>
        <v>0</v>
      </c>
      <c r="EU2" s="5">
        <f>IFERROR(VLOOKUP(EU$1,'Working Capital Pesos'!$B$16:$C$18,2,FALSE),0%)</f>
        <v>0</v>
      </c>
      <c r="EV2" s="5">
        <f>IFERROR(VLOOKUP(EV$1,'Working Capital Pesos'!$B$16:$C$18,2,FALSE),0%)</f>
        <v>0</v>
      </c>
      <c r="EW2" s="5">
        <f>IFERROR(VLOOKUP(EW$1,'Working Capital Pesos'!$B$16:$C$18,2,FALSE),0%)</f>
        <v>0</v>
      </c>
      <c r="EX2" s="5">
        <f>IFERROR(VLOOKUP(EX$1,'Working Capital Pesos'!$B$16:$C$18,2,FALSE),0%)</f>
        <v>0</v>
      </c>
      <c r="EY2" s="5">
        <f>IFERROR(VLOOKUP(EY$1,'Working Capital Pesos'!$B$16:$C$18,2,FALSE),0%)</f>
        <v>0</v>
      </c>
      <c r="EZ2" s="5">
        <f>IFERROR(VLOOKUP(EZ$1,'Working Capital Pesos'!$B$16:$C$18,2,FALSE),0%)</f>
        <v>0</v>
      </c>
      <c r="FA2" s="5">
        <f>IFERROR(VLOOKUP(FA$1,'Working Capital Pesos'!$B$16:$C$18,2,FALSE),0%)</f>
        <v>0</v>
      </c>
      <c r="FB2" s="5">
        <f>IFERROR(VLOOKUP(FB$1,'Working Capital Pesos'!$B$16:$C$18,2,FALSE),0%)</f>
        <v>0</v>
      </c>
      <c r="FC2" s="5">
        <f>IFERROR(VLOOKUP(FC$1,'Working Capital Pesos'!$B$16:$C$18,2,FALSE),0%)</f>
        <v>0</v>
      </c>
      <c r="FD2" s="5">
        <f>IFERROR(VLOOKUP(FD$1,'Working Capital Pesos'!$B$16:$C$18,2,FALSE),0%)</f>
        <v>0</v>
      </c>
      <c r="FE2" s="5">
        <f>IFERROR(VLOOKUP(FE$1,'Working Capital Pesos'!$B$16:$C$18,2,FALSE),0%)</f>
        <v>0</v>
      </c>
      <c r="FF2" s="5">
        <f>IFERROR(VLOOKUP(FF$1,'Working Capital Pesos'!$B$16:$C$18,2,FALSE),0%)</f>
        <v>0</v>
      </c>
      <c r="FG2" s="5">
        <f>IFERROR(VLOOKUP(FG$1,'Working Capital Pesos'!$B$16:$C$18,2,FALSE),0%)</f>
        <v>0</v>
      </c>
      <c r="FH2" s="5">
        <f>IFERROR(VLOOKUP(FH$1,'Working Capital Pesos'!$B$16:$C$18,2,FALSE),0%)</f>
        <v>0</v>
      </c>
      <c r="FI2" s="5">
        <f>IFERROR(VLOOKUP(FI$1,'Working Capital Pesos'!$B$16:$C$18,2,FALSE),0%)</f>
        <v>0</v>
      </c>
      <c r="FJ2" s="5">
        <f>IFERROR(VLOOKUP(FJ$1,'Working Capital Pesos'!$B$16:$C$18,2,FALSE),0%)</f>
        <v>0</v>
      </c>
      <c r="FK2" s="5">
        <f>IFERROR(VLOOKUP(FK$1,'Working Capital Pesos'!$B$16:$C$18,2,FALSE),0%)</f>
        <v>0</v>
      </c>
      <c r="FL2" s="5">
        <f>IFERROR(VLOOKUP(FL$1,'Working Capital Pesos'!$B$16:$C$18,2,FALSE),0%)</f>
        <v>0</v>
      </c>
      <c r="FM2" s="5">
        <f>IFERROR(VLOOKUP(FM$1,'Working Capital Pesos'!$B$16:$C$18,2,FALSE),0%)</f>
        <v>0</v>
      </c>
      <c r="FN2" s="5">
        <f>IFERROR(VLOOKUP(FN$1,'Working Capital Pesos'!$B$16:$C$18,2,FALSE),0%)</f>
        <v>0</v>
      </c>
      <c r="FO2" s="5">
        <f>IFERROR(VLOOKUP(FO$1,'Working Capital Pesos'!$B$16:$C$18,2,FALSE),0%)</f>
        <v>0</v>
      </c>
      <c r="FP2" s="5">
        <f>IFERROR(VLOOKUP(FP$1,'Working Capital Pesos'!$B$16:$C$18,2,FALSE),0%)</f>
        <v>0</v>
      </c>
      <c r="FQ2" s="5">
        <f>IFERROR(VLOOKUP(FQ$1,'Working Capital Pesos'!$B$16:$C$18,2,FALSE),0%)</f>
        <v>0</v>
      </c>
      <c r="FR2" s="5">
        <f>IFERROR(VLOOKUP(FR$1,'Working Capital Pesos'!$B$16:$C$18,2,FALSE),0%)</f>
        <v>0</v>
      </c>
      <c r="FS2" s="5">
        <f>IFERROR(VLOOKUP(FS$1,'Working Capital Pesos'!$B$16:$C$18,2,FALSE),0%)</f>
        <v>0</v>
      </c>
      <c r="FT2" s="5">
        <f>IFERROR(VLOOKUP(FT$1,'Working Capital Pesos'!$B$16:$C$18,2,FALSE),0%)</f>
        <v>0</v>
      </c>
      <c r="FU2" s="5">
        <f>IFERROR(VLOOKUP(FU$1,'Working Capital Pesos'!$B$16:$C$18,2,FALSE),0%)</f>
        <v>0</v>
      </c>
      <c r="FV2" s="5">
        <f>IFERROR(VLOOKUP(FV$1,'Working Capital Pesos'!$B$16:$C$18,2,FALSE),0%)</f>
        <v>0</v>
      </c>
      <c r="FW2" s="5">
        <f>IFERROR(VLOOKUP(FW$1,'Working Capital Pesos'!$B$16:$C$18,2,FALSE),0%)</f>
        <v>0</v>
      </c>
      <c r="FX2" s="5">
        <f>IFERROR(VLOOKUP(FX$1,'Working Capital Pesos'!$B$16:$C$18,2,FALSE),0%)</f>
        <v>0</v>
      </c>
      <c r="FY2" s="5">
        <f>IFERROR(VLOOKUP(FY$1,'Working Capital Pesos'!$B$16:$C$18,2,FALSE),0%)</f>
        <v>0</v>
      </c>
      <c r="FZ2" s="5">
        <f>IFERROR(VLOOKUP(FZ$1,'Working Capital Pesos'!$B$16:$C$18,2,FALSE),0%)</f>
        <v>0</v>
      </c>
      <c r="GA2" s="5">
        <f>IFERROR(VLOOKUP(GA$1,'Working Capital Pesos'!$B$16:$C$18,2,FALSE),0%)</f>
        <v>0</v>
      </c>
      <c r="GB2" s="5">
        <f>IFERROR(VLOOKUP(GB$1,'Working Capital Pesos'!$B$16:$C$18,2,FALSE),0%)</f>
        <v>0</v>
      </c>
      <c r="GC2" s="5">
        <f>IFERROR(VLOOKUP(GC$1,'Working Capital Pesos'!$B$16:$C$18,2,FALSE),0%)</f>
        <v>0</v>
      </c>
      <c r="GD2" s="5">
        <f>IFERROR(VLOOKUP(GD$1,'Working Capital Pesos'!$B$16:$C$18,2,FALSE),0%)</f>
        <v>0</v>
      </c>
      <c r="GE2" s="5">
        <f>IFERROR(VLOOKUP(GE$1,'Working Capital Pesos'!$B$16:$C$18,2,FALSE),0%)</f>
        <v>0</v>
      </c>
      <c r="GF2" s="5">
        <f>IFERROR(VLOOKUP(GF$1,'Working Capital Pesos'!$B$16:$C$18,2,FALSE),0%)</f>
        <v>0</v>
      </c>
      <c r="GG2" s="5">
        <f>IFERROR(VLOOKUP(GG$1,'Working Capital Pesos'!$B$16:$C$18,2,FALSE),0%)</f>
        <v>0</v>
      </c>
      <c r="GH2" s="5">
        <f>IFERROR(VLOOKUP(GH$1,'Working Capital Pesos'!$B$16:$C$18,2,FALSE),0%)</f>
        <v>0</v>
      </c>
      <c r="GI2" s="5">
        <f>IFERROR(VLOOKUP(GI$1,'Working Capital Pesos'!$B$16:$C$18,2,FALSE),0%)</f>
        <v>0</v>
      </c>
      <c r="GJ2" s="5">
        <f>IFERROR(VLOOKUP(GJ$1,'Working Capital Pesos'!$B$16:$C$18,2,FALSE),0%)</f>
        <v>0</v>
      </c>
      <c r="GK2" s="5">
        <f>IFERROR(VLOOKUP(GK$1,'Working Capital Pesos'!$B$16:$C$18,2,FALSE),0%)</f>
        <v>0</v>
      </c>
      <c r="GL2" s="5">
        <f>IFERROR(VLOOKUP(GL$1,'Working Capital Pesos'!$B$16:$C$18,2,FALSE),0%)</f>
        <v>0</v>
      </c>
      <c r="GM2" s="5">
        <f>IFERROR(VLOOKUP(GM$1,'Working Capital Pesos'!$B$16:$C$18,2,FALSE),0%)</f>
        <v>0</v>
      </c>
      <c r="GN2" s="5">
        <f>IFERROR(VLOOKUP(GN$1,'Working Capital Pesos'!$B$16:$C$18,2,FALSE),0%)</f>
        <v>0</v>
      </c>
      <c r="GO2" s="5">
        <f>IFERROR(VLOOKUP(GO$1,'Working Capital Pesos'!$B$16:$C$18,2,FALSE),0%)</f>
        <v>0</v>
      </c>
      <c r="GP2" s="5">
        <f>IFERROR(VLOOKUP(GP$1,'Working Capital Pesos'!$B$16:$C$18,2,FALSE),0%)</f>
        <v>0</v>
      </c>
      <c r="GQ2" s="5">
        <f>IFERROR(VLOOKUP(GQ$1,'Working Capital Pesos'!$B$16:$C$18,2,FALSE),0%)</f>
        <v>0</v>
      </c>
      <c r="GR2" s="5">
        <f>IFERROR(VLOOKUP(GR$1,'Working Capital Pesos'!$B$16:$C$18,2,FALSE),0%)</f>
        <v>0</v>
      </c>
      <c r="GS2" s="5">
        <f>IFERROR(VLOOKUP(GS$1,'Working Capital Pesos'!$B$16:$C$18,2,FALSE),0%)</f>
        <v>0</v>
      </c>
      <c r="GT2" s="5">
        <f>IFERROR(VLOOKUP(GT$1,'Working Capital Pesos'!$B$16:$C$18,2,FALSE),0%)</f>
        <v>0</v>
      </c>
      <c r="GU2" s="5">
        <f>IFERROR(VLOOKUP(GU$1,'Working Capital Pesos'!$B$16:$C$18,2,FALSE),0%)</f>
        <v>0</v>
      </c>
      <c r="GV2" s="5">
        <f>IFERROR(VLOOKUP(GV$1,'Working Capital Pesos'!$B$16:$C$18,2,FALSE),0%)</f>
        <v>0</v>
      </c>
      <c r="GW2" s="5">
        <f>IFERROR(VLOOKUP(GW$1,'Working Capital Pesos'!$B$16:$C$18,2,FALSE),0%)</f>
        <v>0</v>
      </c>
      <c r="GX2" s="5">
        <f>IFERROR(VLOOKUP(GX$1,'Working Capital Pesos'!$B$16:$C$18,2,FALSE),0%)</f>
        <v>0</v>
      </c>
      <c r="GY2" s="5">
        <f>IFERROR(VLOOKUP(GY$1,'Working Capital Pesos'!$B$16:$C$18,2,FALSE),0%)</f>
        <v>0</v>
      </c>
      <c r="GZ2" s="5">
        <f>IFERROR(VLOOKUP(GZ$1,'Working Capital Pesos'!$B$16:$C$18,2,FALSE),0%)</f>
        <v>0</v>
      </c>
      <c r="HA2" s="5">
        <f>IFERROR(VLOOKUP(HA$1,'Working Capital Pesos'!$B$16:$C$18,2,FALSE),0%)</f>
        <v>0</v>
      </c>
      <c r="HB2" s="5">
        <f>IFERROR(VLOOKUP(HB$1,'Working Capital Pesos'!$B$16:$C$18,2,FALSE),0%)</f>
        <v>0</v>
      </c>
      <c r="HC2" s="5">
        <f>IFERROR(VLOOKUP(HC$1,'Working Capital Pesos'!$B$16:$C$18,2,FALSE),0%)</f>
        <v>0</v>
      </c>
      <c r="HD2" s="5">
        <f>IFERROR(VLOOKUP(HD$1,'Working Capital Pesos'!$B$16:$C$18,2,FALSE),0%)</f>
        <v>0</v>
      </c>
      <c r="HE2" s="5">
        <f>IFERROR(VLOOKUP(HE$1,'Working Capital Pesos'!$B$16:$C$18,2,FALSE),0%)</f>
        <v>0</v>
      </c>
      <c r="HF2" s="5">
        <f>IFERROR(VLOOKUP(HF$1,'Working Capital Pesos'!$B$16:$C$18,2,FALSE),0%)</f>
        <v>0</v>
      </c>
      <c r="HG2" s="5">
        <f>IFERROR(VLOOKUP(HG$1,'Working Capital Pesos'!$B$16:$C$18,2,FALSE),0%)</f>
        <v>0</v>
      </c>
      <c r="HH2" s="5">
        <f>IFERROR(VLOOKUP(HH$1,'Working Capital Pesos'!$B$16:$C$18,2,FALSE),0%)</f>
        <v>0</v>
      </c>
      <c r="HI2" s="5">
        <f>IFERROR(VLOOKUP(HI$1,'Working Capital Pesos'!$B$16:$C$18,2,FALSE),0%)</f>
        <v>0</v>
      </c>
      <c r="HJ2" s="5">
        <f>IFERROR(VLOOKUP(HJ$1,'Working Capital Pesos'!$B$16:$C$18,2,FALSE),0%)</f>
        <v>0</v>
      </c>
      <c r="HK2" s="5">
        <f>IFERROR(VLOOKUP(HK$1,'Working Capital Pesos'!$B$16:$C$18,2,FALSE),0%)</f>
        <v>0</v>
      </c>
      <c r="HL2" s="5">
        <f>IFERROR(VLOOKUP(HL$1,'Working Capital Pesos'!$B$16:$C$18,2,FALSE),0%)</f>
        <v>0</v>
      </c>
      <c r="HM2" s="5">
        <f>IFERROR(VLOOKUP(HM$1,'Working Capital Pesos'!$B$16:$C$18,2,FALSE),0%)</f>
        <v>0</v>
      </c>
      <c r="HN2" s="5">
        <f>IFERROR(VLOOKUP(HN$1,'Working Capital Pesos'!$B$16:$C$18,2,FALSE),0%)</f>
        <v>0</v>
      </c>
      <c r="HO2" s="5">
        <f>IFERROR(VLOOKUP(HO$1,'Working Capital Pesos'!$B$16:$C$18,2,FALSE),0%)</f>
        <v>0</v>
      </c>
      <c r="HP2" s="5">
        <f>IFERROR(VLOOKUP(HP$1,'Working Capital Pesos'!$B$16:$C$18,2,FALSE),0%)</f>
        <v>0</v>
      </c>
      <c r="HQ2" s="5">
        <f>IFERROR(VLOOKUP(HQ$1,'Working Capital Pesos'!$B$16:$C$18,2,FALSE),0%)</f>
        <v>0</v>
      </c>
      <c r="HR2" s="5">
        <f>IFERROR(VLOOKUP(HR$1,'Working Capital Pesos'!$B$16:$C$18,2,FALSE),0%)</f>
        <v>0</v>
      </c>
      <c r="HS2" s="5">
        <f>IFERROR(VLOOKUP(HS$1,'Working Capital Pesos'!$B$16:$C$18,2,FALSE),0%)</f>
        <v>0</v>
      </c>
      <c r="HT2" s="5">
        <f>IFERROR(VLOOKUP(HT$1,'Working Capital Pesos'!$B$16:$C$18,2,FALSE),0%)</f>
        <v>0</v>
      </c>
      <c r="HU2" s="5">
        <f>IFERROR(VLOOKUP(HU$1,'Working Capital Pesos'!$B$16:$C$18,2,FALSE),0%)</f>
        <v>0</v>
      </c>
      <c r="HV2" s="5">
        <f>IFERROR(VLOOKUP(HV$1,'Working Capital Pesos'!$B$16:$C$18,2,FALSE),0%)</f>
        <v>0</v>
      </c>
      <c r="HW2" s="5">
        <f>IFERROR(VLOOKUP(HW$1,'Working Capital Pesos'!$B$16:$C$18,2,FALSE),0%)</f>
        <v>0</v>
      </c>
      <c r="HX2" s="5">
        <f>IFERROR(VLOOKUP(HX$1,'Working Capital Pesos'!$B$16:$C$18,2,FALSE),0%)</f>
        <v>0</v>
      </c>
      <c r="HY2" s="5">
        <f>IFERROR(VLOOKUP(HY$1,'Working Capital Pesos'!$B$16:$C$18,2,FALSE),0%)</f>
        <v>0</v>
      </c>
      <c r="HZ2" s="5">
        <f>IFERROR(VLOOKUP(HZ$1,'Working Capital Pesos'!$B$16:$C$18,2,FALSE),0%)</f>
        <v>0</v>
      </c>
      <c r="IA2" s="5">
        <f>IFERROR(VLOOKUP(IA$1,'Working Capital Pesos'!$B$16:$C$18,2,FALSE),0%)</f>
        <v>0</v>
      </c>
      <c r="IB2" s="5">
        <f>IFERROR(VLOOKUP(IB$1,'Working Capital Pesos'!$B$16:$C$18,2,FALSE),0%)</f>
        <v>0</v>
      </c>
      <c r="IC2" s="5">
        <f>IFERROR(VLOOKUP(IC$1,'Working Capital Pesos'!$B$16:$C$18,2,FALSE),0%)</f>
        <v>0</v>
      </c>
      <c r="ID2" s="5">
        <f>IFERROR(VLOOKUP(ID$1,'Working Capital Pesos'!$B$16:$C$18,2,FALSE),0%)</f>
        <v>0</v>
      </c>
      <c r="IE2" s="5">
        <f>IFERROR(VLOOKUP(IE$1,'Working Capital Pesos'!$B$16:$C$18,2,FALSE),0%)</f>
        <v>0</v>
      </c>
      <c r="IF2" s="5">
        <f>IFERROR(VLOOKUP(IF$1,'Working Capital Pesos'!$B$16:$C$18,2,FALSE),0%)</f>
        <v>0</v>
      </c>
      <c r="IG2" s="5">
        <f>IFERROR(VLOOKUP(IG$1,'Working Capital Pesos'!$B$16:$C$18,2,FALSE),0%)</f>
        <v>0</v>
      </c>
      <c r="IH2" s="5">
        <f>IFERROR(VLOOKUP(IH$1,'Working Capital Pesos'!$B$16:$C$18,2,FALSE),0%)</f>
        <v>0</v>
      </c>
      <c r="II2" s="5">
        <f>IFERROR(VLOOKUP(II$1,'Working Capital Pesos'!$B$16:$C$18,2,FALSE),0%)</f>
        <v>0</v>
      </c>
      <c r="IJ2" s="5">
        <f>IFERROR(VLOOKUP(IJ$1,'Working Capital Pesos'!$B$16:$C$18,2,FALSE),0%)</f>
        <v>0</v>
      </c>
      <c r="IK2" s="5">
        <f>IFERROR(VLOOKUP(IK$1,'Working Capital Pesos'!$B$16:$C$18,2,FALSE),0%)</f>
        <v>0</v>
      </c>
      <c r="IL2" s="5">
        <f>IFERROR(VLOOKUP(IL$1,'Working Capital Pesos'!$B$16:$C$18,2,FALSE),0%)</f>
        <v>0</v>
      </c>
      <c r="IM2" s="5">
        <f>IFERROR(VLOOKUP(IM$1,'Working Capital Pesos'!$B$16:$C$18,2,FALSE),0%)</f>
        <v>0</v>
      </c>
      <c r="IN2" s="5">
        <f>IFERROR(VLOOKUP(IN$1,'Working Capital Pesos'!$B$16:$C$18,2,FALSE),0%)</f>
        <v>0</v>
      </c>
      <c r="IO2" s="5">
        <f>IFERROR(VLOOKUP(IO$1,'Working Capital Pesos'!$B$16:$C$18,2,FALSE),0%)</f>
        <v>0</v>
      </c>
      <c r="IP2" s="5">
        <f>IFERROR(VLOOKUP(IP$1,'Working Capital Pesos'!$B$16:$C$18,2,FALSE),0%)</f>
        <v>0</v>
      </c>
      <c r="IQ2" s="5">
        <f>IFERROR(VLOOKUP(IQ$1,'Working Capital Pesos'!$B$16:$C$18,2,FALSE),0%)</f>
        <v>0</v>
      </c>
      <c r="IR2" s="5">
        <f>IFERROR(VLOOKUP(IR$1,'Working Capital Pesos'!$B$16:$C$18,2,FALSE),0%)</f>
        <v>0</v>
      </c>
      <c r="IS2" s="5">
        <f>IFERROR(VLOOKUP(IS$1,'Working Capital Pesos'!$B$16:$C$18,2,FALSE),0%)</f>
        <v>0</v>
      </c>
      <c r="IT2" s="5">
        <f>IFERROR(VLOOKUP(IT$1,'Working Capital Pesos'!$B$16:$C$18,2,FALSE),0%)</f>
        <v>0</v>
      </c>
      <c r="IU2" s="5">
        <f>IFERROR(VLOOKUP(IU$1,'Working Capital Pesos'!$B$16:$C$18,2,FALSE),0%)</f>
        <v>0</v>
      </c>
      <c r="IV2" s="5">
        <f>IFERROR(VLOOKUP(IV$1,'Working Capital Pesos'!$B$16:$C$18,2,FALSE),0%)</f>
        <v>0</v>
      </c>
      <c r="IW2" s="5">
        <f>IFERROR(VLOOKUP(IW$1,'Working Capital Pesos'!$B$16:$C$18,2,FALSE),0%)</f>
        <v>0</v>
      </c>
      <c r="IX2" s="5">
        <f>IFERROR(VLOOKUP(IX$1,'Working Capital Pesos'!$B$16:$C$18,2,FALSE),0%)</f>
        <v>0</v>
      </c>
      <c r="IY2" s="5">
        <f>IFERROR(VLOOKUP(IY$1,'Working Capital Pesos'!$B$16:$C$18,2,FALSE),0%)</f>
        <v>0</v>
      </c>
      <c r="IZ2" s="5">
        <f>IFERROR(VLOOKUP(IZ$1,'Working Capital Pesos'!$B$16:$C$18,2,FALSE),0%)</f>
        <v>0</v>
      </c>
      <c r="JA2" s="5">
        <f>IFERROR(VLOOKUP(JA$1,'Working Capital Pesos'!$B$16:$C$18,2,FALSE),0%)</f>
        <v>0</v>
      </c>
      <c r="JB2" s="5">
        <f>IFERROR(VLOOKUP(JB$1,'Working Capital Pesos'!$B$16:$C$18,2,FALSE),0%)</f>
        <v>0</v>
      </c>
      <c r="JC2" s="5">
        <f>IFERROR(VLOOKUP(JC$1,'Working Capital Pesos'!$B$16:$C$18,2,FALSE),0%)</f>
        <v>0</v>
      </c>
      <c r="JD2" s="5">
        <f>IFERROR(VLOOKUP(JD$1,'Working Capital Pesos'!$B$16:$C$18,2,FALSE),0%)</f>
        <v>0</v>
      </c>
      <c r="JE2" s="5">
        <f>IFERROR(VLOOKUP(JE$1,'Working Capital Pesos'!$B$16:$C$18,2,FALSE),0%)</f>
        <v>0</v>
      </c>
      <c r="JF2" s="5">
        <f>IFERROR(VLOOKUP(JF$1,'Working Capital Pesos'!$B$16:$C$18,2,FALSE),0%)</f>
        <v>0</v>
      </c>
      <c r="JG2" s="5">
        <f>IFERROR(VLOOKUP(JG$1,'Working Capital Pesos'!$B$16:$C$18,2,FALSE),0%)</f>
        <v>0</v>
      </c>
      <c r="JH2" s="5">
        <f>IFERROR(VLOOKUP(JH$1,'Working Capital Pesos'!$B$16:$C$18,2,FALSE),0%)</f>
        <v>0</v>
      </c>
      <c r="JI2" s="5">
        <f>IFERROR(VLOOKUP(JI$1,'Working Capital Pesos'!$B$16:$C$18,2,FALSE),0%)</f>
        <v>0</v>
      </c>
      <c r="JJ2" s="5">
        <f>IFERROR(VLOOKUP(JJ$1,'Working Capital Pesos'!$B$16:$C$18,2,FALSE),0%)</f>
        <v>0</v>
      </c>
      <c r="JK2" s="5">
        <f>IFERROR(VLOOKUP(JK$1,'Working Capital Pesos'!$B$16:$C$18,2,FALSE),0%)</f>
        <v>0</v>
      </c>
      <c r="JL2" s="5">
        <f>IFERROR(VLOOKUP(JL$1,'Working Capital Pesos'!$B$16:$C$18,2,FALSE),0%)</f>
        <v>0</v>
      </c>
      <c r="JM2" s="5">
        <f>IFERROR(VLOOKUP(JM$1,'Working Capital Pesos'!$B$16:$C$18,2,FALSE),0%)</f>
        <v>0</v>
      </c>
      <c r="JN2" s="5">
        <f>IFERROR(VLOOKUP(JN$1,'Working Capital Pesos'!$B$16:$C$18,2,FALSE),0%)</f>
        <v>0</v>
      </c>
      <c r="JO2" s="5">
        <f>IFERROR(VLOOKUP(JO$1,'Working Capital Pesos'!$B$16:$C$18,2,FALSE),0%)</f>
        <v>0</v>
      </c>
      <c r="JP2" s="5">
        <f>IFERROR(VLOOKUP(JP$1,'Working Capital Pesos'!$B$16:$C$18,2,FALSE),0%)</f>
        <v>0</v>
      </c>
      <c r="JQ2" s="5">
        <f>IFERROR(VLOOKUP(JQ$1,'Working Capital Pesos'!$B$16:$C$18,2,FALSE),0%)</f>
        <v>0</v>
      </c>
      <c r="JR2" s="5">
        <f>IFERROR(VLOOKUP(JR$1,'Working Capital Pesos'!$B$16:$C$18,2,FALSE),0%)</f>
        <v>0</v>
      </c>
      <c r="JS2" s="5">
        <f>IFERROR(VLOOKUP(JS$1,'Working Capital Pesos'!$B$16:$C$18,2,FALSE),0%)</f>
        <v>0</v>
      </c>
      <c r="JT2" s="5">
        <f>IFERROR(VLOOKUP(JT$1,'Working Capital Pesos'!$B$16:$C$18,2,FALSE),0%)</f>
        <v>0</v>
      </c>
      <c r="JU2" s="5">
        <f>IFERROR(VLOOKUP(JU$1,'Working Capital Pesos'!$B$16:$C$18,2,FALSE),0%)</f>
        <v>0</v>
      </c>
      <c r="JV2" s="5">
        <f>IFERROR(VLOOKUP(JV$1,'Working Capital Pesos'!$B$16:$C$18,2,FALSE),0%)</f>
        <v>0</v>
      </c>
      <c r="JW2" s="5">
        <f>IFERROR(VLOOKUP(JW$1,'Working Capital Pesos'!$B$16:$C$18,2,FALSE),0%)</f>
        <v>0</v>
      </c>
      <c r="JX2" s="5">
        <f>IFERROR(VLOOKUP(JX$1,'Working Capital Pesos'!$B$16:$C$18,2,FALSE),0%)</f>
        <v>0</v>
      </c>
      <c r="JY2" s="5">
        <f>IFERROR(VLOOKUP(JY$1,'Working Capital Pesos'!$B$16:$C$18,2,FALSE),0%)</f>
        <v>0</v>
      </c>
      <c r="JZ2" s="5">
        <f>IFERROR(VLOOKUP(JZ$1,'Working Capital Pesos'!$B$16:$C$18,2,FALSE),0%)</f>
        <v>0</v>
      </c>
      <c r="KA2" s="5">
        <f>IFERROR(VLOOKUP(KA$1,'Working Capital Pesos'!$B$16:$C$18,2,FALSE),0%)</f>
        <v>0</v>
      </c>
      <c r="KB2" s="5">
        <f>IFERROR(VLOOKUP(KB$1,'Working Capital Pesos'!$B$16:$C$18,2,FALSE),0%)</f>
        <v>0</v>
      </c>
      <c r="KC2" s="5">
        <f>IFERROR(VLOOKUP(KC$1,'Working Capital Pesos'!$B$16:$C$18,2,FALSE),0%)</f>
        <v>0</v>
      </c>
      <c r="KD2" s="5">
        <f>IFERROR(VLOOKUP(KD$1,'Working Capital Pesos'!$B$16:$C$18,2,FALSE),0%)</f>
        <v>0</v>
      </c>
      <c r="KE2" s="5">
        <f>IFERROR(VLOOKUP(KE$1,'Working Capital Pesos'!$B$16:$C$18,2,FALSE),0%)</f>
        <v>0</v>
      </c>
      <c r="KF2" s="5">
        <f>IFERROR(VLOOKUP(KF$1,'Working Capital Pesos'!$B$16:$C$18,2,FALSE),0%)</f>
        <v>0</v>
      </c>
      <c r="KG2" s="5">
        <f>IFERROR(VLOOKUP(KG$1,'Working Capital Pesos'!$B$16:$C$18,2,FALSE),0%)</f>
        <v>0</v>
      </c>
      <c r="KH2" s="5">
        <f>IFERROR(VLOOKUP(KH$1,'Working Capital Pesos'!$B$16:$C$18,2,FALSE),0%)</f>
        <v>0</v>
      </c>
      <c r="KI2" s="5">
        <f>IFERROR(VLOOKUP(KI$1,'Working Capital Pesos'!$B$16:$C$18,2,FALSE),0%)</f>
        <v>0</v>
      </c>
      <c r="KJ2" s="5">
        <f>IFERROR(VLOOKUP(KJ$1,'Working Capital Pesos'!$B$16:$C$18,2,FALSE),0%)</f>
        <v>0</v>
      </c>
      <c r="KK2" s="5">
        <f>IFERROR(VLOOKUP(KK$1,'Working Capital Pesos'!$B$16:$C$18,2,FALSE),0%)</f>
        <v>0</v>
      </c>
      <c r="KL2" s="5">
        <f>IFERROR(VLOOKUP(KL$1,'Working Capital Pesos'!$B$16:$C$18,2,FALSE),0%)</f>
        <v>0</v>
      </c>
      <c r="KM2" s="5">
        <f>IFERROR(VLOOKUP(KM$1,'Working Capital Pesos'!$B$16:$C$18,2,FALSE),0%)</f>
        <v>0</v>
      </c>
      <c r="KN2" s="5">
        <f>IFERROR(VLOOKUP(KN$1,'Working Capital Pesos'!$B$16:$C$18,2,FALSE),0%)</f>
        <v>0</v>
      </c>
      <c r="KO2" s="5">
        <f>IFERROR(VLOOKUP(KO$1,'Working Capital Pesos'!$B$16:$C$18,2,FALSE),0%)</f>
        <v>0</v>
      </c>
      <c r="KP2" s="5">
        <f>IFERROR(VLOOKUP(KP$1,'Working Capital Pesos'!$B$16:$C$18,2,FALSE),0%)</f>
        <v>0</v>
      </c>
      <c r="KQ2" s="5">
        <f>IFERROR(VLOOKUP(KQ$1,'Working Capital Pesos'!$B$16:$C$18,2,FALSE),0%)</f>
        <v>0</v>
      </c>
      <c r="KR2" s="5">
        <f>IFERROR(VLOOKUP(KR$1,'Working Capital Pesos'!$B$16:$C$18,2,FALSE),0%)</f>
        <v>0</v>
      </c>
      <c r="KS2" s="5">
        <f>IFERROR(VLOOKUP(KS$1,'Working Capital Pesos'!$B$16:$C$18,2,FALSE),0%)</f>
        <v>0</v>
      </c>
      <c r="KT2" s="5">
        <f>IFERROR(VLOOKUP(KT$1,'Working Capital Pesos'!$B$16:$C$18,2,FALSE),0%)</f>
        <v>0</v>
      </c>
      <c r="KU2" s="5">
        <f>IFERROR(VLOOKUP(KU$1,'Working Capital Pesos'!$B$16:$C$18,2,FALSE),0%)</f>
        <v>0</v>
      </c>
      <c r="KV2" s="5">
        <f>IFERROR(VLOOKUP(KV$1,'Working Capital Pesos'!$B$16:$C$18,2,FALSE),0%)</f>
        <v>0</v>
      </c>
      <c r="KW2" s="5">
        <f>IFERROR(VLOOKUP(KW$1,'Working Capital Pesos'!$B$16:$C$18,2,FALSE),0%)</f>
        <v>0</v>
      </c>
      <c r="KX2" s="5">
        <f>IFERROR(VLOOKUP(KX$1,'Working Capital Pesos'!$B$16:$C$18,2,FALSE),0%)</f>
        <v>0</v>
      </c>
      <c r="KY2" s="5">
        <f>IFERROR(VLOOKUP(KY$1,'Working Capital Pesos'!$B$16:$C$18,2,FALSE),0%)</f>
        <v>0</v>
      </c>
      <c r="KZ2" s="5">
        <f>IFERROR(VLOOKUP(KZ$1,'Working Capital Pesos'!$B$16:$C$18,2,FALSE),0%)</f>
        <v>0</v>
      </c>
      <c r="LA2" s="5">
        <f>IFERROR(VLOOKUP(LA$1,'Working Capital Pesos'!$B$16:$C$18,2,FALSE),0%)</f>
        <v>0</v>
      </c>
      <c r="LB2" s="5">
        <f>IFERROR(VLOOKUP(LB$1,'Working Capital Pesos'!$B$16:$C$18,2,FALSE),0%)</f>
        <v>0</v>
      </c>
      <c r="LC2" s="5">
        <f>IFERROR(VLOOKUP(LC$1,'Working Capital Pesos'!$B$16:$C$18,2,FALSE),0%)</f>
        <v>0</v>
      </c>
      <c r="LD2" s="5">
        <f>IFERROR(VLOOKUP(LD$1,'Working Capital Pesos'!$B$16:$C$18,2,FALSE),0%)</f>
        <v>0</v>
      </c>
      <c r="LE2" s="5">
        <f>IFERROR(VLOOKUP(LE$1,'Working Capital Pesos'!$B$16:$C$18,2,FALSE),0%)</f>
        <v>0</v>
      </c>
      <c r="LF2" s="5">
        <f>IFERROR(VLOOKUP(LF$1,'Working Capital Pesos'!$B$16:$C$18,2,FALSE),0%)</f>
        <v>0</v>
      </c>
      <c r="LG2" s="5">
        <f>IFERROR(VLOOKUP(LG$1,'Working Capital Pesos'!$B$16:$C$18,2,FALSE),0%)</f>
        <v>0</v>
      </c>
      <c r="LH2" s="5">
        <f>IFERROR(VLOOKUP(LH$1,'Working Capital Pesos'!$B$16:$C$18,2,FALSE),0%)</f>
        <v>0</v>
      </c>
      <c r="LI2" s="5">
        <f>IFERROR(VLOOKUP(LI$1,'Working Capital Pesos'!$B$16:$C$18,2,FALSE),0%)</f>
        <v>0</v>
      </c>
      <c r="LJ2" s="5">
        <f>IFERROR(VLOOKUP(LJ$1,'Working Capital Pesos'!$B$16:$C$18,2,FALSE),0%)</f>
        <v>0</v>
      </c>
      <c r="LK2" s="5">
        <f>IFERROR(VLOOKUP(LK$1,'Working Capital Pesos'!$B$16:$C$18,2,FALSE),0%)</f>
        <v>0</v>
      </c>
      <c r="LL2" s="5">
        <f>IFERROR(VLOOKUP(LL$1,'Working Capital Pesos'!$B$16:$C$18,2,FALSE),0%)</f>
        <v>0</v>
      </c>
      <c r="LM2" s="5">
        <f>IFERROR(VLOOKUP(LM$1,'Working Capital Pesos'!$B$16:$C$18,2,FALSE),0%)</f>
        <v>0</v>
      </c>
      <c r="LN2" s="5">
        <f>IFERROR(VLOOKUP(LN$1,'Working Capital Pesos'!$B$16:$C$18,2,FALSE),0%)</f>
        <v>0</v>
      </c>
      <c r="LO2" s="5">
        <f>IFERROR(VLOOKUP(LO$1,'Working Capital Pesos'!$B$16:$C$18,2,FALSE),0%)</f>
        <v>0</v>
      </c>
      <c r="LP2" s="5">
        <f>IFERROR(VLOOKUP(LP$1,'Working Capital Pesos'!$B$16:$C$18,2,FALSE),0%)</f>
        <v>0</v>
      </c>
      <c r="LQ2" s="5">
        <f>IFERROR(VLOOKUP(LQ$1,'Working Capital Pesos'!$B$16:$C$18,2,FALSE),0%)</f>
        <v>0</v>
      </c>
      <c r="LR2" s="5">
        <f>IFERROR(VLOOKUP(LR$1,'Working Capital Pesos'!$B$16:$C$18,2,FALSE),0%)</f>
        <v>0</v>
      </c>
      <c r="LS2" s="5">
        <f>IFERROR(VLOOKUP(LS$1,'Working Capital Pesos'!$B$16:$C$18,2,FALSE),0%)</f>
        <v>0</v>
      </c>
      <c r="LT2" s="5">
        <f>IFERROR(VLOOKUP(LT$1,'Working Capital Pesos'!$B$16:$C$18,2,FALSE),0%)</f>
        <v>0</v>
      </c>
      <c r="LU2" s="5">
        <f>IFERROR(VLOOKUP(LU$1,'Working Capital Pesos'!$B$16:$C$18,2,FALSE),0%)</f>
        <v>0</v>
      </c>
      <c r="LV2" s="5">
        <f>IFERROR(VLOOKUP(LV$1,'Working Capital Pesos'!$B$16:$C$18,2,FALSE),0%)</f>
        <v>0</v>
      </c>
      <c r="LW2" s="5">
        <f>IFERROR(VLOOKUP(LW$1,'Working Capital Pesos'!$B$16:$C$18,2,FALSE),0%)</f>
        <v>0</v>
      </c>
      <c r="LX2" s="5">
        <f>IFERROR(VLOOKUP(LX$1,'Working Capital Pesos'!$B$16:$C$18,2,FALSE),0%)</f>
        <v>0</v>
      </c>
      <c r="LY2" s="5">
        <f>IFERROR(VLOOKUP(LY$1,'Working Capital Pesos'!$B$16:$C$18,2,FALSE),0%)</f>
        <v>0</v>
      </c>
      <c r="LZ2" s="5">
        <f>IFERROR(VLOOKUP(LZ$1,'Working Capital Pesos'!$B$16:$C$18,2,FALSE),0%)</f>
        <v>0</v>
      </c>
      <c r="MA2" s="5">
        <f>IFERROR(VLOOKUP(MA$1,'Working Capital Pesos'!$B$16:$C$18,2,FALSE),0%)</f>
        <v>0</v>
      </c>
      <c r="MB2" s="5">
        <f>IFERROR(VLOOKUP(MB$1,'Working Capital Pesos'!$B$16:$C$18,2,FALSE),0%)</f>
        <v>0</v>
      </c>
      <c r="MC2" s="5">
        <f>IFERROR(VLOOKUP(MC$1,'Working Capital Pesos'!$B$16:$C$18,2,FALSE),0%)</f>
        <v>0</v>
      </c>
      <c r="MD2" s="5">
        <f>IFERROR(VLOOKUP(MD$1,'Working Capital Pesos'!$B$16:$C$18,2,FALSE),0%)</f>
        <v>0</v>
      </c>
      <c r="ME2" s="5">
        <f>IFERROR(VLOOKUP(ME$1,'Working Capital Pesos'!$B$16:$C$18,2,FALSE),0%)</f>
        <v>0</v>
      </c>
      <c r="MF2" s="5">
        <f>IFERROR(VLOOKUP(MF$1,'Working Capital Pesos'!$B$16:$C$18,2,FALSE),0%)</f>
        <v>0</v>
      </c>
      <c r="MG2" s="5">
        <f>IFERROR(VLOOKUP(MG$1,'Working Capital Pesos'!$B$16:$C$18,2,FALSE),0%)</f>
        <v>0</v>
      </c>
      <c r="MH2" s="5">
        <f>IFERROR(VLOOKUP(MH$1,'Working Capital Pesos'!$B$16:$C$18,2,FALSE),0%)</f>
        <v>0</v>
      </c>
      <c r="MI2" s="5">
        <f>IFERROR(VLOOKUP(MI$1,'Working Capital Pesos'!$B$16:$C$18,2,FALSE),0%)</f>
        <v>0</v>
      </c>
      <c r="MJ2" s="5">
        <f>IFERROR(VLOOKUP(MJ$1,'Working Capital Pesos'!$B$16:$C$18,2,FALSE),0%)</f>
        <v>0</v>
      </c>
      <c r="MK2" s="5">
        <f>IFERROR(VLOOKUP(MK$1,'Working Capital Pesos'!$B$16:$C$18,2,FALSE),0%)</f>
        <v>0</v>
      </c>
      <c r="ML2" s="5">
        <f>IFERROR(VLOOKUP(ML$1,'Working Capital Pesos'!$B$16:$C$18,2,FALSE),0%)</f>
        <v>0</v>
      </c>
      <c r="MM2" s="5">
        <f>IFERROR(VLOOKUP(MM$1,'Working Capital Pesos'!$B$16:$C$18,2,FALSE),0%)</f>
        <v>0</v>
      </c>
      <c r="MN2" s="5">
        <f>IFERROR(VLOOKUP(MN$1,'Working Capital Pesos'!$B$16:$C$18,2,FALSE),0%)</f>
        <v>0</v>
      </c>
      <c r="MO2" s="5">
        <f>IFERROR(VLOOKUP(MO$1,'Working Capital Pesos'!$B$16:$C$18,2,FALSE),0%)</f>
        <v>0</v>
      </c>
      <c r="MP2" s="5">
        <f>IFERROR(VLOOKUP(MP$1,'Working Capital Pesos'!$B$16:$C$18,2,FALSE),0%)</f>
        <v>0</v>
      </c>
      <c r="MQ2" s="5">
        <f>IFERROR(VLOOKUP(MQ$1,'Working Capital Pesos'!$B$16:$C$18,2,FALSE),0%)</f>
        <v>0</v>
      </c>
      <c r="MR2" s="5">
        <f>IFERROR(VLOOKUP(MR$1,'Working Capital Pesos'!$B$16:$C$18,2,FALSE),0%)</f>
        <v>0</v>
      </c>
      <c r="MS2" s="5">
        <f>IFERROR(VLOOKUP(MS$1,'Working Capital Pesos'!$B$16:$C$18,2,FALSE),0%)</f>
        <v>0</v>
      </c>
      <c r="MT2" s="5">
        <f>IFERROR(VLOOKUP(MT$1,'Working Capital Pesos'!$B$16:$C$18,2,FALSE),0%)</f>
        <v>0</v>
      </c>
      <c r="MU2" s="5">
        <f>IFERROR(VLOOKUP(MU$1,'Working Capital Pesos'!$B$16:$C$18,2,FALSE),0%)</f>
        <v>0</v>
      </c>
      <c r="MV2" s="5">
        <f>IFERROR(VLOOKUP(MV$1,'Working Capital Pesos'!$B$16:$C$18,2,FALSE),0%)</f>
        <v>0</v>
      </c>
      <c r="MW2" s="5">
        <f>IFERROR(VLOOKUP(MW$1,'Working Capital Pesos'!$B$16:$C$18,2,FALSE),0%)</f>
        <v>0</v>
      </c>
      <c r="MX2" s="5">
        <f>IFERROR(VLOOKUP(MX$1,'Working Capital Pesos'!$B$16:$C$18,2,FALSE),0%)</f>
        <v>0</v>
      </c>
      <c r="MY2" s="5">
        <f>IFERROR(VLOOKUP(MY$1,'Working Capital Pesos'!$B$16:$C$18,2,FALSE),0%)</f>
        <v>0</v>
      </c>
      <c r="MZ2" s="5">
        <f>IFERROR(VLOOKUP(MZ$1,'Working Capital Pesos'!$B$16:$C$18,2,FALSE),0%)</f>
        <v>0</v>
      </c>
      <c r="NA2" s="5">
        <f>IFERROR(VLOOKUP(NA$1,'Working Capital Pesos'!$B$16:$C$18,2,FALSE),0%)</f>
        <v>0</v>
      </c>
      <c r="NB2" s="5">
        <f>IFERROR(VLOOKUP(NB$1,'Working Capital Pesos'!$B$16:$C$18,2,FALSE),0%)</f>
        <v>0</v>
      </c>
      <c r="NC2" s="5">
        <f>IFERROR(VLOOKUP(NC$1,'Working Capital Pesos'!$B$16:$C$18,2,FALSE),0%)</f>
        <v>0</v>
      </c>
      <c r="ND2" s="5">
        <f>IFERROR(VLOOKUP(ND$1,'Working Capital Pesos'!$B$16:$C$18,2,FALSE),0%)</f>
        <v>0</v>
      </c>
      <c r="NE2" s="5">
        <f>IFERROR(VLOOKUP(NE$1,'Working Capital Pesos'!$B$16:$C$18,2,FALSE),0%)</f>
        <v>0</v>
      </c>
      <c r="NF2" s="5">
        <f>IFERROR(VLOOKUP(NF$1,'Working Capital Pesos'!$B$16:$C$18,2,FALSE),0%)</f>
        <v>0</v>
      </c>
      <c r="NG2" s="5">
        <f>IFERROR(VLOOKUP(NG$1,'Working Capital Pesos'!$B$16:$C$18,2,FALSE),0%)</f>
        <v>0</v>
      </c>
      <c r="NH2" s="5">
        <f>IFERROR(VLOOKUP(NH$1,'Working Capital Pesos'!$B$16:$C$18,2,FALSE),0%)</f>
        <v>0</v>
      </c>
      <c r="NI2" s="5">
        <f>IFERROR(VLOOKUP(NI$1,'Working Capital Pesos'!$B$16:$C$18,2,FALSE),0%)</f>
        <v>0</v>
      </c>
      <c r="NJ2" s="5">
        <f>IFERROR(VLOOKUP(NJ$1,'Working Capital Pesos'!$B$16:$C$18,2,FALSE),0%)</f>
        <v>0</v>
      </c>
      <c r="NK2" s="5">
        <f>IFERROR(VLOOKUP(NK$1,'Working Capital Pesos'!$B$16:$C$18,2,FALSE),0%)</f>
        <v>0</v>
      </c>
      <c r="NL2" s="5">
        <f>IFERROR(VLOOKUP(NL$1,'Working Capital Pesos'!$B$16:$C$18,2,FALSE),0%)</f>
        <v>0</v>
      </c>
      <c r="NM2" s="5">
        <f>IFERROR(VLOOKUP(NM$1,'Working Capital Pesos'!$B$16:$C$18,2,FALSE),0%)</f>
        <v>0</v>
      </c>
      <c r="NN2" s="5">
        <f>IFERROR(VLOOKUP(NN$1,'Working Capital Pesos'!$B$16:$C$18,2,FALSE),0%)</f>
        <v>0</v>
      </c>
      <c r="NO2" s="5">
        <f>IFERROR(VLOOKUP(NO$1,'Working Capital Pesos'!$B$16:$C$18,2,FALSE),0%)</f>
        <v>0</v>
      </c>
      <c r="NP2" s="5">
        <f>IFERROR(VLOOKUP(NP$1,'Working Capital Pesos'!$B$16:$C$18,2,FALSE),0%)</f>
        <v>0</v>
      </c>
      <c r="NQ2" s="5">
        <f>IFERROR(VLOOKUP(NQ$1,'Working Capital Pesos'!$B$16:$C$18,2,FALSE),0%)</f>
        <v>0</v>
      </c>
      <c r="NR2" s="5">
        <f>IFERROR(VLOOKUP(NR$1,'Working Capital Pesos'!$B$16:$C$18,2,FALSE),0%)</f>
        <v>0</v>
      </c>
      <c r="NS2" s="5">
        <f>IFERROR(VLOOKUP(NS$1,'Working Capital Pesos'!$B$16:$C$18,2,FALSE),0%)</f>
        <v>0</v>
      </c>
      <c r="NT2" s="5">
        <f>IFERROR(VLOOKUP(NT$1,'Working Capital Pesos'!$B$16:$C$18,2,FALSE),0%)</f>
        <v>0</v>
      </c>
      <c r="NU2" s="5">
        <f>IFERROR(VLOOKUP(NU$1,'Working Capital Pesos'!$B$16:$C$18,2,FALSE),0%)</f>
        <v>0</v>
      </c>
      <c r="NV2" s="5">
        <f>IFERROR(VLOOKUP(NV$1,'Working Capital Pesos'!$B$16:$C$18,2,FALSE),0%)</f>
        <v>0</v>
      </c>
      <c r="NW2" s="5">
        <f>IFERROR(VLOOKUP(NW$1,'Working Capital Pesos'!$B$16:$C$18,2,FALSE),0%)</f>
        <v>0</v>
      </c>
      <c r="NX2" s="5">
        <f>IFERROR(VLOOKUP(NX$1,'Working Capital Pesos'!$B$16:$C$18,2,FALSE),0%)</f>
        <v>0</v>
      </c>
      <c r="NY2" s="5">
        <f>IFERROR(VLOOKUP(NY$1,'Working Capital Pesos'!$B$16:$C$18,2,FALSE),0%)</f>
        <v>0</v>
      </c>
      <c r="NZ2" s="5">
        <f>IFERROR(VLOOKUP(NZ$1,'Working Capital Pesos'!$B$16:$C$18,2,FALSE),0%)</f>
        <v>0</v>
      </c>
      <c r="OA2" s="5">
        <f>IFERROR(VLOOKUP(OA$1,'Working Capital Pesos'!$B$16:$C$18,2,FALSE),0%)</f>
        <v>0</v>
      </c>
      <c r="OB2" s="5">
        <f>IFERROR(VLOOKUP(OB$1,'Working Capital Pesos'!$B$16:$C$18,2,FALSE),0%)</f>
        <v>0</v>
      </c>
      <c r="OC2" s="5">
        <f>IFERROR(VLOOKUP(OC$1,'Working Capital Pesos'!$B$16:$C$18,2,FALSE),0%)</f>
        <v>0</v>
      </c>
      <c r="OD2" s="5">
        <f>IFERROR(VLOOKUP(OD$1,'Working Capital Pesos'!$B$16:$C$18,2,FALSE),0%)</f>
        <v>0</v>
      </c>
      <c r="OE2" s="5">
        <f>IFERROR(VLOOKUP(OE$1,'Working Capital Pesos'!$B$16:$C$18,2,FALSE),0%)</f>
        <v>0</v>
      </c>
      <c r="OF2" s="5">
        <f>IFERROR(VLOOKUP(OF$1,'Working Capital Pesos'!$B$16:$C$18,2,FALSE),0%)</f>
        <v>0</v>
      </c>
      <c r="OG2" s="5">
        <f>IFERROR(VLOOKUP(OG$1,'Working Capital Pesos'!$B$16:$C$18,2,FALSE),0%)</f>
        <v>0</v>
      </c>
      <c r="OH2" s="5">
        <f>IFERROR(VLOOKUP(OH$1,'Working Capital Pesos'!$B$16:$C$18,2,FALSE),0%)</f>
        <v>0</v>
      </c>
      <c r="OI2" s="5">
        <f>IFERROR(VLOOKUP(OI$1,'Working Capital Pesos'!$B$16:$C$18,2,FALSE),0%)</f>
        <v>0</v>
      </c>
      <c r="OJ2" s="5">
        <f>IFERROR(VLOOKUP(OJ$1,'Working Capital Pesos'!$B$16:$C$18,2,FALSE),0%)</f>
        <v>0</v>
      </c>
      <c r="OK2" s="5">
        <f>IFERROR(VLOOKUP(OK$1,'Working Capital Pesos'!$B$16:$C$18,2,FALSE),0%)</f>
        <v>0</v>
      </c>
      <c r="OL2" s="5">
        <f>IFERROR(VLOOKUP(OL$1,'Working Capital Pesos'!$B$16:$C$18,2,FALSE),0%)</f>
        <v>0</v>
      </c>
      <c r="OM2" s="5">
        <f>IFERROR(VLOOKUP(OM$1,'Working Capital Pesos'!$B$16:$C$18,2,FALSE),0%)</f>
        <v>0</v>
      </c>
      <c r="ON2" s="5">
        <f>IFERROR(VLOOKUP(ON$1,'Working Capital Pesos'!$B$16:$C$18,2,FALSE),0%)</f>
        <v>0</v>
      </c>
      <c r="OO2" s="5">
        <f>IFERROR(VLOOKUP(OO$1,'Working Capital Pesos'!$B$16:$C$18,2,FALSE),0%)</f>
        <v>0</v>
      </c>
      <c r="OP2" s="5">
        <f>IFERROR(VLOOKUP(OP$1,'Working Capital Pesos'!$B$16:$C$18,2,FALSE),0%)</f>
        <v>0</v>
      </c>
      <c r="OQ2" s="5">
        <f>IFERROR(VLOOKUP(OQ$1,'Working Capital Pesos'!$B$16:$C$18,2,FALSE),0%)</f>
        <v>0</v>
      </c>
      <c r="OR2" s="5">
        <f>IFERROR(VLOOKUP(OR$1,'Working Capital Pesos'!$B$16:$C$18,2,FALSE),0%)</f>
        <v>0</v>
      </c>
      <c r="OS2" s="5">
        <f>IFERROR(VLOOKUP(OS$1,'Working Capital Pesos'!$B$16:$C$18,2,FALSE),0%)</f>
        <v>0</v>
      </c>
      <c r="OT2" s="5">
        <f>IFERROR(VLOOKUP(OT$1,'Working Capital Pesos'!$B$16:$C$18,2,FALSE),0%)</f>
        <v>0</v>
      </c>
      <c r="OU2" s="5">
        <f>IFERROR(VLOOKUP(OU$1,'Working Capital Pesos'!$B$16:$C$18,2,FALSE),0%)</f>
        <v>0</v>
      </c>
      <c r="OV2" s="5">
        <f>IFERROR(VLOOKUP(OV$1,'Working Capital Pesos'!$B$16:$C$18,2,FALSE),0%)</f>
        <v>0</v>
      </c>
      <c r="OW2" s="5">
        <f>IFERROR(VLOOKUP(OW$1,'Working Capital Pesos'!$B$16:$C$18,2,FALSE),0%)</f>
        <v>0</v>
      </c>
      <c r="OX2" s="5">
        <f>IFERROR(VLOOKUP(OX$1,'Working Capital Pesos'!$B$16:$C$18,2,FALSE),0%)</f>
        <v>0</v>
      </c>
      <c r="OY2" s="5">
        <f>IFERROR(VLOOKUP(OY$1,'Working Capital Pesos'!$B$16:$C$18,2,FALSE),0%)</f>
        <v>0</v>
      </c>
      <c r="OZ2" s="5">
        <f>IFERROR(VLOOKUP(OZ$1,'Working Capital Pesos'!$B$16:$C$18,2,FALSE),0%)</f>
        <v>0</v>
      </c>
      <c r="PA2" s="5">
        <f>IFERROR(VLOOKUP(PA$1,'Working Capital Pesos'!$B$16:$C$18,2,FALSE),0%)</f>
        <v>0</v>
      </c>
      <c r="PB2" s="5">
        <f>IFERROR(VLOOKUP(PB$1,'Working Capital Pesos'!$B$16:$C$18,2,FALSE),0%)</f>
        <v>0</v>
      </c>
      <c r="PC2" s="5">
        <f>IFERROR(VLOOKUP(PC$1,'Working Capital Pesos'!$B$16:$C$18,2,FALSE),0%)</f>
        <v>0</v>
      </c>
      <c r="PD2" s="5">
        <f>IFERROR(VLOOKUP(PD$1,'Working Capital Pesos'!$B$16:$C$18,2,FALSE),0%)</f>
        <v>0</v>
      </c>
      <c r="PE2" s="5">
        <f>IFERROR(VLOOKUP(PE$1,'Working Capital Pesos'!$B$16:$C$18,2,FALSE),0%)</f>
        <v>0</v>
      </c>
      <c r="PF2" s="5">
        <f>IFERROR(VLOOKUP(PF$1,'Working Capital Pesos'!$B$16:$C$18,2,FALSE),0%)</f>
        <v>0</v>
      </c>
      <c r="PG2" s="5">
        <f>IFERROR(VLOOKUP(PG$1,'Working Capital Pesos'!$B$16:$C$18,2,FALSE),0%)</f>
        <v>0</v>
      </c>
      <c r="PH2" s="5">
        <f>IFERROR(VLOOKUP(PH$1,'Working Capital Pesos'!$B$16:$C$18,2,FALSE),0%)</f>
        <v>0</v>
      </c>
      <c r="PI2" s="5">
        <f>IFERROR(VLOOKUP(PI$1,'Working Capital Pesos'!$B$16:$C$18,2,FALSE),0%)</f>
        <v>0</v>
      </c>
      <c r="PJ2" s="5">
        <f>IFERROR(VLOOKUP(PJ$1,'Working Capital Pesos'!$B$16:$C$18,2,FALSE),0%)</f>
        <v>0</v>
      </c>
      <c r="PK2" s="5">
        <f>IFERROR(VLOOKUP(PK$1,'Working Capital Pesos'!$B$16:$C$18,2,FALSE),0%)</f>
        <v>0</v>
      </c>
      <c r="PL2" s="5">
        <f>IFERROR(VLOOKUP(PL$1,'Working Capital Pesos'!$B$16:$C$18,2,FALSE),0%)</f>
        <v>0</v>
      </c>
      <c r="PM2" s="5">
        <f>IFERROR(VLOOKUP(PM$1,'Working Capital Pesos'!$B$16:$C$18,2,FALSE),0%)</f>
        <v>0</v>
      </c>
      <c r="PN2" s="5">
        <f>IFERROR(VLOOKUP(PN$1,'Working Capital Pesos'!$B$16:$C$18,2,FALSE),0%)</f>
        <v>0</v>
      </c>
      <c r="PO2" s="5">
        <f>IFERROR(VLOOKUP(PO$1,'Working Capital Pesos'!$B$16:$C$18,2,FALSE),0%)</f>
        <v>0</v>
      </c>
      <c r="PP2" s="5">
        <f>IFERROR(VLOOKUP(PP$1,'Working Capital Pesos'!$B$16:$C$18,2,FALSE),0%)</f>
        <v>0</v>
      </c>
      <c r="PQ2" s="5">
        <f>IFERROR(VLOOKUP(PQ$1,'Working Capital Pesos'!$B$16:$C$18,2,FALSE),0%)</f>
        <v>0</v>
      </c>
      <c r="PR2" s="5">
        <f>IFERROR(VLOOKUP(PR$1,'Working Capital Pesos'!$B$16:$C$18,2,FALSE),0%)</f>
        <v>0</v>
      </c>
      <c r="PS2" s="5">
        <f>IFERROR(VLOOKUP(PS$1,'Working Capital Pesos'!$B$16:$C$18,2,FALSE),0%)</f>
        <v>0</v>
      </c>
      <c r="PT2" s="5">
        <f>IFERROR(VLOOKUP(PT$1,'Working Capital Pesos'!$B$16:$C$18,2,FALSE),0%)</f>
        <v>0</v>
      </c>
      <c r="PU2" s="5">
        <f>IFERROR(VLOOKUP(PU$1,'Working Capital Pesos'!$B$16:$C$18,2,FALSE),0%)</f>
        <v>0</v>
      </c>
      <c r="PV2" s="5">
        <f>IFERROR(VLOOKUP(PV$1,'Working Capital Pesos'!$B$16:$C$18,2,FALSE),0%)</f>
        <v>0</v>
      </c>
      <c r="PW2" s="5">
        <f>IFERROR(VLOOKUP(PW$1,'Working Capital Pesos'!$B$16:$C$18,2,FALSE),0%)</f>
        <v>0</v>
      </c>
      <c r="PX2" s="5">
        <f>IFERROR(VLOOKUP(PX$1,'Working Capital Pesos'!$B$16:$C$18,2,FALSE),0%)</f>
        <v>0</v>
      </c>
      <c r="PY2" s="5">
        <f>IFERROR(VLOOKUP(PY$1,'Working Capital Pesos'!$B$16:$C$18,2,FALSE),0%)</f>
        <v>0</v>
      </c>
      <c r="PZ2" s="5">
        <f>IFERROR(VLOOKUP(PZ$1,'Working Capital Pesos'!$B$16:$C$18,2,FALSE),0%)</f>
        <v>0</v>
      </c>
      <c r="QA2" s="5">
        <f>IFERROR(VLOOKUP(QA$1,'Working Capital Pesos'!$B$16:$C$18,2,FALSE),0%)</f>
        <v>0</v>
      </c>
      <c r="QB2" s="5">
        <f>IFERROR(VLOOKUP(QB$1,'Working Capital Pesos'!$B$16:$C$18,2,FALSE),0%)</f>
        <v>0</v>
      </c>
      <c r="QC2" s="5">
        <f>IFERROR(VLOOKUP(QC$1,'Working Capital Pesos'!$B$16:$C$18,2,FALSE),0%)</f>
        <v>0</v>
      </c>
      <c r="QD2" s="5">
        <f>IFERROR(VLOOKUP(QD$1,'Working Capital Pesos'!$B$16:$C$18,2,FALSE),0%)</f>
        <v>0</v>
      </c>
      <c r="QE2" s="5">
        <f>IFERROR(VLOOKUP(QE$1,'Working Capital Pesos'!$B$16:$C$18,2,FALSE),0%)</f>
        <v>0</v>
      </c>
      <c r="QF2" s="5">
        <f>IFERROR(VLOOKUP(QF$1,'Working Capital Pesos'!$B$16:$C$18,2,FALSE),0%)</f>
        <v>0</v>
      </c>
      <c r="QG2" s="5">
        <f>IFERROR(VLOOKUP(QG$1,'Working Capital Pesos'!$B$16:$C$18,2,FALSE),0%)</f>
        <v>0</v>
      </c>
      <c r="QH2" s="5">
        <f>IFERROR(VLOOKUP(QH$1,'Working Capital Pesos'!$B$16:$C$18,2,FALSE),0%)</f>
        <v>0</v>
      </c>
      <c r="QI2" s="5">
        <f>IFERROR(VLOOKUP(QI$1,'Working Capital Pesos'!$B$16:$C$18,2,FALSE),0%)</f>
        <v>0</v>
      </c>
      <c r="QJ2" s="5">
        <f>IFERROR(VLOOKUP(QJ$1,'Working Capital Pesos'!$B$16:$C$18,2,FALSE),0%)</f>
        <v>0</v>
      </c>
      <c r="QK2" s="5">
        <f>IFERROR(VLOOKUP(QK$1,'Working Capital Pesos'!$B$16:$C$18,2,FALSE),0%)</f>
        <v>0</v>
      </c>
      <c r="QL2" s="5">
        <f>IFERROR(VLOOKUP(QL$1,'Working Capital Pesos'!$B$16:$C$18,2,FALSE),0%)</f>
        <v>0</v>
      </c>
      <c r="QM2" s="5">
        <f>IFERROR(VLOOKUP(QM$1,'Working Capital Pesos'!$B$16:$C$18,2,FALSE),0%)</f>
        <v>0</v>
      </c>
      <c r="QN2" s="5">
        <f>IFERROR(VLOOKUP(QN$1,'Working Capital Pesos'!$B$16:$C$18,2,FALSE),0%)</f>
        <v>0</v>
      </c>
      <c r="QO2" s="5">
        <f>IFERROR(VLOOKUP(QO$1,'Working Capital Pesos'!$B$16:$C$18,2,FALSE),0%)</f>
        <v>0</v>
      </c>
      <c r="QP2" s="5">
        <f>IFERROR(VLOOKUP(QP$1,'Working Capital Pesos'!$B$16:$C$18,2,FALSE),0%)</f>
        <v>0</v>
      </c>
      <c r="QQ2" s="5">
        <f>IFERROR(VLOOKUP(QQ$1,'Working Capital Pesos'!$B$16:$C$18,2,FALSE),0%)</f>
        <v>0</v>
      </c>
      <c r="QR2" s="5">
        <f>IFERROR(VLOOKUP(QR$1,'Working Capital Pesos'!$B$16:$C$18,2,FALSE),0%)</f>
        <v>0</v>
      </c>
      <c r="QS2" s="5">
        <f>IFERROR(VLOOKUP(QS$1,'Working Capital Pesos'!$B$16:$C$18,2,FALSE),0%)</f>
        <v>0</v>
      </c>
      <c r="QT2" s="5">
        <f>IFERROR(VLOOKUP(QT$1,'Working Capital Pesos'!$B$16:$C$18,2,FALSE),0%)</f>
        <v>0</v>
      </c>
      <c r="QU2" s="5">
        <f>IFERROR(VLOOKUP(QU$1,'Working Capital Pesos'!$B$16:$C$18,2,FALSE),0%)</f>
        <v>0</v>
      </c>
      <c r="QV2" s="5">
        <f>IFERROR(VLOOKUP(QV$1,'Working Capital Pesos'!$B$16:$C$18,2,FALSE),0%)</f>
        <v>0</v>
      </c>
      <c r="QW2" s="5">
        <f>IFERROR(VLOOKUP(QW$1,'Working Capital Pesos'!$B$16:$C$18,2,FALSE),0%)</f>
        <v>0</v>
      </c>
      <c r="QX2" s="5">
        <f>IFERROR(VLOOKUP(QX$1,'Working Capital Pesos'!$B$16:$C$18,2,FALSE),0%)</f>
        <v>0</v>
      </c>
      <c r="QY2" s="5">
        <f>IFERROR(VLOOKUP(QY$1,'Working Capital Pesos'!$B$16:$C$18,2,FALSE),0%)</f>
        <v>0</v>
      </c>
      <c r="QZ2" s="5">
        <f>IFERROR(VLOOKUP(QZ$1,'Working Capital Pesos'!$B$16:$C$18,2,FALSE),0%)</f>
        <v>0</v>
      </c>
      <c r="RA2" s="5">
        <f>IFERROR(VLOOKUP(RA$1,'Working Capital Pesos'!$B$16:$C$18,2,FALSE),0%)</f>
        <v>0</v>
      </c>
      <c r="RB2" s="5">
        <f>IFERROR(VLOOKUP(RB$1,'Working Capital Pesos'!$B$16:$C$18,2,FALSE),0%)</f>
        <v>0</v>
      </c>
      <c r="RC2" s="5">
        <f>IFERROR(VLOOKUP(RC$1,'Working Capital Pesos'!$B$16:$C$18,2,FALSE),0%)</f>
        <v>0</v>
      </c>
      <c r="RD2" s="5">
        <f>IFERROR(VLOOKUP(RD$1,'Working Capital Pesos'!$B$16:$C$18,2,FALSE),0%)</f>
        <v>0</v>
      </c>
      <c r="RE2" s="5">
        <f>IFERROR(VLOOKUP(RE$1,'Working Capital Pesos'!$B$16:$C$18,2,FALSE),0%)</f>
        <v>0</v>
      </c>
      <c r="RF2" s="5">
        <f>IFERROR(VLOOKUP(RF$1,'Working Capital Pesos'!$B$16:$C$18,2,FALSE),0%)</f>
        <v>0</v>
      </c>
      <c r="RG2" s="5">
        <f>IFERROR(VLOOKUP(RG$1,'Working Capital Pesos'!$B$16:$C$18,2,FALSE),0%)</f>
        <v>0</v>
      </c>
      <c r="RH2" s="5">
        <f>IFERROR(VLOOKUP(RH$1,'Working Capital Pesos'!$B$16:$C$18,2,FALSE),0%)</f>
        <v>0</v>
      </c>
      <c r="RI2" s="5">
        <f>IFERROR(VLOOKUP(RI$1,'Working Capital Pesos'!$B$16:$C$18,2,FALSE),0%)</f>
        <v>0</v>
      </c>
      <c r="RJ2" s="5">
        <f>IFERROR(VLOOKUP(RJ$1,'Working Capital Pesos'!$B$16:$C$18,2,FALSE),0%)</f>
        <v>0</v>
      </c>
      <c r="RK2" s="5">
        <f>IFERROR(VLOOKUP(RK$1,'Working Capital Pesos'!$B$16:$C$18,2,FALSE),0%)</f>
        <v>0</v>
      </c>
      <c r="RL2" s="5">
        <f>IFERROR(VLOOKUP(RL$1,'Working Capital Pesos'!$B$16:$C$18,2,FALSE),0%)</f>
        <v>0</v>
      </c>
      <c r="RM2" s="5">
        <f>IFERROR(VLOOKUP(RM$1,'Working Capital Pesos'!$B$16:$C$18,2,FALSE),0%)</f>
        <v>0</v>
      </c>
      <c r="RN2" s="5">
        <f>IFERROR(VLOOKUP(RN$1,'Working Capital Pesos'!$B$16:$C$18,2,FALSE),0%)</f>
        <v>0</v>
      </c>
      <c r="RO2" s="5">
        <f>IFERROR(VLOOKUP(RO$1,'Working Capital Pesos'!$B$16:$C$18,2,FALSE),0%)</f>
        <v>0</v>
      </c>
      <c r="RP2" s="5">
        <f>IFERROR(VLOOKUP(RP$1,'Working Capital Pesos'!$B$16:$C$18,2,FALSE),0%)</f>
        <v>0</v>
      </c>
      <c r="RQ2" s="5">
        <f>IFERROR(VLOOKUP(RQ$1,'Working Capital Pesos'!$B$16:$C$18,2,FALSE),0%)</f>
        <v>0</v>
      </c>
      <c r="RR2" s="5">
        <f>IFERROR(VLOOKUP(RR$1,'Working Capital Pesos'!$B$16:$C$18,2,FALSE),0%)</f>
        <v>0</v>
      </c>
      <c r="RS2" s="5">
        <f>IFERROR(VLOOKUP(RS$1,'Working Capital Pesos'!$B$16:$C$18,2,FALSE),0%)</f>
        <v>0</v>
      </c>
      <c r="RT2" s="5">
        <f>IFERROR(VLOOKUP(RT$1,'Working Capital Pesos'!$B$16:$C$18,2,FALSE),0%)</f>
        <v>0</v>
      </c>
      <c r="RU2" s="5">
        <f>IFERROR(VLOOKUP(RU$1,'Working Capital Pesos'!$B$16:$C$18,2,FALSE),0%)</f>
        <v>0</v>
      </c>
      <c r="RV2" s="5">
        <f>IFERROR(VLOOKUP(RV$1,'Working Capital Pesos'!$B$16:$C$18,2,FALSE),0%)</f>
        <v>0</v>
      </c>
      <c r="RW2" s="5">
        <f>IFERROR(VLOOKUP(RW$1,'Working Capital Pesos'!$B$16:$C$18,2,FALSE),0%)</f>
        <v>0</v>
      </c>
      <c r="RX2" s="5">
        <f>IFERROR(VLOOKUP(RX$1,'Working Capital Pesos'!$B$16:$C$18,2,FALSE),0%)</f>
        <v>0</v>
      </c>
      <c r="RY2" s="5">
        <f>IFERROR(VLOOKUP(RY$1,'Working Capital Pesos'!$B$16:$C$18,2,FALSE),0%)</f>
        <v>0</v>
      </c>
      <c r="RZ2" s="5">
        <f>IFERROR(VLOOKUP(RZ$1,'Working Capital Pesos'!$B$16:$C$18,2,FALSE),0%)</f>
        <v>0</v>
      </c>
      <c r="SA2" s="5">
        <f>IFERROR(VLOOKUP(SA$1,'Working Capital Pesos'!$B$16:$C$18,2,FALSE),0%)</f>
        <v>0</v>
      </c>
      <c r="SB2" s="5">
        <f>IFERROR(VLOOKUP(SB$1,'Working Capital Pesos'!$B$16:$C$18,2,FALSE),0%)</f>
        <v>0</v>
      </c>
      <c r="SC2" s="5">
        <f>IFERROR(VLOOKUP(SC$1,'Working Capital Pesos'!$B$16:$C$18,2,FALSE),0%)</f>
        <v>0</v>
      </c>
      <c r="SD2" s="5">
        <f>IFERROR(VLOOKUP(SD$1,'Working Capital Pesos'!$B$16:$C$18,2,FALSE),0%)</f>
        <v>0</v>
      </c>
      <c r="SE2" s="5">
        <f>IFERROR(VLOOKUP(SE$1,'Working Capital Pesos'!$B$16:$C$18,2,FALSE),0%)</f>
        <v>0</v>
      </c>
      <c r="SF2" s="5">
        <f>IFERROR(VLOOKUP(SF$1,'Working Capital Pesos'!$B$16:$C$18,2,FALSE),0%)</f>
        <v>0</v>
      </c>
      <c r="SG2" s="5">
        <f>IFERROR(VLOOKUP(SG$1,'Working Capital Pesos'!$B$16:$C$18,2,FALSE),0%)</f>
        <v>0</v>
      </c>
      <c r="SH2" s="5">
        <f>IFERROR(VLOOKUP(SH$1,'Working Capital Pesos'!$B$16:$C$18,2,FALSE),0%)</f>
        <v>0</v>
      </c>
      <c r="SI2" s="5">
        <f>IFERROR(VLOOKUP(SI$1,'Working Capital Pesos'!$B$16:$C$18,2,FALSE),0%)</f>
        <v>0</v>
      </c>
      <c r="SJ2" s="5">
        <f>IFERROR(VLOOKUP(SJ$1,'Working Capital Pesos'!$B$16:$C$18,2,FALSE),0%)</f>
        <v>0</v>
      </c>
      <c r="SK2" s="5">
        <f>IFERROR(VLOOKUP(SK$1,'Working Capital Pesos'!$B$16:$C$18,2,FALSE),0%)</f>
        <v>0</v>
      </c>
      <c r="SL2" s="5">
        <f>IFERROR(VLOOKUP(SL$1,'Working Capital Pesos'!$B$16:$C$18,2,FALSE),0%)</f>
        <v>0</v>
      </c>
      <c r="SM2" s="5">
        <f>IFERROR(VLOOKUP(SM$1,'Working Capital Pesos'!$B$16:$C$18,2,FALSE),0%)</f>
        <v>0</v>
      </c>
      <c r="SN2" s="5">
        <f>IFERROR(VLOOKUP(SN$1,'Working Capital Pesos'!$B$16:$C$18,2,FALSE),0%)</f>
        <v>0</v>
      </c>
      <c r="SO2" s="5">
        <f>IFERROR(VLOOKUP(SO$1,'Working Capital Pesos'!$B$16:$C$18,2,FALSE),0%)</f>
        <v>0</v>
      </c>
      <c r="SP2" s="5">
        <f>IFERROR(VLOOKUP(SP$1,'Working Capital Pesos'!$B$16:$C$18,2,FALSE),0%)</f>
        <v>0</v>
      </c>
      <c r="SQ2" s="5">
        <f>IFERROR(VLOOKUP(SQ$1,'Working Capital Pesos'!$B$16:$C$18,2,FALSE),0%)</f>
        <v>0</v>
      </c>
      <c r="SR2" s="5">
        <f>IFERROR(VLOOKUP(SR$1,'Working Capital Pesos'!$B$16:$C$18,2,FALSE),0%)</f>
        <v>0</v>
      </c>
      <c r="SS2" s="5">
        <f>IFERROR(VLOOKUP(SS$1,'Working Capital Pesos'!$B$16:$C$18,2,FALSE),0%)</f>
        <v>0</v>
      </c>
      <c r="ST2" s="5">
        <f>IFERROR(VLOOKUP(ST$1,'Working Capital Pesos'!$B$16:$C$18,2,FALSE),0%)</f>
        <v>0</v>
      </c>
      <c r="SU2" s="5">
        <f>IFERROR(VLOOKUP(SU$1,'Working Capital Pesos'!$B$16:$C$18,2,FALSE),0%)</f>
        <v>0</v>
      </c>
      <c r="SV2" s="5">
        <f>IFERROR(VLOOKUP(SV$1,'Working Capital Pesos'!$B$16:$C$18,2,FALSE),0%)</f>
        <v>0</v>
      </c>
      <c r="SW2" s="5">
        <f>IFERROR(VLOOKUP(SW$1,'Working Capital Pesos'!$B$16:$C$18,2,FALSE),0%)</f>
        <v>0</v>
      </c>
      <c r="SX2" s="5">
        <f>IFERROR(VLOOKUP(SX$1,'Working Capital Pesos'!$B$16:$C$18,2,FALSE),0%)</f>
        <v>0</v>
      </c>
      <c r="SY2" s="5">
        <f>IFERROR(VLOOKUP(SY$1,'Working Capital Pesos'!$B$16:$C$18,2,FALSE),0%)</f>
        <v>0</v>
      </c>
      <c r="SZ2" s="5">
        <f>IFERROR(VLOOKUP(SZ$1,'Working Capital Pesos'!$B$16:$C$18,2,FALSE),0%)</f>
        <v>0</v>
      </c>
      <c r="TA2" s="5">
        <f>IFERROR(VLOOKUP(TA$1,'Working Capital Pesos'!$B$16:$C$18,2,FALSE),0%)</f>
        <v>0</v>
      </c>
      <c r="TB2" s="5">
        <f>IFERROR(VLOOKUP(TB$1,'Working Capital Pesos'!$B$16:$C$18,2,FALSE),0%)</f>
        <v>0</v>
      </c>
      <c r="TC2" s="5">
        <f>IFERROR(VLOOKUP(TC$1,'Working Capital Pesos'!$B$16:$C$18,2,FALSE),0%)</f>
        <v>0</v>
      </c>
      <c r="TD2" s="5">
        <f>IFERROR(VLOOKUP(TD$1,'Working Capital Pesos'!$B$16:$C$18,2,FALSE),0%)</f>
        <v>0</v>
      </c>
      <c r="TE2" s="5">
        <f>IFERROR(VLOOKUP(TE$1,'Working Capital Pesos'!$B$16:$C$18,2,FALSE),0%)</f>
        <v>0</v>
      </c>
      <c r="TF2" s="5">
        <f>IFERROR(VLOOKUP(TF$1,'Working Capital Pesos'!$B$16:$C$18,2,FALSE),0%)</f>
        <v>0</v>
      </c>
      <c r="TG2" s="5">
        <f>IFERROR(VLOOKUP(TG$1,'Working Capital Pesos'!$B$16:$C$18,2,FALSE),0%)</f>
        <v>0</v>
      </c>
      <c r="TH2" s="5">
        <f>IFERROR(VLOOKUP(TH$1,'Working Capital Pesos'!$B$16:$C$18,2,FALSE),0%)</f>
        <v>0</v>
      </c>
      <c r="TI2" s="5">
        <f>IFERROR(VLOOKUP(TI$1,'Working Capital Pesos'!$B$16:$C$18,2,FALSE),0%)</f>
        <v>0</v>
      </c>
      <c r="TJ2" s="5">
        <f>IFERROR(VLOOKUP(TJ$1,'Working Capital Pesos'!$B$16:$C$18,2,FALSE),0%)</f>
        <v>0</v>
      </c>
      <c r="TK2" s="5">
        <f>IFERROR(VLOOKUP(TK$1,'Working Capital Pesos'!$B$16:$C$18,2,FALSE),0%)</f>
        <v>0</v>
      </c>
      <c r="TL2" s="5">
        <f>IFERROR(VLOOKUP(TL$1,'Working Capital Pesos'!$B$16:$C$18,2,FALSE),0%)</f>
        <v>0</v>
      </c>
      <c r="TM2" s="5">
        <f>IFERROR(VLOOKUP(TM$1,'Working Capital Pesos'!$B$16:$C$18,2,FALSE),0%)</f>
        <v>0</v>
      </c>
      <c r="TN2" s="5">
        <f>IFERROR(VLOOKUP(TN$1,'Working Capital Pesos'!$B$16:$C$18,2,FALSE),0%)</f>
        <v>0</v>
      </c>
      <c r="TO2" s="5">
        <f>IFERROR(VLOOKUP(TO$1,'Working Capital Pesos'!$B$16:$C$18,2,FALSE),0%)</f>
        <v>0</v>
      </c>
      <c r="TP2" s="5">
        <f>IFERROR(VLOOKUP(TP$1,'Working Capital Pesos'!$B$16:$C$18,2,FALSE),0%)</f>
        <v>0</v>
      </c>
      <c r="TQ2" s="5">
        <f>IFERROR(VLOOKUP(TQ$1,'Working Capital Pesos'!$B$16:$C$18,2,FALSE),0%)</f>
        <v>0</v>
      </c>
      <c r="TR2" s="5">
        <f>IFERROR(VLOOKUP(TR$1,'Working Capital Pesos'!$B$16:$C$18,2,FALSE),0%)</f>
        <v>0</v>
      </c>
      <c r="TS2" s="5">
        <f>IFERROR(VLOOKUP(TS$1,'Working Capital Pesos'!$B$16:$C$18,2,FALSE),0%)</f>
        <v>0</v>
      </c>
      <c r="TT2" s="5">
        <f>IFERROR(VLOOKUP(TT$1,'Working Capital Pesos'!$B$16:$C$18,2,FALSE),0%)</f>
        <v>0</v>
      </c>
      <c r="TU2" s="5">
        <f>IFERROR(VLOOKUP(TU$1,'Working Capital Pesos'!$B$16:$C$18,2,FALSE),0%)</f>
        <v>0</v>
      </c>
      <c r="TV2" s="5">
        <f>IFERROR(VLOOKUP(TV$1,'Working Capital Pesos'!$B$16:$C$18,2,FALSE),0%)</f>
        <v>0</v>
      </c>
      <c r="TW2" s="5">
        <f>IFERROR(VLOOKUP(TW$1,'Working Capital Pesos'!$B$16:$C$18,2,FALSE),0%)</f>
        <v>0</v>
      </c>
      <c r="TX2" s="5">
        <f>IFERROR(VLOOKUP(TX$1,'Working Capital Pesos'!$B$16:$C$18,2,FALSE),0%)</f>
        <v>0</v>
      </c>
      <c r="TY2" s="5">
        <f>IFERROR(VLOOKUP(TY$1,'Working Capital Pesos'!$B$16:$C$18,2,FALSE),0%)</f>
        <v>0</v>
      </c>
      <c r="TZ2" s="5">
        <f>IFERROR(VLOOKUP(TZ$1,'Working Capital Pesos'!$B$16:$C$18,2,FALSE),0%)</f>
        <v>0</v>
      </c>
      <c r="UA2" s="5">
        <f>IFERROR(VLOOKUP(UA$1,'Working Capital Pesos'!$B$16:$C$18,2,FALSE),0%)</f>
        <v>0</v>
      </c>
      <c r="UB2" s="5">
        <f>IFERROR(VLOOKUP(UB$1,'Working Capital Pesos'!$B$16:$C$18,2,FALSE),0%)</f>
        <v>0</v>
      </c>
      <c r="UC2" s="5">
        <f>IFERROR(VLOOKUP(UC$1,'Working Capital Pesos'!$B$16:$C$18,2,FALSE),0%)</f>
        <v>0</v>
      </c>
      <c r="UD2" s="5">
        <f>IFERROR(VLOOKUP(UD$1,'Working Capital Pesos'!$B$16:$C$18,2,FALSE),0%)</f>
        <v>0</v>
      </c>
      <c r="UE2" s="5">
        <f>IFERROR(VLOOKUP(UE$1,'Working Capital Pesos'!$B$16:$C$18,2,FALSE),0%)</f>
        <v>0</v>
      </c>
      <c r="UF2" s="5">
        <f>IFERROR(VLOOKUP(UF$1,'Working Capital Pesos'!$B$16:$C$18,2,FALSE),0%)</f>
        <v>0</v>
      </c>
      <c r="UG2" s="5">
        <f>IFERROR(VLOOKUP(UG$1,'Working Capital Pesos'!$B$16:$C$18,2,FALSE),0%)</f>
        <v>0</v>
      </c>
      <c r="UH2" s="5">
        <f>IFERROR(VLOOKUP(UH$1,'Working Capital Pesos'!$B$16:$C$18,2,FALSE),0%)</f>
        <v>0</v>
      </c>
      <c r="UI2" s="5">
        <f>IFERROR(VLOOKUP(UI$1,'Working Capital Pesos'!$B$16:$C$18,2,FALSE),0%)</f>
        <v>0</v>
      </c>
      <c r="UJ2" s="5">
        <f>IFERROR(VLOOKUP(UJ$1,'Working Capital Pesos'!$B$16:$C$18,2,FALSE),0%)</f>
        <v>0</v>
      </c>
      <c r="UK2" s="5">
        <f>IFERROR(VLOOKUP(UK$1,'Working Capital Pesos'!$B$16:$C$18,2,FALSE),0%)</f>
        <v>0</v>
      </c>
      <c r="UL2" s="5">
        <f>IFERROR(VLOOKUP(UL$1,'Working Capital Pesos'!$B$16:$C$18,2,FALSE),0%)</f>
        <v>0</v>
      </c>
      <c r="UM2" s="5">
        <f>IFERROR(VLOOKUP(UM$1,'Working Capital Pesos'!$B$16:$C$18,2,FALSE),0%)</f>
        <v>0</v>
      </c>
      <c r="UN2" s="5">
        <f>IFERROR(VLOOKUP(UN$1,'Working Capital Pesos'!$B$16:$C$18,2,FALSE),0%)</f>
        <v>0</v>
      </c>
      <c r="UO2" s="5">
        <f>IFERROR(VLOOKUP(UO$1,'Working Capital Pesos'!$B$16:$C$18,2,FALSE),0%)</f>
        <v>0</v>
      </c>
      <c r="UP2" s="5">
        <f>IFERROR(VLOOKUP(UP$1,'Working Capital Pesos'!$B$16:$C$18,2,FALSE),0%)</f>
        <v>0</v>
      </c>
      <c r="UQ2" s="5">
        <f>IFERROR(VLOOKUP(UQ$1,'Working Capital Pesos'!$B$16:$C$18,2,FALSE),0%)</f>
        <v>0</v>
      </c>
      <c r="UR2" s="5">
        <f>IFERROR(VLOOKUP(UR$1,'Working Capital Pesos'!$B$16:$C$18,2,FALSE),0%)</f>
        <v>0</v>
      </c>
      <c r="US2" s="5">
        <f>IFERROR(VLOOKUP(US$1,'Working Capital Pesos'!$B$16:$C$18,2,FALSE),0%)</f>
        <v>0</v>
      </c>
      <c r="UT2" s="5">
        <f>IFERROR(VLOOKUP(UT$1,'Working Capital Pesos'!$B$16:$C$18,2,FALSE),0%)</f>
        <v>0</v>
      </c>
      <c r="UU2" s="5">
        <f>IFERROR(VLOOKUP(UU$1,'Working Capital Pesos'!$B$16:$C$18,2,FALSE),0%)</f>
        <v>0</v>
      </c>
      <c r="UV2" s="5">
        <f>IFERROR(VLOOKUP(UV$1,'Working Capital Pesos'!$B$16:$C$18,2,FALSE),0%)</f>
        <v>0</v>
      </c>
      <c r="UW2" s="5">
        <f>IFERROR(VLOOKUP(UW$1,'Working Capital Pesos'!$B$16:$C$18,2,FALSE),0%)</f>
        <v>0</v>
      </c>
      <c r="UX2" s="5">
        <f>IFERROR(VLOOKUP(UX$1,'Working Capital Pesos'!$B$16:$C$18,2,FALSE),0%)</f>
        <v>0</v>
      </c>
      <c r="UY2" s="5">
        <f>IFERROR(VLOOKUP(UY$1,'Working Capital Pesos'!$B$16:$C$18,2,FALSE),0%)</f>
        <v>0</v>
      </c>
      <c r="UZ2" s="5">
        <f>IFERROR(VLOOKUP(UZ$1,'Working Capital Pesos'!$B$16:$C$18,2,FALSE),0%)</f>
        <v>0</v>
      </c>
      <c r="VA2" s="5">
        <f>IFERROR(VLOOKUP(VA$1,'Working Capital Pesos'!$B$16:$C$18,2,FALSE),0%)</f>
        <v>0</v>
      </c>
      <c r="VB2" s="5">
        <f>IFERROR(VLOOKUP(VB$1,'Working Capital Pesos'!$B$16:$C$18,2,FALSE),0%)</f>
        <v>0</v>
      </c>
      <c r="VC2" s="5">
        <f>IFERROR(VLOOKUP(VC$1,'Working Capital Pesos'!$B$16:$C$18,2,FALSE),0%)</f>
        <v>0</v>
      </c>
      <c r="VD2" s="5">
        <f>IFERROR(VLOOKUP(VD$1,'Working Capital Pesos'!$B$16:$C$18,2,FALSE),0%)</f>
        <v>0</v>
      </c>
      <c r="VE2" s="5">
        <f>IFERROR(VLOOKUP(VE$1,'Working Capital Pesos'!$B$16:$C$18,2,FALSE),0%)</f>
        <v>0</v>
      </c>
      <c r="VF2" s="5">
        <f>IFERROR(VLOOKUP(VF$1,'Working Capital Pesos'!$B$16:$C$18,2,FALSE),0%)</f>
        <v>0</v>
      </c>
      <c r="VG2" s="5">
        <f>IFERROR(VLOOKUP(VG$1,'Working Capital Pesos'!$B$16:$C$18,2,FALSE),0%)</f>
        <v>0</v>
      </c>
      <c r="VH2" s="5">
        <f>IFERROR(VLOOKUP(VH$1,'Working Capital Pesos'!$B$16:$C$18,2,FALSE),0%)</f>
        <v>0</v>
      </c>
      <c r="VI2" s="5">
        <f>IFERROR(VLOOKUP(VI$1,'Working Capital Pesos'!$B$16:$C$18,2,FALSE),0%)</f>
        <v>0</v>
      </c>
      <c r="VJ2" s="5">
        <f>IFERROR(VLOOKUP(VJ$1,'Working Capital Pesos'!$B$16:$C$18,2,FALSE),0%)</f>
        <v>0</v>
      </c>
      <c r="VK2" s="5">
        <f>IFERROR(VLOOKUP(VK$1,'Working Capital Pesos'!$B$16:$C$18,2,FALSE),0%)</f>
        <v>0</v>
      </c>
      <c r="VL2" s="5">
        <f>IFERROR(VLOOKUP(VL$1,'Working Capital Pesos'!$B$16:$C$18,2,FALSE),0%)</f>
        <v>0</v>
      </c>
      <c r="VM2" s="5">
        <f>IFERROR(VLOOKUP(VM$1,'Working Capital Pesos'!$B$16:$C$18,2,FALSE),0%)</f>
        <v>0</v>
      </c>
      <c r="VN2" s="5">
        <f>IFERROR(VLOOKUP(VN$1,'Working Capital Pesos'!$B$16:$C$18,2,FALSE),0%)</f>
        <v>0</v>
      </c>
      <c r="VO2" s="5">
        <f>IFERROR(VLOOKUP(VO$1,'Working Capital Pesos'!$B$16:$C$18,2,FALSE),0%)</f>
        <v>0</v>
      </c>
      <c r="VP2" s="5">
        <f>IFERROR(VLOOKUP(VP$1,'Working Capital Pesos'!$B$16:$C$18,2,FALSE),0%)</f>
        <v>0</v>
      </c>
      <c r="VQ2" s="5">
        <f>IFERROR(VLOOKUP(VQ$1,'Working Capital Pesos'!$B$16:$C$18,2,FALSE),0%)</f>
        <v>0</v>
      </c>
      <c r="VR2" s="5">
        <f>IFERROR(VLOOKUP(VR$1,'Working Capital Pesos'!$B$16:$C$18,2,FALSE),0%)</f>
        <v>0</v>
      </c>
      <c r="VS2" s="5">
        <f>IFERROR(VLOOKUP(VS$1,'Working Capital Pesos'!$B$16:$C$18,2,FALSE),0%)</f>
        <v>0</v>
      </c>
      <c r="VT2" s="5">
        <f>IFERROR(VLOOKUP(VT$1,'Working Capital Pesos'!$B$16:$C$18,2,FALSE),0%)</f>
        <v>0</v>
      </c>
      <c r="VU2" s="5">
        <f>IFERROR(VLOOKUP(VU$1,'Working Capital Pesos'!$B$16:$C$18,2,FALSE),0%)</f>
        <v>0</v>
      </c>
      <c r="VV2" s="5">
        <f>IFERROR(VLOOKUP(VV$1,'Working Capital Pesos'!$B$16:$C$18,2,FALSE),0%)</f>
        <v>0</v>
      </c>
      <c r="VW2" s="5">
        <f>IFERROR(VLOOKUP(VW$1,'Working Capital Pesos'!$B$16:$C$18,2,FALSE),0%)</f>
        <v>0</v>
      </c>
      <c r="VX2" s="5">
        <f>IFERROR(VLOOKUP(VX$1,'Working Capital Pesos'!$B$16:$C$18,2,FALSE),0%)</f>
        <v>0</v>
      </c>
      <c r="VY2" s="5">
        <f>IFERROR(VLOOKUP(VY$1,'Working Capital Pesos'!$B$16:$C$18,2,FALSE),0%)</f>
        <v>0</v>
      </c>
      <c r="VZ2" s="5">
        <f>IFERROR(VLOOKUP(VZ$1,'Working Capital Pesos'!$B$16:$C$18,2,FALSE),0%)</f>
        <v>0</v>
      </c>
      <c r="WA2" s="5">
        <f>IFERROR(VLOOKUP(WA$1,'Working Capital Pesos'!$B$16:$C$18,2,FALSE),0%)</f>
        <v>0</v>
      </c>
      <c r="WB2" s="5">
        <f>IFERROR(VLOOKUP(WB$1,'Working Capital Pesos'!$B$16:$C$18,2,FALSE),0%)</f>
        <v>0</v>
      </c>
      <c r="WC2" s="5">
        <f>IFERROR(VLOOKUP(WC$1,'Working Capital Pesos'!$B$16:$C$18,2,FALSE),0%)</f>
        <v>0</v>
      </c>
      <c r="WD2" s="5">
        <f>IFERROR(VLOOKUP(WD$1,'Working Capital Pesos'!$B$16:$C$18,2,FALSE),0%)</f>
        <v>0</v>
      </c>
      <c r="WE2" s="5">
        <f>IFERROR(VLOOKUP(WE$1,'Working Capital Pesos'!$B$16:$C$18,2,FALSE),0%)</f>
        <v>0</v>
      </c>
      <c r="WF2" s="5">
        <f>IFERROR(VLOOKUP(WF$1,'Working Capital Pesos'!$B$16:$C$18,2,FALSE),0%)</f>
        <v>0</v>
      </c>
      <c r="WG2" s="5">
        <f>IFERROR(VLOOKUP(WG$1,'Working Capital Pesos'!$B$16:$C$18,2,FALSE),0%)</f>
        <v>0</v>
      </c>
      <c r="WH2" s="5">
        <f>IFERROR(VLOOKUP(WH$1,'Working Capital Pesos'!$B$16:$C$18,2,FALSE),0%)</f>
        <v>0</v>
      </c>
      <c r="WI2" s="5">
        <f>IFERROR(VLOOKUP(WI$1,'Working Capital Pesos'!$B$16:$C$18,2,FALSE),0%)</f>
        <v>0</v>
      </c>
      <c r="WJ2" s="5">
        <f>IFERROR(VLOOKUP(WJ$1,'Working Capital Pesos'!$B$16:$C$18,2,FALSE),0%)</f>
        <v>0</v>
      </c>
      <c r="WK2" s="5">
        <f>IFERROR(VLOOKUP(WK$1,'Working Capital Pesos'!$B$16:$C$18,2,FALSE),0%)</f>
        <v>0</v>
      </c>
      <c r="WL2" s="5">
        <f>IFERROR(VLOOKUP(WL$1,'Working Capital Pesos'!$B$16:$C$18,2,FALSE),0%)</f>
        <v>0</v>
      </c>
      <c r="WM2" s="5">
        <f>IFERROR(VLOOKUP(WM$1,'Working Capital Pesos'!$B$16:$C$18,2,FALSE),0%)</f>
        <v>0</v>
      </c>
      <c r="WN2" s="5">
        <f>IFERROR(VLOOKUP(WN$1,'Working Capital Pesos'!$B$16:$C$18,2,FALSE),0%)</f>
        <v>0</v>
      </c>
      <c r="WO2" s="5">
        <f>IFERROR(VLOOKUP(WO$1,'Working Capital Pesos'!$B$16:$C$18,2,FALSE),0%)</f>
        <v>0</v>
      </c>
      <c r="WP2" s="5">
        <f>IFERROR(VLOOKUP(WP$1,'Working Capital Pesos'!$B$16:$C$18,2,FALSE),0%)</f>
        <v>0</v>
      </c>
      <c r="WQ2" s="5">
        <f>IFERROR(VLOOKUP(WQ$1,'Working Capital Pesos'!$B$16:$C$18,2,FALSE),0%)</f>
        <v>0</v>
      </c>
      <c r="WR2" s="5">
        <f>IFERROR(VLOOKUP(WR$1,'Working Capital Pesos'!$B$16:$C$18,2,FALSE),0%)</f>
        <v>0</v>
      </c>
      <c r="WS2" s="5">
        <f>IFERROR(VLOOKUP(WS$1,'Working Capital Pesos'!$B$16:$C$18,2,FALSE),0%)</f>
        <v>0</v>
      </c>
      <c r="WT2" s="5">
        <f>IFERROR(VLOOKUP(WT$1,'Working Capital Pesos'!$B$16:$C$18,2,FALSE),0%)</f>
        <v>0</v>
      </c>
      <c r="WU2" s="5">
        <f>IFERROR(VLOOKUP(WU$1,'Working Capital Pesos'!$B$16:$C$18,2,FALSE),0%)</f>
        <v>0</v>
      </c>
      <c r="WV2" s="5">
        <f>IFERROR(VLOOKUP(WV$1,'Working Capital Pesos'!$B$16:$C$18,2,FALSE),0%)</f>
        <v>0</v>
      </c>
      <c r="WW2" s="5">
        <f>IFERROR(VLOOKUP(WW$1,'Working Capital Pesos'!$B$16:$C$18,2,FALSE),0%)</f>
        <v>0</v>
      </c>
      <c r="WX2" s="5">
        <f>IFERROR(VLOOKUP(WX$1,'Working Capital Pesos'!$B$16:$C$18,2,FALSE),0%)</f>
        <v>0</v>
      </c>
      <c r="WY2" s="5">
        <f>IFERROR(VLOOKUP(WY$1,'Working Capital Pesos'!$B$16:$C$18,2,FALSE),0%)</f>
        <v>0</v>
      </c>
      <c r="WZ2" s="5">
        <f>IFERROR(VLOOKUP(WZ$1,'Working Capital Pesos'!$B$16:$C$18,2,FALSE),0%)</f>
        <v>0</v>
      </c>
      <c r="XA2" s="5">
        <f>IFERROR(VLOOKUP(XA$1,'Working Capital Pesos'!$B$16:$C$18,2,FALSE),0%)</f>
        <v>0</v>
      </c>
      <c r="XB2" s="5">
        <f>IFERROR(VLOOKUP(XB$1,'Working Capital Pesos'!$B$16:$C$18,2,FALSE),0%)</f>
        <v>0</v>
      </c>
      <c r="XC2" s="5">
        <f>IFERROR(VLOOKUP(XC$1,'Working Capital Pesos'!$B$16:$C$18,2,FALSE),0%)</f>
        <v>0</v>
      </c>
      <c r="XD2" s="5">
        <f>IFERROR(VLOOKUP(XD$1,'Working Capital Pesos'!$B$16:$C$18,2,FALSE),0%)</f>
        <v>0</v>
      </c>
      <c r="XE2" s="5">
        <f>IFERROR(VLOOKUP(XE$1,'Working Capital Pesos'!$B$16:$C$18,2,FALSE),0%)</f>
        <v>0</v>
      </c>
      <c r="XF2" s="5">
        <f>IFERROR(VLOOKUP(XF$1,'Working Capital Pesos'!$B$16:$C$18,2,FALSE),0%)</f>
        <v>0</v>
      </c>
      <c r="XG2" s="5">
        <f>IFERROR(VLOOKUP(XG$1,'Working Capital Pesos'!$B$16:$C$18,2,FALSE),0%)</f>
        <v>0</v>
      </c>
      <c r="XH2" s="5">
        <f>IFERROR(VLOOKUP(XH$1,'Working Capital Pesos'!$B$16:$C$18,2,FALSE),0%)</f>
        <v>0</v>
      </c>
      <c r="XI2" s="5">
        <f>IFERROR(VLOOKUP(XI$1,'Working Capital Pesos'!$B$16:$C$18,2,FALSE),0%)</f>
        <v>0</v>
      </c>
      <c r="XJ2" s="5">
        <f>IFERROR(VLOOKUP(XJ$1,'Working Capital Pesos'!$B$16:$C$18,2,FALSE),0%)</f>
        <v>0</v>
      </c>
      <c r="XK2" s="5">
        <f>IFERROR(VLOOKUP(XK$1,'Working Capital Pesos'!$B$16:$C$18,2,FALSE),0%)</f>
        <v>0</v>
      </c>
      <c r="XL2" s="5">
        <f>IFERROR(VLOOKUP(XL$1,'Working Capital Pesos'!$B$16:$C$18,2,FALSE),0%)</f>
        <v>0</v>
      </c>
      <c r="XM2" s="5">
        <f>IFERROR(VLOOKUP(XM$1,'Working Capital Pesos'!$B$16:$C$18,2,FALSE),0%)</f>
        <v>0</v>
      </c>
      <c r="XN2" s="5">
        <f>IFERROR(VLOOKUP(XN$1,'Working Capital Pesos'!$B$16:$C$18,2,FALSE),0%)</f>
        <v>0</v>
      </c>
      <c r="XO2" s="5">
        <f>IFERROR(VLOOKUP(XO$1,'Working Capital Pesos'!$B$16:$C$18,2,FALSE),0%)</f>
        <v>0</v>
      </c>
      <c r="XP2" s="5">
        <f>IFERROR(VLOOKUP(XP$1,'Working Capital Pesos'!$B$16:$C$18,2,FALSE),0%)</f>
        <v>0</v>
      </c>
      <c r="XQ2" s="5">
        <f>IFERROR(VLOOKUP(XQ$1,'Working Capital Pesos'!$B$16:$C$18,2,FALSE),0%)</f>
        <v>0</v>
      </c>
      <c r="XR2" s="5">
        <f>IFERROR(VLOOKUP(XR$1,'Working Capital Pesos'!$B$16:$C$18,2,FALSE),0%)</f>
        <v>0</v>
      </c>
      <c r="XS2" s="5">
        <f>IFERROR(VLOOKUP(XS$1,'Working Capital Pesos'!$B$16:$C$18,2,FALSE),0%)</f>
        <v>0</v>
      </c>
      <c r="XT2" s="5">
        <f>IFERROR(VLOOKUP(XT$1,'Working Capital Pesos'!$B$16:$C$18,2,FALSE),0%)</f>
        <v>0</v>
      </c>
      <c r="XU2" s="5">
        <f>IFERROR(VLOOKUP(XU$1,'Working Capital Pesos'!$B$16:$C$18,2,FALSE),0%)</f>
        <v>0</v>
      </c>
      <c r="XV2" s="5">
        <f>IFERROR(VLOOKUP(XV$1,'Working Capital Pesos'!$B$16:$C$18,2,FALSE),0%)</f>
        <v>0</v>
      </c>
      <c r="XW2" s="5">
        <f>IFERROR(VLOOKUP(XW$1,'Working Capital Pesos'!$B$16:$C$18,2,FALSE),0%)</f>
        <v>0</v>
      </c>
      <c r="XX2" s="5">
        <f>IFERROR(VLOOKUP(XX$1,'Working Capital Pesos'!$B$16:$C$18,2,FALSE),0%)</f>
        <v>0</v>
      </c>
      <c r="XY2" s="5">
        <f>IFERROR(VLOOKUP(XY$1,'Working Capital Pesos'!$B$16:$C$18,2,FALSE),0%)</f>
        <v>0</v>
      </c>
      <c r="XZ2" s="5">
        <f>IFERROR(VLOOKUP(XZ$1,'Working Capital Pesos'!$B$16:$C$18,2,FALSE),0%)</f>
        <v>0</v>
      </c>
      <c r="YA2" s="5">
        <f>IFERROR(VLOOKUP(YA$1,'Working Capital Pesos'!$B$16:$C$18,2,FALSE),0%)</f>
        <v>0</v>
      </c>
      <c r="YB2" s="5">
        <f>IFERROR(VLOOKUP(YB$1,'Working Capital Pesos'!$B$16:$C$18,2,FALSE),0%)</f>
        <v>0</v>
      </c>
      <c r="YC2" s="5">
        <f>IFERROR(VLOOKUP(YC$1,'Working Capital Pesos'!$B$16:$C$18,2,FALSE),0%)</f>
        <v>0</v>
      </c>
      <c r="YD2" s="5">
        <f>IFERROR(VLOOKUP(YD$1,'Working Capital Pesos'!$B$16:$C$18,2,FALSE),0%)</f>
        <v>0</v>
      </c>
      <c r="YE2" s="5">
        <f>IFERROR(VLOOKUP(YE$1,'Working Capital Pesos'!$B$16:$C$18,2,FALSE),0%)</f>
        <v>0</v>
      </c>
      <c r="YF2" s="5">
        <f>IFERROR(VLOOKUP(YF$1,'Working Capital Pesos'!$B$16:$C$18,2,FALSE),0%)</f>
        <v>0</v>
      </c>
      <c r="YG2" s="5">
        <f>IFERROR(VLOOKUP(YG$1,'Working Capital Pesos'!$B$16:$C$18,2,FALSE),0%)</f>
        <v>0</v>
      </c>
      <c r="YH2" s="5">
        <f>IFERROR(VLOOKUP(YH$1,'Working Capital Pesos'!$B$16:$C$18,2,FALSE),0%)</f>
        <v>0</v>
      </c>
      <c r="YI2" s="5">
        <f>IFERROR(VLOOKUP(YI$1,'Working Capital Pesos'!$B$16:$C$18,2,FALSE),0%)</f>
        <v>0</v>
      </c>
      <c r="YJ2" s="5">
        <f>IFERROR(VLOOKUP(YJ$1,'Working Capital Pesos'!$B$16:$C$18,2,FALSE),0%)</f>
        <v>0</v>
      </c>
      <c r="YK2" s="5">
        <f>IFERROR(VLOOKUP(YK$1,'Working Capital Pesos'!$B$16:$C$18,2,FALSE),0%)</f>
        <v>0</v>
      </c>
      <c r="YL2" s="5">
        <f>IFERROR(VLOOKUP(YL$1,'Working Capital Pesos'!$B$16:$C$18,2,FALSE),0%)</f>
        <v>0</v>
      </c>
      <c r="YM2" s="5">
        <f>IFERROR(VLOOKUP(YM$1,'Working Capital Pesos'!$B$16:$C$18,2,FALSE),0%)</f>
        <v>0</v>
      </c>
      <c r="YN2" s="5">
        <f>IFERROR(VLOOKUP(YN$1,'Working Capital Pesos'!$B$16:$C$18,2,FALSE),0%)</f>
        <v>0</v>
      </c>
      <c r="YO2" s="5">
        <f>IFERROR(VLOOKUP(YO$1,'Working Capital Pesos'!$B$16:$C$18,2,FALSE),0%)</f>
        <v>0</v>
      </c>
      <c r="YP2" s="5">
        <f>IFERROR(VLOOKUP(YP$1,'Working Capital Pesos'!$B$16:$C$18,2,FALSE),0%)</f>
        <v>0</v>
      </c>
      <c r="YQ2" s="5">
        <f>IFERROR(VLOOKUP(YQ$1,'Working Capital Pesos'!$B$16:$C$18,2,FALSE),0%)</f>
        <v>0</v>
      </c>
      <c r="YR2" s="5">
        <f>IFERROR(VLOOKUP(YR$1,'Working Capital Pesos'!$B$16:$C$18,2,FALSE),0%)</f>
        <v>0</v>
      </c>
      <c r="YS2" s="5">
        <f>IFERROR(VLOOKUP(YS$1,'Working Capital Pesos'!$B$16:$C$18,2,FALSE),0%)</f>
        <v>0</v>
      </c>
      <c r="YT2" s="5">
        <f>IFERROR(VLOOKUP(YT$1,'Working Capital Pesos'!$B$16:$C$18,2,FALSE),0%)</f>
        <v>0</v>
      </c>
      <c r="YU2" s="5">
        <f>IFERROR(VLOOKUP(YU$1,'Working Capital Pesos'!$B$16:$C$18,2,FALSE),0%)</f>
        <v>0</v>
      </c>
      <c r="YV2" s="5">
        <f>IFERROR(VLOOKUP(YV$1,'Working Capital Pesos'!$B$16:$C$18,2,FALSE),0%)</f>
        <v>0</v>
      </c>
      <c r="YW2" s="5">
        <f>IFERROR(VLOOKUP(YW$1,'Working Capital Pesos'!$B$16:$C$18,2,FALSE),0%)</f>
        <v>0</v>
      </c>
      <c r="YX2" s="5">
        <f>IFERROR(VLOOKUP(YX$1,'Working Capital Pesos'!$B$16:$C$18,2,FALSE),0%)</f>
        <v>0</v>
      </c>
      <c r="YY2" s="5">
        <f>IFERROR(VLOOKUP(YY$1,'Working Capital Pesos'!$B$16:$C$18,2,FALSE),0%)</f>
        <v>0</v>
      </c>
      <c r="YZ2" s="5">
        <f>IFERROR(VLOOKUP(YZ$1,'Working Capital Pesos'!$B$16:$C$18,2,FALSE),0%)</f>
        <v>0</v>
      </c>
      <c r="ZA2" s="5">
        <f>IFERROR(VLOOKUP(ZA$1,'Working Capital Pesos'!$B$16:$C$18,2,FALSE),0%)</f>
        <v>0</v>
      </c>
      <c r="ZB2" s="5">
        <f>IFERROR(VLOOKUP(ZB$1,'Working Capital Pesos'!$B$16:$C$18,2,FALSE),0%)</f>
        <v>0</v>
      </c>
      <c r="ZC2" s="5">
        <f>IFERROR(VLOOKUP(ZC$1,'Working Capital Pesos'!$B$16:$C$18,2,FALSE),0%)</f>
        <v>0</v>
      </c>
      <c r="ZD2" s="5">
        <f>IFERROR(VLOOKUP(ZD$1,'Working Capital Pesos'!$B$16:$C$18,2,FALSE),0%)</f>
        <v>0</v>
      </c>
      <c r="ZE2" s="5">
        <f>IFERROR(VLOOKUP(ZE$1,'Working Capital Pesos'!$B$16:$C$18,2,FALSE),0%)</f>
        <v>0</v>
      </c>
      <c r="ZF2" s="5">
        <f>IFERROR(VLOOKUP(ZF$1,'Working Capital Pesos'!$B$16:$C$18,2,FALSE),0%)</f>
        <v>0</v>
      </c>
      <c r="ZG2" s="5">
        <f>IFERROR(VLOOKUP(ZG$1,'Working Capital Pesos'!$B$16:$C$18,2,FALSE),0%)</f>
        <v>0</v>
      </c>
      <c r="ZH2" s="5">
        <f>IFERROR(VLOOKUP(ZH$1,'Working Capital Pesos'!$B$16:$C$18,2,FALSE),0%)</f>
        <v>0</v>
      </c>
      <c r="ZI2" s="5">
        <f>IFERROR(VLOOKUP(ZI$1,'Working Capital Pesos'!$B$16:$C$18,2,FALSE),0%)</f>
        <v>0</v>
      </c>
      <c r="ZJ2" s="5">
        <f>IFERROR(VLOOKUP(ZJ$1,'Working Capital Pesos'!$B$16:$C$18,2,FALSE),0%)</f>
        <v>0</v>
      </c>
      <c r="ZK2" s="5">
        <f>IFERROR(VLOOKUP(ZK$1,'Working Capital Pesos'!$B$16:$C$18,2,FALSE),0%)</f>
        <v>0</v>
      </c>
      <c r="ZL2" s="5">
        <f>IFERROR(VLOOKUP(ZL$1,'Working Capital Pesos'!$B$16:$C$18,2,FALSE),0%)</f>
        <v>0</v>
      </c>
      <c r="ZM2" s="5">
        <f>IFERROR(VLOOKUP(ZM$1,'Working Capital Pesos'!$B$16:$C$18,2,FALSE),0%)</f>
        <v>0</v>
      </c>
      <c r="ZN2" s="5">
        <f>IFERROR(VLOOKUP(ZN$1,'Working Capital Pesos'!$B$16:$C$18,2,FALSE),0%)</f>
        <v>0</v>
      </c>
      <c r="ZO2" s="5">
        <f>IFERROR(VLOOKUP(ZO$1,'Working Capital Pesos'!$B$16:$C$18,2,FALSE),0%)</f>
        <v>0</v>
      </c>
      <c r="ZP2" s="5">
        <f>IFERROR(VLOOKUP(ZP$1,'Working Capital Pesos'!$B$16:$C$18,2,FALSE),0%)</f>
        <v>0</v>
      </c>
      <c r="ZQ2" s="5">
        <f>IFERROR(VLOOKUP(ZQ$1,'Working Capital Pesos'!$B$16:$C$18,2,FALSE),0%)</f>
        <v>0</v>
      </c>
      <c r="ZR2" s="5">
        <f>IFERROR(VLOOKUP(ZR$1,'Working Capital Pesos'!$B$16:$C$18,2,FALSE),0%)</f>
        <v>0</v>
      </c>
      <c r="ZS2" s="5">
        <f>IFERROR(VLOOKUP(ZS$1,'Working Capital Pesos'!$B$16:$C$18,2,FALSE),0%)</f>
        <v>0</v>
      </c>
      <c r="ZT2" s="5">
        <f>IFERROR(VLOOKUP(ZT$1,'Working Capital Pesos'!$B$16:$C$18,2,FALSE),0%)</f>
        <v>0</v>
      </c>
      <c r="ZU2" s="5">
        <f>IFERROR(VLOOKUP(ZU$1,'Working Capital Pesos'!$B$16:$C$18,2,FALSE),0%)</f>
        <v>0</v>
      </c>
      <c r="ZV2" s="5">
        <f>IFERROR(VLOOKUP(ZV$1,'Working Capital Pesos'!$B$16:$C$18,2,FALSE),0%)</f>
        <v>0</v>
      </c>
      <c r="ZW2" s="5">
        <f>IFERROR(VLOOKUP(ZW$1,'Working Capital Pesos'!$B$16:$C$18,2,FALSE),0%)</f>
        <v>0</v>
      </c>
      <c r="ZX2" s="5">
        <f>IFERROR(VLOOKUP(ZX$1,'Working Capital Pesos'!$B$16:$C$18,2,FALSE),0%)</f>
        <v>0</v>
      </c>
      <c r="ZY2" s="5">
        <f>IFERROR(VLOOKUP(ZY$1,'Working Capital Pesos'!$B$16:$C$18,2,FALSE),0%)</f>
        <v>0</v>
      </c>
      <c r="ZZ2" s="5">
        <f>IFERROR(VLOOKUP(ZZ$1,'Working Capital Pesos'!$B$16:$C$18,2,FALSE),0%)</f>
        <v>0</v>
      </c>
      <c r="AAA2" s="5">
        <f>IFERROR(VLOOKUP(AAA$1,'Working Capital Pesos'!$B$16:$C$18,2,FALSE),0%)</f>
        <v>0</v>
      </c>
      <c r="AAB2" s="5">
        <f>IFERROR(VLOOKUP(AAB$1,'Working Capital Pesos'!$B$16:$C$18,2,FALSE),0%)</f>
        <v>0</v>
      </c>
      <c r="AAC2" s="5">
        <f>IFERROR(VLOOKUP(AAC$1,'Working Capital Pesos'!$B$16:$C$18,2,FALSE),0%)</f>
        <v>0</v>
      </c>
      <c r="AAD2" s="5">
        <f>IFERROR(VLOOKUP(AAD$1,'Working Capital Pesos'!$B$16:$C$18,2,FALSE),0%)</f>
        <v>0</v>
      </c>
      <c r="AAE2" s="5">
        <f>IFERROR(VLOOKUP(AAE$1,'Working Capital Pesos'!$B$16:$C$18,2,FALSE),0%)</f>
        <v>0</v>
      </c>
      <c r="AAF2" s="5">
        <f>IFERROR(VLOOKUP(AAF$1,'Working Capital Pesos'!$B$16:$C$18,2,FALSE),0%)</f>
        <v>0</v>
      </c>
      <c r="AAG2" s="5">
        <f>IFERROR(VLOOKUP(AAG$1,'Working Capital Pesos'!$B$16:$C$18,2,FALSE),0%)</f>
        <v>0</v>
      </c>
      <c r="AAH2" s="5">
        <f>IFERROR(VLOOKUP(AAH$1,'Working Capital Pesos'!$B$16:$C$18,2,FALSE),0%)</f>
        <v>0</v>
      </c>
      <c r="AAI2" s="5">
        <f>IFERROR(VLOOKUP(AAI$1,'Working Capital Pesos'!$B$16:$C$18,2,FALSE),0%)</f>
        <v>0</v>
      </c>
      <c r="AAJ2" s="5">
        <f>IFERROR(VLOOKUP(AAJ$1,'Working Capital Pesos'!$B$16:$C$18,2,FALSE),0%)</f>
        <v>0</v>
      </c>
      <c r="AAK2" s="5">
        <f>IFERROR(VLOOKUP(AAK$1,'Working Capital Pesos'!$B$16:$C$18,2,FALSE),0%)</f>
        <v>0</v>
      </c>
      <c r="AAL2" s="5">
        <f>IFERROR(VLOOKUP(AAL$1,'Working Capital Pesos'!$B$16:$C$18,2,FALSE),0%)</f>
        <v>0</v>
      </c>
      <c r="AAM2" s="5">
        <f>IFERROR(VLOOKUP(AAM$1,'Working Capital Pesos'!$B$16:$C$18,2,FALSE),0%)</f>
        <v>0</v>
      </c>
      <c r="AAN2" s="5">
        <f>IFERROR(VLOOKUP(AAN$1,'Working Capital Pesos'!$B$16:$C$18,2,FALSE),0%)</f>
        <v>0</v>
      </c>
      <c r="AAO2" s="5">
        <f>IFERROR(VLOOKUP(AAO$1,'Working Capital Pesos'!$B$16:$C$18,2,FALSE),0%)</f>
        <v>0</v>
      </c>
      <c r="AAP2" s="5">
        <f>IFERROR(VLOOKUP(AAP$1,'Working Capital Pesos'!$B$16:$C$18,2,FALSE),0%)</f>
        <v>0</v>
      </c>
      <c r="AAQ2" s="5">
        <f>IFERROR(VLOOKUP(AAQ$1,'Working Capital Pesos'!$B$16:$C$18,2,FALSE),0%)</f>
        <v>0</v>
      </c>
      <c r="AAR2" s="5">
        <f>IFERROR(VLOOKUP(AAR$1,'Working Capital Pesos'!$B$16:$C$18,2,FALSE),0%)</f>
        <v>0</v>
      </c>
      <c r="AAS2" s="5">
        <f>IFERROR(VLOOKUP(AAS$1,'Working Capital Pesos'!$B$16:$C$18,2,FALSE),0%)</f>
        <v>0</v>
      </c>
      <c r="AAT2" s="5">
        <f>IFERROR(VLOOKUP(AAT$1,'Working Capital Pesos'!$B$16:$C$18,2,FALSE),0%)</f>
        <v>0</v>
      </c>
      <c r="AAU2" s="5">
        <f>IFERROR(VLOOKUP(AAU$1,'Working Capital Pesos'!$B$16:$C$18,2,FALSE),0%)</f>
        <v>0</v>
      </c>
      <c r="AAV2" s="5">
        <f>IFERROR(VLOOKUP(AAV$1,'Working Capital Pesos'!$B$16:$C$18,2,FALSE),0%)</f>
        <v>0</v>
      </c>
      <c r="AAW2" s="5">
        <f>IFERROR(VLOOKUP(AAW$1,'Working Capital Pesos'!$B$16:$C$18,2,FALSE),0%)</f>
        <v>0</v>
      </c>
      <c r="AAX2" s="5">
        <f>IFERROR(VLOOKUP(AAX$1,'Working Capital Pesos'!$B$16:$C$18,2,FALSE),0%)</f>
        <v>0</v>
      </c>
      <c r="AAY2" s="5">
        <f>IFERROR(VLOOKUP(AAY$1,'Working Capital Pesos'!$B$16:$C$18,2,FALSE),0%)</f>
        <v>0</v>
      </c>
      <c r="AAZ2" s="5">
        <f>IFERROR(VLOOKUP(AAZ$1,'Working Capital Pesos'!$B$16:$C$18,2,FALSE),0%)</f>
        <v>0</v>
      </c>
      <c r="ABA2" s="5">
        <f>IFERROR(VLOOKUP(ABA$1,'Working Capital Pesos'!$B$16:$C$18,2,FALSE),0%)</f>
        <v>0</v>
      </c>
      <c r="ABB2" s="5">
        <f>IFERROR(VLOOKUP(ABB$1,'Working Capital Pesos'!$B$16:$C$18,2,FALSE),0%)</f>
        <v>0</v>
      </c>
      <c r="ABC2" s="5">
        <f>IFERROR(VLOOKUP(ABC$1,'Working Capital Pesos'!$B$16:$C$18,2,FALSE),0%)</f>
        <v>0</v>
      </c>
      <c r="ABD2" s="5">
        <f>IFERROR(VLOOKUP(ABD$1,'Working Capital Pesos'!$B$16:$C$18,2,FALSE),0%)</f>
        <v>0</v>
      </c>
      <c r="ABE2" s="5">
        <f>IFERROR(VLOOKUP(ABE$1,'Working Capital Pesos'!$B$16:$C$18,2,FALSE),0%)</f>
        <v>0</v>
      </c>
      <c r="ABF2" s="5">
        <f>IFERROR(VLOOKUP(ABF$1,'Working Capital Pesos'!$B$16:$C$18,2,FALSE),0%)</f>
        <v>0</v>
      </c>
      <c r="ABG2" s="5">
        <f>IFERROR(VLOOKUP(ABG$1,'Working Capital Pesos'!$B$16:$C$18,2,FALSE),0%)</f>
        <v>0</v>
      </c>
      <c r="ABH2" s="5">
        <f>IFERROR(VLOOKUP(ABH$1,'Working Capital Pesos'!$B$16:$C$18,2,FALSE),0%)</f>
        <v>0</v>
      </c>
      <c r="ABI2" s="5">
        <f>IFERROR(VLOOKUP(ABI$1,'Working Capital Pesos'!$B$16:$C$18,2,FALSE),0%)</f>
        <v>0</v>
      </c>
      <c r="ABJ2" s="5">
        <f>IFERROR(VLOOKUP(ABJ$1,'Working Capital Pesos'!$B$16:$C$18,2,FALSE),0%)</f>
        <v>0</v>
      </c>
      <c r="ABK2" s="5">
        <f>IFERROR(VLOOKUP(ABK$1,'Working Capital Pesos'!$B$16:$C$18,2,FALSE),0%)</f>
        <v>0</v>
      </c>
      <c r="ABL2" s="5">
        <f>IFERROR(VLOOKUP(ABL$1,'Working Capital Pesos'!$B$16:$C$18,2,FALSE),0%)</f>
        <v>0</v>
      </c>
      <c r="ABM2" s="5">
        <f>IFERROR(VLOOKUP(ABM$1,'Working Capital Pesos'!$B$16:$C$18,2,FALSE),0%)</f>
        <v>0</v>
      </c>
      <c r="ABN2" s="5">
        <f>IFERROR(VLOOKUP(ABN$1,'Working Capital Pesos'!$B$16:$C$18,2,FALSE),0%)</f>
        <v>0</v>
      </c>
      <c r="ABO2" s="5">
        <f>IFERROR(VLOOKUP(ABO$1,'Working Capital Pesos'!$B$16:$C$18,2,FALSE),0%)</f>
        <v>0</v>
      </c>
      <c r="ABP2" s="5">
        <f>IFERROR(VLOOKUP(ABP$1,'Working Capital Pesos'!$B$16:$C$18,2,FALSE),0%)</f>
        <v>0</v>
      </c>
      <c r="ABQ2" s="5">
        <f>IFERROR(VLOOKUP(ABQ$1,'Working Capital Pesos'!$B$16:$C$18,2,FALSE),0%)</f>
        <v>0</v>
      </c>
      <c r="ABR2" s="5">
        <f>IFERROR(VLOOKUP(ABR$1,'Working Capital Pesos'!$B$16:$C$18,2,FALSE),0%)</f>
        <v>0</v>
      </c>
      <c r="ABS2" s="5">
        <f>IFERROR(VLOOKUP(ABS$1,'Working Capital Pesos'!$B$16:$C$18,2,FALSE),0%)</f>
        <v>0</v>
      </c>
      <c r="ABT2" s="5">
        <f>IFERROR(VLOOKUP(ABT$1,'Working Capital Pesos'!$B$16:$C$18,2,FALSE),0%)</f>
        <v>0</v>
      </c>
      <c r="ABU2" s="5">
        <f>IFERROR(VLOOKUP(ABU$1,'Working Capital Pesos'!$B$16:$C$18,2,FALSE),0%)</f>
        <v>0</v>
      </c>
      <c r="ABV2" s="5">
        <f>IFERROR(VLOOKUP(ABV$1,'Working Capital Pesos'!$B$16:$C$18,2,FALSE),0%)</f>
        <v>0</v>
      </c>
      <c r="ABW2" s="5">
        <f>IFERROR(VLOOKUP(ABW$1,'Working Capital Pesos'!$B$16:$C$18,2,FALSE),0%)</f>
        <v>0</v>
      </c>
      <c r="ABX2" s="5">
        <f>IFERROR(VLOOKUP(ABX$1,'Working Capital Pesos'!$B$16:$C$18,2,FALSE),0%)</f>
        <v>0</v>
      </c>
      <c r="ABY2" s="5">
        <f>IFERROR(VLOOKUP(ABY$1,'Working Capital Pesos'!$B$16:$C$18,2,FALSE),0%)</f>
        <v>0</v>
      </c>
      <c r="ABZ2" s="5">
        <f>IFERROR(VLOOKUP(ABZ$1,'Working Capital Pesos'!$B$16:$C$18,2,FALSE),0%)</f>
        <v>0</v>
      </c>
      <c r="ACA2" s="5">
        <f>IFERROR(VLOOKUP(ACA$1,'Working Capital Pesos'!$B$16:$C$18,2,FALSE),0%)</f>
        <v>0</v>
      </c>
      <c r="ACB2" s="5">
        <f>IFERROR(VLOOKUP(ACB$1,'Working Capital Pesos'!$B$16:$C$18,2,FALSE),0%)</f>
        <v>0</v>
      </c>
      <c r="ACC2" s="5">
        <f>IFERROR(VLOOKUP(ACC$1,'Working Capital Pesos'!$B$16:$C$18,2,FALSE),0%)</f>
        <v>0</v>
      </c>
      <c r="ACD2" s="5">
        <f>IFERROR(VLOOKUP(ACD$1,'Working Capital Pesos'!$B$16:$C$18,2,FALSE),0%)</f>
        <v>0</v>
      </c>
      <c r="ACE2" s="5">
        <f>IFERROR(VLOOKUP(ACE$1,'Working Capital Pesos'!$B$16:$C$18,2,FALSE),0%)</f>
        <v>0</v>
      </c>
      <c r="ACF2" s="5">
        <f>IFERROR(VLOOKUP(ACF$1,'Working Capital Pesos'!$B$16:$C$18,2,FALSE),0%)</f>
        <v>0</v>
      </c>
      <c r="ACG2" s="5">
        <f>IFERROR(VLOOKUP(ACG$1,'Working Capital Pesos'!$B$16:$C$18,2,FALSE),0%)</f>
        <v>0</v>
      </c>
      <c r="ACH2" s="5">
        <f>IFERROR(VLOOKUP(ACH$1,'Working Capital Pesos'!$B$16:$C$18,2,FALSE),0%)</f>
        <v>0</v>
      </c>
      <c r="ACI2" s="5">
        <f>IFERROR(VLOOKUP(ACI$1,'Working Capital Pesos'!$B$16:$C$18,2,FALSE),0%)</f>
        <v>0</v>
      </c>
      <c r="ACJ2" s="5">
        <f>IFERROR(VLOOKUP(ACJ$1,'Working Capital Pesos'!$B$16:$C$18,2,FALSE),0%)</f>
        <v>0</v>
      </c>
      <c r="ACK2" s="5">
        <f>IFERROR(VLOOKUP(ACK$1,'Working Capital Pesos'!$B$16:$C$18,2,FALSE),0%)</f>
        <v>0</v>
      </c>
      <c r="ACL2" s="5">
        <f>IFERROR(VLOOKUP(ACL$1,'Working Capital Pesos'!$B$16:$C$18,2,FALSE),0%)</f>
        <v>0</v>
      </c>
      <c r="ACM2" s="5">
        <f>IFERROR(VLOOKUP(ACM$1,'Working Capital Pesos'!$B$16:$C$18,2,FALSE),0%)</f>
        <v>0</v>
      </c>
      <c r="ACN2" s="5">
        <f>IFERROR(VLOOKUP(ACN$1,'Working Capital Pesos'!$B$16:$C$18,2,FALSE),0%)</f>
        <v>0</v>
      </c>
      <c r="ACO2" s="5">
        <f>IFERROR(VLOOKUP(ACO$1,'Working Capital Pesos'!$B$16:$C$18,2,FALSE),0%)</f>
        <v>0</v>
      </c>
      <c r="ACP2" s="5">
        <f>IFERROR(VLOOKUP(ACP$1,'Working Capital Pesos'!$B$16:$C$18,2,FALSE),0%)</f>
        <v>0</v>
      </c>
      <c r="ACQ2" s="5">
        <f>IFERROR(VLOOKUP(ACQ$1,'Working Capital Pesos'!$B$16:$C$18,2,FALSE),0%)</f>
        <v>0</v>
      </c>
      <c r="ACR2" s="5">
        <f>IFERROR(VLOOKUP(ACR$1,'Working Capital Pesos'!$B$16:$C$18,2,FALSE),0%)</f>
        <v>0</v>
      </c>
      <c r="ACS2" s="5">
        <f>IFERROR(VLOOKUP(ACS$1,'Working Capital Pesos'!$B$16:$C$18,2,FALSE),0%)</f>
        <v>0</v>
      </c>
      <c r="ACT2" s="5">
        <f>IFERROR(VLOOKUP(ACT$1,'Working Capital Pesos'!$B$16:$C$18,2,FALSE),0%)</f>
        <v>0</v>
      </c>
      <c r="ACU2" s="5">
        <f>IFERROR(VLOOKUP(ACU$1,'Working Capital Pesos'!$B$16:$C$18,2,FALSE),0%)</f>
        <v>0</v>
      </c>
      <c r="ACV2" s="5">
        <f>IFERROR(VLOOKUP(ACV$1,'Working Capital Pesos'!$B$16:$C$18,2,FALSE),0%)</f>
        <v>0</v>
      </c>
      <c r="ACW2" s="5">
        <f>IFERROR(VLOOKUP(ACW$1,'Working Capital Pesos'!$B$16:$C$18,2,FALSE),0%)</f>
        <v>0</v>
      </c>
      <c r="ACX2" s="5">
        <f>IFERROR(VLOOKUP(ACX$1,'Working Capital Pesos'!$B$16:$C$18,2,FALSE),0%)</f>
        <v>0</v>
      </c>
      <c r="ACY2" s="5">
        <f>IFERROR(VLOOKUP(ACY$1,'Working Capital Pesos'!$B$16:$C$18,2,FALSE),0%)</f>
        <v>0</v>
      </c>
      <c r="ACZ2" s="5">
        <f>IFERROR(VLOOKUP(ACZ$1,'Working Capital Pesos'!$B$16:$C$18,2,FALSE),0%)</f>
        <v>0</v>
      </c>
      <c r="ADA2" s="5">
        <f>IFERROR(VLOOKUP(ADA$1,'Working Capital Pesos'!$B$16:$C$18,2,FALSE),0%)</f>
        <v>0</v>
      </c>
      <c r="ADB2" s="5">
        <f>IFERROR(VLOOKUP(ADB$1,'Working Capital Pesos'!$B$16:$C$18,2,FALSE),0%)</f>
        <v>0</v>
      </c>
      <c r="ADC2" s="5">
        <f>IFERROR(VLOOKUP(ADC$1,'Working Capital Pesos'!$B$16:$C$18,2,FALSE),0%)</f>
        <v>0</v>
      </c>
      <c r="ADD2" s="5">
        <f>IFERROR(VLOOKUP(ADD$1,'Working Capital Pesos'!$B$16:$C$18,2,FALSE),0%)</f>
        <v>0</v>
      </c>
      <c r="ADE2" s="5">
        <f>IFERROR(VLOOKUP(ADE$1,'Working Capital Pesos'!$B$16:$C$18,2,FALSE),0%)</f>
        <v>0</v>
      </c>
      <c r="ADF2" s="5">
        <f>IFERROR(VLOOKUP(ADF$1,'Working Capital Pesos'!$B$16:$C$18,2,FALSE),0%)</f>
        <v>0</v>
      </c>
      <c r="ADG2" s="5">
        <f>IFERROR(VLOOKUP(ADG$1,'Working Capital Pesos'!$B$16:$C$18,2,FALSE),0%)</f>
        <v>0</v>
      </c>
      <c r="ADH2" s="5">
        <f>IFERROR(VLOOKUP(ADH$1,'Working Capital Pesos'!$B$16:$C$18,2,FALSE),0%)</f>
        <v>0</v>
      </c>
      <c r="ADI2" s="5">
        <f>IFERROR(VLOOKUP(ADI$1,'Working Capital Pesos'!$B$16:$C$18,2,FALSE),0%)</f>
        <v>0</v>
      </c>
      <c r="ADJ2" s="5">
        <f>IFERROR(VLOOKUP(ADJ$1,'Working Capital Pesos'!$B$16:$C$18,2,FALSE),0%)</f>
        <v>0</v>
      </c>
      <c r="ADK2" s="5">
        <f>IFERROR(VLOOKUP(ADK$1,'Working Capital Pesos'!$B$16:$C$18,2,FALSE),0%)</f>
        <v>0</v>
      </c>
      <c r="ADL2" s="5">
        <f>IFERROR(VLOOKUP(ADL$1,'Working Capital Pesos'!$B$16:$C$18,2,FALSE),0%)</f>
        <v>0</v>
      </c>
      <c r="ADM2" s="5">
        <f>IFERROR(VLOOKUP(ADM$1,'Working Capital Pesos'!$B$16:$C$18,2,FALSE),0%)</f>
        <v>0</v>
      </c>
      <c r="ADN2" s="5">
        <f>IFERROR(VLOOKUP(ADN$1,'Working Capital Pesos'!$B$16:$C$18,2,FALSE),0%)</f>
        <v>0</v>
      </c>
      <c r="ADO2" s="5">
        <f>IFERROR(VLOOKUP(ADO$1,'Working Capital Pesos'!$B$16:$C$18,2,FALSE),0%)</f>
        <v>0</v>
      </c>
      <c r="ADP2" s="5">
        <f>IFERROR(VLOOKUP(ADP$1,'Working Capital Pesos'!$B$16:$C$18,2,FALSE),0%)</f>
        <v>0</v>
      </c>
      <c r="ADQ2" s="5">
        <f>IFERROR(VLOOKUP(ADQ$1,'Working Capital Pesos'!$B$16:$C$18,2,FALSE),0%)</f>
        <v>0</v>
      </c>
      <c r="ADR2" s="5">
        <f>IFERROR(VLOOKUP(ADR$1,'Working Capital Pesos'!$B$16:$C$18,2,FALSE),0%)</f>
        <v>0</v>
      </c>
      <c r="ADS2" s="5">
        <f>IFERROR(VLOOKUP(ADS$1,'Working Capital Pesos'!$B$16:$C$18,2,FALSE),0%)</f>
        <v>0</v>
      </c>
      <c r="ADT2" s="5">
        <f>IFERROR(VLOOKUP(ADT$1,'Working Capital Pesos'!$B$16:$C$18,2,FALSE),0%)</f>
        <v>0</v>
      </c>
      <c r="ADU2" s="5">
        <f>IFERROR(VLOOKUP(ADU$1,'Working Capital Pesos'!$B$16:$C$18,2,FALSE),0%)</f>
        <v>0</v>
      </c>
      <c r="ADV2" s="5">
        <f>IFERROR(VLOOKUP(ADV$1,'Working Capital Pesos'!$B$16:$C$18,2,FALSE),0%)</f>
        <v>0</v>
      </c>
      <c r="ADW2" s="5">
        <f>IFERROR(VLOOKUP(ADW$1,'Working Capital Pesos'!$B$16:$C$18,2,FALSE),0%)</f>
        <v>0</v>
      </c>
      <c r="ADX2" s="5">
        <f>IFERROR(VLOOKUP(ADX$1,'Working Capital Pesos'!$B$16:$C$18,2,FALSE),0%)</f>
        <v>0</v>
      </c>
      <c r="ADY2" s="5">
        <f>IFERROR(VLOOKUP(ADY$1,'Working Capital Pesos'!$B$16:$C$18,2,FALSE),0%)</f>
        <v>0</v>
      </c>
      <c r="ADZ2" s="5">
        <f>IFERROR(VLOOKUP(ADZ$1,'Working Capital Pesos'!$B$16:$C$18,2,FALSE),0%)</f>
        <v>0</v>
      </c>
      <c r="AEA2" s="5">
        <f>IFERROR(VLOOKUP(AEA$1,'Working Capital Pesos'!$B$16:$C$18,2,FALSE),0%)</f>
        <v>0</v>
      </c>
      <c r="AEB2" s="5">
        <f>IFERROR(VLOOKUP(AEB$1,'Working Capital Pesos'!$B$16:$C$18,2,FALSE),0%)</f>
        <v>0</v>
      </c>
      <c r="AEC2" s="5">
        <f>IFERROR(VLOOKUP(AEC$1,'Working Capital Pesos'!$B$16:$C$18,2,FALSE),0%)</f>
        <v>0</v>
      </c>
      <c r="AED2" s="5">
        <f>IFERROR(VLOOKUP(AED$1,'Working Capital Pesos'!$B$16:$C$18,2,FALSE),0%)</f>
        <v>0</v>
      </c>
      <c r="AEE2" s="5">
        <f>IFERROR(VLOOKUP(AEE$1,'Working Capital Pesos'!$B$16:$C$18,2,FALSE),0%)</f>
        <v>0</v>
      </c>
      <c r="AEF2" s="5">
        <f>IFERROR(VLOOKUP(AEF$1,'Working Capital Pesos'!$B$16:$C$18,2,FALSE),0%)</f>
        <v>0</v>
      </c>
      <c r="AEG2" s="5">
        <f>IFERROR(VLOOKUP(AEG$1,'Working Capital Pesos'!$B$16:$C$18,2,FALSE),0%)</f>
        <v>0</v>
      </c>
      <c r="AEH2" s="5">
        <f>IFERROR(VLOOKUP(AEH$1,'Working Capital Pesos'!$B$16:$C$18,2,FALSE),0%)</f>
        <v>0</v>
      </c>
      <c r="AEI2" s="5">
        <f>IFERROR(VLOOKUP(AEI$1,'Working Capital Pesos'!$B$16:$C$18,2,FALSE),0%)</f>
        <v>0</v>
      </c>
      <c r="AEJ2" s="5">
        <f>IFERROR(VLOOKUP(AEJ$1,'Working Capital Pesos'!$B$16:$C$18,2,FALSE),0%)</f>
        <v>0</v>
      </c>
      <c r="AEK2" s="5">
        <f>IFERROR(VLOOKUP(AEK$1,'Working Capital Pesos'!$B$16:$C$18,2,FALSE),0%)</f>
        <v>0</v>
      </c>
      <c r="AEL2" s="5">
        <f>IFERROR(VLOOKUP(AEL$1,'Working Capital Pesos'!$B$16:$C$18,2,FALSE),0%)</f>
        <v>0</v>
      </c>
      <c r="AEM2" s="5">
        <f>IFERROR(VLOOKUP(AEM$1,'Working Capital Pesos'!$B$16:$C$18,2,FALSE),0%)</f>
        <v>0</v>
      </c>
      <c r="AEN2" s="5">
        <f>IFERROR(VLOOKUP(AEN$1,'Working Capital Pesos'!$B$16:$C$18,2,FALSE),0%)</f>
        <v>0</v>
      </c>
      <c r="AEO2" s="5">
        <f>IFERROR(VLOOKUP(AEO$1,'Working Capital Pesos'!$B$16:$C$18,2,FALSE),0%)</f>
        <v>0</v>
      </c>
      <c r="AEP2" s="5">
        <f>IFERROR(VLOOKUP(AEP$1,'Working Capital Pesos'!$B$16:$C$18,2,FALSE),0%)</f>
        <v>0</v>
      </c>
      <c r="AEQ2" s="5">
        <f>IFERROR(VLOOKUP(AEQ$1,'Working Capital Pesos'!$B$16:$C$18,2,FALSE),0%)</f>
        <v>0</v>
      </c>
      <c r="AER2" s="5">
        <f>IFERROR(VLOOKUP(AER$1,'Working Capital Pesos'!$B$16:$C$18,2,FALSE),0%)</f>
        <v>0</v>
      </c>
      <c r="AES2" s="5">
        <f>IFERROR(VLOOKUP(AES$1,'Working Capital Pesos'!$B$16:$C$18,2,FALSE),0%)</f>
        <v>0</v>
      </c>
      <c r="AET2" s="5">
        <f>IFERROR(VLOOKUP(AET$1,'Working Capital Pesos'!$B$16:$C$18,2,FALSE),0%)</f>
        <v>0</v>
      </c>
      <c r="AEU2" s="5">
        <f>IFERROR(VLOOKUP(AEU$1,'Working Capital Pesos'!$B$16:$C$18,2,FALSE),0%)</f>
        <v>0</v>
      </c>
      <c r="AEV2" s="5">
        <f>IFERROR(VLOOKUP(AEV$1,'Working Capital Pesos'!$B$16:$C$18,2,FALSE),0%)</f>
        <v>0</v>
      </c>
      <c r="AEW2" s="5">
        <f>IFERROR(VLOOKUP(AEW$1,'Working Capital Pesos'!$B$16:$C$18,2,FALSE),0%)</f>
        <v>0</v>
      </c>
      <c r="AEX2" s="5">
        <f>IFERROR(VLOOKUP(AEX$1,'Working Capital Pesos'!$B$16:$C$18,2,FALSE),0%)</f>
        <v>0</v>
      </c>
      <c r="AEY2" s="5">
        <f>IFERROR(VLOOKUP(AEY$1,'Working Capital Pesos'!$B$16:$C$18,2,FALSE),0%)</f>
        <v>0</v>
      </c>
      <c r="AEZ2" s="5">
        <f>IFERROR(VLOOKUP(AEZ$1,'Working Capital Pesos'!$B$16:$C$18,2,FALSE),0%)</f>
        <v>0</v>
      </c>
      <c r="AFA2" s="5">
        <f>IFERROR(VLOOKUP(AFA$1,'Working Capital Pesos'!$B$16:$C$18,2,FALSE),0%)</f>
        <v>0</v>
      </c>
      <c r="AFB2" s="5">
        <f>IFERROR(VLOOKUP(AFB$1,'Working Capital Pesos'!$B$16:$C$18,2,FALSE),0%)</f>
        <v>0</v>
      </c>
      <c r="AFC2" s="5">
        <f>IFERROR(VLOOKUP(AFC$1,'Working Capital Pesos'!$B$16:$C$18,2,FALSE),0%)</f>
        <v>0</v>
      </c>
      <c r="AFD2" s="5">
        <f>IFERROR(VLOOKUP(AFD$1,'Working Capital Pesos'!$B$16:$C$18,2,FALSE),0%)</f>
        <v>0</v>
      </c>
      <c r="AFE2" s="5">
        <f>IFERROR(VLOOKUP(AFE$1,'Working Capital Pesos'!$B$16:$C$18,2,FALSE),0%)</f>
        <v>0</v>
      </c>
      <c r="AFF2" s="5">
        <f>IFERROR(VLOOKUP(AFF$1,'Working Capital Pesos'!$B$16:$C$18,2,FALSE),0%)</f>
        <v>0</v>
      </c>
      <c r="AFG2" s="5">
        <f>IFERROR(VLOOKUP(AFG$1,'Working Capital Pesos'!$B$16:$C$18,2,FALSE),0%)</f>
        <v>0</v>
      </c>
      <c r="AFH2" s="5">
        <f>IFERROR(VLOOKUP(AFH$1,'Working Capital Pesos'!$B$16:$C$18,2,FALSE),0%)</f>
        <v>0</v>
      </c>
      <c r="AFI2" s="5">
        <f>IFERROR(VLOOKUP(AFI$1,'Working Capital Pesos'!$B$16:$C$18,2,FALSE),0%)</f>
        <v>0</v>
      </c>
      <c r="AFJ2" s="5">
        <f>IFERROR(VLOOKUP(AFJ$1,'Working Capital Pesos'!$B$16:$C$18,2,FALSE),0%)</f>
        <v>0</v>
      </c>
      <c r="AFK2" s="5">
        <f>IFERROR(VLOOKUP(AFK$1,'Working Capital Pesos'!$B$16:$C$18,2,FALSE),0%)</f>
        <v>0</v>
      </c>
      <c r="AFL2" s="5">
        <f>IFERROR(VLOOKUP(AFL$1,'Working Capital Pesos'!$B$16:$C$18,2,FALSE),0%)</f>
        <v>0</v>
      </c>
      <c r="AFM2" s="5">
        <f>IFERROR(VLOOKUP(AFM$1,'Working Capital Pesos'!$B$16:$C$18,2,FALSE),0%)</f>
        <v>0</v>
      </c>
      <c r="AFN2" s="5">
        <f>IFERROR(VLOOKUP(AFN$1,'Working Capital Pesos'!$B$16:$C$18,2,FALSE),0%)</f>
        <v>0</v>
      </c>
      <c r="AFO2" s="5">
        <f>IFERROR(VLOOKUP(AFO$1,'Working Capital Pesos'!$B$16:$C$18,2,FALSE),0%)</f>
        <v>0</v>
      </c>
      <c r="AFP2" s="5">
        <f>IFERROR(VLOOKUP(AFP$1,'Working Capital Pesos'!$B$16:$C$18,2,FALSE),0%)</f>
        <v>0</v>
      </c>
      <c r="AFQ2" s="5">
        <f>IFERROR(VLOOKUP(AFQ$1,'Working Capital Pesos'!$B$16:$C$18,2,FALSE),0%)</f>
        <v>0</v>
      </c>
      <c r="AFR2" s="5">
        <f>IFERROR(VLOOKUP(AFR$1,'Working Capital Pesos'!$B$16:$C$18,2,FALSE),0%)</f>
        <v>0</v>
      </c>
      <c r="AFS2" s="5">
        <f>IFERROR(VLOOKUP(AFS$1,'Working Capital Pesos'!$B$16:$C$18,2,FALSE),0%)</f>
        <v>0</v>
      </c>
      <c r="AFT2" s="5">
        <f>IFERROR(VLOOKUP(AFT$1,'Working Capital Pesos'!$B$16:$C$18,2,FALSE),0%)</f>
        <v>0</v>
      </c>
      <c r="AFU2" s="5">
        <f>IFERROR(VLOOKUP(AFU$1,'Working Capital Pesos'!$B$16:$C$18,2,FALSE),0%)</f>
        <v>0</v>
      </c>
      <c r="AFV2" s="5">
        <f>IFERROR(VLOOKUP(AFV$1,'Working Capital Pesos'!$B$16:$C$18,2,FALSE),0%)</f>
        <v>0</v>
      </c>
      <c r="AFW2" s="5">
        <f>IFERROR(VLOOKUP(AFW$1,'Working Capital Pesos'!$B$16:$C$18,2,FALSE),0%)</f>
        <v>0</v>
      </c>
      <c r="AFX2" s="5">
        <f>IFERROR(VLOOKUP(AFX$1,'Working Capital Pesos'!$B$16:$C$18,2,FALSE),0%)</f>
        <v>0</v>
      </c>
      <c r="AFY2" s="5">
        <f>IFERROR(VLOOKUP(AFY$1,'Working Capital Pesos'!$B$16:$C$18,2,FALSE),0%)</f>
        <v>0</v>
      </c>
      <c r="AFZ2" s="5">
        <f>IFERROR(VLOOKUP(AFZ$1,'Working Capital Pesos'!$B$16:$C$18,2,FALSE),0%)</f>
        <v>0</v>
      </c>
      <c r="AGA2" s="5">
        <f>IFERROR(VLOOKUP(AGA$1,'Working Capital Pesos'!$B$16:$C$18,2,FALSE),0%)</f>
        <v>0</v>
      </c>
      <c r="AGB2" s="5">
        <f>IFERROR(VLOOKUP(AGB$1,'Working Capital Pesos'!$B$16:$C$18,2,FALSE),0%)</f>
        <v>0</v>
      </c>
      <c r="AGC2" s="5">
        <f>IFERROR(VLOOKUP(AGC$1,'Working Capital Pesos'!$B$16:$C$18,2,FALSE),0%)</f>
        <v>0</v>
      </c>
      <c r="AGD2" s="5">
        <f>IFERROR(VLOOKUP(AGD$1,'Working Capital Pesos'!$B$16:$C$18,2,FALSE),0%)</f>
        <v>0</v>
      </c>
      <c r="AGE2" s="5">
        <f>IFERROR(VLOOKUP(AGE$1,'Working Capital Pesos'!$B$16:$C$18,2,FALSE),0%)</f>
        <v>0</v>
      </c>
      <c r="AGF2" s="5">
        <f>IFERROR(VLOOKUP(AGF$1,'Working Capital Pesos'!$B$16:$C$18,2,FALSE),0%)</f>
        <v>0</v>
      </c>
      <c r="AGG2" s="5">
        <f>IFERROR(VLOOKUP(AGG$1,'Working Capital Pesos'!$B$16:$C$18,2,FALSE),0%)</f>
        <v>0</v>
      </c>
      <c r="AGH2" s="5">
        <f>IFERROR(VLOOKUP(AGH$1,'Working Capital Pesos'!$B$16:$C$18,2,FALSE),0%)</f>
        <v>0</v>
      </c>
      <c r="AGI2" s="5">
        <f>IFERROR(VLOOKUP(AGI$1,'Working Capital Pesos'!$B$16:$C$18,2,FALSE),0%)</f>
        <v>0</v>
      </c>
      <c r="AGJ2" s="5">
        <f>IFERROR(VLOOKUP(AGJ$1,'Working Capital Pesos'!$B$16:$C$18,2,FALSE),0%)</f>
        <v>0</v>
      </c>
      <c r="AGK2" s="5">
        <f>IFERROR(VLOOKUP(AGK$1,'Working Capital Pesos'!$B$16:$C$18,2,FALSE),0%)</f>
        <v>0</v>
      </c>
      <c r="AGL2" s="5">
        <f>IFERROR(VLOOKUP(AGL$1,'Working Capital Pesos'!$B$16:$C$18,2,FALSE),0%)</f>
        <v>0</v>
      </c>
      <c r="AGM2" s="5">
        <f>IFERROR(VLOOKUP(AGM$1,'Working Capital Pesos'!$B$16:$C$18,2,FALSE),0%)</f>
        <v>0</v>
      </c>
      <c r="AGN2" s="5">
        <f>IFERROR(VLOOKUP(AGN$1,'Working Capital Pesos'!$B$16:$C$18,2,FALSE),0%)</f>
        <v>0</v>
      </c>
      <c r="AGO2" s="5">
        <f>IFERROR(VLOOKUP(AGO$1,'Working Capital Pesos'!$B$16:$C$18,2,FALSE),0%)</f>
        <v>0</v>
      </c>
      <c r="AGP2" s="5">
        <f>IFERROR(VLOOKUP(AGP$1,'Working Capital Pesos'!$B$16:$C$18,2,FALSE),0%)</f>
        <v>0</v>
      </c>
      <c r="AGQ2" s="5">
        <f>IFERROR(VLOOKUP(AGQ$1,'Working Capital Pesos'!$B$16:$C$18,2,FALSE),0%)</f>
        <v>0</v>
      </c>
      <c r="AGR2" s="5">
        <f>IFERROR(VLOOKUP(AGR$1,'Working Capital Pesos'!$B$16:$C$18,2,FALSE),0%)</f>
        <v>0</v>
      </c>
      <c r="AGS2" s="5">
        <f>IFERROR(VLOOKUP(AGS$1,'Working Capital Pesos'!$B$16:$C$18,2,FALSE),0%)</f>
        <v>0</v>
      </c>
      <c r="AGT2" s="5">
        <f>IFERROR(VLOOKUP(AGT$1,'Working Capital Pesos'!$B$16:$C$18,2,FALSE),0%)</f>
        <v>0</v>
      </c>
      <c r="AGU2" s="5">
        <f>IFERROR(VLOOKUP(AGU$1,'Working Capital Pesos'!$B$16:$C$18,2,FALSE),0%)</f>
        <v>0</v>
      </c>
      <c r="AGV2" s="5">
        <f>IFERROR(VLOOKUP(AGV$1,'Working Capital Pesos'!$B$16:$C$18,2,FALSE),0%)</f>
        <v>0</v>
      </c>
      <c r="AGW2" s="5">
        <f>IFERROR(VLOOKUP(AGW$1,'Working Capital Pesos'!$B$16:$C$18,2,FALSE),0%)</f>
        <v>0</v>
      </c>
      <c r="AGX2" s="5">
        <f>IFERROR(VLOOKUP(AGX$1,'Working Capital Pesos'!$B$16:$C$18,2,FALSE),0%)</f>
        <v>0</v>
      </c>
      <c r="AGY2" s="5">
        <f>IFERROR(VLOOKUP(AGY$1,'Working Capital Pesos'!$B$16:$C$18,2,FALSE),0%)</f>
        <v>0</v>
      </c>
      <c r="AGZ2" s="5">
        <f>IFERROR(VLOOKUP(AGZ$1,'Working Capital Pesos'!$B$16:$C$18,2,FALSE),0%)</f>
        <v>0</v>
      </c>
      <c r="AHA2" s="5">
        <f>IFERROR(VLOOKUP(AHA$1,'Working Capital Pesos'!$B$16:$C$18,2,FALSE),0%)</f>
        <v>0</v>
      </c>
      <c r="AHB2" s="5">
        <f>IFERROR(VLOOKUP(AHB$1,'Working Capital Pesos'!$B$16:$C$18,2,FALSE),0%)</f>
        <v>0</v>
      </c>
      <c r="AHC2" s="5">
        <f>IFERROR(VLOOKUP(AHC$1,'Working Capital Pesos'!$B$16:$C$18,2,FALSE),0%)</f>
        <v>0</v>
      </c>
      <c r="AHD2" s="5">
        <f>IFERROR(VLOOKUP(AHD$1,'Working Capital Pesos'!$B$16:$C$18,2,FALSE),0%)</f>
        <v>0</v>
      </c>
      <c r="AHE2" s="5">
        <f>IFERROR(VLOOKUP(AHE$1,'Working Capital Pesos'!$B$16:$C$18,2,FALSE),0%)</f>
        <v>0</v>
      </c>
      <c r="AHF2" s="5">
        <f>IFERROR(VLOOKUP(AHF$1,'Working Capital Pesos'!$B$16:$C$18,2,FALSE),0%)</f>
        <v>0</v>
      </c>
      <c r="AHG2" s="5">
        <f>IFERROR(VLOOKUP(AHG$1,'Working Capital Pesos'!$B$16:$C$18,2,FALSE),0%)</f>
        <v>0</v>
      </c>
      <c r="AHH2" s="5">
        <f>IFERROR(VLOOKUP(AHH$1,'Working Capital Pesos'!$B$16:$C$18,2,FALSE),0%)</f>
        <v>0</v>
      </c>
      <c r="AHI2" s="5">
        <f>IFERROR(VLOOKUP(AHI$1,'Working Capital Pesos'!$B$16:$C$18,2,FALSE),0%)</f>
        <v>0</v>
      </c>
      <c r="AHJ2" s="5">
        <f>IFERROR(VLOOKUP(AHJ$1,'Working Capital Pesos'!$B$16:$C$18,2,FALSE),0%)</f>
        <v>0</v>
      </c>
      <c r="AHK2" s="5">
        <f>IFERROR(VLOOKUP(AHK$1,'Working Capital Pesos'!$B$16:$C$18,2,FALSE),0%)</f>
        <v>0</v>
      </c>
      <c r="AHL2" s="5">
        <f>IFERROR(VLOOKUP(AHL$1,'Working Capital Pesos'!$B$16:$C$18,2,FALSE),0%)</f>
        <v>0</v>
      </c>
      <c r="AHM2" s="5">
        <f>IFERROR(VLOOKUP(AHM$1,'Working Capital Pesos'!$B$16:$C$18,2,FALSE),0%)</f>
        <v>0</v>
      </c>
      <c r="AHN2" s="5">
        <f>IFERROR(VLOOKUP(AHN$1,'Working Capital Pesos'!$B$16:$C$18,2,FALSE),0%)</f>
        <v>0</v>
      </c>
      <c r="AHO2" s="5">
        <f>IFERROR(VLOOKUP(AHO$1,'Working Capital Pesos'!$B$16:$C$18,2,FALSE),0%)</f>
        <v>0</v>
      </c>
      <c r="AHP2" s="5">
        <f>IFERROR(VLOOKUP(AHP$1,'Working Capital Pesos'!$B$16:$C$18,2,FALSE),0%)</f>
        <v>0</v>
      </c>
      <c r="AHQ2" s="5">
        <f>IFERROR(VLOOKUP(AHQ$1,'Working Capital Pesos'!$B$16:$C$18,2,FALSE),0%)</f>
        <v>0</v>
      </c>
      <c r="AHR2" s="5">
        <f>IFERROR(VLOOKUP(AHR$1,'Working Capital Pesos'!$B$16:$C$18,2,FALSE),0%)</f>
        <v>0</v>
      </c>
      <c r="AHS2" s="5">
        <f>IFERROR(VLOOKUP(AHS$1,'Working Capital Pesos'!$B$16:$C$18,2,FALSE),0%)</f>
        <v>0</v>
      </c>
      <c r="AHT2" s="5">
        <f>IFERROR(VLOOKUP(AHT$1,'Working Capital Pesos'!$B$16:$C$18,2,FALSE),0%)</f>
        <v>0</v>
      </c>
      <c r="AHU2" s="5">
        <f>IFERROR(VLOOKUP(AHU$1,'Working Capital Pesos'!$B$16:$C$18,2,FALSE),0%)</f>
        <v>0</v>
      </c>
      <c r="AHV2" s="5">
        <f>IFERROR(VLOOKUP(AHV$1,'Working Capital Pesos'!$B$16:$C$18,2,FALSE),0%)</f>
        <v>0</v>
      </c>
      <c r="AHW2" s="5">
        <f>IFERROR(VLOOKUP(AHW$1,'Working Capital Pesos'!$B$16:$C$18,2,FALSE),0%)</f>
        <v>0</v>
      </c>
      <c r="AHX2" s="5">
        <f>IFERROR(VLOOKUP(AHX$1,'Working Capital Pesos'!$B$16:$C$18,2,FALSE),0%)</f>
        <v>0</v>
      </c>
      <c r="AHY2" s="5">
        <f>IFERROR(VLOOKUP(AHY$1,'Working Capital Pesos'!$B$16:$C$18,2,FALSE),0%)</f>
        <v>0</v>
      </c>
      <c r="AHZ2" s="5">
        <f>IFERROR(VLOOKUP(AHZ$1,'Working Capital Pesos'!$B$16:$C$18,2,FALSE),0%)</f>
        <v>0</v>
      </c>
      <c r="AIA2" s="5">
        <f>IFERROR(VLOOKUP(AIA$1,'Working Capital Pesos'!$B$16:$C$18,2,FALSE),0%)</f>
        <v>0</v>
      </c>
      <c r="AIB2" s="5">
        <f>IFERROR(VLOOKUP(AIB$1,'Working Capital Pesos'!$B$16:$C$18,2,FALSE),0%)</f>
        <v>0</v>
      </c>
      <c r="AIC2" s="5">
        <f>IFERROR(VLOOKUP(AIC$1,'Working Capital Pesos'!$B$16:$C$18,2,FALSE),0%)</f>
        <v>0</v>
      </c>
      <c r="AID2" s="5">
        <f>IFERROR(VLOOKUP(AID$1,'Working Capital Pesos'!$B$16:$C$18,2,FALSE),0%)</f>
        <v>0</v>
      </c>
      <c r="AIE2" s="5">
        <f>IFERROR(VLOOKUP(AIE$1,'Working Capital Pesos'!$B$16:$C$18,2,FALSE),0%)</f>
        <v>0</v>
      </c>
      <c r="AIF2" s="5">
        <f>IFERROR(VLOOKUP(AIF$1,'Working Capital Pesos'!$B$16:$C$18,2,FALSE),0%)</f>
        <v>0</v>
      </c>
      <c r="AIG2" s="5">
        <f>IFERROR(VLOOKUP(AIG$1,'Working Capital Pesos'!$B$16:$C$18,2,FALSE),0%)</f>
        <v>0</v>
      </c>
      <c r="AIH2" s="5">
        <f>IFERROR(VLOOKUP(AIH$1,'Working Capital Pesos'!$B$16:$C$18,2,FALSE),0%)</f>
        <v>0</v>
      </c>
      <c r="AII2" s="5">
        <f>IFERROR(VLOOKUP(AII$1,'Working Capital Pesos'!$B$16:$C$18,2,FALSE),0%)</f>
        <v>0</v>
      </c>
      <c r="AIJ2" s="5">
        <f>IFERROR(VLOOKUP(AIJ$1,'Working Capital Pesos'!$B$16:$C$18,2,FALSE),0%)</f>
        <v>0</v>
      </c>
      <c r="AIK2" s="5">
        <f>IFERROR(VLOOKUP(AIK$1,'Working Capital Pesos'!$B$16:$C$18,2,FALSE),0%)</f>
        <v>0</v>
      </c>
      <c r="AIL2" s="5">
        <f>IFERROR(VLOOKUP(AIL$1,'Working Capital Pesos'!$B$16:$C$18,2,FALSE),0%)</f>
        <v>0</v>
      </c>
      <c r="AIM2" s="5">
        <f>IFERROR(VLOOKUP(AIM$1,'Working Capital Pesos'!$B$16:$C$18,2,FALSE),0%)</f>
        <v>0</v>
      </c>
      <c r="AIN2" s="5">
        <f>IFERROR(VLOOKUP(AIN$1,'Working Capital Pesos'!$B$16:$C$18,2,FALSE),0%)</f>
        <v>0</v>
      </c>
      <c r="AIO2" s="5">
        <f>IFERROR(VLOOKUP(AIO$1,'Working Capital Pesos'!$B$16:$C$18,2,FALSE),0%)</f>
        <v>0</v>
      </c>
      <c r="AIP2" s="5">
        <f>IFERROR(VLOOKUP(AIP$1,'Working Capital Pesos'!$B$16:$C$18,2,FALSE),0%)</f>
        <v>0</v>
      </c>
      <c r="AIQ2" s="5">
        <f>IFERROR(VLOOKUP(AIQ$1,'Working Capital Pesos'!$B$16:$C$18,2,FALSE),0%)</f>
        <v>0</v>
      </c>
      <c r="AIR2" s="5">
        <f>IFERROR(VLOOKUP(AIR$1,'Working Capital Pesos'!$B$16:$C$18,2,FALSE),0%)</f>
        <v>0</v>
      </c>
      <c r="AIS2" s="5">
        <f>IFERROR(VLOOKUP(AIS$1,'Working Capital Pesos'!$B$16:$C$18,2,FALSE),0%)</f>
        <v>0</v>
      </c>
      <c r="AIT2" s="5">
        <f>IFERROR(VLOOKUP(AIT$1,'Working Capital Pesos'!$B$16:$C$18,2,FALSE),0%)</f>
        <v>0</v>
      </c>
      <c r="AIU2" s="5">
        <f>IFERROR(VLOOKUP(AIU$1,'Working Capital Pesos'!$B$16:$C$18,2,FALSE),0%)</f>
        <v>0</v>
      </c>
      <c r="AIV2" s="5">
        <f>IFERROR(VLOOKUP(AIV$1,'Working Capital Pesos'!$B$16:$C$18,2,FALSE),0%)</f>
        <v>0</v>
      </c>
      <c r="AIW2" s="5">
        <f>IFERROR(VLOOKUP(AIW$1,'Working Capital Pesos'!$B$16:$C$18,2,FALSE),0%)</f>
        <v>0</v>
      </c>
      <c r="AIX2" s="5">
        <f>IFERROR(VLOOKUP(AIX$1,'Working Capital Pesos'!$B$16:$C$18,2,FALSE),0%)</f>
        <v>0</v>
      </c>
      <c r="AIY2" s="5">
        <f>IFERROR(VLOOKUP(AIY$1,'Working Capital Pesos'!$B$16:$C$18,2,FALSE),0%)</f>
        <v>0</v>
      </c>
      <c r="AIZ2" s="5">
        <f>IFERROR(VLOOKUP(AIZ$1,'Working Capital Pesos'!$B$16:$C$18,2,FALSE),0%)</f>
        <v>0</v>
      </c>
      <c r="AJA2" s="5">
        <f>IFERROR(VLOOKUP(AJA$1,'Working Capital Pesos'!$B$16:$C$18,2,FALSE),0%)</f>
        <v>0</v>
      </c>
      <c r="AJB2" s="5">
        <f>IFERROR(VLOOKUP(AJB$1,'Working Capital Pesos'!$B$16:$C$18,2,FALSE),0%)</f>
        <v>0</v>
      </c>
      <c r="AJC2" s="5">
        <f>IFERROR(VLOOKUP(AJC$1,'Working Capital Pesos'!$B$16:$C$18,2,FALSE),0%)</f>
        <v>0</v>
      </c>
      <c r="AJD2" s="5">
        <f>IFERROR(VLOOKUP(AJD$1,'Working Capital Pesos'!$B$16:$C$18,2,FALSE),0%)</f>
        <v>0</v>
      </c>
      <c r="AJE2" s="5">
        <f>IFERROR(VLOOKUP(AJE$1,'Working Capital Pesos'!$B$16:$C$18,2,FALSE),0%)</f>
        <v>0</v>
      </c>
      <c r="AJF2" s="5">
        <f>IFERROR(VLOOKUP(AJF$1,'Working Capital Pesos'!$B$16:$C$18,2,FALSE),0%)</f>
        <v>0</v>
      </c>
      <c r="AJG2" s="5">
        <f>IFERROR(VLOOKUP(AJG$1,'Working Capital Pesos'!$B$16:$C$18,2,FALSE),0%)</f>
        <v>0</v>
      </c>
      <c r="AJH2" s="5">
        <f>IFERROR(VLOOKUP(AJH$1,'Working Capital Pesos'!$B$16:$C$18,2,FALSE),0%)</f>
        <v>0</v>
      </c>
      <c r="AJI2" s="5">
        <f>IFERROR(VLOOKUP(AJI$1,'Working Capital Pesos'!$B$16:$C$18,2,FALSE),0%)</f>
        <v>0</v>
      </c>
      <c r="AJJ2" s="5">
        <f>IFERROR(VLOOKUP(AJJ$1,'Working Capital Pesos'!$B$16:$C$18,2,FALSE),0%)</f>
        <v>0</v>
      </c>
      <c r="AJK2" s="5">
        <f>IFERROR(VLOOKUP(AJK$1,'Working Capital Pesos'!$B$16:$C$18,2,FALSE),0%)</f>
        <v>0</v>
      </c>
      <c r="AJL2" s="5">
        <f>IFERROR(VLOOKUP(AJL$1,'Working Capital Pesos'!$B$16:$C$18,2,FALSE),0%)</f>
        <v>0</v>
      </c>
      <c r="AJM2" s="5">
        <f>IFERROR(VLOOKUP(AJM$1,'Working Capital Pesos'!$B$16:$C$18,2,FALSE),0%)</f>
        <v>0</v>
      </c>
      <c r="AJN2" s="5">
        <f>IFERROR(VLOOKUP(AJN$1,'Working Capital Pesos'!$B$16:$C$18,2,FALSE),0%)</f>
        <v>0</v>
      </c>
      <c r="AJO2" s="5">
        <f>IFERROR(VLOOKUP(AJO$1,'Working Capital Pesos'!$B$16:$C$18,2,FALSE),0%)</f>
        <v>0</v>
      </c>
      <c r="AJP2" s="5">
        <f>IFERROR(VLOOKUP(AJP$1,'Working Capital Pesos'!$B$16:$C$18,2,FALSE),0%)</f>
        <v>0</v>
      </c>
      <c r="AJQ2" s="5">
        <f>IFERROR(VLOOKUP(AJQ$1,'Working Capital Pesos'!$B$16:$C$18,2,FALSE),0%)</f>
        <v>0</v>
      </c>
      <c r="AJR2" s="5">
        <f>IFERROR(VLOOKUP(AJR$1,'Working Capital Pesos'!$B$16:$C$18,2,FALSE),0%)</f>
        <v>0</v>
      </c>
      <c r="AJS2" s="5">
        <f>IFERROR(VLOOKUP(AJS$1,'Working Capital Pesos'!$B$16:$C$18,2,FALSE),0%)</f>
        <v>0</v>
      </c>
      <c r="AJT2" s="5">
        <f>IFERROR(VLOOKUP(AJT$1,'Working Capital Pesos'!$B$16:$C$18,2,FALSE),0%)</f>
        <v>0</v>
      </c>
      <c r="AJU2" s="5">
        <f>IFERROR(VLOOKUP(AJU$1,'Working Capital Pesos'!$B$16:$C$18,2,FALSE),0%)</f>
        <v>0</v>
      </c>
      <c r="AJV2" s="5">
        <f>IFERROR(VLOOKUP(AJV$1,'Working Capital Pesos'!$B$16:$C$18,2,FALSE),0%)</f>
        <v>0</v>
      </c>
      <c r="AJW2" s="5">
        <f>IFERROR(VLOOKUP(AJW$1,'Working Capital Pesos'!$B$16:$C$18,2,FALSE),0%)</f>
        <v>0</v>
      </c>
      <c r="AJX2" s="5">
        <f>IFERROR(VLOOKUP(AJX$1,'Working Capital Pesos'!$B$16:$C$18,2,FALSE),0%)</f>
        <v>0</v>
      </c>
      <c r="AJY2" s="5">
        <f>IFERROR(VLOOKUP(AJY$1,'Working Capital Pesos'!$B$16:$C$18,2,FALSE),0%)</f>
        <v>0</v>
      </c>
      <c r="AJZ2" s="5">
        <f>IFERROR(VLOOKUP(AJZ$1,'Working Capital Pesos'!$B$16:$C$18,2,FALSE),0%)</f>
        <v>0</v>
      </c>
      <c r="AKA2" s="5">
        <f>IFERROR(VLOOKUP(AKA$1,'Working Capital Pesos'!$B$16:$C$18,2,FALSE),0%)</f>
        <v>0</v>
      </c>
      <c r="AKB2" s="5">
        <f>IFERROR(VLOOKUP(AKB$1,'Working Capital Pesos'!$B$16:$C$18,2,FALSE),0%)</f>
        <v>0</v>
      </c>
      <c r="AKC2" s="5">
        <f>IFERROR(VLOOKUP(AKC$1,'Working Capital Pesos'!$B$16:$C$18,2,FALSE),0%)</f>
        <v>0</v>
      </c>
      <c r="AKD2" s="5">
        <f>IFERROR(VLOOKUP(AKD$1,'Working Capital Pesos'!$B$16:$C$18,2,FALSE),0%)</f>
        <v>0</v>
      </c>
      <c r="AKE2" s="5">
        <f>IFERROR(VLOOKUP(AKE$1,'Working Capital Pesos'!$B$16:$C$18,2,FALSE),0%)</f>
        <v>0</v>
      </c>
      <c r="AKF2" s="5">
        <f>IFERROR(VLOOKUP(AKF$1,'Working Capital Pesos'!$B$16:$C$18,2,FALSE),0%)</f>
        <v>0</v>
      </c>
      <c r="AKG2" s="5">
        <f>IFERROR(VLOOKUP(AKG$1,'Working Capital Pesos'!$B$16:$C$18,2,FALSE),0%)</f>
        <v>0</v>
      </c>
      <c r="AKH2" s="5">
        <f>IFERROR(VLOOKUP(AKH$1,'Working Capital Pesos'!$B$16:$C$18,2,FALSE),0%)</f>
        <v>0</v>
      </c>
      <c r="AKI2" s="5">
        <f>IFERROR(VLOOKUP(AKI$1,'Working Capital Pesos'!$B$16:$C$18,2,FALSE),0%)</f>
        <v>0</v>
      </c>
      <c r="AKJ2" s="5">
        <f>IFERROR(VLOOKUP(AKJ$1,'Working Capital Pesos'!$B$16:$C$18,2,FALSE),0%)</f>
        <v>0</v>
      </c>
      <c r="AKK2" s="5">
        <f>IFERROR(VLOOKUP(AKK$1,'Working Capital Pesos'!$B$16:$C$18,2,FALSE),0%)</f>
        <v>0</v>
      </c>
      <c r="AKL2" s="5">
        <f>IFERROR(VLOOKUP(AKL$1,'Working Capital Pesos'!$B$16:$C$18,2,FALSE),0%)</f>
        <v>0</v>
      </c>
      <c r="AKM2" s="5">
        <f>IFERROR(VLOOKUP(AKM$1,'Working Capital Pesos'!$B$16:$C$18,2,FALSE),0%)</f>
        <v>0</v>
      </c>
      <c r="AKN2" s="5">
        <f>IFERROR(VLOOKUP(AKN$1,'Working Capital Pesos'!$B$16:$C$18,2,FALSE),0%)</f>
        <v>0</v>
      </c>
      <c r="AKO2" s="5">
        <f>IFERROR(VLOOKUP(AKO$1,'Working Capital Pesos'!$B$16:$C$18,2,FALSE),0%)</f>
        <v>0</v>
      </c>
      <c r="AKP2" s="5">
        <f>IFERROR(VLOOKUP(AKP$1,'Working Capital Pesos'!$B$16:$C$18,2,FALSE),0%)</f>
        <v>0</v>
      </c>
      <c r="AKQ2" s="5">
        <f>IFERROR(VLOOKUP(AKQ$1,'Working Capital Pesos'!$B$16:$C$18,2,FALSE),0%)</f>
        <v>0</v>
      </c>
      <c r="AKR2" s="5">
        <f>IFERROR(VLOOKUP(AKR$1,'Working Capital Pesos'!$B$16:$C$18,2,FALSE),0%)</f>
        <v>0</v>
      </c>
      <c r="AKS2" s="5">
        <f>IFERROR(VLOOKUP(AKS$1,'Working Capital Pesos'!$B$16:$C$18,2,FALSE),0%)</f>
        <v>0</v>
      </c>
      <c r="AKT2" s="5">
        <f>IFERROR(VLOOKUP(AKT$1,'Working Capital Pesos'!$B$16:$C$18,2,FALSE),0%)</f>
        <v>0</v>
      </c>
      <c r="AKU2" s="5">
        <f>IFERROR(VLOOKUP(AKU$1,'Working Capital Pesos'!$B$16:$C$18,2,FALSE),0%)</f>
        <v>0</v>
      </c>
      <c r="AKV2" s="5">
        <f>IFERROR(VLOOKUP(AKV$1,'Working Capital Pesos'!$B$16:$C$18,2,FALSE),0%)</f>
        <v>0</v>
      </c>
      <c r="AKW2" s="5">
        <f>IFERROR(VLOOKUP(AKW$1,'Working Capital Pesos'!$B$16:$C$18,2,FALSE),0%)</f>
        <v>0</v>
      </c>
      <c r="AKX2" s="5">
        <f>IFERROR(VLOOKUP(AKX$1,'Working Capital Pesos'!$B$16:$C$18,2,FALSE),0%)</f>
        <v>0</v>
      </c>
      <c r="AKY2" s="5">
        <f>IFERROR(VLOOKUP(AKY$1,'Working Capital Pesos'!$B$16:$C$18,2,FALSE),0%)</f>
        <v>0</v>
      </c>
      <c r="AKZ2" s="5">
        <f>IFERROR(VLOOKUP(AKZ$1,'Working Capital Pesos'!$B$16:$C$18,2,FALSE),0%)</f>
        <v>0</v>
      </c>
      <c r="ALA2" s="5">
        <f>IFERROR(VLOOKUP(ALA$1,'Working Capital Pesos'!$B$16:$C$18,2,FALSE),0%)</f>
        <v>0</v>
      </c>
      <c r="ALB2" s="5">
        <f>IFERROR(VLOOKUP(ALB$1,'Working Capital Pesos'!$B$16:$C$18,2,FALSE),0%)</f>
        <v>0</v>
      </c>
      <c r="ALC2" s="5">
        <f>IFERROR(VLOOKUP(ALC$1,'Working Capital Pesos'!$B$16:$C$18,2,FALSE),0%)</f>
        <v>0</v>
      </c>
      <c r="ALD2" s="5">
        <f>IFERROR(VLOOKUP(ALD$1,'Working Capital Pesos'!$B$16:$C$18,2,FALSE),0%)</f>
        <v>0</v>
      </c>
      <c r="ALE2" s="5">
        <f>IFERROR(VLOOKUP(ALE$1,'Working Capital Pesos'!$B$16:$C$18,2,FALSE),0%)</f>
        <v>0</v>
      </c>
      <c r="ALF2" s="5">
        <f>IFERROR(VLOOKUP(ALF$1,'Working Capital Pesos'!$B$16:$C$18,2,FALSE),0%)</f>
        <v>0</v>
      </c>
      <c r="ALG2" s="5">
        <f>IFERROR(VLOOKUP(ALG$1,'Working Capital Pesos'!$B$16:$C$18,2,FALSE),0%)</f>
        <v>0</v>
      </c>
      <c r="ALH2" s="5">
        <f>IFERROR(VLOOKUP(ALH$1,'Working Capital Pesos'!$B$16:$C$18,2,FALSE),0%)</f>
        <v>0</v>
      </c>
      <c r="ALI2" s="5">
        <f>IFERROR(VLOOKUP(ALI$1,'Working Capital Pesos'!$B$16:$C$18,2,FALSE),0%)</f>
        <v>0</v>
      </c>
      <c r="ALJ2" s="5">
        <f>IFERROR(VLOOKUP(ALJ$1,'Working Capital Pesos'!$B$16:$C$18,2,FALSE),0%)</f>
        <v>0</v>
      </c>
      <c r="ALK2" s="5">
        <f>IFERROR(VLOOKUP(ALK$1,'Working Capital Pesos'!$B$16:$C$18,2,FALSE),0%)</f>
        <v>0</v>
      </c>
      <c r="ALL2" s="5">
        <f>IFERROR(VLOOKUP(ALL$1,'Working Capital Pesos'!$B$16:$C$18,2,FALSE),0%)</f>
        <v>0</v>
      </c>
      <c r="ALM2" s="5">
        <f>IFERROR(VLOOKUP(ALM$1,'Working Capital Pesos'!$B$16:$C$18,2,FALSE),0%)</f>
        <v>0</v>
      </c>
      <c r="ALN2" s="5">
        <f>IFERROR(VLOOKUP(ALN$1,'Working Capital Pesos'!$B$16:$C$18,2,FALSE),0%)</f>
        <v>0</v>
      </c>
      <c r="ALO2" s="5">
        <f>IFERROR(VLOOKUP(ALO$1,'Working Capital Pesos'!$B$16:$C$18,2,FALSE),0%)</f>
        <v>0</v>
      </c>
      <c r="ALP2" s="5">
        <f>IFERROR(VLOOKUP(ALP$1,'Working Capital Pesos'!$B$16:$C$18,2,FALSE),0%)</f>
        <v>0</v>
      </c>
      <c r="ALQ2" s="5">
        <f>IFERROR(VLOOKUP(ALQ$1,'Working Capital Pesos'!$B$16:$C$18,2,FALSE),0%)</f>
        <v>0</v>
      </c>
      <c r="ALR2" s="5">
        <f>IFERROR(VLOOKUP(ALR$1,'Working Capital Pesos'!$B$16:$C$18,2,FALSE),0%)</f>
        <v>0</v>
      </c>
      <c r="ALS2" s="5">
        <f>IFERROR(VLOOKUP(ALS$1,'Working Capital Pesos'!$B$16:$C$18,2,FALSE),0%)</f>
        <v>0</v>
      </c>
      <c r="ALT2" s="5">
        <f>IFERROR(VLOOKUP(ALT$1,'Working Capital Pesos'!$B$16:$C$18,2,FALSE),0%)</f>
        <v>0</v>
      </c>
      <c r="ALU2" s="5">
        <f>IFERROR(VLOOKUP(ALU$1,'Working Capital Pesos'!$B$16:$C$18,2,FALSE),0%)</f>
        <v>0</v>
      </c>
      <c r="ALV2" s="5">
        <f>IFERROR(VLOOKUP(ALV$1,'Working Capital Pesos'!$B$16:$C$18,2,FALSE),0%)</f>
        <v>0</v>
      </c>
      <c r="ALW2" s="5">
        <f>IFERROR(VLOOKUP(ALW$1,'Working Capital Pesos'!$B$16:$C$18,2,FALSE),0%)</f>
        <v>0</v>
      </c>
      <c r="ALX2" s="5">
        <f>IFERROR(VLOOKUP(ALX$1,'Working Capital Pesos'!$B$16:$C$18,2,FALSE),0%)</f>
        <v>0</v>
      </c>
      <c r="ALY2" s="5">
        <f>IFERROR(VLOOKUP(ALY$1,'Working Capital Pesos'!$B$16:$C$18,2,FALSE),0%)</f>
        <v>0</v>
      </c>
      <c r="ALZ2" s="5">
        <f>IFERROR(VLOOKUP(ALZ$1,'Working Capital Pesos'!$B$16:$C$18,2,FALSE),0%)</f>
        <v>0</v>
      </c>
      <c r="AMA2" s="5">
        <f>IFERROR(VLOOKUP(AMA$1,'Working Capital Pesos'!$B$16:$C$18,2,FALSE),0%)</f>
        <v>0</v>
      </c>
      <c r="AMB2" s="5">
        <f>IFERROR(VLOOKUP(AMB$1,'Working Capital Pesos'!$B$16:$C$18,2,FALSE),0%)</f>
        <v>0</v>
      </c>
      <c r="AMC2" s="5">
        <f>IFERROR(VLOOKUP(AMC$1,'Working Capital Pesos'!$B$16:$C$18,2,FALSE),0%)</f>
        <v>0</v>
      </c>
      <c r="AMD2" s="5">
        <f>IFERROR(VLOOKUP(AMD$1,'Working Capital Pesos'!$B$16:$C$18,2,FALSE),0%)</f>
        <v>0</v>
      </c>
      <c r="AME2" s="5">
        <f>IFERROR(VLOOKUP(AME$1,'Working Capital Pesos'!$B$16:$C$18,2,FALSE),0%)</f>
        <v>0</v>
      </c>
      <c r="AMF2" s="5">
        <f>IFERROR(VLOOKUP(AMF$1,'Working Capital Pesos'!$B$16:$C$18,2,FALSE),0%)</f>
        <v>0</v>
      </c>
      <c r="AMG2" s="5">
        <f>IFERROR(VLOOKUP(AMG$1,'Working Capital Pesos'!$B$16:$C$18,2,FALSE),0%)</f>
        <v>0</v>
      </c>
      <c r="AMH2" s="5">
        <f>IFERROR(VLOOKUP(AMH$1,'Working Capital Pesos'!$B$16:$C$18,2,FALSE),0%)</f>
        <v>0</v>
      </c>
      <c r="AMI2" s="5">
        <f>IFERROR(VLOOKUP(AMI$1,'Working Capital Pesos'!$B$16:$C$18,2,FALSE),0%)</f>
        <v>0</v>
      </c>
      <c r="AMJ2" s="5">
        <f>IFERROR(VLOOKUP(AMJ$1,'Working Capital Pesos'!$B$16:$C$18,2,FALSE),0%)</f>
        <v>0</v>
      </c>
      <c r="AMK2" s="5">
        <f>IFERROR(VLOOKUP(AMK$1,'Working Capital Pesos'!$B$16:$C$18,2,FALSE),0%)</f>
        <v>0</v>
      </c>
      <c r="AML2" s="5">
        <f>IFERROR(VLOOKUP(AML$1,'Working Capital Pesos'!$B$16:$C$18,2,FALSE),0%)</f>
        <v>0</v>
      </c>
      <c r="AMM2" s="5">
        <f>IFERROR(VLOOKUP(AMM$1,'Working Capital Pesos'!$B$16:$C$18,2,FALSE),0%)</f>
        <v>0</v>
      </c>
      <c r="AMN2" s="5">
        <f>IFERROR(VLOOKUP(AMN$1,'Working Capital Pesos'!$B$16:$C$18,2,FALSE),0%)</f>
        <v>0</v>
      </c>
      <c r="AMO2" s="5">
        <f>IFERROR(VLOOKUP(AMO$1,'Working Capital Pesos'!$B$16:$C$18,2,FALSE),0%)</f>
        <v>0</v>
      </c>
      <c r="AMP2" s="5">
        <f>IFERROR(VLOOKUP(AMP$1,'Working Capital Pesos'!$B$16:$C$18,2,FALSE),0%)</f>
        <v>0</v>
      </c>
      <c r="AMQ2" s="5">
        <f>IFERROR(VLOOKUP(AMQ$1,'Working Capital Pesos'!$B$16:$C$18,2,FALSE),0%)</f>
        <v>0</v>
      </c>
      <c r="AMR2" s="5">
        <f>IFERROR(VLOOKUP(AMR$1,'Working Capital Pesos'!$B$16:$C$18,2,FALSE),0%)</f>
        <v>0</v>
      </c>
      <c r="AMS2" s="5">
        <f>IFERROR(VLOOKUP(AMS$1,'Working Capital Pesos'!$B$16:$C$18,2,FALSE),0%)</f>
        <v>0</v>
      </c>
      <c r="AMT2" s="5">
        <f>IFERROR(VLOOKUP(AMT$1,'Working Capital Pesos'!$B$16:$C$18,2,FALSE),0%)</f>
        <v>0</v>
      </c>
      <c r="AMU2" s="5">
        <f>IFERROR(VLOOKUP(AMU$1,'Working Capital Pesos'!$B$16:$C$18,2,FALSE),0%)</f>
        <v>0</v>
      </c>
      <c r="AMV2" s="5">
        <f>IFERROR(VLOOKUP(AMV$1,'Working Capital Pesos'!$B$16:$C$18,2,FALSE),0%)</f>
        <v>0</v>
      </c>
      <c r="AMW2" s="5">
        <f>IFERROR(VLOOKUP(AMW$1,'Working Capital Pesos'!$B$16:$C$18,2,FALSE),0%)</f>
        <v>0</v>
      </c>
      <c r="AMX2" s="5">
        <f>IFERROR(VLOOKUP(AMX$1,'Working Capital Pesos'!$B$16:$C$18,2,FALSE),0%)</f>
        <v>0</v>
      </c>
      <c r="AMY2" s="5">
        <f>IFERROR(VLOOKUP(AMY$1,'Working Capital Pesos'!$B$16:$C$18,2,FALSE),0%)</f>
        <v>0</v>
      </c>
      <c r="AMZ2" s="5">
        <f>IFERROR(VLOOKUP(AMZ$1,'Working Capital Pesos'!$B$16:$C$18,2,FALSE),0%)</f>
        <v>0</v>
      </c>
      <c r="ANA2" s="5">
        <f>IFERROR(VLOOKUP(ANA$1,'Working Capital Pesos'!$B$16:$C$18,2,FALSE),0%)</f>
        <v>0</v>
      </c>
      <c r="ANB2" s="5">
        <f>IFERROR(VLOOKUP(ANB$1,'Working Capital Pesos'!$B$16:$C$18,2,FALSE),0%)</f>
        <v>0</v>
      </c>
      <c r="ANC2" s="5">
        <f>IFERROR(VLOOKUP(ANC$1,'Working Capital Pesos'!$B$16:$C$18,2,FALSE),0%)</f>
        <v>0</v>
      </c>
      <c r="AND2" s="5">
        <f>IFERROR(VLOOKUP(AND$1,'Working Capital Pesos'!$B$16:$C$18,2,FALSE),0%)</f>
        <v>0</v>
      </c>
      <c r="ANE2" s="5">
        <f>IFERROR(VLOOKUP(ANE$1,'Working Capital Pesos'!$B$16:$C$18,2,FALSE),0%)</f>
        <v>0</v>
      </c>
      <c r="ANF2" s="5">
        <f>IFERROR(VLOOKUP(ANF$1,'Working Capital Pesos'!$B$16:$C$18,2,FALSE),0%)</f>
        <v>0</v>
      </c>
      <c r="ANG2" s="5">
        <f>IFERROR(VLOOKUP(ANG$1,'Working Capital Pesos'!$B$16:$C$18,2,FALSE),0%)</f>
        <v>0</v>
      </c>
      <c r="ANH2" s="5">
        <f>IFERROR(VLOOKUP(ANH$1,'Working Capital Pesos'!$B$16:$C$18,2,FALSE),0%)</f>
        <v>0</v>
      </c>
      <c r="ANI2" s="5">
        <f>IFERROR(VLOOKUP(ANI$1,'Working Capital Pesos'!$B$16:$C$18,2,FALSE),0%)</f>
        <v>0</v>
      </c>
      <c r="ANJ2" s="5">
        <f>IFERROR(VLOOKUP(ANJ$1,'Working Capital Pesos'!$B$16:$C$18,2,FALSE),0%)</f>
        <v>0</v>
      </c>
      <c r="ANK2" s="5">
        <f>IFERROR(VLOOKUP(ANK$1,'Working Capital Pesos'!$B$16:$C$18,2,FALSE),0%)</f>
        <v>0</v>
      </c>
      <c r="ANL2" s="5">
        <f>IFERROR(VLOOKUP(ANL$1,'Working Capital Pesos'!$B$16:$C$18,2,FALSE),0%)</f>
        <v>0</v>
      </c>
      <c r="ANM2" s="5">
        <f>IFERROR(VLOOKUP(ANM$1,'Working Capital Pesos'!$B$16:$C$18,2,FALSE),0%)</f>
        <v>0</v>
      </c>
      <c r="ANN2" s="5">
        <f>IFERROR(VLOOKUP(ANN$1,'Working Capital Pesos'!$B$16:$C$18,2,FALSE),0%)</f>
        <v>0</v>
      </c>
      <c r="ANO2" s="5">
        <f>IFERROR(VLOOKUP(ANO$1,'Working Capital Pesos'!$B$16:$C$18,2,FALSE),0%)</f>
        <v>0</v>
      </c>
      <c r="ANP2" s="5">
        <f>IFERROR(VLOOKUP(ANP$1,'Working Capital Pesos'!$B$16:$C$18,2,FALSE),0%)</f>
        <v>0</v>
      </c>
      <c r="ANQ2" s="5">
        <f>IFERROR(VLOOKUP(ANQ$1,'Working Capital Pesos'!$B$16:$C$18,2,FALSE),0%)</f>
        <v>0</v>
      </c>
      <c r="ANR2" s="5">
        <f>IFERROR(VLOOKUP(ANR$1,'Working Capital Pesos'!$B$16:$C$18,2,FALSE),0%)</f>
        <v>0</v>
      </c>
      <c r="ANS2" s="5">
        <f>IFERROR(VLOOKUP(ANS$1,'Working Capital Pesos'!$B$16:$C$18,2,FALSE),0%)</f>
        <v>0</v>
      </c>
      <c r="ANT2" s="5">
        <f>IFERROR(VLOOKUP(ANT$1,'Working Capital Pesos'!$B$16:$C$18,2,FALSE),0%)</f>
        <v>0</v>
      </c>
      <c r="ANU2" s="5">
        <f>IFERROR(VLOOKUP(ANU$1,'Working Capital Pesos'!$B$16:$C$18,2,FALSE),0%)</f>
        <v>0</v>
      </c>
      <c r="ANV2" s="5">
        <f>IFERROR(VLOOKUP(ANV$1,'Working Capital Pesos'!$B$16:$C$18,2,FALSE),0%)</f>
        <v>0</v>
      </c>
      <c r="ANW2" s="5">
        <f>IFERROR(VLOOKUP(ANW$1,'Working Capital Pesos'!$B$16:$C$18,2,FALSE),0%)</f>
        <v>0</v>
      </c>
      <c r="ANX2" s="5">
        <f>IFERROR(VLOOKUP(ANX$1,'Working Capital Pesos'!$B$16:$C$18,2,FALSE),0%)</f>
        <v>0</v>
      </c>
      <c r="ANY2" s="5">
        <f>IFERROR(VLOOKUP(ANY$1,'Working Capital Pesos'!$B$16:$C$18,2,FALSE),0%)</f>
        <v>0</v>
      </c>
      <c r="ANZ2" s="5">
        <f>IFERROR(VLOOKUP(ANZ$1,'Working Capital Pesos'!$B$16:$C$18,2,FALSE),0%)</f>
        <v>0</v>
      </c>
      <c r="AOA2" s="5">
        <f>IFERROR(VLOOKUP(AOA$1,'Working Capital Pesos'!$B$16:$C$18,2,FALSE),0%)</f>
        <v>0</v>
      </c>
      <c r="AOB2" s="5">
        <f>IFERROR(VLOOKUP(AOB$1,'Working Capital Pesos'!$B$16:$C$18,2,FALSE),0%)</f>
        <v>0</v>
      </c>
      <c r="AOC2" s="5">
        <f>IFERROR(VLOOKUP(AOC$1,'Working Capital Pesos'!$B$16:$C$18,2,FALSE),0%)</f>
        <v>0</v>
      </c>
      <c r="AOD2" s="5">
        <f>IFERROR(VLOOKUP(AOD$1,'Working Capital Pesos'!$B$16:$C$18,2,FALSE),0%)</f>
        <v>0</v>
      </c>
      <c r="AOE2" s="5">
        <f>IFERROR(VLOOKUP(AOE$1,'Working Capital Pesos'!$B$16:$C$18,2,FALSE),0%)</f>
        <v>0</v>
      </c>
      <c r="AOF2" s="5">
        <f>IFERROR(VLOOKUP(AOF$1,'Working Capital Pesos'!$B$16:$C$18,2,FALSE),0%)</f>
        <v>0</v>
      </c>
      <c r="AOG2" s="5">
        <f>IFERROR(VLOOKUP(AOG$1,'Working Capital Pesos'!$B$16:$C$18,2,FALSE),0%)</f>
        <v>0</v>
      </c>
      <c r="AOH2" s="5">
        <f>IFERROR(VLOOKUP(AOH$1,'Working Capital Pesos'!$B$16:$C$18,2,FALSE),0%)</f>
        <v>0</v>
      </c>
      <c r="AOI2" s="5">
        <f>IFERROR(VLOOKUP(AOI$1,'Working Capital Pesos'!$B$16:$C$18,2,FALSE),0%)</f>
        <v>0</v>
      </c>
      <c r="AOJ2" s="5">
        <f>IFERROR(VLOOKUP(AOJ$1,'Working Capital Pesos'!$B$16:$C$18,2,FALSE),0%)</f>
        <v>0</v>
      </c>
      <c r="AOK2" s="5">
        <f>IFERROR(VLOOKUP(AOK$1,'Working Capital Pesos'!$B$16:$C$18,2,FALSE),0%)</f>
        <v>0</v>
      </c>
      <c r="AOL2" s="5">
        <f>IFERROR(VLOOKUP(AOL$1,'Working Capital Pesos'!$B$16:$C$18,2,FALSE),0%)</f>
        <v>0</v>
      </c>
      <c r="AOM2" s="5">
        <f>IFERROR(VLOOKUP(AOM$1,'Working Capital Pesos'!$B$16:$C$18,2,FALSE),0%)</f>
        <v>0</v>
      </c>
      <c r="AON2" s="5">
        <f>IFERROR(VLOOKUP(AON$1,'Working Capital Pesos'!$B$16:$C$18,2,FALSE),0%)</f>
        <v>0</v>
      </c>
      <c r="AOO2" s="5">
        <f>IFERROR(VLOOKUP(AOO$1,'Working Capital Pesos'!$B$16:$C$18,2,FALSE),0%)</f>
        <v>0</v>
      </c>
      <c r="AOP2" s="5">
        <f>IFERROR(VLOOKUP(AOP$1,'Working Capital Pesos'!$B$16:$C$18,2,FALSE),0%)</f>
        <v>0</v>
      </c>
      <c r="AOQ2" s="5">
        <f>IFERROR(VLOOKUP(AOQ$1,'Working Capital Pesos'!$B$16:$C$18,2,FALSE),0%)</f>
        <v>0</v>
      </c>
      <c r="AOR2" s="5">
        <f>IFERROR(VLOOKUP(AOR$1,'Working Capital Pesos'!$B$16:$C$18,2,FALSE),0%)</f>
        <v>0</v>
      </c>
      <c r="AOS2" s="5">
        <f>IFERROR(VLOOKUP(AOS$1,'Working Capital Pesos'!$B$16:$C$18,2,FALSE),0%)</f>
        <v>0</v>
      </c>
      <c r="AOT2" s="5">
        <f>IFERROR(VLOOKUP(AOT$1,'Working Capital Pesos'!$B$16:$C$18,2,FALSE),0%)</f>
        <v>0</v>
      </c>
      <c r="AOU2" s="5">
        <f>IFERROR(VLOOKUP(AOU$1,'Working Capital Pesos'!$B$16:$C$18,2,FALSE),0%)</f>
        <v>0</v>
      </c>
      <c r="AOV2" s="5">
        <f>IFERROR(VLOOKUP(AOV$1,'Working Capital Pesos'!$B$16:$C$18,2,FALSE),0%)</f>
        <v>0</v>
      </c>
      <c r="AOW2" s="5">
        <f>IFERROR(VLOOKUP(AOW$1,'Working Capital Pesos'!$B$16:$C$18,2,FALSE),0%)</f>
        <v>0</v>
      </c>
      <c r="AOX2" s="5">
        <f>IFERROR(VLOOKUP(AOX$1,'Working Capital Pesos'!$B$16:$C$18,2,FALSE),0%)</f>
        <v>0</v>
      </c>
      <c r="AOY2" s="5">
        <f>IFERROR(VLOOKUP(AOY$1,'Working Capital Pesos'!$B$16:$C$18,2,FALSE),0%)</f>
        <v>0</v>
      </c>
      <c r="AOZ2" s="5">
        <f>IFERROR(VLOOKUP(AOZ$1,'Working Capital Pesos'!$B$16:$C$18,2,FALSE),0%)</f>
        <v>0</v>
      </c>
      <c r="APA2" s="5">
        <f>IFERROR(VLOOKUP(APA$1,'Working Capital Pesos'!$B$16:$C$18,2,FALSE),0%)</f>
        <v>0</v>
      </c>
      <c r="APB2" s="5">
        <f>IFERROR(VLOOKUP(APB$1,'Working Capital Pesos'!$B$16:$C$18,2,FALSE),0%)</f>
        <v>0</v>
      </c>
      <c r="APC2" s="5">
        <f>IFERROR(VLOOKUP(APC$1,'Working Capital Pesos'!$B$16:$C$18,2,FALSE),0%)</f>
        <v>0</v>
      </c>
      <c r="APD2" s="5">
        <f>IFERROR(VLOOKUP(APD$1,'Working Capital Pesos'!$B$16:$C$18,2,FALSE),0%)</f>
        <v>0</v>
      </c>
      <c r="APE2" s="5">
        <f>IFERROR(VLOOKUP(APE$1,'Working Capital Pesos'!$B$16:$C$18,2,FALSE),0%)</f>
        <v>0</v>
      </c>
      <c r="APF2" s="5">
        <f>IFERROR(VLOOKUP(APF$1,'Working Capital Pesos'!$B$16:$C$18,2,FALSE),0%)</f>
        <v>0</v>
      </c>
      <c r="APG2" s="5">
        <f>IFERROR(VLOOKUP(APG$1,'Working Capital Pesos'!$B$16:$C$18,2,FALSE),0%)</f>
        <v>0</v>
      </c>
      <c r="APH2" s="5">
        <f>IFERROR(VLOOKUP(APH$1,'Working Capital Pesos'!$B$16:$C$18,2,FALSE),0%)</f>
        <v>0</v>
      </c>
      <c r="API2" s="5">
        <f>IFERROR(VLOOKUP(API$1,'Working Capital Pesos'!$B$16:$C$18,2,FALSE),0%)</f>
        <v>0</v>
      </c>
      <c r="APJ2" s="5">
        <f>IFERROR(VLOOKUP(APJ$1,'Working Capital Pesos'!$B$16:$C$18,2,FALSE),0%)</f>
        <v>0</v>
      </c>
      <c r="APK2" s="5">
        <f>IFERROR(VLOOKUP(APK$1,'Working Capital Pesos'!$B$16:$C$18,2,FALSE),0%)</f>
        <v>0</v>
      </c>
      <c r="APL2" s="5">
        <f>IFERROR(VLOOKUP(APL$1,'Working Capital Pesos'!$B$16:$C$18,2,FALSE),0%)</f>
        <v>0</v>
      </c>
      <c r="APM2" s="5">
        <f>IFERROR(VLOOKUP(APM$1,'Working Capital Pesos'!$B$16:$C$18,2,FALSE),0%)</f>
        <v>0</v>
      </c>
      <c r="APN2" s="5">
        <f>IFERROR(VLOOKUP(APN$1,'Working Capital Pesos'!$B$16:$C$18,2,FALSE),0%)</f>
        <v>0</v>
      </c>
      <c r="APO2" s="5">
        <f>IFERROR(VLOOKUP(APO$1,'Working Capital Pesos'!$B$16:$C$18,2,FALSE),0%)</f>
        <v>0</v>
      </c>
      <c r="APP2" s="5">
        <f>IFERROR(VLOOKUP(APP$1,'Working Capital Pesos'!$B$16:$C$18,2,FALSE),0%)</f>
        <v>0</v>
      </c>
      <c r="APQ2" s="5">
        <f>IFERROR(VLOOKUP(APQ$1,'Working Capital Pesos'!$B$16:$C$18,2,FALSE),0%)</f>
        <v>0</v>
      </c>
      <c r="APR2" s="5">
        <f>IFERROR(VLOOKUP(APR$1,'Working Capital Pesos'!$B$16:$C$18,2,FALSE),0%)</f>
        <v>0</v>
      </c>
      <c r="APS2" s="5">
        <f>IFERROR(VLOOKUP(APS$1,'Working Capital Pesos'!$B$16:$C$18,2,FALSE),0%)</f>
        <v>0</v>
      </c>
      <c r="APT2" s="5">
        <f>IFERROR(VLOOKUP(APT$1,'Working Capital Pesos'!$B$16:$C$18,2,FALSE),0%)</f>
        <v>0</v>
      </c>
      <c r="APU2" s="5">
        <f>IFERROR(VLOOKUP(APU$1,'Working Capital Pesos'!$B$16:$C$18,2,FALSE),0%)</f>
        <v>0</v>
      </c>
      <c r="APV2" s="5">
        <f>IFERROR(VLOOKUP(APV$1,'Working Capital Pesos'!$B$16:$C$18,2,FALSE),0%)</f>
        <v>0</v>
      </c>
      <c r="APW2" s="5">
        <f>IFERROR(VLOOKUP(APW$1,'Working Capital Pesos'!$B$16:$C$18,2,FALSE),0%)</f>
        <v>0</v>
      </c>
      <c r="APX2" s="5">
        <f>IFERROR(VLOOKUP(APX$1,'Working Capital Pesos'!$B$16:$C$18,2,FALSE),0%)</f>
        <v>0</v>
      </c>
      <c r="APY2" s="5">
        <f>IFERROR(VLOOKUP(APY$1,'Working Capital Pesos'!$B$16:$C$18,2,FALSE),0%)</f>
        <v>0</v>
      </c>
      <c r="APZ2" s="5">
        <f>IFERROR(VLOOKUP(APZ$1,'Working Capital Pesos'!$B$16:$C$18,2,FALSE),0%)</f>
        <v>0</v>
      </c>
      <c r="AQA2" s="5">
        <f>IFERROR(VLOOKUP(AQA$1,'Working Capital Pesos'!$B$16:$C$18,2,FALSE),0%)</f>
        <v>0</v>
      </c>
      <c r="AQB2" s="5">
        <f>IFERROR(VLOOKUP(AQB$1,'Working Capital Pesos'!$B$16:$C$18,2,FALSE),0%)</f>
        <v>0</v>
      </c>
      <c r="AQC2" s="5">
        <f>IFERROR(VLOOKUP(AQC$1,'Working Capital Pesos'!$B$16:$C$18,2,FALSE),0%)</f>
        <v>0</v>
      </c>
      <c r="AQD2" s="5">
        <f>IFERROR(VLOOKUP(AQD$1,'Working Capital Pesos'!$B$16:$C$18,2,FALSE),0%)</f>
        <v>0</v>
      </c>
      <c r="AQE2" s="5">
        <f>IFERROR(VLOOKUP(AQE$1,'Working Capital Pesos'!$B$16:$C$18,2,FALSE),0%)</f>
        <v>0</v>
      </c>
      <c r="AQF2" s="5">
        <f>IFERROR(VLOOKUP(AQF$1,'Working Capital Pesos'!$B$16:$C$18,2,FALSE),0%)</f>
        <v>0</v>
      </c>
      <c r="AQG2" s="5">
        <f>IFERROR(VLOOKUP(AQG$1,'Working Capital Pesos'!$B$16:$C$18,2,FALSE),0%)</f>
        <v>0</v>
      </c>
      <c r="AQH2" s="5">
        <f>IFERROR(VLOOKUP(AQH$1,'Working Capital Pesos'!$B$16:$C$18,2,FALSE),0%)</f>
        <v>0</v>
      </c>
      <c r="AQI2" s="5">
        <f>IFERROR(VLOOKUP(AQI$1,'Working Capital Pesos'!$B$16:$C$18,2,FALSE),0%)</f>
        <v>0</v>
      </c>
      <c r="AQJ2" s="5">
        <f>IFERROR(VLOOKUP(AQJ$1,'Working Capital Pesos'!$B$16:$C$18,2,FALSE),0%)</f>
        <v>0</v>
      </c>
      <c r="AQK2" s="5">
        <f>IFERROR(VLOOKUP(AQK$1,'Working Capital Pesos'!$B$16:$C$18,2,FALSE),0%)</f>
        <v>0</v>
      </c>
      <c r="AQL2" s="5">
        <f>IFERROR(VLOOKUP(AQL$1,'Working Capital Pesos'!$B$16:$C$18,2,FALSE),0%)</f>
        <v>0</v>
      </c>
      <c r="AQM2" s="5">
        <f>IFERROR(VLOOKUP(AQM$1,'Working Capital Pesos'!$B$16:$C$18,2,FALSE),0%)</f>
        <v>0</v>
      </c>
      <c r="AQN2" s="5">
        <f>IFERROR(VLOOKUP(AQN$1,'Working Capital Pesos'!$B$16:$C$18,2,FALSE),0%)</f>
        <v>0</v>
      </c>
      <c r="AQO2" s="5">
        <f>IFERROR(VLOOKUP(AQO$1,'Working Capital Pesos'!$B$16:$C$18,2,FALSE),0%)</f>
        <v>0</v>
      </c>
      <c r="AQP2" s="5">
        <f>IFERROR(VLOOKUP(AQP$1,'Working Capital Pesos'!$B$16:$C$18,2,FALSE),0%)</f>
        <v>0</v>
      </c>
      <c r="AQQ2" s="5">
        <f>IFERROR(VLOOKUP(AQQ$1,'Working Capital Pesos'!$B$16:$C$18,2,FALSE),0%)</f>
        <v>0</v>
      </c>
      <c r="AQR2" s="5">
        <f>IFERROR(VLOOKUP(AQR$1,'Working Capital Pesos'!$B$16:$C$18,2,FALSE),0%)</f>
        <v>0</v>
      </c>
      <c r="AQS2" s="5">
        <f>IFERROR(VLOOKUP(AQS$1,'Working Capital Pesos'!$B$16:$C$18,2,FALSE),0%)</f>
        <v>0</v>
      </c>
      <c r="AQT2" s="5">
        <f>IFERROR(VLOOKUP(AQT$1,'Working Capital Pesos'!$B$16:$C$18,2,FALSE),0%)</f>
        <v>0</v>
      </c>
      <c r="AQU2" s="5">
        <f>IFERROR(VLOOKUP(AQU$1,'Working Capital Pesos'!$B$16:$C$18,2,FALSE),0%)</f>
        <v>0</v>
      </c>
      <c r="AQV2" s="5">
        <f>IFERROR(VLOOKUP(AQV$1,'Working Capital Pesos'!$B$16:$C$18,2,FALSE),0%)</f>
        <v>0</v>
      </c>
      <c r="AQW2" s="5">
        <f>IFERROR(VLOOKUP(AQW$1,'Working Capital Pesos'!$B$16:$C$18,2,FALSE),0%)</f>
        <v>0</v>
      </c>
      <c r="AQX2" s="5">
        <f>IFERROR(VLOOKUP(AQX$1,'Working Capital Pesos'!$B$16:$C$18,2,FALSE),0%)</f>
        <v>0</v>
      </c>
      <c r="AQY2" s="5">
        <f>IFERROR(VLOOKUP(AQY$1,'Working Capital Pesos'!$B$16:$C$18,2,FALSE),0%)</f>
        <v>0</v>
      </c>
      <c r="AQZ2" s="5">
        <f>IFERROR(VLOOKUP(AQZ$1,'Working Capital Pesos'!$B$16:$C$18,2,FALSE),0%)</f>
        <v>0</v>
      </c>
      <c r="ARA2" s="5">
        <f>IFERROR(VLOOKUP(ARA$1,'Working Capital Pesos'!$B$16:$C$18,2,FALSE),0%)</f>
        <v>0</v>
      </c>
      <c r="ARB2" s="5">
        <f>IFERROR(VLOOKUP(ARB$1,'Working Capital Pesos'!$B$16:$C$18,2,FALSE),0%)</f>
        <v>0</v>
      </c>
      <c r="ARC2" s="5">
        <f>IFERROR(VLOOKUP(ARC$1,'Working Capital Pesos'!$B$16:$C$18,2,FALSE),0%)</f>
        <v>0</v>
      </c>
      <c r="ARD2" s="5">
        <f>IFERROR(VLOOKUP(ARD$1,'Working Capital Pesos'!$B$16:$C$18,2,FALSE),0%)</f>
        <v>0</v>
      </c>
      <c r="ARE2" s="5">
        <f>IFERROR(VLOOKUP(ARE$1,'Working Capital Pesos'!$B$16:$C$18,2,FALSE),0%)</f>
        <v>0</v>
      </c>
      <c r="ARF2" s="5">
        <f>IFERROR(VLOOKUP(ARF$1,'Working Capital Pesos'!$B$16:$C$18,2,FALSE),0%)</f>
        <v>0</v>
      </c>
      <c r="ARG2" s="5">
        <f>IFERROR(VLOOKUP(ARG$1,'Working Capital Pesos'!$B$16:$C$18,2,FALSE),0%)</f>
        <v>0</v>
      </c>
      <c r="ARH2" s="5">
        <f>IFERROR(VLOOKUP(ARH$1,'Working Capital Pesos'!$B$16:$C$18,2,FALSE),0%)</f>
        <v>0</v>
      </c>
      <c r="ARI2" s="5">
        <f>IFERROR(VLOOKUP(ARI$1,'Working Capital Pesos'!$B$16:$C$18,2,FALSE),0%)</f>
        <v>0</v>
      </c>
      <c r="ARJ2" s="5">
        <f>IFERROR(VLOOKUP(ARJ$1,'Working Capital Pesos'!$B$16:$C$18,2,FALSE),0%)</f>
        <v>0</v>
      </c>
      <c r="ARK2" s="5">
        <f>IFERROR(VLOOKUP(ARK$1,'Working Capital Pesos'!$B$16:$C$18,2,FALSE),0%)</f>
        <v>0</v>
      </c>
      <c r="ARL2" s="5">
        <f>IFERROR(VLOOKUP(ARL$1,'Working Capital Pesos'!$B$16:$C$18,2,FALSE),0%)</f>
        <v>0</v>
      </c>
      <c r="ARM2" s="5">
        <f>IFERROR(VLOOKUP(ARM$1,'Working Capital Pesos'!$B$16:$C$18,2,FALSE),0%)</f>
        <v>0</v>
      </c>
      <c r="ARN2" s="5">
        <f>IFERROR(VLOOKUP(ARN$1,'Working Capital Pesos'!$B$16:$C$18,2,FALSE),0%)</f>
        <v>0</v>
      </c>
      <c r="ARO2" s="5">
        <f>IFERROR(VLOOKUP(ARO$1,'Working Capital Pesos'!$B$16:$C$18,2,FALSE),0%)</f>
        <v>0</v>
      </c>
      <c r="ARP2" s="5">
        <f>IFERROR(VLOOKUP(ARP$1,'Working Capital Pesos'!$B$16:$C$18,2,FALSE),0%)</f>
        <v>0</v>
      </c>
      <c r="ARQ2" s="5">
        <f>IFERROR(VLOOKUP(ARQ$1,'Working Capital Pesos'!$B$16:$C$18,2,FALSE),0%)</f>
        <v>0</v>
      </c>
      <c r="ARR2" s="5">
        <f>IFERROR(VLOOKUP(ARR$1,'Working Capital Pesos'!$B$16:$C$18,2,FALSE),0%)</f>
        <v>0</v>
      </c>
      <c r="ARS2" s="5">
        <f>IFERROR(VLOOKUP(ARS$1,'Working Capital Pesos'!$B$16:$C$18,2,FALSE),0%)</f>
        <v>0</v>
      </c>
      <c r="ART2" s="5">
        <f>IFERROR(VLOOKUP(ART$1,'Working Capital Pesos'!$B$16:$C$18,2,FALSE),0%)</f>
        <v>0</v>
      </c>
      <c r="ARU2" s="5">
        <f>IFERROR(VLOOKUP(ARU$1,'Working Capital Pesos'!$B$16:$C$18,2,FALSE),0%)</f>
        <v>0</v>
      </c>
      <c r="ARV2" s="5">
        <f>IFERROR(VLOOKUP(ARV$1,'Working Capital Pesos'!$B$16:$C$18,2,FALSE),0%)</f>
        <v>0</v>
      </c>
      <c r="ARW2" s="5">
        <f>IFERROR(VLOOKUP(ARW$1,'Working Capital Pesos'!$B$16:$C$18,2,FALSE),0%)</f>
        <v>0</v>
      </c>
      <c r="ARX2" s="5">
        <f>IFERROR(VLOOKUP(ARX$1,'Working Capital Pesos'!$B$16:$C$18,2,FALSE),0%)</f>
        <v>0</v>
      </c>
      <c r="ARY2" s="5">
        <f>IFERROR(VLOOKUP(ARY$1,'Working Capital Pesos'!$B$16:$C$18,2,FALSE),0%)</f>
        <v>0</v>
      </c>
      <c r="ARZ2" s="5">
        <f>IFERROR(VLOOKUP(ARZ$1,'Working Capital Pesos'!$B$16:$C$18,2,FALSE),0%)</f>
        <v>0</v>
      </c>
      <c r="ASA2" s="5">
        <f>IFERROR(VLOOKUP(ASA$1,'Working Capital Pesos'!$B$16:$C$18,2,FALSE),0%)</f>
        <v>0</v>
      </c>
      <c r="ASB2" s="5">
        <f>IFERROR(VLOOKUP(ASB$1,'Working Capital Pesos'!$B$16:$C$18,2,FALSE),0%)</f>
        <v>0</v>
      </c>
      <c r="ASC2" s="5">
        <f>IFERROR(VLOOKUP(ASC$1,'Working Capital Pesos'!$B$16:$C$18,2,FALSE),0%)</f>
        <v>0</v>
      </c>
      <c r="ASD2" s="5">
        <f>IFERROR(VLOOKUP(ASD$1,'Working Capital Pesos'!$B$16:$C$18,2,FALSE),0%)</f>
        <v>0</v>
      </c>
      <c r="ASE2" s="5">
        <f>IFERROR(VLOOKUP(ASE$1,'Working Capital Pesos'!$B$16:$C$18,2,FALSE),0%)</f>
        <v>0</v>
      </c>
      <c r="ASF2" s="5">
        <f>IFERROR(VLOOKUP(ASF$1,'Working Capital Pesos'!$B$16:$C$18,2,FALSE),0%)</f>
        <v>0</v>
      </c>
      <c r="ASG2" s="5">
        <f>IFERROR(VLOOKUP(ASG$1,'Working Capital Pesos'!$B$16:$C$18,2,FALSE),0%)</f>
        <v>0</v>
      </c>
      <c r="ASH2" s="5">
        <f>IFERROR(VLOOKUP(ASH$1,'Working Capital Pesos'!$B$16:$C$18,2,FALSE),0%)</f>
        <v>0</v>
      </c>
      <c r="ASI2" s="5">
        <f>IFERROR(VLOOKUP(ASI$1,'Working Capital Pesos'!$B$16:$C$18,2,FALSE),0%)</f>
        <v>0</v>
      </c>
      <c r="ASJ2" s="5">
        <f>IFERROR(VLOOKUP(ASJ$1,'Working Capital Pesos'!$B$16:$C$18,2,FALSE),0%)</f>
        <v>0</v>
      </c>
      <c r="ASK2" s="5">
        <f>IFERROR(VLOOKUP(ASK$1,'Working Capital Pesos'!$B$16:$C$18,2,FALSE),0%)</f>
        <v>0</v>
      </c>
      <c r="ASL2" s="5">
        <f>IFERROR(VLOOKUP(ASL$1,'Working Capital Pesos'!$B$16:$C$18,2,FALSE),0%)</f>
        <v>0</v>
      </c>
      <c r="ASM2" s="5">
        <f>IFERROR(VLOOKUP(ASM$1,'Working Capital Pesos'!$B$16:$C$18,2,FALSE),0%)</f>
        <v>0</v>
      </c>
      <c r="ASN2" s="5">
        <f>IFERROR(VLOOKUP(ASN$1,'Working Capital Pesos'!$B$16:$C$18,2,FALSE),0%)</f>
        <v>0</v>
      </c>
      <c r="ASO2" s="5">
        <f>IFERROR(VLOOKUP(ASO$1,'Working Capital Pesos'!$B$16:$C$18,2,FALSE),0%)</f>
        <v>0</v>
      </c>
      <c r="ASP2" s="5">
        <f>IFERROR(VLOOKUP(ASP$1,'Working Capital Pesos'!$B$16:$C$18,2,FALSE),0%)</f>
        <v>0</v>
      </c>
      <c r="ASQ2" s="5">
        <f>IFERROR(VLOOKUP(ASQ$1,'Working Capital Pesos'!$B$16:$C$18,2,FALSE),0%)</f>
        <v>0</v>
      </c>
      <c r="ASR2" s="5">
        <f>IFERROR(VLOOKUP(ASR$1,'Working Capital Pesos'!$B$16:$C$18,2,FALSE),0%)</f>
        <v>0</v>
      </c>
      <c r="ASS2" s="5">
        <f>IFERROR(VLOOKUP(ASS$1,'Working Capital Pesos'!$B$16:$C$18,2,FALSE),0%)</f>
        <v>0</v>
      </c>
      <c r="AST2" s="5">
        <f>IFERROR(VLOOKUP(AST$1,'Working Capital Pesos'!$B$16:$C$18,2,FALSE),0%)</f>
        <v>0</v>
      </c>
      <c r="ASU2" s="5">
        <f>IFERROR(VLOOKUP(ASU$1,'Working Capital Pesos'!$B$16:$C$18,2,FALSE),0%)</f>
        <v>0</v>
      </c>
      <c r="ASV2" s="5">
        <f>IFERROR(VLOOKUP(ASV$1,'Working Capital Pesos'!$B$16:$C$18,2,FALSE),0%)</f>
        <v>0</v>
      </c>
      <c r="ASW2" s="5">
        <f>IFERROR(VLOOKUP(ASW$1,'Working Capital Pesos'!$B$16:$C$18,2,FALSE),0%)</f>
        <v>0</v>
      </c>
      <c r="ASX2" s="5">
        <f>IFERROR(VLOOKUP(ASX$1,'Working Capital Pesos'!$B$16:$C$18,2,FALSE),0%)</f>
        <v>0</v>
      </c>
      <c r="ASY2" s="5">
        <f>IFERROR(VLOOKUP(ASY$1,'Working Capital Pesos'!$B$16:$C$18,2,FALSE),0%)</f>
        <v>0</v>
      </c>
      <c r="ASZ2" s="5">
        <f>IFERROR(VLOOKUP(ASZ$1,'Working Capital Pesos'!$B$16:$C$18,2,FALSE),0%)</f>
        <v>0</v>
      </c>
      <c r="ATA2" s="5">
        <f>IFERROR(VLOOKUP(ATA$1,'Working Capital Pesos'!$B$16:$C$18,2,FALSE),0%)</f>
        <v>0</v>
      </c>
      <c r="ATB2" s="5">
        <f>IFERROR(VLOOKUP(ATB$1,'Working Capital Pesos'!$B$16:$C$18,2,FALSE),0%)</f>
        <v>0</v>
      </c>
      <c r="ATC2" s="5">
        <f>IFERROR(VLOOKUP(ATC$1,'Working Capital Pesos'!$B$16:$C$18,2,FALSE),0%)</f>
        <v>0</v>
      </c>
      <c r="ATD2" s="5">
        <f>IFERROR(VLOOKUP(ATD$1,'Working Capital Pesos'!$B$16:$C$18,2,FALSE),0%)</f>
        <v>0</v>
      </c>
      <c r="ATE2" s="5">
        <f>IFERROR(VLOOKUP(ATE$1,'Working Capital Pesos'!$B$16:$C$18,2,FALSE),0%)</f>
        <v>0</v>
      </c>
      <c r="ATF2" s="5">
        <f>IFERROR(VLOOKUP(ATF$1,'Working Capital Pesos'!$B$16:$C$18,2,FALSE),0%)</f>
        <v>0</v>
      </c>
      <c r="ATG2" s="5">
        <f>IFERROR(VLOOKUP(ATG$1,'Working Capital Pesos'!$B$16:$C$18,2,FALSE),0%)</f>
        <v>0</v>
      </c>
      <c r="ATH2" s="5">
        <f>IFERROR(VLOOKUP(ATH$1,'Working Capital Pesos'!$B$16:$C$18,2,FALSE),0%)</f>
        <v>0</v>
      </c>
      <c r="ATI2" s="5">
        <f>IFERROR(VLOOKUP(ATI$1,'Working Capital Pesos'!$B$16:$C$18,2,FALSE),0%)</f>
        <v>0</v>
      </c>
      <c r="ATJ2" s="5">
        <f>IFERROR(VLOOKUP(ATJ$1,'Working Capital Pesos'!$B$16:$C$18,2,FALSE),0%)</f>
        <v>0</v>
      </c>
      <c r="ATK2" s="5">
        <f>IFERROR(VLOOKUP(ATK$1,'Working Capital Pesos'!$B$16:$C$18,2,FALSE),0%)</f>
        <v>0</v>
      </c>
      <c r="ATL2" s="5">
        <f>IFERROR(VLOOKUP(ATL$1,'Working Capital Pesos'!$B$16:$C$18,2,FALSE),0%)</f>
        <v>0</v>
      </c>
      <c r="ATM2" s="5">
        <f>IFERROR(VLOOKUP(ATM$1,'Working Capital Pesos'!$B$16:$C$18,2,FALSE),0%)</f>
        <v>0</v>
      </c>
      <c r="ATN2" s="5">
        <f>IFERROR(VLOOKUP(ATN$1,'Working Capital Pesos'!$B$16:$C$18,2,FALSE),0%)</f>
        <v>0</v>
      </c>
      <c r="ATO2" s="5">
        <f>IFERROR(VLOOKUP(ATO$1,'Working Capital Pesos'!$B$16:$C$18,2,FALSE),0%)</f>
        <v>0</v>
      </c>
      <c r="ATP2" s="5">
        <f>IFERROR(VLOOKUP(ATP$1,'Working Capital Pesos'!$B$16:$C$18,2,FALSE),0%)</f>
        <v>0</v>
      </c>
      <c r="ATQ2" s="5">
        <f>IFERROR(VLOOKUP(ATQ$1,'Working Capital Pesos'!$B$16:$C$18,2,FALSE),0%)</f>
        <v>0</v>
      </c>
      <c r="ATR2" s="5">
        <f>IFERROR(VLOOKUP(ATR$1,'Working Capital Pesos'!$B$16:$C$18,2,FALSE),0%)</f>
        <v>0</v>
      </c>
      <c r="ATS2" s="5">
        <f>IFERROR(VLOOKUP(ATS$1,'Working Capital Pesos'!$B$16:$C$18,2,FALSE),0%)</f>
        <v>0</v>
      </c>
      <c r="ATT2" s="5">
        <f>IFERROR(VLOOKUP(ATT$1,'Working Capital Pesos'!$B$16:$C$18,2,FALSE),0%)</f>
        <v>0</v>
      </c>
      <c r="ATU2" s="5">
        <f>IFERROR(VLOOKUP(ATU$1,'Working Capital Pesos'!$B$16:$C$18,2,FALSE),0%)</f>
        <v>0</v>
      </c>
      <c r="ATV2" s="5">
        <f>IFERROR(VLOOKUP(ATV$1,'Working Capital Pesos'!$B$16:$C$18,2,FALSE),0%)</f>
        <v>0</v>
      </c>
      <c r="ATW2" s="5">
        <f>IFERROR(VLOOKUP(ATW$1,'Working Capital Pesos'!$B$16:$C$18,2,FALSE),0%)</f>
        <v>0</v>
      </c>
      <c r="ATX2" s="5">
        <f>IFERROR(VLOOKUP(ATX$1,'Working Capital Pesos'!$B$16:$C$18,2,FALSE),0%)</f>
        <v>0</v>
      </c>
      <c r="ATY2" s="5">
        <f>IFERROR(VLOOKUP(ATY$1,'Working Capital Pesos'!$B$16:$C$18,2,FALSE),0%)</f>
        <v>0</v>
      </c>
      <c r="ATZ2" s="5">
        <f>IFERROR(VLOOKUP(ATZ$1,'Working Capital Pesos'!$B$16:$C$18,2,FALSE),0%)</f>
        <v>0</v>
      </c>
      <c r="AUA2" s="5">
        <f>IFERROR(VLOOKUP(AUA$1,'Working Capital Pesos'!$B$16:$C$18,2,FALSE),0%)</f>
        <v>0</v>
      </c>
      <c r="AUB2" s="5">
        <f>IFERROR(VLOOKUP(AUB$1,'Working Capital Pesos'!$B$16:$C$18,2,FALSE),0%)</f>
        <v>0</v>
      </c>
      <c r="AUC2" s="5">
        <f>IFERROR(VLOOKUP(AUC$1,'Working Capital Pesos'!$B$16:$C$18,2,FALSE),0%)</f>
        <v>0</v>
      </c>
      <c r="AUD2" s="5">
        <f>IFERROR(VLOOKUP(AUD$1,'Working Capital Pesos'!$B$16:$C$18,2,FALSE),0%)</f>
        <v>0</v>
      </c>
      <c r="AUE2" s="5">
        <f>IFERROR(VLOOKUP(AUE$1,'Working Capital Pesos'!$B$16:$C$18,2,FALSE),0%)</f>
        <v>0</v>
      </c>
      <c r="AUF2" s="5">
        <f>IFERROR(VLOOKUP(AUF$1,'Working Capital Pesos'!$B$16:$C$18,2,FALSE),0%)</f>
        <v>0</v>
      </c>
      <c r="AUG2" s="5">
        <f>IFERROR(VLOOKUP(AUG$1,'Working Capital Pesos'!$B$16:$C$18,2,FALSE),0%)</f>
        <v>0</v>
      </c>
      <c r="AUH2" s="5">
        <f>IFERROR(VLOOKUP(AUH$1,'Working Capital Pesos'!$B$16:$C$18,2,FALSE),0%)</f>
        <v>0</v>
      </c>
      <c r="AUI2" s="5">
        <f>IFERROR(VLOOKUP(AUI$1,'Working Capital Pesos'!$B$16:$C$18,2,FALSE),0%)</f>
        <v>0</v>
      </c>
      <c r="AUJ2" s="5">
        <f>IFERROR(VLOOKUP(AUJ$1,'Working Capital Pesos'!$B$16:$C$18,2,FALSE),0%)</f>
        <v>0</v>
      </c>
      <c r="AUK2" s="5">
        <f>IFERROR(VLOOKUP(AUK$1,'Working Capital Pesos'!$B$16:$C$18,2,FALSE),0%)</f>
        <v>0</v>
      </c>
      <c r="AUL2" s="5">
        <f>IFERROR(VLOOKUP(AUL$1,'Working Capital Pesos'!$B$16:$C$18,2,FALSE),0%)</f>
        <v>0</v>
      </c>
      <c r="AUM2" s="5">
        <f>IFERROR(VLOOKUP(AUM$1,'Working Capital Pesos'!$B$16:$C$18,2,FALSE),0%)</f>
        <v>0</v>
      </c>
      <c r="AUN2" s="5">
        <f>IFERROR(VLOOKUP(AUN$1,'Working Capital Pesos'!$B$16:$C$18,2,FALSE),0%)</f>
        <v>0</v>
      </c>
      <c r="AUO2" s="5">
        <f>IFERROR(VLOOKUP(AUO$1,'Working Capital Pesos'!$B$16:$C$18,2,FALSE),0%)</f>
        <v>0</v>
      </c>
      <c r="AUP2" s="5">
        <f>IFERROR(VLOOKUP(AUP$1,'Working Capital Pesos'!$B$16:$C$18,2,FALSE),0%)</f>
        <v>0</v>
      </c>
      <c r="AUQ2" s="5">
        <f>IFERROR(VLOOKUP(AUQ$1,'Working Capital Pesos'!$B$16:$C$18,2,FALSE),0%)</f>
        <v>0</v>
      </c>
      <c r="AUR2" s="5">
        <f>IFERROR(VLOOKUP(AUR$1,'Working Capital Pesos'!$B$16:$C$18,2,FALSE),0%)</f>
        <v>0</v>
      </c>
      <c r="AUS2" s="5">
        <f>IFERROR(VLOOKUP(AUS$1,'Working Capital Pesos'!$B$16:$C$18,2,FALSE),0%)</f>
        <v>0</v>
      </c>
      <c r="AUT2" s="5">
        <f>IFERROR(VLOOKUP(AUT$1,'Working Capital Pesos'!$B$16:$C$18,2,FALSE),0%)</f>
        <v>0</v>
      </c>
      <c r="AUU2" s="5">
        <f>IFERROR(VLOOKUP(AUU$1,'Working Capital Pesos'!$B$16:$C$18,2,FALSE),0%)</f>
        <v>0</v>
      </c>
      <c r="AUV2" s="5">
        <f>IFERROR(VLOOKUP(AUV$1,'Working Capital Pesos'!$B$16:$C$18,2,FALSE),0%)</f>
        <v>0</v>
      </c>
      <c r="AUW2" s="5">
        <f>IFERROR(VLOOKUP(AUW$1,'Working Capital Pesos'!$B$16:$C$18,2,FALSE),0%)</f>
        <v>0</v>
      </c>
      <c r="AUX2" s="5">
        <f>IFERROR(VLOOKUP(AUX$1,'Working Capital Pesos'!$B$16:$C$18,2,FALSE),0%)</f>
        <v>0</v>
      </c>
      <c r="AUY2" s="5">
        <f>IFERROR(VLOOKUP(AUY$1,'Working Capital Pesos'!$B$16:$C$18,2,FALSE),0%)</f>
        <v>0</v>
      </c>
      <c r="AUZ2" s="5">
        <f>IFERROR(VLOOKUP(AUZ$1,'Working Capital Pesos'!$B$16:$C$18,2,FALSE),0%)</f>
        <v>0</v>
      </c>
      <c r="AVA2" s="5">
        <f>IFERROR(VLOOKUP(AVA$1,'Working Capital Pesos'!$B$16:$C$18,2,FALSE),0%)</f>
        <v>0</v>
      </c>
      <c r="AVB2" s="5">
        <f>IFERROR(VLOOKUP(AVB$1,'Working Capital Pesos'!$B$16:$C$18,2,FALSE),0%)</f>
        <v>0</v>
      </c>
      <c r="AVC2" s="5">
        <f>IFERROR(VLOOKUP(AVC$1,'Working Capital Pesos'!$B$16:$C$18,2,FALSE),0%)</f>
        <v>0</v>
      </c>
      <c r="AVD2" s="5">
        <f>IFERROR(VLOOKUP(AVD$1,'Working Capital Pesos'!$B$16:$C$18,2,FALSE),0%)</f>
        <v>0</v>
      </c>
      <c r="AVE2" s="5">
        <f>IFERROR(VLOOKUP(AVE$1,'Working Capital Pesos'!$B$16:$C$18,2,FALSE),0%)</f>
        <v>0</v>
      </c>
      <c r="AVF2" s="5">
        <f>IFERROR(VLOOKUP(AVF$1,'Working Capital Pesos'!$B$16:$C$18,2,FALSE),0%)</f>
        <v>0</v>
      </c>
      <c r="AVG2" s="5">
        <f>IFERROR(VLOOKUP(AVG$1,'Working Capital Pesos'!$B$16:$C$18,2,FALSE),0%)</f>
        <v>0</v>
      </c>
      <c r="AVH2" s="5">
        <f>IFERROR(VLOOKUP(AVH$1,'Working Capital Pesos'!$B$16:$C$18,2,FALSE),0%)</f>
        <v>0</v>
      </c>
      <c r="AVI2" s="5">
        <f>IFERROR(VLOOKUP(AVI$1,'Working Capital Pesos'!$B$16:$C$18,2,FALSE),0%)</f>
        <v>0</v>
      </c>
      <c r="AVJ2" s="5">
        <f>IFERROR(VLOOKUP(AVJ$1,'Working Capital Pesos'!$B$16:$C$18,2,FALSE),0%)</f>
        <v>0</v>
      </c>
      <c r="AVK2" s="5">
        <f>IFERROR(VLOOKUP(AVK$1,'Working Capital Pesos'!$B$16:$C$18,2,FALSE),0%)</f>
        <v>0</v>
      </c>
      <c r="AVL2" s="5">
        <f>IFERROR(VLOOKUP(AVL$1,'Working Capital Pesos'!$B$16:$C$18,2,FALSE),0%)</f>
        <v>0</v>
      </c>
      <c r="AVM2" s="5">
        <f>IFERROR(VLOOKUP(AVM$1,'Working Capital Pesos'!$B$16:$C$18,2,FALSE),0%)</f>
        <v>0</v>
      </c>
      <c r="AVN2" s="5">
        <f>IFERROR(VLOOKUP(AVN$1,'Working Capital Pesos'!$B$16:$C$18,2,FALSE),0%)</f>
        <v>0</v>
      </c>
      <c r="AVO2" s="5">
        <f>IFERROR(VLOOKUP(AVO$1,'Working Capital Pesos'!$B$16:$C$18,2,FALSE),0%)</f>
        <v>0</v>
      </c>
      <c r="AVP2" s="5">
        <f>IFERROR(VLOOKUP(AVP$1,'Working Capital Pesos'!$B$16:$C$18,2,FALSE),0%)</f>
        <v>0</v>
      </c>
      <c r="AVQ2" s="5">
        <f>IFERROR(VLOOKUP(AVQ$1,'Working Capital Pesos'!$B$16:$C$18,2,FALSE),0%)</f>
        <v>0</v>
      </c>
      <c r="AVR2" s="5">
        <f>IFERROR(VLOOKUP(AVR$1,'Working Capital Pesos'!$B$16:$C$18,2,FALSE),0%)</f>
        <v>0</v>
      </c>
      <c r="AVS2" s="5">
        <f>IFERROR(VLOOKUP(AVS$1,'Working Capital Pesos'!$B$16:$C$18,2,FALSE),0%)</f>
        <v>0</v>
      </c>
      <c r="AVT2" s="5">
        <f>IFERROR(VLOOKUP(AVT$1,'Working Capital Pesos'!$B$16:$C$18,2,FALSE),0%)</f>
        <v>0</v>
      </c>
      <c r="AVU2" s="5">
        <f>IFERROR(VLOOKUP(AVU$1,'Working Capital Pesos'!$B$16:$C$18,2,FALSE),0%)</f>
        <v>0</v>
      </c>
      <c r="AVV2" s="5">
        <f>IFERROR(VLOOKUP(AVV$1,'Working Capital Pesos'!$B$16:$C$18,2,FALSE),0%)</f>
        <v>0</v>
      </c>
      <c r="AVW2" s="5">
        <f>IFERROR(VLOOKUP(AVW$1,'Working Capital Pesos'!$B$16:$C$18,2,FALSE),0%)</f>
        <v>0</v>
      </c>
      <c r="AVX2" s="5">
        <f>IFERROR(VLOOKUP(AVX$1,'Working Capital Pesos'!$B$16:$C$18,2,FALSE),0%)</f>
        <v>0</v>
      </c>
      <c r="AVY2" s="5">
        <f>IFERROR(VLOOKUP(AVY$1,'Working Capital Pesos'!$B$16:$C$18,2,FALSE),0%)</f>
        <v>0</v>
      </c>
      <c r="AVZ2" s="5">
        <f>IFERROR(VLOOKUP(AVZ$1,'Working Capital Pesos'!$B$16:$C$18,2,FALSE),0%)</f>
        <v>0</v>
      </c>
      <c r="AWA2" s="5">
        <f>IFERROR(VLOOKUP(AWA$1,'Working Capital Pesos'!$B$16:$C$18,2,FALSE),0%)</f>
        <v>0</v>
      </c>
      <c r="AWB2" s="5">
        <f>IFERROR(VLOOKUP(AWB$1,'Working Capital Pesos'!$B$16:$C$18,2,FALSE),0%)</f>
        <v>0</v>
      </c>
      <c r="AWC2" s="5">
        <f>IFERROR(VLOOKUP(AWC$1,'Working Capital Pesos'!$B$16:$C$18,2,FALSE),0%)</f>
        <v>0</v>
      </c>
      <c r="AWD2" s="5">
        <f>IFERROR(VLOOKUP(AWD$1,'Working Capital Pesos'!$B$16:$C$18,2,FALSE),0%)</f>
        <v>0</v>
      </c>
      <c r="AWE2" s="5">
        <f>IFERROR(VLOOKUP(AWE$1,'Working Capital Pesos'!$B$16:$C$18,2,FALSE),0%)</f>
        <v>0</v>
      </c>
      <c r="AWF2" s="5">
        <f>IFERROR(VLOOKUP(AWF$1,'Working Capital Pesos'!$B$16:$C$18,2,FALSE),0%)</f>
        <v>0</v>
      </c>
      <c r="AWG2" s="5">
        <f>IFERROR(VLOOKUP(AWG$1,'Working Capital Pesos'!$B$16:$C$18,2,FALSE),0%)</f>
        <v>0</v>
      </c>
      <c r="AWH2" s="5">
        <f>IFERROR(VLOOKUP(AWH$1,'Working Capital Pesos'!$B$16:$C$18,2,FALSE),0%)</f>
        <v>0</v>
      </c>
      <c r="AWI2" s="5">
        <f>IFERROR(VLOOKUP(AWI$1,'Working Capital Pesos'!$B$16:$C$18,2,FALSE),0%)</f>
        <v>0</v>
      </c>
      <c r="AWJ2" s="5">
        <f>IFERROR(VLOOKUP(AWJ$1,'Working Capital Pesos'!$B$16:$C$18,2,FALSE),0%)</f>
        <v>0</v>
      </c>
      <c r="AWK2" s="5">
        <f>IFERROR(VLOOKUP(AWK$1,'Working Capital Pesos'!$B$16:$C$18,2,FALSE),0%)</f>
        <v>0</v>
      </c>
      <c r="AWL2" s="5">
        <f>IFERROR(VLOOKUP(AWL$1,'Working Capital Pesos'!$B$16:$C$18,2,FALSE),0%)</f>
        <v>0</v>
      </c>
      <c r="AWM2" s="5">
        <f>IFERROR(VLOOKUP(AWM$1,'Working Capital Pesos'!$B$16:$C$18,2,FALSE),0%)</f>
        <v>0</v>
      </c>
      <c r="AWN2" s="5">
        <f>IFERROR(VLOOKUP(AWN$1,'Working Capital Pesos'!$B$16:$C$18,2,FALSE),0%)</f>
        <v>0</v>
      </c>
      <c r="AWO2" s="5">
        <f>IFERROR(VLOOKUP(AWO$1,'Working Capital Pesos'!$B$16:$C$18,2,FALSE),0%)</f>
        <v>0</v>
      </c>
      <c r="AWP2" s="5">
        <f>IFERROR(VLOOKUP(AWP$1,'Working Capital Pesos'!$B$16:$C$18,2,FALSE),0%)</f>
        <v>0</v>
      </c>
      <c r="AWQ2" s="5">
        <f>IFERROR(VLOOKUP(AWQ$1,'Working Capital Pesos'!$B$16:$C$18,2,FALSE),0%)</f>
        <v>0</v>
      </c>
      <c r="AWR2" s="5">
        <f>IFERROR(VLOOKUP(AWR$1,'Working Capital Pesos'!$B$16:$C$18,2,FALSE),0%)</f>
        <v>0</v>
      </c>
      <c r="AWS2" s="5">
        <f>IFERROR(VLOOKUP(AWS$1,'Working Capital Pesos'!$B$16:$C$18,2,FALSE),0%)</f>
        <v>0</v>
      </c>
      <c r="AWT2" s="5">
        <f>IFERROR(VLOOKUP(AWT$1,'Working Capital Pesos'!$B$16:$C$18,2,FALSE),0%)</f>
        <v>0</v>
      </c>
      <c r="AWU2" s="5">
        <f>IFERROR(VLOOKUP(AWU$1,'Working Capital Pesos'!$B$16:$C$18,2,FALSE),0%)</f>
        <v>0</v>
      </c>
      <c r="AWV2" s="5">
        <f>IFERROR(VLOOKUP(AWV$1,'Working Capital Pesos'!$B$16:$C$18,2,FALSE),0%)</f>
        <v>0</v>
      </c>
      <c r="AWW2" s="5">
        <f>IFERROR(VLOOKUP(AWW$1,'Working Capital Pesos'!$B$16:$C$18,2,FALSE),0%)</f>
        <v>0</v>
      </c>
      <c r="AWX2" s="5">
        <f>IFERROR(VLOOKUP(AWX$1,'Working Capital Pesos'!$B$16:$C$18,2,FALSE),0%)</f>
        <v>0</v>
      </c>
      <c r="AWY2" s="5">
        <f>IFERROR(VLOOKUP(AWY$1,'Working Capital Pesos'!$B$16:$C$18,2,FALSE),0%)</f>
        <v>0</v>
      </c>
      <c r="AWZ2" s="5">
        <f>IFERROR(VLOOKUP(AWZ$1,'Working Capital Pesos'!$B$16:$C$18,2,FALSE),0%)</f>
        <v>0</v>
      </c>
      <c r="AXA2" s="5">
        <f>IFERROR(VLOOKUP(AXA$1,'Working Capital Pesos'!$B$16:$C$18,2,FALSE),0%)</f>
        <v>0</v>
      </c>
      <c r="AXB2" s="5">
        <f>IFERROR(VLOOKUP(AXB$1,'Working Capital Pesos'!$B$16:$C$18,2,FALSE),0%)</f>
        <v>0</v>
      </c>
      <c r="AXC2" s="5">
        <f>IFERROR(VLOOKUP(AXC$1,'Working Capital Pesos'!$B$16:$C$18,2,FALSE),0%)</f>
        <v>0</v>
      </c>
      <c r="AXD2" s="5">
        <f>IFERROR(VLOOKUP(AXD$1,'Working Capital Pesos'!$B$16:$C$18,2,FALSE),0%)</f>
        <v>0</v>
      </c>
      <c r="AXE2" s="5">
        <f>IFERROR(VLOOKUP(AXE$1,'Working Capital Pesos'!$B$16:$C$18,2,FALSE),0%)</f>
        <v>0</v>
      </c>
      <c r="AXF2" s="5">
        <f>IFERROR(VLOOKUP(AXF$1,'Working Capital Pesos'!$B$16:$C$18,2,FALSE),0%)</f>
        <v>0</v>
      </c>
      <c r="AXG2" s="5">
        <f>IFERROR(VLOOKUP(AXG$1,'Working Capital Pesos'!$B$16:$C$18,2,FALSE),0%)</f>
        <v>0</v>
      </c>
      <c r="AXH2" s="5">
        <f>IFERROR(VLOOKUP(AXH$1,'Working Capital Pesos'!$B$16:$C$18,2,FALSE),0%)</f>
        <v>0</v>
      </c>
      <c r="AXI2" s="5">
        <f>IFERROR(VLOOKUP(AXI$1,'Working Capital Pesos'!$B$16:$C$18,2,FALSE),0%)</f>
        <v>0</v>
      </c>
      <c r="AXJ2" s="5">
        <f>IFERROR(VLOOKUP(AXJ$1,'Working Capital Pesos'!$B$16:$C$18,2,FALSE),0%)</f>
        <v>0</v>
      </c>
      <c r="AXK2" s="5">
        <f>IFERROR(VLOOKUP(AXK$1,'Working Capital Pesos'!$B$16:$C$18,2,FALSE),0%)</f>
        <v>0</v>
      </c>
      <c r="AXL2" s="5">
        <f>IFERROR(VLOOKUP(AXL$1,'Working Capital Pesos'!$B$16:$C$18,2,FALSE),0%)</f>
        <v>0</v>
      </c>
      <c r="AXM2" s="5">
        <f>IFERROR(VLOOKUP(AXM$1,'Working Capital Pesos'!$B$16:$C$18,2,FALSE),0%)</f>
        <v>0</v>
      </c>
      <c r="AXN2" s="5">
        <f>IFERROR(VLOOKUP(AXN$1,'Working Capital Pesos'!$B$16:$C$18,2,FALSE),0%)</f>
        <v>0</v>
      </c>
      <c r="AXO2" s="5">
        <f>IFERROR(VLOOKUP(AXO$1,'Working Capital Pesos'!$B$16:$C$18,2,FALSE),0%)</f>
        <v>0</v>
      </c>
      <c r="AXP2" s="5">
        <f>IFERROR(VLOOKUP(AXP$1,'Working Capital Pesos'!$B$16:$C$18,2,FALSE),0%)</f>
        <v>0</v>
      </c>
      <c r="AXQ2" s="5">
        <f>IFERROR(VLOOKUP(AXQ$1,'Working Capital Pesos'!$B$16:$C$18,2,FALSE),0%)</f>
        <v>0</v>
      </c>
      <c r="AXR2" s="5">
        <f>IFERROR(VLOOKUP(AXR$1,'Working Capital Pesos'!$B$16:$C$18,2,FALSE),0%)</f>
        <v>0</v>
      </c>
      <c r="AXS2" s="5">
        <f>IFERROR(VLOOKUP(AXS$1,'Working Capital Pesos'!$B$16:$C$18,2,FALSE),0%)</f>
        <v>0</v>
      </c>
      <c r="AXT2" s="5">
        <f>IFERROR(VLOOKUP(AXT$1,'Working Capital Pesos'!$B$16:$C$18,2,FALSE),0%)</f>
        <v>0</v>
      </c>
      <c r="AXU2" s="5">
        <f>IFERROR(VLOOKUP(AXU$1,'Working Capital Pesos'!$B$16:$C$18,2,FALSE),0%)</f>
        <v>0</v>
      </c>
      <c r="AXV2" s="5">
        <f>IFERROR(VLOOKUP(AXV$1,'Working Capital Pesos'!$B$16:$C$18,2,FALSE),0%)</f>
        <v>0</v>
      </c>
      <c r="AXW2" s="5">
        <f>IFERROR(VLOOKUP(AXW$1,'Working Capital Pesos'!$B$16:$C$18,2,FALSE),0%)</f>
        <v>0</v>
      </c>
      <c r="AXX2" s="5">
        <f>IFERROR(VLOOKUP(AXX$1,'Working Capital Pesos'!$B$16:$C$18,2,FALSE),0%)</f>
        <v>0</v>
      </c>
      <c r="AXY2" s="5">
        <f>IFERROR(VLOOKUP(AXY$1,'Working Capital Pesos'!$B$16:$C$18,2,FALSE),0%)</f>
        <v>0</v>
      </c>
      <c r="AXZ2" s="5">
        <f>IFERROR(VLOOKUP(AXZ$1,'Working Capital Pesos'!$B$16:$C$18,2,FALSE),0%)</f>
        <v>0</v>
      </c>
      <c r="AYA2" s="5">
        <f>IFERROR(VLOOKUP(AYA$1,'Working Capital Pesos'!$B$16:$C$18,2,FALSE),0%)</f>
        <v>0</v>
      </c>
      <c r="AYB2" s="5">
        <f>IFERROR(VLOOKUP(AYB$1,'Working Capital Pesos'!$B$16:$C$18,2,FALSE),0%)</f>
        <v>0</v>
      </c>
      <c r="AYC2" s="5">
        <f>IFERROR(VLOOKUP(AYC$1,'Working Capital Pesos'!$B$16:$C$18,2,FALSE),0%)</f>
        <v>0</v>
      </c>
      <c r="AYD2" s="5">
        <f>IFERROR(VLOOKUP(AYD$1,'Working Capital Pesos'!$B$16:$C$18,2,FALSE),0%)</f>
        <v>0</v>
      </c>
      <c r="AYE2" s="5">
        <f>IFERROR(VLOOKUP(AYE$1,'Working Capital Pesos'!$B$16:$C$18,2,FALSE),0%)</f>
        <v>0</v>
      </c>
      <c r="AYF2" s="5">
        <f>IFERROR(VLOOKUP(AYF$1,'Working Capital Pesos'!$B$16:$C$18,2,FALSE),0%)</f>
        <v>0</v>
      </c>
      <c r="AYG2" s="5">
        <f>IFERROR(VLOOKUP(AYG$1,'Working Capital Pesos'!$B$16:$C$18,2,FALSE),0%)</f>
        <v>0</v>
      </c>
      <c r="AYH2" s="5">
        <f>IFERROR(VLOOKUP(AYH$1,'Working Capital Pesos'!$B$16:$C$18,2,FALSE),0%)</f>
        <v>0</v>
      </c>
      <c r="AYI2" s="5">
        <f>IFERROR(VLOOKUP(AYI$1,'Working Capital Pesos'!$B$16:$C$18,2,FALSE),0%)</f>
        <v>0</v>
      </c>
      <c r="AYJ2" s="5">
        <f>IFERROR(VLOOKUP(AYJ$1,'Working Capital Pesos'!$B$16:$C$18,2,FALSE),0%)</f>
        <v>0</v>
      </c>
      <c r="AYK2" s="5">
        <f>IFERROR(VLOOKUP(AYK$1,'Working Capital Pesos'!$B$16:$C$18,2,FALSE),0%)</f>
        <v>0</v>
      </c>
      <c r="AYL2" s="5">
        <f>IFERROR(VLOOKUP(AYL$1,'Working Capital Pesos'!$B$16:$C$18,2,FALSE),0%)</f>
        <v>0</v>
      </c>
      <c r="AYM2" s="5">
        <f>IFERROR(VLOOKUP(AYM$1,'Working Capital Pesos'!$B$16:$C$18,2,FALSE),0%)</f>
        <v>0</v>
      </c>
      <c r="AYN2" s="5">
        <f>IFERROR(VLOOKUP(AYN$1,'Working Capital Pesos'!$B$16:$C$18,2,FALSE),0%)</f>
        <v>0</v>
      </c>
      <c r="AYO2" s="5">
        <f>IFERROR(VLOOKUP(AYO$1,'Working Capital Pesos'!$B$16:$C$18,2,FALSE),0%)</f>
        <v>0</v>
      </c>
      <c r="AYP2" s="5">
        <f>IFERROR(VLOOKUP(AYP$1,'Working Capital Pesos'!$B$16:$C$18,2,FALSE),0%)</f>
        <v>0</v>
      </c>
      <c r="AYQ2" s="5">
        <f>IFERROR(VLOOKUP(AYQ$1,'Working Capital Pesos'!$B$16:$C$18,2,FALSE),0%)</f>
        <v>0</v>
      </c>
      <c r="AYR2" s="5">
        <f>IFERROR(VLOOKUP(AYR$1,'Working Capital Pesos'!$B$16:$C$18,2,FALSE),0%)</f>
        <v>0</v>
      </c>
      <c r="AYS2" s="5">
        <f>IFERROR(VLOOKUP(AYS$1,'Working Capital Pesos'!$B$16:$C$18,2,FALSE),0%)</f>
        <v>0</v>
      </c>
      <c r="AYT2" s="5">
        <f>IFERROR(VLOOKUP(AYT$1,'Working Capital Pesos'!$B$16:$C$18,2,FALSE),0%)</f>
        <v>0</v>
      </c>
      <c r="AYU2" s="5">
        <f>IFERROR(VLOOKUP(AYU$1,'Working Capital Pesos'!$B$16:$C$18,2,FALSE),0%)</f>
        <v>0</v>
      </c>
      <c r="AYV2" s="5">
        <f>IFERROR(VLOOKUP(AYV$1,'Working Capital Pesos'!$B$16:$C$18,2,FALSE),0%)</f>
        <v>0</v>
      </c>
      <c r="AYW2" s="5">
        <f>IFERROR(VLOOKUP(AYW$1,'Working Capital Pesos'!$B$16:$C$18,2,FALSE),0%)</f>
        <v>0</v>
      </c>
      <c r="AYX2" s="5">
        <f>IFERROR(VLOOKUP(AYX$1,'Working Capital Pesos'!$B$16:$C$18,2,FALSE),0%)</f>
        <v>0</v>
      </c>
      <c r="AYY2" s="5">
        <f>IFERROR(VLOOKUP(AYY$1,'Working Capital Pesos'!$B$16:$C$18,2,FALSE),0%)</f>
        <v>0</v>
      </c>
      <c r="AYZ2" s="5">
        <f>IFERROR(VLOOKUP(AYZ$1,'Working Capital Pesos'!$B$16:$C$18,2,FALSE),0%)</f>
        <v>0</v>
      </c>
      <c r="AZA2" s="5">
        <f>IFERROR(VLOOKUP(AZA$1,'Working Capital Pesos'!$B$16:$C$18,2,FALSE),0%)</f>
        <v>0</v>
      </c>
      <c r="AZB2" s="5">
        <f>IFERROR(VLOOKUP(AZB$1,'Working Capital Pesos'!$B$16:$C$18,2,FALSE),0%)</f>
        <v>0</v>
      </c>
      <c r="AZC2" s="5">
        <f>IFERROR(VLOOKUP(AZC$1,'Working Capital Pesos'!$B$16:$C$18,2,FALSE),0%)</f>
        <v>0</v>
      </c>
      <c r="AZD2" s="5">
        <f>IFERROR(VLOOKUP(AZD$1,'Working Capital Pesos'!$B$16:$C$18,2,FALSE),0%)</f>
        <v>0</v>
      </c>
      <c r="AZE2" s="5">
        <f>IFERROR(VLOOKUP(AZE$1,'Working Capital Pesos'!$B$16:$C$18,2,FALSE),0%)</f>
        <v>0</v>
      </c>
      <c r="AZF2" s="5">
        <f>IFERROR(VLOOKUP(AZF$1,'Working Capital Pesos'!$B$16:$C$18,2,FALSE),0%)</f>
        <v>0</v>
      </c>
      <c r="AZG2" s="5">
        <f>IFERROR(VLOOKUP(AZG$1,'Working Capital Pesos'!$B$16:$C$18,2,FALSE),0%)</f>
        <v>0</v>
      </c>
      <c r="AZH2" s="5">
        <f>IFERROR(VLOOKUP(AZH$1,'Working Capital Pesos'!$B$16:$C$18,2,FALSE),0%)</f>
        <v>0</v>
      </c>
      <c r="AZI2" s="5">
        <f>IFERROR(VLOOKUP(AZI$1,'Working Capital Pesos'!$B$16:$C$18,2,FALSE),0%)</f>
        <v>0</v>
      </c>
      <c r="AZJ2" s="5">
        <f>IFERROR(VLOOKUP(AZJ$1,'Working Capital Pesos'!$B$16:$C$18,2,FALSE),0%)</f>
        <v>0</v>
      </c>
      <c r="AZK2" s="5">
        <f>IFERROR(VLOOKUP(AZK$1,'Working Capital Pesos'!$B$16:$C$18,2,FALSE),0%)</f>
        <v>0</v>
      </c>
      <c r="AZL2" s="5">
        <f>IFERROR(VLOOKUP(AZL$1,'Working Capital Pesos'!$B$16:$C$18,2,FALSE),0%)</f>
        <v>0</v>
      </c>
      <c r="AZM2" s="5">
        <f>IFERROR(VLOOKUP(AZM$1,'Working Capital Pesos'!$B$16:$C$18,2,FALSE),0%)</f>
        <v>0</v>
      </c>
      <c r="AZN2" s="5">
        <f>IFERROR(VLOOKUP(AZN$1,'Working Capital Pesos'!$B$16:$C$18,2,FALSE),0%)</f>
        <v>0</v>
      </c>
      <c r="AZO2" s="5">
        <f>IFERROR(VLOOKUP(AZO$1,'Working Capital Pesos'!$B$16:$C$18,2,FALSE),0%)</f>
        <v>0</v>
      </c>
      <c r="AZP2" s="5">
        <f>IFERROR(VLOOKUP(AZP$1,'Working Capital Pesos'!$B$16:$C$18,2,FALSE),0%)</f>
        <v>0</v>
      </c>
      <c r="AZQ2" s="5">
        <f>IFERROR(VLOOKUP(AZQ$1,'Working Capital Pesos'!$B$16:$C$18,2,FALSE),0%)</f>
        <v>0</v>
      </c>
      <c r="AZR2" s="5">
        <f>IFERROR(VLOOKUP(AZR$1,'Working Capital Pesos'!$B$16:$C$18,2,FALSE),0%)</f>
        <v>0</v>
      </c>
      <c r="AZS2" s="5">
        <f>IFERROR(VLOOKUP(AZS$1,'Working Capital Pesos'!$B$16:$C$18,2,FALSE),0%)</f>
        <v>0</v>
      </c>
      <c r="AZT2" s="5">
        <f>IFERROR(VLOOKUP(AZT$1,'Working Capital Pesos'!$B$16:$C$18,2,FALSE),0%)</f>
        <v>0</v>
      </c>
      <c r="AZU2" s="5">
        <f>IFERROR(VLOOKUP(AZU$1,'Working Capital Pesos'!$B$16:$C$18,2,FALSE),0%)</f>
        <v>0</v>
      </c>
      <c r="AZV2" s="5">
        <f>IFERROR(VLOOKUP(AZV$1,'Working Capital Pesos'!$B$16:$C$18,2,FALSE),0%)</f>
        <v>0</v>
      </c>
      <c r="AZW2" s="5">
        <f>IFERROR(VLOOKUP(AZW$1,'Working Capital Pesos'!$B$16:$C$18,2,FALSE),0%)</f>
        <v>0</v>
      </c>
      <c r="AZX2" s="5">
        <f>IFERROR(VLOOKUP(AZX$1,'Working Capital Pesos'!$B$16:$C$18,2,FALSE),0%)</f>
        <v>0</v>
      </c>
      <c r="AZY2" s="5">
        <f>IFERROR(VLOOKUP(AZY$1,'Working Capital Pesos'!$B$16:$C$18,2,FALSE),0%)</f>
        <v>0</v>
      </c>
      <c r="AZZ2" s="5">
        <f>IFERROR(VLOOKUP(AZZ$1,'Working Capital Pesos'!$B$16:$C$18,2,FALSE),0%)</f>
        <v>0</v>
      </c>
      <c r="BAA2" s="5">
        <f>IFERROR(VLOOKUP(BAA$1,'Working Capital Pesos'!$B$16:$C$18,2,FALSE),0%)</f>
        <v>0.2675205517</v>
      </c>
      <c r="BAB2" s="5">
        <f>IFERROR(VLOOKUP(BAB$1,'Working Capital Pesos'!$B$16:$C$18,2,FALSE),0%)</f>
        <v>0</v>
      </c>
      <c r="BAC2" s="5">
        <f>IFERROR(VLOOKUP(BAC$1,'Working Capital Pesos'!$B$16:$C$18,2,FALSE),0%)</f>
        <v>0</v>
      </c>
      <c r="BAD2" s="5">
        <f>IFERROR(VLOOKUP(BAD$1,'Working Capital Pesos'!$B$16:$C$18,2,FALSE),0%)</f>
        <v>0</v>
      </c>
      <c r="BAE2" s="5">
        <f>IFERROR(VLOOKUP(BAE$1,'Working Capital Pesos'!$B$16:$C$18,2,FALSE),0%)</f>
        <v>0</v>
      </c>
      <c r="BAF2" s="5">
        <f>IFERROR(VLOOKUP(BAF$1,'Working Capital Pesos'!$B$16:$C$18,2,FALSE),0%)</f>
        <v>0</v>
      </c>
      <c r="BAG2" s="5">
        <f>IFERROR(VLOOKUP(BAG$1,'Working Capital Pesos'!$B$16:$C$18,2,FALSE),0%)</f>
        <v>0.1861012534</v>
      </c>
      <c r="BAH2" s="5">
        <f>IFERROR(VLOOKUP(BAH$1,'Working Capital Pesos'!$B$16:$C$18,2,FALSE),0%)</f>
        <v>0</v>
      </c>
      <c r="BAI2" s="5">
        <f>IFERROR(VLOOKUP(BAI$1,'Working Capital Pesos'!$B$16:$C$18,2,FALSE),0%)</f>
        <v>0</v>
      </c>
      <c r="BAJ2" s="5">
        <f>IFERROR(VLOOKUP(BAJ$1,'Working Capital Pesos'!$B$16:$C$18,2,FALSE),0%)</f>
        <v>0</v>
      </c>
      <c r="BAK2" s="5">
        <f>IFERROR(VLOOKUP(BAK$1,'Working Capital Pesos'!$B$16:$C$18,2,FALSE),0%)</f>
        <v>0</v>
      </c>
      <c r="BAL2" s="5">
        <f>IFERROR(VLOOKUP(BAL$1,'Working Capital Pesos'!$B$16:$C$18,2,FALSE),0%)</f>
        <v>0</v>
      </c>
      <c r="BAM2" s="5">
        <f>IFERROR(VLOOKUP(BAM$1,'Working Capital Pesos'!$B$16:$C$18,2,FALSE),0%)</f>
        <v>0</v>
      </c>
      <c r="BAN2" s="5">
        <f>IFERROR(VLOOKUP(BAN$1,'Working Capital Pesos'!$B$16:$C$18,2,FALSE),0%)</f>
        <v>0</v>
      </c>
      <c r="BAO2" s="5">
        <f>IFERROR(VLOOKUP(BAO$1,'Working Capital Pesos'!$B$16:$C$18,2,FALSE),0%)</f>
        <v>0</v>
      </c>
      <c r="BAP2" s="5">
        <f>IFERROR(VLOOKUP(BAP$1,'Working Capital Pesos'!$B$16:$C$18,2,FALSE),0%)</f>
        <v>0</v>
      </c>
      <c r="BAQ2" s="5">
        <f>IFERROR(VLOOKUP(BAQ$1,'Working Capital Pesos'!$B$16:$C$18,2,FALSE),0%)</f>
        <v>0</v>
      </c>
      <c r="BAR2" s="5">
        <f>IFERROR(VLOOKUP(BAR$1,'Working Capital Pesos'!$B$16:$C$18,2,FALSE),0%)</f>
        <v>0</v>
      </c>
      <c r="BAS2" s="5">
        <f>IFERROR(VLOOKUP(BAS$1,'Working Capital Pesos'!$B$16:$C$18,2,FALSE),0%)</f>
        <v>0</v>
      </c>
      <c r="BAT2" s="5">
        <f>IFERROR(VLOOKUP(BAT$1,'Working Capital Pesos'!$B$16:$C$18,2,FALSE),0%)</f>
        <v>0</v>
      </c>
      <c r="BAU2" s="5">
        <f>IFERROR(VLOOKUP(BAU$1,'Working Capital Pesos'!$B$16:$C$18,2,FALSE),0%)</f>
        <v>0</v>
      </c>
      <c r="BAV2" s="5">
        <f>IFERROR(VLOOKUP(BAV$1,'Working Capital Pesos'!$B$16:$C$18,2,FALSE),0%)</f>
        <v>0</v>
      </c>
      <c r="BAW2" s="5">
        <f>IFERROR(VLOOKUP(BAW$1,'Working Capital Pesos'!$B$16:$C$18,2,FALSE),0%)</f>
        <v>0</v>
      </c>
      <c r="BAX2" s="5">
        <f>IFERROR(VLOOKUP(BAX$1,'Working Capital Pesos'!$B$16:$C$18,2,FALSE),0%)</f>
        <v>0</v>
      </c>
      <c r="BAY2" s="5">
        <f>IFERROR(VLOOKUP(BAY$1,'Working Capital Pesos'!$B$16:$C$18,2,FALSE),0%)</f>
        <v>0</v>
      </c>
      <c r="BAZ2" s="5">
        <f>IFERROR(VLOOKUP(BAZ$1,'Working Capital Pesos'!$B$16:$C$18,2,FALSE),0%)</f>
        <v>0</v>
      </c>
      <c r="BBA2" s="5">
        <f>IFERROR(VLOOKUP(BBA$1,'Working Capital Pesos'!$B$16:$C$18,2,FALSE),0%)</f>
        <v>0</v>
      </c>
      <c r="BBB2" s="5">
        <f>IFERROR(VLOOKUP(BBB$1,'Working Capital Pesos'!$B$16:$C$18,2,FALSE),0%)</f>
        <v>0</v>
      </c>
      <c r="BBC2" s="5">
        <f>IFERROR(VLOOKUP(BBC$1,'Working Capital Pesos'!$B$16:$C$18,2,FALSE),0%)</f>
        <v>0</v>
      </c>
      <c r="BBD2" s="5">
        <f>IFERROR(VLOOKUP(BBD$1,'Working Capital Pesos'!$B$16:$C$18,2,FALSE),0%)</f>
        <v>0</v>
      </c>
      <c r="BBE2" s="5">
        <f>IFERROR(VLOOKUP(BBE$1,'Working Capital Pesos'!$B$16:$C$18,2,FALSE),0%)</f>
        <v>0</v>
      </c>
      <c r="BBF2" s="5">
        <f>IFERROR(VLOOKUP(BBF$1,'Working Capital Pesos'!$B$16:$C$18,2,FALSE),0%)</f>
        <v>0</v>
      </c>
      <c r="BBG2" s="5">
        <f>IFERROR(VLOOKUP(BBG$1,'Working Capital Pesos'!$B$16:$C$18,2,FALSE),0%)</f>
        <v>0</v>
      </c>
      <c r="BBH2" s="5">
        <f>IFERROR(VLOOKUP(BBH$1,'Working Capital Pesos'!$B$16:$C$18,2,FALSE),0%)</f>
        <v>0</v>
      </c>
      <c r="BBI2" s="5">
        <f>IFERROR(VLOOKUP(BBI$1,'Working Capital Pesos'!$B$16:$C$18,2,FALSE),0%)</f>
        <v>0</v>
      </c>
      <c r="BBJ2" s="5">
        <f>IFERROR(VLOOKUP(BBJ$1,'Working Capital Pesos'!$B$16:$C$18,2,FALSE),0%)</f>
        <v>0</v>
      </c>
      <c r="BBK2" s="5">
        <f>IFERROR(VLOOKUP(BBK$1,'Working Capital Pesos'!$B$16:$C$18,2,FALSE),0%)</f>
        <v>0</v>
      </c>
      <c r="BBL2" s="5">
        <f>IFERROR(VLOOKUP(BBL$1,'Working Capital Pesos'!$B$16:$C$18,2,FALSE),0%)</f>
        <v>0</v>
      </c>
      <c r="BBM2" s="5">
        <f>IFERROR(VLOOKUP(BBM$1,'Working Capital Pesos'!$B$16:$C$18,2,FALSE),0%)</f>
        <v>0</v>
      </c>
      <c r="BBN2" s="5">
        <f>IFERROR(VLOOKUP(BBN$1,'Working Capital Pesos'!$B$16:$C$18,2,FALSE),0%)</f>
        <v>0</v>
      </c>
      <c r="BBO2" s="5">
        <f>IFERROR(VLOOKUP(BBO$1,'Working Capital Pesos'!$B$16:$C$18,2,FALSE),0%)</f>
        <v>0</v>
      </c>
      <c r="BBP2" s="5">
        <f>IFERROR(VLOOKUP(BBP$1,'Working Capital Pesos'!$B$16:$C$18,2,FALSE),0%)</f>
        <v>0</v>
      </c>
      <c r="BBQ2" s="5">
        <f>IFERROR(VLOOKUP(BBQ$1,'Working Capital Pesos'!$B$16:$C$18,2,FALSE),0%)</f>
        <v>0</v>
      </c>
      <c r="BBR2" s="5">
        <f>IFERROR(VLOOKUP(BBR$1,'Working Capital Pesos'!$B$16:$C$18,2,FALSE),0%)</f>
        <v>0</v>
      </c>
      <c r="BBS2" s="5">
        <f>IFERROR(VLOOKUP(BBS$1,'Working Capital Pesos'!$B$16:$C$18,2,FALSE),0%)</f>
        <v>0</v>
      </c>
      <c r="BBT2" s="5">
        <f>IFERROR(VLOOKUP(BBT$1,'Working Capital Pesos'!$B$16:$C$18,2,FALSE),0%)</f>
        <v>0</v>
      </c>
      <c r="BBU2" s="5">
        <f>IFERROR(VLOOKUP(BBU$1,'Working Capital Pesos'!$B$16:$C$18,2,FALSE),0%)</f>
        <v>0</v>
      </c>
      <c r="BBV2" s="5">
        <f>IFERROR(VLOOKUP(BBV$1,'Working Capital Pesos'!$B$16:$C$18,2,FALSE),0%)</f>
        <v>0</v>
      </c>
      <c r="BBW2" s="5">
        <f>IFERROR(VLOOKUP(BBW$1,'Working Capital Pesos'!$B$16:$C$18,2,FALSE),0%)</f>
        <v>0</v>
      </c>
      <c r="BBX2" s="5">
        <f>IFERROR(VLOOKUP(BBX$1,'Working Capital Pesos'!$B$16:$C$18,2,FALSE),0%)</f>
        <v>0</v>
      </c>
      <c r="BBY2" s="5">
        <f>IFERROR(VLOOKUP(BBY$1,'Working Capital Pesos'!$B$16:$C$18,2,FALSE),0%)</f>
        <v>0</v>
      </c>
      <c r="BBZ2" s="5">
        <f>IFERROR(VLOOKUP(BBZ$1,'Working Capital Pesos'!$B$16:$C$18,2,FALSE),0%)</f>
        <v>0</v>
      </c>
      <c r="BCA2" s="5">
        <f>IFERROR(VLOOKUP(BCA$1,'Working Capital Pesos'!$B$16:$C$18,2,FALSE),0%)</f>
        <v>0</v>
      </c>
      <c r="BCB2" s="5">
        <f>IFERROR(VLOOKUP(BCB$1,'Working Capital Pesos'!$B$16:$C$18,2,FALSE),0%)</f>
        <v>0</v>
      </c>
      <c r="BCC2" s="5">
        <f>IFERROR(VLOOKUP(BCC$1,'Working Capital Pesos'!$B$16:$C$18,2,FALSE),0%)</f>
        <v>0</v>
      </c>
      <c r="BCD2" s="5">
        <f>IFERROR(VLOOKUP(BCD$1,'Working Capital Pesos'!$B$16:$C$18,2,FALSE),0%)</f>
        <v>0</v>
      </c>
      <c r="BCE2" s="5">
        <f>IFERROR(VLOOKUP(BCE$1,'Working Capital Pesos'!$B$16:$C$18,2,FALSE),0%)</f>
        <v>0</v>
      </c>
      <c r="BCF2" s="5">
        <f>IFERROR(VLOOKUP(BCF$1,'Working Capital Pesos'!$B$16:$C$18,2,FALSE),0%)</f>
        <v>0</v>
      </c>
      <c r="BCG2" s="5">
        <f>IFERROR(VLOOKUP(BCG$1,'Working Capital Pesos'!$B$16:$C$18,2,FALSE),0%)</f>
        <v>0</v>
      </c>
      <c r="BCH2" s="5">
        <f>IFERROR(VLOOKUP(BCH$1,'Working Capital Pesos'!$B$16:$C$18,2,FALSE),0%)</f>
        <v>0</v>
      </c>
      <c r="BCI2" s="5">
        <f>IFERROR(VLOOKUP(BCI$1,'Working Capital Pesos'!$B$16:$C$18,2,FALSE),0%)</f>
        <v>0</v>
      </c>
      <c r="BCJ2" s="5">
        <f>IFERROR(VLOOKUP(BCJ$1,'Working Capital Pesos'!$B$16:$C$18,2,FALSE),0%)</f>
        <v>0</v>
      </c>
      <c r="BCK2" s="5">
        <f>IFERROR(VLOOKUP(BCK$1,'Working Capital Pesos'!$B$16:$C$18,2,FALSE),0%)</f>
        <v>0</v>
      </c>
      <c r="BCL2" s="5">
        <f>IFERROR(VLOOKUP(BCL$1,'Working Capital Pesos'!$B$16:$C$18,2,FALSE),0%)</f>
        <v>0</v>
      </c>
      <c r="BCM2" s="5">
        <f>IFERROR(VLOOKUP(BCM$1,'Working Capital Pesos'!$B$16:$C$18,2,FALSE),0%)</f>
        <v>0</v>
      </c>
      <c r="BCN2" s="5">
        <f>IFERROR(VLOOKUP(BCN$1,'Working Capital Pesos'!$B$16:$C$18,2,FALSE),0%)</f>
        <v>0</v>
      </c>
      <c r="BCO2" s="5">
        <f>IFERROR(VLOOKUP(BCO$1,'Working Capital Pesos'!$B$16:$C$18,2,FALSE),0%)</f>
        <v>0</v>
      </c>
      <c r="BCP2" s="5">
        <f>IFERROR(VLOOKUP(BCP$1,'Working Capital Pesos'!$B$16:$C$18,2,FALSE),0%)</f>
        <v>0</v>
      </c>
      <c r="BCQ2" s="5">
        <f>IFERROR(VLOOKUP(BCQ$1,'Working Capital Pesos'!$B$16:$C$18,2,FALSE),0%)</f>
        <v>0</v>
      </c>
      <c r="BCR2" s="5">
        <f>IFERROR(VLOOKUP(BCR$1,'Working Capital Pesos'!$B$16:$C$18,2,FALSE),0%)</f>
        <v>0</v>
      </c>
      <c r="BCS2" s="5">
        <f>IFERROR(VLOOKUP(BCS$1,'Working Capital Pesos'!$B$16:$C$18,2,FALSE),0%)</f>
        <v>0</v>
      </c>
      <c r="BCT2" s="5">
        <f>IFERROR(VLOOKUP(BCT$1,'Working Capital Pesos'!$B$16:$C$18,2,FALSE),0%)</f>
        <v>0</v>
      </c>
      <c r="BCU2" s="5">
        <f>IFERROR(VLOOKUP(BCU$1,'Working Capital Pesos'!$B$16:$C$18,2,FALSE),0%)</f>
        <v>0</v>
      </c>
      <c r="BCV2" s="5">
        <f>IFERROR(VLOOKUP(BCV$1,'Working Capital Pesos'!$B$16:$C$18,2,FALSE),0%)</f>
        <v>0</v>
      </c>
      <c r="BCW2" s="5">
        <f>IFERROR(VLOOKUP(BCW$1,'Working Capital Pesos'!$B$16:$C$18,2,FALSE),0%)</f>
        <v>0</v>
      </c>
      <c r="BCX2" s="5">
        <f>IFERROR(VLOOKUP(BCX$1,'Working Capital Pesos'!$B$16:$C$18,2,FALSE),0%)</f>
        <v>0</v>
      </c>
      <c r="BCY2" s="5">
        <f>IFERROR(VLOOKUP(BCY$1,'Working Capital Pesos'!$B$16:$C$18,2,FALSE),0%)</f>
        <v>0</v>
      </c>
      <c r="BCZ2" s="5">
        <f>IFERROR(VLOOKUP(BCZ$1,'Working Capital Pesos'!$B$16:$C$18,2,FALSE),0%)</f>
        <v>0</v>
      </c>
      <c r="BDA2" s="5">
        <f>IFERROR(VLOOKUP(BDA$1,'Working Capital Pesos'!$B$16:$C$18,2,FALSE),0%)</f>
        <v>0</v>
      </c>
      <c r="BDB2" s="5">
        <f>IFERROR(VLOOKUP(BDB$1,'Working Capital Pesos'!$B$16:$C$18,2,FALSE),0%)</f>
        <v>0</v>
      </c>
      <c r="BDC2" s="5">
        <f>IFERROR(VLOOKUP(BDC$1,'Working Capital Pesos'!$B$16:$C$18,2,FALSE),0%)</f>
        <v>0</v>
      </c>
      <c r="BDD2" s="5">
        <f>IFERROR(VLOOKUP(BDD$1,'Working Capital Pesos'!$B$16:$C$18,2,FALSE),0%)</f>
        <v>0</v>
      </c>
      <c r="BDE2" s="5">
        <f>IFERROR(VLOOKUP(BDE$1,'Working Capital Pesos'!$B$16:$C$18,2,FALSE),0%)</f>
        <v>0</v>
      </c>
      <c r="BDF2" s="5">
        <f>IFERROR(VLOOKUP(BDF$1,'Working Capital Pesos'!$B$16:$C$18,2,FALSE),0%)</f>
        <v>0</v>
      </c>
      <c r="BDG2" s="5">
        <f>IFERROR(VLOOKUP(BDG$1,'Working Capital Pesos'!$B$16:$C$18,2,FALSE),0%)</f>
        <v>0</v>
      </c>
      <c r="BDH2" s="5">
        <f>IFERROR(VLOOKUP(BDH$1,'Working Capital Pesos'!$B$16:$C$18,2,FALSE),0%)</f>
        <v>0</v>
      </c>
      <c r="BDI2" s="5">
        <f>IFERROR(VLOOKUP(BDI$1,'Working Capital Pesos'!$B$16:$C$18,2,FALSE),0%)</f>
        <v>0</v>
      </c>
      <c r="BDJ2" s="5">
        <f>IFERROR(VLOOKUP(BDJ$1,'Working Capital Pesos'!$B$16:$C$18,2,FALSE),0%)</f>
        <v>0</v>
      </c>
      <c r="BDK2" s="5">
        <f>IFERROR(VLOOKUP(BDK$1,'Working Capital Pesos'!$B$16:$C$18,2,FALSE),0%)</f>
        <v>0</v>
      </c>
      <c r="BDL2" s="5">
        <f>IFERROR(VLOOKUP(BDL$1,'Working Capital Pesos'!$B$16:$C$18,2,FALSE),0%)</f>
        <v>0</v>
      </c>
      <c r="BDM2" s="5">
        <f>IFERROR(VLOOKUP(BDM$1,'Working Capital Pesos'!$B$16:$C$18,2,FALSE),0%)</f>
        <v>0</v>
      </c>
      <c r="BDN2" s="5">
        <f>IFERROR(VLOOKUP(BDN$1,'Working Capital Pesos'!$B$16:$C$18,2,FALSE),0%)</f>
        <v>0</v>
      </c>
      <c r="BDO2" s="5">
        <f>IFERROR(VLOOKUP(BDO$1,'Working Capital Pesos'!$B$16:$C$18,2,FALSE),0%)</f>
        <v>0</v>
      </c>
      <c r="BDP2" s="5">
        <f>IFERROR(VLOOKUP(BDP$1,'Working Capital Pesos'!$B$16:$C$18,2,FALSE),0%)</f>
        <v>0</v>
      </c>
      <c r="BDQ2" s="5">
        <f>IFERROR(VLOOKUP(BDQ$1,'Working Capital Pesos'!$B$16:$C$18,2,FALSE),0%)</f>
        <v>0</v>
      </c>
      <c r="BDR2" s="5">
        <f>IFERROR(VLOOKUP(BDR$1,'Working Capital Pesos'!$B$16:$C$18,2,FALSE),0%)</f>
        <v>0</v>
      </c>
      <c r="BDS2" s="5">
        <f>IFERROR(VLOOKUP(BDS$1,'Working Capital Pesos'!$B$16:$C$18,2,FALSE),0%)</f>
        <v>0</v>
      </c>
      <c r="BDT2" s="5">
        <f>IFERROR(VLOOKUP(BDT$1,'Working Capital Pesos'!$B$16:$C$18,2,FALSE),0%)</f>
        <v>0</v>
      </c>
      <c r="BDU2" s="5">
        <f>IFERROR(VLOOKUP(BDU$1,'Working Capital Pesos'!$B$16:$C$18,2,FALSE),0%)</f>
        <v>0</v>
      </c>
      <c r="BDV2" s="5">
        <f>IFERROR(VLOOKUP(BDV$1,'Working Capital Pesos'!$B$16:$C$18,2,FALSE),0%)</f>
        <v>0</v>
      </c>
      <c r="BDW2" s="5">
        <f>IFERROR(VLOOKUP(BDW$1,'Working Capital Pesos'!$B$16:$C$18,2,FALSE),0%)</f>
        <v>0</v>
      </c>
      <c r="BDX2" s="5">
        <f>IFERROR(VLOOKUP(BDX$1,'Working Capital Pesos'!$B$16:$C$18,2,FALSE),0%)</f>
        <v>0</v>
      </c>
      <c r="BDY2" s="5">
        <f>IFERROR(VLOOKUP(BDY$1,'Working Capital Pesos'!$B$16:$C$18,2,FALSE),0%)</f>
        <v>0</v>
      </c>
      <c r="BDZ2" s="5">
        <f>IFERROR(VLOOKUP(BDZ$1,'Working Capital Pesos'!$B$16:$C$18,2,FALSE),0%)</f>
        <v>0</v>
      </c>
      <c r="BEA2" s="5">
        <f>IFERROR(VLOOKUP(BEA$1,'Working Capital Pesos'!$B$16:$C$18,2,FALSE),0%)</f>
        <v>0</v>
      </c>
      <c r="BEB2" s="5">
        <f>IFERROR(VLOOKUP(BEB$1,'Working Capital Pesos'!$B$16:$C$18,2,FALSE),0%)</f>
        <v>0</v>
      </c>
      <c r="BEC2" s="5">
        <f>IFERROR(VLOOKUP(BEC$1,'Working Capital Pesos'!$B$16:$C$18,2,FALSE),0%)</f>
        <v>0</v>
      </c>
      <c r="BED2" s="5">
        <f>IFERROR(VLOOKUP(BED$1,'Working Capital Pesos'!$B$16:$C$18,2,FALSE),0%)</f>
        <v>0</v>
      </c>
      <c r="BEE2" s="5">
        <f>IFERROR(VLOOKUP(BEE$1,'Working Capital Pesos'!$B$16:$C$18,2,FALSE),0%)</f>
        <v>0</v>
      </c>
      <c r="BEF2" s="5">
        <f>IFERROR(VLOOKUP(BEF$1,'Working Capital Pesos'!$B$16:$C$18,2,FALSE),0%)</f>
        <v>0</v>
      </c>
      <c r="BEG2" s="5">
        <f>IFERROR(VLOOKUP(BEG$1,'Working Capital Pesos'!$B$16:$C$18,2,FALSE),0%)</f>
        <v>0</v>
      </c>
      <c r="BEH2" s="5">
        <f>IFERROR(VLOOKUP(BEH$1,'Working Capital Pesos'!$B$16:$C$18,2,FALSE),0%)</f>
        <v>0</v>
      </c>
      <c r="BEI2" s="5">
        <f>IFERROR(VLOOKUP(BEI$1,'Working Capital Pesos'!$B$16:$C$18,2,FALSE),0%)</f>
        <v>0</v>
      </c>
      <c r="BEJ2" s="5">
        <f>IFERROR(VLOOKUP(BEJ$1,'Working Capital Pesos'!$B$16:$C$18,2,FALSE),0%)</f>
        <v>0</v>
      </c>
      <c r="BEK2" s="5">
        <f>IFERROR(VLOOKUP(BEK$1,'Working Capital Pesos'!$B$16:$C$18,2,FALSE),0%)</f>
        <v>0</v>
      </c>
      <c r="BEL2" s="5">
        <f>IFERROR(VLOOKUP(BEL$1,'Working Capital Pesos'!$B$16:$C$18,2,FALSE),0%)</f>
        <v>0</v>
      </c>
      <c r="BEM2" s="5">
        <f>IFERROR(VLOOKUP(BEM$1,'Working Capital Pesos'!$B$16:$C$18,2,FALSE),0%)</f>
        <v>0</v>
      </c>
      <c r="BEN2" s="5">
        <f>IFERROR(VLOOKUP(BEN$1,'Working Capital Pesos'!$B$16:$C$18,2,FALSE),0%)</f>
        <v>0</v>
      </c>
      <c r="BEO2" s="5">
        <f>IFERROR(VLOOKUP(BEO$1,'Working Capital Pesos'!$B$16:$C$18,2,FALSE),0%)</f>
        <v>0</v>
      </c>
      <c r="BEP2" s="5">
        <f>IFERROR(VLOOKUP(BEP$1,'Working Capital Pesos'!$B$16:$C$18,2,FALSE),0%)</f>
        <v>0</v>
      </c>
      <c r="BEQ2" s="5">
        <f>IFERROR(VLOOKUP(BEQ$1,'Working Capital Pesos'!$B$16:$C$18,2,FALSE),0%)</f>
        <v>0</v>
      </c>
      <c r="BER2" s="5">
        <f>IFERROR(VLOOKUP(BER$1,'Working Capital Pesos'!$B$16:$C$18,2,FALSE),0%)</f>
        <v>0</v>
      </c>
      <c r="BES2" s="5">
        <f>IFERROR(VLOOKUP(BES$1,'Working Capital Pesos'!$B$16:$C$18,2,FALSE),0%)</f>
        <v>0</v>
      </c>
      <c r="BET2" s="5">
        <f>IFERROR(VLOOKUP(BET$1,'Working Capital Pesos'!$B$16:$C$18,2,FALSE),0%)</f>
        <v>0</v>
      </c>
      <c r="BEU2" s="5">
        <f>IFERROR(VLOOKUP(BEU$1,'Working Capital Pesos'!$B$16:$C$18,2,FALSE),0%)</f>
        <v>0</v>
      </c>
      <c r="BEV2" s="5">
        <f>IFERROR(VLOOKUP(BEV$1,'Working Capital Pesos'!$B$16:$C$18,2,FALSE),0%)</f>
        <v>0</v>
      </c>
      <c r="BEW2" s="5">
        <f>IFERROR(VLOOKUP(BEW$1,'Working Capital Pesos'!$B$16:$C$18,2,FALSE),0%)</f>
        <v>0</v>
      </c>
      <c r="BEX2" s="5">
        <f>IFERROR(VLOOKUP(BEX$1,'Working Capital Pesos'!$B$16:$C$18,2,FALSE),0%)</f>
        <v>0</v>
      </c>
      <c r="BEY2" s="5">
        <f>IFERROR(VLOOKUP(BEY$1,'Working Capital Pesos'!$B$16:$C$18,2,FALSE),0%)</f>
        <v>0</v>
      </c>
      <c r="BEZ2" s="5">
        <f>IFERROR(VLOOKUP(BEZ$1,'Working Capital Pesos'!$B$16:$C$18,2,FALSE),0%)</f>
        <v>0</v>
      </c>
      <c r="BFA2" s="5">
        <f>IFERROR(VLOOKUP(BFA$1,'Working Capital Pesos'!$B$16:$C$18,2,FALSE),0%)</f>
        <v>0</v>
      </c>
      <c r="BFB2" s="5">
        <f>IFERROR(VLOOKUP(BFB$1,'Working Capital Pesos'!$B$16:$C$18,2,FALSE),0%)</f>
        <v>0</v>
      </c>
      <c r="BFC2" s="5">
        <f>IFERROR(VLOOKUP(BFC$1,'Working Capital Pesos'!$B$16:$C$18,2,FALSE),0%)</f>
        <v>0</v>
      </c>
      <c r="BFD2" s="5">
        <f>IFERROR(VLOOKUP(BFD$1,'Working Capital Pesos'!$B$16:$C$18,2,FALSE),0%)</f>
        <v>0</v>
      </c>
      <c r="BFE2" s="5">
        <f>IFERROR(VLOOKUP(BFE$1,'Working Capital Pesos'!$B$16:$C$18,2,FALSE),0%)</f>
        <v>0</v>
      </c>
      <c r="BFF2" s="5">
        <f>IFERROR(VLOOKUP(BFF$1,'Working Capital Pesos'!$B$16:$C$18,2,FALSE),0%)</f>
        <v>0</v>
      </c>
      <c r="BFG2" s="5">
        <f>IFERROR(VLOOKUP(BFG$1,'Working Capital Pesos'!$B$16:$C$18,2,FALSE),0%)</f>
        <v>0</v>
      </c>
      <c r="BFH2" s="5">
        <f>IFERROR(VLOOKUP(BFH$1,'Working Capital Pesos'!$B$16:$C$18,2,FALSE),0%)</f>
        <v>0</v>
      </c>
      <c r="BFI2" s="5">
        <f>IFERROR(VLOOKUP(BFI$1,'Working Capital Pesos'!$B$16:$C$18,2,FALSE),0%)</f>
        <v>0</v>
      </c>
      <c r="BFJ2" s="5">
        <f>IFERROR(VLOOKUP(BFJ$1,'Working Capital Pesos'!$B$16:$C$18,2,FALSE),0%)</f>
        <v>0</v>
      </c>
      <c r="BFK2" s="5">
        <f>IFERROR(VLOOKUP(BFK$1,'Working Capital Pesos'!$B$16:$C$18,2,FALSE),0%)</f>
        <v>0</v>
      </c>
      <c r="BFL2" s="5">
        <f>IFERROR(VLOOKUP(BFL$1,'Working Capital Pesos'!$B$16:$C$18,2,FALSE),0%)</f>
        <v>0</v>
      </c>
      <c r="BFM2" s="5">
        <f>IFERROR(VLOOKUP(BFM$1,'Working Capital Pesos'!$B$16:$C$18,2,FALSE),0%)</f>
        <v>0</v>
      </c>
      <c r="BFN2" s="5">
        <f>IFERROR(VLOOKUP(BFN$1,'Working Capital Pesos'!$B$16:$C$18,2,FALSE),0%)</f>
        <v>0</v>
      </c>
      <c r="BFO2" s="5">
        <f>IFERROR(VLOOKUP(BFO$1,'Working Capital Pesos'!$B$16:$C$18,2,FALSE),0%)</f>
        <v>0</v>
      </c>
      <c r="BFP2" s="5">
        <f>IFERROR(VLOOKUP(BFP$1,'Working Capital Pesos'!$B$16:$C$18,2,FALSE),0%)</f>
        <v>0</v>
      </c>
      <c r="BFQ2" s="5">
        <f>IFERROR(VLOOKUP(BFQ$1,'Working Capital Pesos'!$B$16:$C$18,2,FALSE),0%)</f>
        <v>0</v>
      </c>
      <c r="BFR2" s="5">
        <f>IFERROR(VLOOKUP(BFR$1,'Working Capital Pesos'!$B$16:$C$18,2,FALSE),0%)</f>
        <v>0</v>
      </c>
      <c r="BFS2" s="5">
        <f>IFERROR(VLOOKUP(BFS$1,'Working Capital Pesos'!$B$16:$C$18,2,FALSE),0%)</f>
        <v>0</v>
      </c>
      <c r="BFT2" s="5">
        <f>IFERROR(VLOOKUP(BFT$1,'Working Capital Pesos'!$B$16:$C$18,2,FALSE),0%)</f>
        <v>0</v>
      </c>
      <c r="BFU2" s="5">
        <f>IFERROR(VLOOKUP(BFU$1,'Working Capital Pesos'!$B$16:$C$18,2,FALSE),0%)</f>
        <v>0</v>
      </c>
      <c r="BFV2" s="5">
        <f>IFERROR(VLOOKUP(BFV$1,'Working Capital Pesos'!$B$16:$C$18,2,FALSE),0%)</f>
        <v>0</v>
      </c>
      <c r="BFW2" s="5">
        <f>IFERROR(VLOOKUP(BFW$1,'Working Capital Pesos'!$B$16:$C$18,2,FALSE),0%)</f>
        <v>0</v>
      </c>
      <c r="BFX2" s="5">
        <f>IFERROR(VLOOKUP(BFX$1,'Working Capital Pesos'!$B$16:$C$18,2,FALSE),0%)</f>
        <v>0</v>
      </c>
      <c r="BFY2" s="5">
        <f>IFERROR(VLOOKUP(BFY$1,'Working Capital Pesos'!$B$16:$C$18,2,FALSE),0%)</f>
        <v>0</v>
      </c>
      <c r="BFZ2" s="5">
        <f>IFERROR(VLOOKUP(BFZ$1,'Working Capital Pesos'!$B$16:$C$18,2,FALSE),0%)</f>
        <v>0</v>
      </c>
      <c r="BGA2" s="5">
        <f>IFERROR(VLOOKUP(BGA$1,'Working Capital Pesos'!$B$16:$C$18,2,FALSE),0%)</f>
        <v>0</v>
      </c>
      <c r="BGB2" s="5">
        <f>IFERROR(VLOOKUP(BGB$1,'Working Capital Pesos'!$B$16:$C$18,2,FALSE),0%)</f>
        <v>0</v>
      </c>
      <c r="BGC2" s="5">
        <f>IFERROR(VLOOKUP(BGC$1,'Working Capital Pesos'!$B$16:$C$18,2,FALSE),0%)</f>
        <v>0</v>
      </c>
      <c r="BGD2" s="5">
        <f>IFERROR(VLOOKUP(BGD$1,'Working Capital Pesos'!$B$16:$C$18,2,FALSE),0%)</f>
        <v>0</v>
      </c>
      <c r="BGE2" s="5">
        <f>IFERROR(VLOOKUP(BGE$1,'Working Capital Pesos'!$B$16:$C$18,2,FALSE),0%)</f>
        <v>0</v>
      </c>
      <c r="BGF2" s="5">
        <f>IFERROR(VLOOKUP(BGF$1,'Working Capital Pesos'!$B$16:$C$18,2,FALSE),0%)</f>
        <v>0</v>
      </c>
      <c r="BGG2" s="5">
        <f>IFERROR(VLOOKUP(BGG$1,'Working Capital Pesos'!$B$16:$C$18,2,FALSE),0%)</f>
        <v>0</v>
      </c>
      <c r="BGH2" s="5">
        <f>IFERROR(VLOOKUP(BGH$1,'Working Capital Pesos'!$B$16:$C$18,2,FALSE),0%)</f>
        <v>0</v>
      </c>
      <c r="BGI2" s="5">
        <f>IFERROR(VLOOKUP(BGI$1,'Working Capital Pesos'!$B$16:$C$18,2,FALSE),0%)</f>
        <v>0</v>
      </c>
      <c r="BGJ2" s="5">
        <f>IFERROR(VLOOKUP(BGJ$1,'Working Capital Pesos'!$B$16:$C$18,2,FALSE),0%)</f>
        <v>0</v>
      </c>
      <c r="BGK2" s="5">
        <f>IFERROR(VLOOKUP(BGK$1,'Working Capital Pesos'!$B$16:$C$18,2,FALSE),0%)</f>
        <v>0</v>
      </c>
      <c r="BGL2" s="5">
        <f>IFERROR(VLOOKUP(BGL$1,'Working Capital Pesos'!$B$16:$C$18,2,FALSE),0%)</f>
        <v>0</v>
      </c>
      <c r="BGM2" s="5">
        <f>IFERROR(VLOOKUP(BGM$1,'Working Capital Pesos'!$B$16:$C$18,2,FALSE),0%)</f>
        <v>0</v>
      </c>
      <c r="BGN2" s="5">
        <f>IFERROR(VLOOKUP(BGN$1,'Working Capital Pesos'!$B$16:$C$18,2,FALSE),0%)</f>
        <v>0</v>
      </c>
      <c r="BGO2" s="5">
        <f>IFERROR(VLOOKUP(BGO$1,'Working Capital Pesos'!$B$16:$C$18,2,FALSE),0%)</f>
        <v>0</v>
      </c>
      <c r="BGP2" s="5">
        <f>IFERROR(VLOOKUP(BGP$1,'Working Capital Pesos'!$B$16:$C$18,2,FALSE),0%)</f>
        <v>0</v>
      </c>
      <c r="BGQ2" s="5">
        <f>IFERROR(VLOOKUP(BGQ$1,'Working Capital Pesos'!$B$16:$C$18,2,FALSE),0%)</f>
        <v>0</v>
      </c>
      <c r="BGR2" s="5">
        <f>IFERROR(VLOOKUP(BGR$1,'Working Capital Pesos'!$B$16:$C$18,2,FALSE),0%)</f>
        <v>0</v>
      </c>
      <c r="BGS2" s="5">
        <f>IFERROR(VLOOKUP(BGS$1,'Working Capital Pesos'!$B$16:$C$18,2,FALSE),0%)</f>
        <v>0</v>
      </c>
      <c r="BGT2" s="5">
        <f>IFERROR(VLOOKUP(BGT$1,'Working Capital Pesos'!$B$16:$C$18,2,FALSE),0%)</f>
        <v>0</v>
      </c>
      <c r="BGU2" s="5">
        <f>IFERROR(VLOOKUP(BGU$1,'Working Capital Pesos'!$B$16:$C$18,2,FALSE),0%)</f>
        <v>0</v>
      </c>
      <c r="BGV2" s="5">
        <f>IFERROR(VLOOKUP(BGV$1,'Working Capital Pesos'!$B$16:$C$18,2,FALSE),0%)</f>
        <v>0</v>
      </c>
      <c r="BGW2" s="5">
        <f>IFERROR(VLOOKUP(BGW$1,'Working Capital Pesos'!$B$16:$C$18,2,FALSE),0%)</f>
        <v>0</v>
      </c>
      <c r="BGX2" s="5">
        <f>IFERROR(VLOOKUP(BGX$1,'Working Capital Pesos'!$B$16:$C$18,2,FALSE),0%)</f>
        <v>0</v>
      </c>
      <c r="BGY2" s="5">
        <f>IFERROR(VLOOKUP(BGY$1,'Working Capital Pesos'!$B$16:$C$18,2,FALSE),0%)</f>
        <v>0</v>
      </c>
      <c r="BGZ2" s="5">
        <f>IFERROR(VLOOKUP(BGZ$1,'Working Capital Pesos'!$B$16:$C$18,2,FALSE),0%)</f>
        <v>0</v>
      </c>
      <c r="BHA2" s="5">
        <f>IFERROR(VLOOKUP(BHA$1,'Working Capital Pesos'!$B$16:$C$18,2,FALSE),0%)</f>
        <v>0</v>
      </c>
      <c r="BHB2" s="5">
        <f>IFERROR(VLOOKUP(BHB$1,'Working Capital Pesos'!$B$16:$C$18,2,FALSE),0%)</f>
        <v>0</v>
      </c>
      <c r="BHC2" s="5">
        <f>IFERROR(VLOOKUP(BHC$1,'Working Capital Pesos'!$B$16:$C$18,2,FALSE),0%)</f>
        <v>0</v>
      </c>
      <c r="BHD2" s="5">
        <f>IFERROR(VLOOKUP(BHD$1,'Working Capital Pesos'!$B$16:$C$18,2,FALSE),0%)</f>
        <v>0</v>
      </c>
      <c r="BHE2" s="5">
        <f>IFERROR(VLOOKUP(BHE$1,'Working Capital Pesos'!$B$16:$C$18,2,FALSE),0%)</f>
        <v>0</v>
      </c>
      <c r="BHF2" s="5">
        <f>IFERROR(VLOOKUP(BHF$1,'Working Capital Pesos'!$B$16:$C$18,2,FALSE),0%)</f>
        <v>0</v>
      </c>
      <c r="BHG2" s="5">
        <f>IFERROR(VLOOKUP(BHG$1,'Working Capital Pesos'!$B$16:$C$18,2,FALSE),0%)</f>
        <v>0</v>
      </c>
      <c r="BHH2" s="5">
        <f>IFERROR(VLOOKUP(BHH$1,'Working Capital Pesos'!$B$16:$C$18,2,FALSE),0%)</f>
        <v>0</v>
      </c>
      <c r="BHI2" s="5">
        <f>IFERROR(VLOOKUP(BHI$1,'Working Capital Pesos'!$B$16:$C$18,2,FALSE),0%)</f>
        <v>0</v>
      </c>
      <c r="BHJ2" s="5">
        <f>IFERROR(VLOOKUP(BHJ$1,'Working Capital Pesos'!$B$16:$C$18,2,FALSE),0%)</f>
        <v>0</v>
      </c>
      <c r="BHK2" s="5">
        <f>IFERROR(VLOOKUP(BHK$1,'Working Capital Pesos'!$B$16:$C$18,2,FALSE),0%)</f>
        <v>0</v>
      </c>
      <c r="BHL2" s="5">
        <f>IFERROR(VLOOKUP(BHL$1,'Working Capital Pesos'!$B$16:$C$18,2,FALSE),0%)</f>
        <v>0</v>
      </c>
      <c r="BHM2" s="5">
        <f>IFERROR(VLOOKUP(BHM$1,'Working Capital Pesos'!$B$16:$C$18,2,FALSE),0%)</f>
        <v>0</v>
      </c>
      <c r="BHN2" s="5">
        <f>IFERROR(VLOOKUP(BHN$1,'Working Capital Pesos'!$B$16:$C$18,2,FALSE),0%)</f>
        <v>0</v>
      </c>
      <c r="BHO2" s="5">
        <f>IFERROR(VLOOKUP(BHO$1,'Working Capital Pesos'!$B$16:$C$18,2,FALSE),0%)</f>
        <v>0</v>
      </c>
      <c r="BHP2" s="5">
        <f>IFERROR(VLOOKUP(BHP$1,'Working Capital Pesos'!$B$16:$C$18,2,FALSE),0%)</f>
        <v>0</v>
      </c>
      <c r="BHQ2" s="5">
        <f>IFERROR(VLOOKUP(BHQ$1,'Working Capital Pesos'!$B$16:$C$18,2,FALSE),0%)</f>
        <v>0</v>
      </c>
      <c r="BHR2" s="5">
        <f>IFERROR(VLOOKUP(BHR$1,'Working Capital Pesos'!$B$16:$C$18,2,FALSE),0%)</f>
        <v>0</v>
      </c>
      <c r="BHS2" s="5">
        <f>IFERROR(VLOOKUP(BHS$1,'Working Capital Pesos'!$B$16:$C$18,2,FALSE),0%)</f>
        <v>0</v>
      </c>
      <c r="BHT2" s="5">
        <f>IFERROR(VLOOKUP(BHT$1,'Working Capital Pesos'!$B$16:$C$18,2,FALSE),0%)</f>
        <v>0</v>
      </c>
      <c r="BHU2" s="5">
        <f>IFERROR(VLOOKUP(BHU$1,'Working Capital Pesos'!$B$16:$C$18,2,FALSE),0%)</f>
        <v>0</v>
      </c>
      <c r="BHV2" s="5">
        <f>IFERROR(VLOOKUP(BHV$1,'Working Capital Pesos'!$B$16:$C$18,2,FALSE),0%)</f>
        <v>0</v>
      </c>
      <c r="BHW2" s="5">
        <f>IFERROR(VLOOKUP(BHW$1,'Working Capital Pesos'!$B$16:$C$18,2,FALSE),0%)</f>
        <v>0</v>
      </c>
      <c r="BHX2" s="5">
        <f>IFERROR(VLOOKUP(BHX$1,'Working Capital Pesos'!$B$16:$C$18,2,FALSE),0%)</f>
        <v>0</v>
      </c>
      <c r="BHY2" s="5">
        <f>IFERROR(VLOOKUP(BHY$1,'Working Capital Pesos'!$B$16:$C$18,2,FALSE),0%)</f>
        <v>0</v>
      </c>
      <c r="BHZ2" s="5">
        <f>IFERROR(VLOOKUP(BHZ$1,'Working Capital Pesos'!$B$16:$C$18,2,FALSE),0%)</f>
        <v>0</v>
      </c>
      <c r="BIA2" s="5">
        <f>IFERROR(VLOOKUP(BIA$1,'Working Capital Pesos'!$B$16:$C$18,2,FALSE),0%)</f>
        <v>0</v>
      </c>
      <c r="BIB2" s="5">
        <f>IFERROR(VLOOKUP(BIB$1,'Working Capital Pesos'!$B$16:$C$18,2,FALSE),0%)</f>
        <v>0</v>
      </c>
      <c r="BIC2" s="5">
        <f>IFERROR(VLOOKUP(BIC$1,'Working Capital Pesos'!$B$16:$C$18,2,FALSE),0%)</f>
        <v>0</v>
      </c>
      <c r="BID2" s="5">
        <f>IFERROR(VLOOKUP(BID$1,'Working Capital Pesos'!$B$16:$C$18,2,FALSE),0%)</f>
        <v>0</v>
      </c>
      <c r="BIE2" s="5">
        <f>IFERROR(VLOOKUP(BIE$1,'Working Capital Pesos'!$B$16:$C$18,2,FALSE),0%)</f>
        <v>0</v>
      </c>
      <c r="BIF2" s="5">
        <f>IFERROR(VLOOKUP(BIF$1,'Working Capital Pesos'!$B$16:$C$18,2,FALSE),0%)</f>
        <v>0</v>
      </c>
      <c r="BIG2" s="5">
        <f>IFERROR(VLOOKUP(BIG$1,'Working Capital Pesos'!$B$16:$C$18,2,FALSE),0%)</f>
        <v>0</v>
      </c>
      <c r="BIH2" s="5">
        <f>IFERROR(VLOOKUP(BIH$1,'Working Capital Pesos'!$B$16:$C$18,2,FALSE),0%)</f>
        <v>0</v>
      </c>
      <c r="BII2" s="5">
        <f>IFERROR(VLOOKUP(BII$1,'Working Capital Pesos'!$B$16:$C$18,2,FALSE),0%)</f>
        <v>0</v>
      </c>
      <c r="BIJ2" s="5">
        <f>IFERROR(VLOOKUP(BIJ$1,'Working Capital Pesos'!$B$16:$C$18,2,FALSE),0%)</f>
        <v>0</v>
      </c>
      <c r="BIK2" s="5">
        <f>IFERROR(VLOOKUP(BIK$1,'Working Capital Pesos'!$B$16:$C$18,2,FALSE),0%)</f>
        <v>0</v>
      </c>
      <c r="BIL2" s="5">
        <f>IFERROR(VLOOKUP(BIL$1,'Working Capital Pesos'!$B$16:$C$18,2,FALSE),0%)</f>
        <v>0</v>
      </c>
      <c r="BIM2" s="5">
        <f>IFERROR(VLOOKUP(BIM$1,'Working Capital Pesos'!$B$16:$C$18,2,FALSE),0%)</f>
        <v>0</v>
      </c>
      <c r="BIN2" s="5">
        <f>IFERROR(VLOOKUP(BIN$1,'Working Capital Pesos'!$B$16:$C$18,2,FALSE),0%)</f>
        <v>0</v>
      </c>
      <c r="BIO2" s="5">
        <f>IFERROR(VLOOKUP(BIO$1,'Working Capital Pesos'!$B$16:$C$18,2,FALSE),0%)</f>
        <v>0</v>
      </c>
      <c r="BIP2" s="5">
        <f>IFERROR(VLOOKUP(BIP$1,'Working Capital Pesos'!$B$16:$C$18,2,FALSE),0%)</f>
        <v>0</v>
      </c>
      <c r="BIQ2" s="5">
        <f>IFERROR(VLOOKUP(BIQ$1,'Working Capital Pesos'!$B$16:$C$18,2,FALSE),0%)</f>
        <v>0</v>
      </c>
      <c r="BIR2" s="5">
        <f>IFERROR(VLOOKUP(BIR$1,'Working Capital Pesos'!$B$16:$C$18,2,FALSE),0%)</f>
        <v>0</v>
      </c>
      <c r="BIS2" s="5">
        <f>IFERROR(VLOOKUP(BIS$1,'Working Capital Pesos'!$B$16:$C$18,2,FALSE),0%)</f>
        <v>0</v>
      </c>
      <c r="BIT2" s="5">
        <f>IFERROR(VLOOKUP(BIT$1,'Working Capital Pesos'!$B$16:$C$18,2,FALSE),0%)</f>
        <v>0</v>
      </c>
      <c r="BIU2" s="5">
        <f>IFERROR(VLOOKUP(BIU$1,'Working Capital Pesos'!$B$16:$C$18,2,FALSE),0%)</f>
        <v>0</v>
      </c>
      <c r="BIV2" s="5">
        <f>IFERROR(VLOOKUP(BIV$1,'Working Capital Pesos'!$B$16:$C$18,2,FALSE),0%)</f>
        <v>0</v>
      </c>
      <c r="BIW2" s="5">
        <f>IFERROR(VLOOKUP(BIW$1,'Working Capital Pesos'!$B$16:$C$18,2,FALSE),0%)</f>
        <v>0</v>
      </c>
      <c r="BIX2" s="5">
        <f>IFERROR(VLOOKUP(BIX$1,'Working Capital Pesos'!$B$16:$C$18,2,FALSE),0%)</f>
        <v>0</v>
      </c>
      <c r="BIY2" s="5">
        <f>IFERROR(VLOOKUP(BIY$1,'Working Capital Pesos'!$B$16:$C$18,2,FALSE),0%)</f>
        <v>0</v>
      </c>
      <c r="BIZ2" s="5">
        <f>IFERROR(VLOOKUP(BIZ$1,'Working Capital Pesos'!$B$16:$C$18,2,FALSE),0%)</f>
        <v>0</v>
      </c>
      <c r="BJA2" s="5">
        <f>IFERROR(VLOOKUP(BJA$1,'Working Capital Pesos'!$B$16:$C$18,2,FALSE),0%)</f>
        <v>0</v>
      </c>
      <c r="BJB2" s="5">
        <f>IFERROR(VLOOKUP(BJB$1,'Working Capital Pesos'!$B$16:$C$18,2,FALSE),0%)</f>
        <v>0</v>
      </c>
      <c r="BJC2" s="5">
        <f>IFERROR(VLOOKUP(BJC$1,'Working Capital Pesos'!$B$16:$C$18,2,FALSE),0%)</f>
        <v>0</v>
      </c>
      <c r="BJD2" s="5">
        <f>IFERROR(VLOOKUP(BJD$1,'Working Capital Pesos'!$B$16:$C$18,2,FALSE),0%)</f>
        <v>0</v>
      </c>
      <c r="BJE2" s="5">
        <f>IFERROR(VLOOKUP(BJE$1,'Working Capital Pesos'!$B$16:$C$18,2,FALSE),0%)</f>
        <v>0</v>
      </c>
      <c r="BJF2" s="5">
        <f>IFERROR(VLOOKUP(BJF$1,'Working Capital Pesos'!$B$16:$C$18,2,FALSE),0%)</f>
        <v>0</v>
      </c>
      <c r="BJG2" s="5">
        <f>IFERROR(VLOOKUP(BJG$1,'Working Capital Pesos'!$B$16:$C$18,2,FALSE),0%)</f>
        <v>0</v>
      </c>
      <c r="BJH2" s="5">
        <f>IFERROR(VLOOKUP(BJH$1,'Working Capital Pesos'!$B$16:$C$18,2,FALSE),0%)</f>
        <v>0</v>
      </c>
      <c r="BJI2" s="5">
        <f>IFERROR(VLOOKUP(BJI$1,'Working Capital Pesos'!$B$16:$C$18,2,FALSE),0%)</f>
        <v>0</v>
      </c>
      <c r="BJJ2" s="5">
        <f>IFERROR(VLOOKUP(BJJ$1,'Working Capital Pesos'!$B$16:$C$18,2,FALSE),0%)</f>
        <v>0</v>
      </c>
      <c r="BJK2" s="5">
        <f>IFERROR(VLOOKUP(BJK$1,'Working Capital Pesos'!$B$16:$C$18,2,FALSE),0%)</f>
        <v>0</v>
      </c>
      <c r="BJL2" s="5">
        <f>IFERROR(VLOOKUP(BJL$1,'Working Capital Pesos'!$B$16:$C$18,2,FALSE),0%)</f>
        <v>0</v>
      </c>
      <c r="BJM2" s="5">
        <f>IFERROR(VLOOKUP(BJM$1,'Working Capital Pesos'!$B$16:$C$18,2,FALSE),0%)</f>
        <v>0</v>
      </c>
      <c r="BJN2" s="5">
        <f>IFERROR(VLOOKUP(BJN$1,'Working Capital Pesos'!$B$16:$C$18,2,FALSE),0%)</f>
        <v>0</v>
      </c>
      <c r="BJO2" s="5">
        <f>IFERROR(VLOOKUP(BJO$1,'Working Capital Pesos'!$B$16:$C$18,2,FALSE),0%)</f>
        <v>0</v>
      </c>
      <c r="BJP2" s="5">
        <f>IFERROR(VLOOKUP(BJP$1,'Working Capital Pesos'!$B$16:$C$18,2,FALSE),0%)</f>
        <v>0</v>
      </c>
      <c r="BJQ2" s="5">
        <f>IFERROR(VLOOKUP(BJQ$1,'Working Capital Pesos'!$B$16:$C$18,2,FALSE),0%)</f>
        <v>0</v>
      </c>
      <c r="BJR2" s="5">
        <f>IFERROR(VLOOKUP(BJR$1,'Working Capital Pesos'!$B$16:$C$18,2,FALSE),0%)</f>
        <v>0</v>
      </c>
      <c r="BJS2" s="5">
        <f>IFERROR(VLOOKUP(BJS$1,'Working Capital Pesos'!$B$16:$C$18,2,FALSE),0%)</f>
        <v>0</v>
      </c>
      <c r="BJT2" s="5">
        <f>IFERROR(VLOOKUP(BJT$1,'Working Capital Pesos'!$B$16:$C$18,2,FALSE),0%)</f>
        <v>0</v>
      </c>
      <c r="BJU2" s="5">
        <f>IFERROR(VLOOKUP(BJU$1,'Working Capital Pesos'!$B$16:$C$18,2,FALSE),0%)</f>
        <v>0</v>
      </c>
      <c r="BJV2" s="5">
        <f>IFERROR(VLOOKUP(BJV$1,'Working Capital Pesos'!$B$16:$C$18,2,FALSE),0%)</f>
        <v>0</v>
      </c>
      <c r="BJW2" s="5">
        <f>IFERROR(VLOOKUP(BJW$1,'Working Capital Pesos'!$B$16:$C$18,2,FALSE),0%)</f>
        <v>0</v>
      </c>
      <c r="BJX2" s="5">
        <f>IFERROR(VLOOKUP(BJX$1,'Working Capital Pesos'!$B$16:$C$18,2,FALSE),0%)</f>
        <v>0</v>
      </c>
      <c r="BJY2" s="5">
        <f>IFERROR(VLOOKUP(BJY$1,'Working Capital Pesos'!$B$16:$C$18,2,FALSE),0%)</f>
        <v>0</v>
      </c>
      <c r="BJZ2" s="5">
        <f>IFERROR(VLOOKUP(BJZ$1,'Working Capital Pesos'!$B$16:$C$18,2,FALSE),0%)</f>
        <v>0</v>
      </c>
      <c r="BKA2" s="5">
        <f>IFERROR(VLOOKUP(BKA$1,'Working Capital Pesos'!$B$16:$C$18,2,FALSE),0%)</f>
        <v>0</v>
      </c>
      <c r="BKB2" s="5">
        <f>IFERROR(VLOOKUP(BKB$1,'Working Capital Pesos'!$B$16:$C$18,2,FALSE),0%)</f>
        <v>0</v>
      </c>
      <c r="BKC2" s="5">
        <f>IFERROR(VLOOKUP(BKC$1,'Working Capital Pesos'!$B$16:$C$18,2,FALSE),0%)</f>
        <v>0</v>
      </c>
      <c r="BKD2" s="5">
        <f>IFERROR(VLOOKUP(BKD$1,'Working Capital Pesos'!$B$16:$C$18,2,FALSE),0%)</f>
        <v>0</v>
      </c>
      <c r="BKE2" s="5">
        <f>IFERROR(VLOOKUP(BKE$1,'Working Capital Pesos'!$B$16:$C$18,2,FALSE),0%)</f>
        <v>0</v>
      </c>
      <c r="BKF2" s="5">
        <f>IFERROR(VLOOKUP(BKF$1,'Working Capital Pesos'!$B$16:$C$18,2,FALSE),0%)</f>
        <v>0</v>
      </c>
      <c r="BKG2" s="5">
        <f>IFERROR(VLOOKUP(BKG$1,'Working Capital Pesos'!$B$16:$C$18,2,FALSE),0%)</f>
        <v>0</v>
      </c>
      <c r="BKH2" s="5">
        <f>IFERROR(VLOOKUP(BKH$1,'Working Capital Pesos'!$B$16:$C$18,2,FALSE),0%)</f>
        <v>0</v>
      </c>
      <c r="BKI2" s="5">
        <f>IFERROR(VLOOKUP(BKI$1,'Working Capital Pesos'!$B$16:$C$18,2,FALSE),0%)</f>
        <v>0</v>
      </c>
      <c r="BKJ2" s="5">
        <f>IFERROR(VLOOKUP(BKJ$1,'Working Capital Pesos'!$B$16:$C$18,2,FALSE),0%)</f>
        <v>0</v>
      </c>
      <c r="BKK2" s="5">
        <f>IFERROR(VLOOKUP(BKK$1,'Working Capital Pesos'!$B$16:$C$18,2,FALSE),0%)</f>
        <v>0</v>
      </c>
      <c r="BKL2" s="5">
        <f>IFERROR(VLOOKUP(BKL$1,'Working Capital Pesos'!$B$16:$C$18,2,FALSE),0%)</f>
        <v>0</v>
      </c>
      <c r="BKM2" s="5">
        <f>IFERROR(VLOOKUP(BKM$1,'Working Capital Pesos'!$B$16:$C$18,2,FALSE),0%)</f>
        <v>0</v>
      </c>
      <c r="BKN2" s="5">
        <f>IFERROR(VLOOKUP(BKN$1,'Working Capital Pesos'!$B$16:$C$18,2,FALSE),0%)</f>
        <v>0</v>
      </c>
      <c r="BKO2" s="5">
        <f>IFERROR(VLOOKUP(BKO$1,'Working Capital Pesos'!$B$16:$C$18,2,FALSE),0%)</f>
        <v>0</v>
      </c>
      <c r="BKP2" s="5">
        <f>IFERROR(VLOOKUP(BKP$1,'Working Capital Pesos'!$B$16:$C$18,2,FALSE),0%)</f>
        <v>0</v>
      </c>
      <c r="BKQ2" s="5">
        <f>IFERROR(VLOOKUP(BKQ$1,'Working Capital Pesos'!$B$16:$C$18,2,FALSE),0%)</f>
        <v>0</v>
      </c>
      <c r="BKR2" s="5">
        <f>IFERROR(VLOOKUP(BKR$1,'Working Capital Pesos'!$B$16:$C$18,2,FALSE),0%)</f>
        <v>0</v>
      </c>
      <c r="BKS2" s="5">
        <f>IFERROR(VLOOKUP(BKS$1,'Working Capital Pesos'!$B$16:$C$18,2,FALSE),0%)</f>
        <v>0</v>
      </c>
      <c r="BKT2" s="5">
        <f>IFERROR(VLOOKUP(BKT$1,'Working Capital Pesos'!$B$16:$C$18,2,FALSE),0%)</f>
        <v>0</v>
      </c>
      <c r="BKU2" s="5">
        <f>IFERROR(VLOOKUP(BKU$1,'Working Capital Pesos'!$B$16:$C$18,2,FALSE),0%)</f>
        <v>0</v>
      </c>
      <c r="BKV2" s="5">
        <f>IFERROR(VLOOKUP(BKV$1,'Working Capital Pesos'!$B$16:$C$18,2,FALSE),0%)</f>
        <v>0</v>
      </c>
      <c r="BKW2" s="5">
        <f>IFERROR(VLOOKUP(BKW$1,'Working Capital Pesos'!$B$16:$C$18,2,FALSE),0%)</f>
        <v>0</v>
      </c>
      <c r="BKX2" s="5">
        <f>IFERROR(VLOOKUP(BKX$1,'Working Capital Pesos'!$B$16:$C$18,2,FALSE),0%)</f>
        <v>0</v>
      </c>
      <c r="BKY2" s="5">
        <f>IFERROR(VLOOKUP(BKY$1,'Working Capital Pesos'!$B$16:$C$18,2,FALSE),0%)</f>
        <v>0</v>
      </c>
      <c r="BKZ2" s="5">
        <f>IFERROR(VLOOKUP(BKZ$1,'Working Capital Pesos'!$B$16:$C$18,2,FALSE),0%)</f>
        <v>0</v>
      </c>
      <c r="BLA2" s="5">
        <f>IFERROR(VLOOKUP(BLA$1,'Working Capital Pesos'!$B$16:$C$18,2,FALSE),0%)</f>
        <v>0</v>
      </c>
      <c r="BLB2" s="5">
        <f>IFERROR(VLOOKUP(BLB$1,'Working Capital Pesos'!$B$16:$C$18,2,FALSE),0%)</f>
        <v>0</v>
      </c>
      <c r="BLC2" s="5">
        <f>IFERROR(VLOOKUP(BLC$1,'Working Capital Pesos'!$B$16:$C$18,2,FALSE),0%)</f>
        <v>0</v>
      </c>
      <c r="BLD2" s="5">
        <f>IFERROR(VLOOKUP(BLD$1,'Working Capital Pesos'!$B$16:$C$18,2,FALSE),0%)</f>
        <v>0</v>
      </c>
      <c r="BLE2" s="5">
        <f>IFERROR(VLOOKUP(BLE$1,'Working Capital Pesos'!$B$16:$C$18,2,FALSE),0%)</f>
        <v>0</v>
      </c>
      <c r="BLF2" s="5">
        <f>IFERROR(VLOOKUP(BLF$1,'Working Capital Pesos'!$B$16:$C$18,2,FALSE),0%)</f>
        <v>0</v>
      </c>
      <c r="BLG2" s="5">
        <f>IFERROR(VLOOKUP(BLG$1,'Working Capital Pesos'!$B$16:$C$18,2,FALSE),0%)</f>
        <v>0</v>
      </c>
      <c r="BLH2" s="5">
        <f>IFERROR(VLOOKUP(BLH$1,'Working Capital Pesos'!$B$16:$C$18,2,FALSE),0%)</f>
        <v>0</v>
      </c>
      <c r="BLI2" s="5">
        <f>IFERROR(VLOOKUP(BLI$1,'Working Capital Pesos'!$B$16:$C$18,2,FALSE),0%)</f>
        <v>0</v>
      </c>
      <c r="BLJ2" s="5">
        <f>IFERROR(VLOOKUP(BLJ$1,'Working Capital Pesos'!$B$16:$C$18,2,FALSE),0%)</f>
        <v>0</v>
      </c>
      <c r="BLK2" s="5">
        <f>IFERROR(VLOOKUP(BLK$1,'Working Capital Pesos'!$B$16:$C$18,2,FALSE),0%)</f>
        <v>0</v>
      </c>
      <c r="BLL2" s="5">
        <f>IFERROR(VLOOKUP(BLL$1,'Working Capital Pesos'!$B$16:$C$18,2,FALSE),0%)</f>
        <v>0</v>
      </c>
      <c r="BLM2" s="5">
        <f>IFERROR(VLOOKUP(BLM$1,'Working Capital Pesos'!$B$16:$C$18,2,FALSE),0%)</f>
        <v>0</v>
      </c>
      <c r="BLN2" s="5">
        <f>IFERROR(VLOOKUP(BLN$1,'Working Capital Pesos'!$B$16:$C$18,2,FALSE),0%)</f>
        <v>0</v>
      </c>
      <c r="BLO2" s="5">
        <f>IFERROR(VLOOKUP(BLO$1,'Working Capital Pesos'!$B$16:$C$18,2,FALSE),0%)</f>
        <v>0</v>
      </c>
      <c r="BLP2" s="5">
        <f>IFERROR(VLOOKUP(BLP$1,'Working Capital Pesos'!$B$16:$C$18,2,FALSE),0%)</f>
        <v>0</v>
      </c>
      <c r="BLQ2" s="5">
        <f>IFERROR(VLOOKUP(BLQ$1,'Working Capital Pesos'!$B$16:$C$18,2,FALSE),0%)</f>
        <v>0</v>
      </c>
      <c r="BLR2" s="5">
        <f>IFERROR(VLOOKUP(BLR$1,'Working Capital Pesos'!$B$16:$C$18,2,FALSE),0%)</f>
        <v>0</v>
      </c>
      <c r="BLS2" s="5">
        <f>IFERROR(VLOOKUP(BLS$1,'Working Capital Pesos'!$B$16:$C$18,2,FALSE),0%)</f>
        <v>0</v>
      </c>
      <c r="BLT2" s="5">
        <f>IFERROR(VLOOKUP(BLT$1,'Working Capital Pesos'!$B$16:$C$18,2,FALSE),0%)</f>
        <v>0</v>
      </c>
      <c r="BLU2" s="5">
        <f>IFERROR(VLOOKUP(BLU$1,'Working Capital Pesos'!$B$16:$C$18,2,FALSE),0%)</f>
        <v>0</v>
      </c>
      <c r="BLV2" s="5">
        <f>IFERROR(VLOOKUP(BLV$1,'Working Capital Pesos'!$B$16:$C$18,2,FALSE),0%)</f>
        <v>0</v>
      </c>
      <c r="BLW2" s="5">
        <f>IFERROR(VLOOKUP(BLW$1,'Working Capital Pesos'!$B$16:$C$18,2,FALSE),0%)</f>
        <v>0</v>
      </c>
      <c r="BLX2" s="5">
        <f>IFERROR(VLOOKUP(BLX$1,'Working Capital Pesos'!$B$16:$C$18,2,FALSE),0%)</f>
        <v>0</v>
      </c>
      <c r="BLY2" s="5">
        <f>IFERROR(VLOOKUP(BLY$1,'Working Capital Pesos'!$B$16:$C$18,2,FALSE),0%)</f>
        <v>0</v>
      </c>
      <c r="BLZ2" s="5">
        <f>IFERROR(VLOOKUP(BLZ$1,'Working Capital Pesos'!$B$16:$C$18,2,FALSE),0%)</f>
        <v>0</v>
      </c>
      <c r="BMA2" s="5">
        <f>IFERROR(VLOOKUP(BMA$1,'Working Capital Pesos'!$B$16:$C$18,2,FALSE),0%)</f>
        <v>0</v>
      </c>
      <c r="BMB2" s="5">
        <f>IFERROR(VLOOKUP(BMB$1,'Working Capital Pesos'!$B$16:$C$18,2,FALSE),0%)</f>
        <v>0</v>
      </c>
      <c r="BMC2" s="5">
        <f>IFERROR(VLOOKUP(BMC$1,'Working Capital Pesos'!$B$16:$C$18,2,FALSE),0%)</f>
        <v>0</v>
      </c>
      <c r="BMD2" s="5">
        <f>IFERROR(VLOOKUP(BMD$1,'Working Capital Pesos'!$B$16:$C$18,2,FALSE),0%)</f>
        <v>0</v>
      </c>
      <c r="BME2" s="5">
        <f>IFERROR(VLOOKUP(BME$1,'Working Capital Pesos'!$B$16:$C$18,2,FALSE),0%)</f>
        <v>0</v>
      </c>
      <c r="BMF2" s="5">
        <f>IFERROR(VLOOKUP(BMF$1,'Working Capital Pesos'!$B$16:$C$18,2,FALSE),0%)</f>
        <v>0</v>
      </c>
      <c r="BMG2" s="5">
        <f>IFERROR(VLOOKUP(BMG$1,'Working Capital Pesos'!$B$16:$C$18,2,FALSE),0%)</f>
        <v>0</v>
      </c>
      <c r="BMH2" s="5">
        <f>IFERROR(VLOOKUP(BMH$1,'Working Capital Pesos'!$B$16:$C$18,2,FALSE),0%)</f>
        <v>0</v>
      </c>
      <c r="BMI2" s="5">
        <f>IFERROR(VLOOKUP(BMI$1,'Working Capital Pesos'!$B$16:$C$18,2,FALSE),0%)</f>
        <v>0</v>
      </c>
      <c r="BMJ2" s="5">
        <f>IFERROR(VLOOKUP(BMJ$1,'Working Capital Pesos'!$B$16:$C$18,2,FALSE),0%)</f>
        <v>0</v>
      </c>
      <c r="BMK2" s="5">
        <f>IFERROR(VLOOKUP(BMK$1,'Working Capital Pesos'!$B$16:$C$18,2,FALSE),0%)</f>
        <v>0</v>
      </c>
      <c r="BML2" s="5">
        <f>IFERROR(VLOOKUP(BML$1,'Working Capital Pesos'!$B$16:$C$18,2,FALSE),0%)</f>
        <v>0</v>
      </c>
      <c r="BMM2" s="5">
        <f>IFERROR(VLOOKUP(BMM$1,'Working Capital Pesos'!$B$16:$C$18,2,FALSE),0%)</f>
        <v>0</v>
      </c>
      <c r="BMN2" s="5">
        <f>IFERROR(VLOOKUP(BMN$1,'Working Capital Pesos'!$B$16:$C$18,2,FALSE),0%)</f>
        <v>0</v>
      </c>
      <c r="BMO2" s="5">
        <f>IFERROR(VLOOKUP(BMO$1,'Working Capital Pesos'!$B$16:$C$18,2,FALSE),0%)</f>
        <v>0</v>
      </c>
      <c r="BMP2" s="5">
        <f>IFERROR(VLOOKUP(BMP$1,'Working Capital Pesos'!$B$16:$C$18,2,FALSE),0%)</f>
        <v>0</v>
      </c>
      <c r="BMQ2" s="5">
        <f>IFERROR(VLOOKUP(BMQ$1,'Working Capital Pesos'!$B$16:$C$18,2,FALSE),0%)</f>
        <v>0</v>
      </c>
      <c r="BMR2" s="5">
        <f>IFERROR(VLOOKUP(BMR$1,'Working Capital Pesos'!$B$16:$C$18,2,FALSE),0%)</f>
        <v>0</v>
      </c>
      <c r="BMS2" s="5">
        <f>IFERROR(VLOOKUP(BMS$1,'Working Capital Pesos'!$B$16:$C$18,2,FALSE),0%)</f>
        <v>0</v>
      </c>
      <c r="BMT2" s="5">
        <f>IFERROR(VLOOKUP(BMT$1,'Working Capital Pesos'!$B$16:$C$18,2,FALSE),0%)</f>
        <v>0</v>
      </c>
      <c r="BMU2" s="5">
        <f>IFERROR(VLOOKUP(BMU$1,'Working Capital Pesos'!$B$16:$C$18,2,FALSE),0%)</f>
        <v>0</v>
      </c>
      <c r="BMV2" s="5">
        <f>IFERROR(VLOOKUP(BMV$1,'Working Capital Pesos'!$B$16:$C$18,2,FALSE),0%)</f>
        <v>0</v>
      </c>
      <c r="BMW2" s="5">
        <f>IFERROR(VLOOKUP(BMW$1,'Working Capital Pesos'!$B$16:$C$18,2,FALSE),0%)</f>
        <v>0</v>
      </c>
      <c r="BMX2" s="5">
        <f>IFERROR(VLOOKUP(BMX$1,'Working Capital Pesos'!$B$16:$C$18,2,FALSE),0%)</f>
        <v>0</v>
      </c>
      <c r="BMY2" s="5">
        <f>IFERROR(VLOOKUP(BMY$1,'Working Capital Pesos'!$B$16:$C$18,2,FALSE),0%)</f>
        <v>0</v>
      </c>
      <c r="BMZ2" s="5">
        <f>IFERROR(VLOOKUP(BMZ$1,'Working Capital Pesos'!$B$16:$C$18,2,FALSE),0%)</f>
        <v>0</v>
      </c>
      <c r="BNA2" s="5">
        <f>IFERROR(VLOOKUP(BNA$1,'Working Capital Pesos'!$B$16:$C$18,2,FALSE),0%)</f>
        <v>0</v>
      </c>
      <c r="BNB2" s="5">
        <f>IFERROR(VLOOKUP(BNB$1,'Working Capital Pesos'!$B$16:$C$18,2,FALSE),0%)</f>
        <v>0</v>
      </c>
      <c r="BNC2" s="5">
        <f>IFERROR(VLOOKUP(BNC$1,'Working Capital Pesos'!$B$16:$C$18,2,FALSE),0%)</f>
        <v>0</v>
      </c>
      <c r="BND2" s="5">
        <f>IFERROR(VLOOKUP(BND$1,'Working Capital Pesos'!$B$16:$C$18,2,FALSE),0%)</f>
        <v>0</v>
      </c>
      <c r="BNE2" s="5">
        <f>IFERROR(VLOOKUP(BNE$1,'Working Capital Pesos'!$B$16:$C$18,2,FALSE),0%)</f>
        <v>0</v>
      </c>
      <c r="BNF2" s="5">
        <f>IFERROR(VLOOKUP(BNF$1,'Working Capital Pesos'!$B$16:$C$18,2,FALSE),0%)</f>
        <v>0</v>
      </c>
      <c r="BNG2" s="5">
        <f>IFERROR(VLOOKUP(BNG$1,'Working Capital Pesos'!$B$16:$C$18,2,FALSE),0%)</f>
        <v>0</v>
      </c>
      <c r="BNH2" s="5">
        <f>IFERROR(VLOOKUP(BNH$1,'Working Capital Pesos'!$B$16:$C$18,2,FALSE),0%)</f>
        <v>0</v>
      </c>
      <c r="BNI2" s="5">
        <f>IFERROR(VLOOKUP(BNI$1,'Working Capital Pesos'!$B$16:$C$18,2,FALSE),0%)</f>
        <v>0</v>
      </c>
      <c r="BNJ2" s="5">
        <f>IFERROR(VLOOKUP(BNJ$1,'Working Capital Pesos'!$B$16:$C$18,2,FALSE),0%)</f>
        <v>0</v>
      </c>
      <c r="BNK2" s="5">
        <f>IFERROR(VLOOKUP(BNK$1,'Working Capital Pesos'!$B$16:$C$18,2,FALSE),0%)</f>
        <v>0</v>
      </c>
      <c r="BNL2" s="5">
        <f>IFERROR(VLOOKUP(BNL$1,'Working Capital Pesos'!$B$16:$C$18,2,FALSE),0%)</f>
        <v>0</v>
      </c>
      <c r="BNM2" s="5">
        <f>IFERROR(VLOOKUP(BNM$1,'Working Capital Pesos'!$B$16:$C$18,2,FALSE),0%)</f>
        <v>0</v>
      </c>
      <c r="BNN2" s="5">
        <f>IFERROR(VLOOKUP(BNN$1,'Working Capital Pesos'!$B$16:$C$18,2,FALSE),0%)</f>
        <v>0</v>
      </c>
      <c r="BNO2" s="5">
        <f>IFERROR(VLOOKUP(BNO$1,'Working Capital Pesos'!$B$16:$C$18,2,FALSE),0%)</f>
        <v>0</v>
      </c>
      <c r="BNP2" s="5">
        <f>IFERROR(VLOOKUP(BNP$1,'Working Capital Pesos'!$B$16:$C$18,2,FALSE),0%)</f>
        <v>0</v>
      </c>
      <c r="BNQ2" s="5">
        <f>IFERROR(VLOOKUP(BNQ$1,'Working Capital Pesos'!$B$16:$C$18,2,FALSE),0%)</f>
        <v>0</v>
      </c>
      <c r="BNR2" s="5">
        <f>IFERROR(VLOOKUP(BNR$1,'Working Capital Pesos'!$B$16:$C$18,2,FALSE),0%)</f>
        <v>0</v>
      </c>
      <c r="BNS2" s="5">
        <f>IFERROR(VLOOKUP(BNS$1,'Working Capital Pesos'!$B$16:$C$18,2,FALSE),0%)</f>
        <v>0</v>
      </c>
      <c r="BNT2" s="5">
        <f>IFERROR(VLOOKUP(BNT$1,'Working Capital Pesos'!$B$16:$C$18,2,FALSE),0%)</f>
        <v>0</v>
      </c>
      <c r="BNU2" s="5">
        <f>IFERROR(VLOOKUP(BNU$1,'Working Capital Pesos'!$B$16:$C$18,2,FALSE),0%)</f>
        <v>0</v>
      </c>
      <c r="BNV2" s="5">
        <f>IFERROR(VLOOKUP(BNV$1,'Working Capital Pesos'!$B$16:$C$18,2,FALSE),0%)</f>
        <v>0</v>
      </c>
      <c r="BNW2" s="5">
        <f>IFERROR(VLOOKUP(BNW$1,'Working Capital Pesos'!$B$16:$C$18,2,FALSE),0%)</f>
        <v>0</v>
      </c>
      <c r="BNX2" s="5">
        <f>IFERROR(VLOOKUP(BNX$1,'Working Capital Pesos'!$B$16:$C$18,2,FALSE),0%)</f>
        <v>0</v>
      </c>
      <c r="BNY2" s="5">
        <f>IFERROR(VLOOKUP(BNY$1,'Working Capital Pesos'!$B$16:$C$18,2,FALSE),0%)</f>
        <v>0</v>
      </c>
      <c r="BNZ2" s="5">
        <f>IFERROR(VLOOKUP(BNZ$1,'Working Capital Pesos'!$B$16:$C$18,2,FALSE),0%)</f>
        <v>0</v>
      </c>
      <c r="BOA2" s="5">
        <f>IFERROR(VLOOKUP(BOA$1,'Working Capital Pesos'!$B$16:$C$18,2,FALSE),0%)</f>
        <v>0</v>
      </c>
      <c r="BOB2" s="5">
        <f>IFERROR(VLOOKUP(BOB$1,'Working Capital Pesos'!$B$16:$C$18,2,FALSE),0%)</f>
        <v>0</v>
      </c>
      <c r="BOC2" s="5">
        <f>IFERROR(VLOOKUP(BOC$1,'Working Capital Pesos'!$B$16:$C$18,2,FALSE),0%)</f>
        <v>0</v>
      </c>
      <c r="BOD2" s="5">
        <f>IFERROR(VLOOKUP(BOD$1,'Working Capital Pesos'!$B$16:$C$18,2,FALSE),0%)</f>
        <v>0</v>
      </c>
      <c r="BOE2" s="5">
        <f>IFERROR(VLOOKUP(BOE$1,'Working Capital Pesos'!$B$16:$C$18,2,FALSE),0%)</f>
        <v>0</v>
      </c>
      <c r="BOF2" s="5">
        <f>IFERROR(VLOOKUP(BOF$1,'Working Capital Pesos'!$B$16:$C$18,2,FALSE),0%)</f>
        <v>0</v>
      </c>
      <c r="BOG2" s="5">
        <f>IFERROR(VLOOKUP(BOG$1,'Working Capital Pesos'!$B$16:$C$18,2,FALSE),0%)</f>
        <v>0</v>
      </c>
      <c r="BOH2" s="5">
        <f>IFERROR(VLOOKUP(BOH$1,'Working Capital Pesos'!$B$16:$C$18,2,FALSE),0%)</f>
        <v>0</v>
      </c>
      <c r="BOI2" s="5">
        <f>IFERROR(VLOOKUP(BOI$1,'Working Capital Pesos'!$B$16:$C$18,2,FALSE),0%)</f>
        <v>0</v>
      </c>
      <c r="BOJ2" s="5">
        <f>IFERROR(VLOOKUP(BOJ$1,'Working Capital Pesos'!$B$16:$C$18,2,FALSE),0%)</f>
        <v>0</v>
      </c>
      <c r="BOK2" s="5">
        <f>IFERROR(VLOOKUP(BOK$1,'Working Capital Pesos'!$B$16:$C$18,2,FALSE),0%)</f>
        <v>0</v>
      </c>
      <c r="BOL2" s="5">
        <f>IFERROR(VLOOKUP(BOL$1,'Working Capital Pesos'!$B$16:$C$18,2,FALSE),0%)</f>
        <v>0</v>
      </c>
      <c r="BOM2" s="5">
        <f>IFERROR(VLOOKUP(BOM$1,'Working Capital Pesos'!$B$16:$C$18,2,FALSE),0%)</f>
        <v>0</v>
      </c>
      <c r="BON2" s="5">
        <f>IFERROR(VLOOKUP(BON$1,'Working Capital Pesos'!$B$16:$C$18,2,FALSE),0%)</f>
        <v>0</v>
      </c>
      <c r="BOO2" s="5">
        <f>IFERROR(VLOOKUP(BOO$1,'Working Capital Pesos'!$B$16:$C$18,2,FALSE),0%)</f>
        <v>0</v>
      </c>
      <c r="BOP2" s="5">
        <f>IFERROR(VLOOKUP(BOP$1,'Working Capital Pesos'!$B$16:$C$18,2,FALSE),0%)</f>
        <v>0</v>
      </c>
      <c r="BOQ2" s="5">
        <f>IFERROR(VLOOKUP(BOQ$1,'Working Capital Pesos'!$B$16:$C$18,2,FALSE),0%)</f>
        <v>0</v>
      </c>
      <c r="BOR2" s="5">
        <f>IFERROR(VLOOKUP(BOR$1,'Working Capital Pesos'!$B$16:$C$18,2,FALSE),0%)</f>
        <v>0</v>
      </c>
      <c r="BOS2" s="5">
        <f>IFERROR(VLOOKUP(BOS$1,'Working Capital Pesos'!$B$16:$C$18,2,FALSE),0%)</f>
        <v>0</v>
      </c>
      <c r="BOT2" s="5">
        <f>IFERROR(VLOOKUP(BOT$1,'Working Capital Pesos'!$B$16:$C$18,2,FALSE),0%)</f>
        <v>0</v>
      </c>
      <c r="BOU2" s="5">
        <f>IFERROR(VLOOKUP(BOU$1,'Working Capital Pesos'!$B$16:$C$18,2,FALSE),0%)</f>
        <v>0.5463781949</v>
      </c>
      <c r="BOV2" s="5">
        <f>IFERROR(VLOOKUP(BOV$1,'Working Capital Pesos'!$B$16:$C$18,2,FALSE),0%)</f>
        <v>0</v>
      </c>
      <c r="BOW2" s="5">
        <f>IFERROR(VLOOKUP(BOW$1,'Working Capital Pesos'!$B$16:$C$18,2,FALSE),0%)</f>
        <v>0</v>
      </c>
      <c r="BOX2" s="5">
        <f>IFERROR(VLOOKUP(BOX$1,'Working Capital Pesos'!$B$16:$C$18,2,FALSE),0%)</f>
        <v>0</v>
      </c>
      <c r="BOY2" s="5">
        <f>IFERROR(VLOOKUP(BOY$1,'Working Capital Pesos'!$B$16:$C$18,2,FALSE),0%)</f>
        <v>0</v>
      </c>
      <c r="BOZ2" s="5">
        <f>IFERROR(VLOOKUP(BOZ$1,'Working Capital Pesos'!$B$16:$C$18,2,FALSE),0%)</f>
        <v>0</v>
      </c>
      <c r="BPA2" s="5">
        <f>IFERROR(VLOOKUP(BPA$1,'Working Capital Pesos'!$B$16:$C$18,2,FALSE),0%)</f>
        <v>0</v>
      </c>
      <c r="BPB2" s="5">
        <f>IFERROR(VLOOKUP(BPB$1,'Working Capital Pesos'!$B$16:$C$18,2,FALSE),0%)</f>
        <v>0</v>
      </c>
      <c r="BPC2" s="5">
        <f>IFERROR(VLOOKUP(BPC$1,'Working Capital Pesos'!$B$16:$C$18,2,FALSE),0%)</f>
        <v>0</v>
      </c>
      <c r="BPD2" s="5">
        <f>IFERROR(VLOOKUP(BPD$1,'Working Capital Pesos'!$B$16:$C$18,2,FALSE),0%)</f>
        <v>0</v>
      </c>
      <c r="BPE2" s="5">
        <f>IFERROR(VLOOKUP(BPE$1,'Working Capital Pesos'!$B$16:$C$18,2,FALSE),0%)</f>
        <v>0</v>
      </c>
      <c r="BPF2" s="5">
        <f>IFERROR(VLOOKUP(BPF$1,'Working Capital Pesos'!$B$16:$C$18,2,FALSE),0%)</f>
        <v>0</v>
      </c>
      <c r="BPG2" s="5">
        <f>IFERROR(VLOOKUP(BPG$1,'Working Capital Pesos'!$B$16:$C$18,2,FALSE),0%)</f>
        <v>0</v>
      </c>
      <c r="BPH2" s="5">
        <f>IFERROR(VLOOKUP(BPH$1,'Working Capital Pesos'!$B$16:$C$18,2,FALSE),0%)</f>
        <v>0</v>
      </c>
      <c r="BPI2" s="5">
        <f>IFERROR(VLOOKUP(BPI$1,'Working Capital Pesos'!$B$16:$C$18,2,FALSE),0%)</f>
        <v>0</v>
      </c>
      <c r="BPJ2" s="5">
        <f>IFERROR(VLOOKUP(BPJ$1,'Working Capital Pesos'!$B$16:$C$18,2,FALSE),0%)</f>
        <v>0</v>
      </c>
      <c r="BPK2" s="5">
        <f>IFERROR(VLOOKUP(BPK$1,'Working Capital Pesos'!$B$16:$C$18,2,FALSE),0%)</f>
        <v>0</v>
      </c>
      <c r="BPL2" s="5">
        <f>IFERROR(VLOOKUP(BPL$1,'Working Capital Pesos'!$B$16:$C$18,2,FALSE),0%)</f>
        <v>0</v>
      </c>
      <c r="BPM2" s="5">
        <f>IFERROR(VLOOKUP(BPM$1,'Working Capital Pesos'!$B$16:$C$18,2,FALSE),0%)</f>
        <v>0</v>
      </c>
      <c r="BPN2" s="5">
        <f>IFERROR(VLOOKUP(BPN$1,'Working Capital Pesos'!$B$16:$C$18,2,FALSE),0%)</f>
        <v>0</v>
      </c>
      <c r="BPO2" s="5">
        <f>IFERROR(VLOOKUP(BPO$1,'Working Capital Pesos'!$B$16:$C$18,2,FALSE),0%)</f>
        <v>0</v>
      </c>
      <c r="BPP2" s="5">
        <f>IFERROR(VLOOKUP(BPP$1,'Working Capital Pesos'!$B$16:$C$18,2,FALSE),0%)</f>
        <v>0</v>
      </c>
      <c r="BPQ2" s="5">
        <f>IFERROR(VLOOKUP(BPQ$1,'Working Capital Pesos'!$B$16:$C$18,2,FALSE),0%)</f>
        <v>0</v>
      </c>
      <c r="BPR2" s="5">
        <f>IFERROR(VLOOKUP(BPR$1,'Working Capital Pesos'!$B$16:$C$18,2,FALSE),0%)</f>
        <v>0</v>
      </c>
      <c r="BPS2" s="5">
        <f>IFERROR(VLOOKUP(BPS$1,'Working Capital Pesos'!$B$16:$C$18,2,FALSE),0%)</f>
        <v>0</v>
      </c>
      <c r="BPT2" s="5">
        <f>IFERROR(VLOOKUP(BPT$1,'Working Capital Pesos'!$B$16:$C$18,2,FALSE),0%)</f>
        <v>0</v>
      </c>
      <c r="BPU2" s="5">
        <f>IFERROR(VLOOKUP(BPU$1,'Working Capital Pesos'!$B$16:$C$18,2,FALSE),0%)</f>
        <v>0</v>
      </c>
      <c r="BPV2" s="5">
        <f>IFERROR(VLOOKUP(BPV$1,'Working Capital Pesos'!$B$16:$C$18,2,FALSE),0%)</f>
        <v>0</v>
      </c>
      <c r="BPW2" s="5">
        <f>IFERROR(VLOOKUP(BPW$1,'Working Capital Pesos'!$B$16:$C$18,2,FALSE),0%)</f>
        <v>0</v>
      </c>
      <c r="BPX2" s="5">
        <f>IFERROR(VLOOKUP(BPX$1,'Working Capital Pesos'!$B$16:$C$18,2,FALSE),0%)</f>
        <v>0</v>
      </c>
      <c r="BPY2" s="5">
        <f>IFERROR(VLOOKUP(BPY$1,'Working Capital Pesos'!$B$16:$C$18,2,FALSE),0%)</f>
        <v>0</v>
      </c>
      <c r="BPZ2" s="5">
        <f>IFERROR(VLOOKUP(BPZ$1,'Working Capital Pesos'!$B$16:$C$18,2,FALSE),0%)</f>
        <v>0</v>
      </c>
      <c r="BQA2" s="5">
        <f>IFERROR(VLOOKUP(BQA$1,'Working Capital Pesos'!$B$16:$C$18,2,FALSE),0%)</f>
        <v>0</v>
      </c>
      <c r="BQB2" s="5">
        <f>IFERROR(VLOOKUP(BQB$1,'Working Capital Pesos'!$B$16:$C$18,2,FALSE),0%)</f>
        <v>0</v>
      </c>
      <c r="BQC2" s="5">
        <f>IFERROR(VLOOKUP(BQC$1,'Working Capital Pesos'!$B$16:$C$18,2,FALSE),0%)</f>
        <v>0</v>
      </c>
      <c r="BQD2" s="5">
        <f>IFERROR(VLOOKUP(BQD$1,'Working Capital Pesos'!$B$16:$C$18,2,FALSE),0%)</f>
        <v>0</v>
      </c>
      <c r="BQE2" s="5">
        <f>IFERROR(VLOOKUP(BQE$1,'Working Capital Pesos'!$B$16:$C$18,2,FALSE),0%)</f>
        <v>0</v>
      </c>
      <c r="BQF2" s="5">
        <f>IFERROR(VLOOKUP(BQF$1,'Working Capital Pesos'!$B$16:$C$18,2,FALSE),0%)</f>
        <v>0</v>
      </c>
      <c r="BQG2" s="5">
        <f>IFERROR(VLOOKUP(BQG$1,'Working Capital Pesos'!$B$16:$C$18,2,FALSE),0%)</f>
        <v>0</v>
      </c>
      <c r="BQH2" s="5">
        <f>IFERROR(VLOOKUP(BQH$1,'Working Capital Pesos'!$B$16:$C$18,2,FALSE),0%)</f>
        <v>0</v>
      </c>
      <c r="BQI2" s="5">
        <f>IFERROR(VLOOKUP(BQI$1,'Working Capital Pesos'!$B$16:$C$18,2,FALSE),0%)</f>
        <v>0</v>
      </c>
      <c r="BQJ2" s="5">
        <f>IFERROR(VLOOKUP(BQJ$1,'Working Capital Pesos'!$B$16:$C$18,2,FALSE),0%)</f>
        <v>0</v>
      </c>
      <c r="BQK2" s="5">
        <f>IFERROR(VLOOKUP(BQK$1,'Working Capital Pesos'!$B$16:$C$18,2,FALSE),0%)</f>
        <v>0</v>
      </c>
      <c r="BQL2" s="5">
        <f>IFERROR(VLOOKUP(BQL$1,'Working Capital Pesos'!$B$16:$C$18,2,FALSE),0%)</f>
        <v>0</v>
      </c>
      <c r="BQM2" s="5">
        <f>IFERROR(VLOOKUP(BQM$1,'Working Capital Pesos'!$B$16:$C$18,2,FALSE),0%)</f>
        <v>0</v>
      </c>
      <c r="BQN2" s="5">
        <f>IFERROR(VLOOKUP(BQN$1,'Working Capital Pesos'!$B$16:$C$18,2,FALSE),0%)</f>
        <v>0</v>
      </c>
      <c r="BQO2" s="5">
        <f>IFERROR(VLOOKUP(BQO$1,'Working Capital Pesos'!$B$16:$C$18,2,FALSE),0%)</f>
        <v>0</v>
      </c>
      <c r="BQP2" s="5">
        <f>IFERROR(VLOOKUP(BQP$1,'Working Capital Pesos'!$B$16:$C$18,2,FALSE),0%)</f>
        <v>0</v>
      </c>
      <c r="BQQ2" s="5">
        <f>IFERROR(VLOOKUP(BQQ$1,'Working Capital Pesos'!$B$16:$C$18,2,FALSE),0%)</f>
        <v>0</v>
      </c>
      <c r="BQR2" s="5">
        <f>IFERROR(VLOOKUP(BQR$1,'Working Capital Pesos'!$B$16:$C$18,2,FALSE),0%)</f>
        <v>0</v>
      </c>
      <c r="BQS2" s="5">
        <f>IFERROR(VLOOKUP(BQS$1,'Working Capital Pesos'!$B$16:$C$18,2,FALSE),0%)</f>
        <v>0</v>
      </c>
      <c r="BQT2" s="5">
        <f>IFERROR(VLOOKUP(BQT$1,'Working Capital Pesos'!$B$16:$C$18,2,FALSE),0%)</f>
        <v>0</v>
      </c>
      <c r="BQU2" s="5">
        <f>IFERROR(VLOOKUP(BQU$1,'Working Capital Pesos'!$B$16:$C$18,2,FALSE),0%)</f>
        <v>0</v>
      </c>
      <c r="BQV2" s="5">
        <f>IFERROR(VLOOKUP(BQV$1,'Working Capital Pesos'!$B$16:$C$18,2,FALSE),0%)</f>
        <v>0</v>
      </c>
      <c r="BQW2" s="5">
        <f>IFERROR(VLOOKUP(BQW$1,'Working Capital Pesos'!$B$16:$C$18,2,FALSE),0%)</f>
        <v>0</v>
      </c>
      <c r="BQX2" s="5">
        <f>IFERROR(VLOOKUP(BQX$1,'Working Capital Pesos'!$B$16:$C$18,2,FALSE),0%)</f>
        <v>0</v>
      </c>
      <c r="BQY2" s="5">
        <f>IFERROR(VLOOKUP(BQY$1,'Working Capital Pesos'!$B$16:$C$18,2,FALSE),0%)</f>
        <v>0</v>
      </c>
      <c r="BQZ2" s="5">
        <f>IFERROR(VLOOKUP(BQZ$1,'Working Capital Pesos'!$B$16:$C$18,2,FALSE),0%)</f>
        <v>0</v>
      </c>
      <c r="BRA2" s="5">
        <f>IFERROR(VLOOKUP(BRA$1,'Working Capital Pesos'!$B$16:$C$18,2,FALSE),0%)</f>
        <v>0</v>
      </c>
      <c r="BRB2" s="5">
        <f>IFERROR(VLOOKUP(BRB$1,'Working Capital Pesos'!$B$16:$C$18,2,FALSE),0%)</f>
        <v>0</v>
      </c>
      <c r="BRC2" s="5">
        <f>IFERROR(VLOOKUP(BRC$1,'Working Capital Pesos'!$B$16:$C$18,2,FALSE),0%)</f>
        <v>0</v>
      </c>
      <c r="BRD2" s="5">
        <f>IFERROR(VLOOKUP(BRD$1,'Working Capital Pesos'!$B$16:$C$18,2,FALSE),0%)</f>
        <v>0</v>
      </c>
      <c r="BRE2" s="5">
        <f>IFERROR(VLOOKUP(BRE$1,'Working Capital Pesos'!$B$16:$C$18,2,FALSE),0%)</f>
        <v>0</v>
      </c>
      <c r="BRF2" s="5">
        <f>IFERROR(VLOOKUP(BRF$1,'Working Capital Pesos'!$B$16:$C$18,2,FALSE),0%)</f>
        <v>0</v>
      </c>
      <c r="BRG2" s="5">
        <f>IFERROR(VLOOKUP(BRG$1,'Working Capital Pesos'!$B$16:$C$18,2,FALSE),0%)</f>
        <v>0</v>
      </c>
      <c r="BRH2" s="5">
        <f>IFERROR(VLOOKUP(BRH$1,'Working Capital Pesos'!$B$16:$C$18,2,FALSE),0%)</f>
        <v>0</v>
      </c>
      <c r="BRI2" s="5">
        <f>IFERROR(VLOOKUP(BRI$1,'Working Capital Pesos'!$B$16:$C$18,2,FALSE),0%)</f>
        <v>0</v>
      </c>
      <c r="BRJ2" s="5">
        <f>IFERROR(VLOOKUP(BRJ$1,'Working Capital Pesos'!$B$16:$C$18,2,FALSE),0%)</f>
        <v>0</v>
      </c>
      <c r="BRK2" s="5">
        <f>IFERROR(VLOOKUP(BRK$1,'Working Capital Pesos'!$B$16:$C$18,2,FALSE),0%)</f>
        <v>0</v>
      </c>
      <c r="BRL2" s="5">
        <f>IFERROR(VLOOKUP(BRL$1,'Working Capital Pesos'!$B$16:$C$18,2,FALSE),0%)</f>
        <v>0</v>
      </c>
      <c r="BRM2" s="5">
        <f>IFERROR(VLOOKUP(BRM$1,'Working Capital Pesos'!$B$16:$C$18,2,FALSE),0%)</f>
        <v>0</v>
      </c>
      <c r="BRN2" s="5">
        <f>IFERROR(VLOOKUP(BRN$1,'Working Capital Pesos'!$B$16:$C$18,2,FALSE),0%)</f>
        <v>0</v>
      </c>
      <c r="BRO2" s="5">
        <f>IFERROR(VLOOKUP(BRO$1,'Working Capital Pesos'!$B$16:$C$18,2,FALSE),0%)</f>
        <v>0</v>
      </c>
      <c r="BRP2" s="5">
        <f>IFERROR(VLOOKUP(BRP$1,'Working Capital Pesos'!$B$16:$C$18,2,FALSE),0%)</f>
        <v>0</v>
      </c>
      <c r="BRQ2" s="5">
        <f>IFERROR(VLOOKUP(BRQ$1,'Working Capital Pesos'!$B$16:$C$18,2,FALSE),0%)</f>
        <v>0</v>
      </c>
      <c r="BRR2" s="5">
        <f>IFERROR(VLOOKUP(BRR$1,'Working Capital Pesos'!$B$16:$C$18,2,FALSE),0%)</f>
        <v>0</v>
      </c>
      <c r="BRS2" s="5">
        <f>IFERROR(VLOOKUP(BRS$1,'Working Capital Pesos'!$B$16:$C$18,2,FALSE),0%)</f>
        <v>0</v>
      </c>
      <c r="BRT2" s="5">
        <f>IFERROR(VLOOKUP(BRT$1,'Working Capital Pesos'!$B$16:$C$18,2,FALSE),0%)</f>
        <v>0</v>
      </c>
      <c r="BRU2" s="5">
        <f>IFERROR(VLOOKUP(BRU$1,'Working Capital Pesos'!$B$16:$C$18,2,FALSE),0%)</f>
        <v>0</v>
      </c>
      <c r="BRV2" s="5">
        <f>IFERROR(VLOOKUP(BRV$1,'Working Capital Pesos'!$B$16:$C$18,2,FALSE),0%)</f>
        <v>0</v>
      </c>
      <c r="BRW2" s="5">
        <f>IFERROR(VLOOKUP(BRW$1,'Working Capital Pesos'!$B$16:$C$18,2,FALSE),0%)</f>
        <v>0</v>
      </c>
      <c r="BRX2" s="5">
        <f>IFERROR(VLOOKUP(BRX$1,'Working Capital Pesos'!$B$16:$C$18,2,FALSE),0%)</f>
        <v>0</v>
      </c>
      <c r="BRY2" s="5">
        <f>IFERROR(VLOOKUP(BRY$1,'Working Capital Pesos'!$B$16:$C$18,2,FALSE),0%)</f>
        <v>0</v>
      </c>
      <c r="BRZ2" s="5">
        <f>IFERROR(VLOOKUP(BRZ$1,'Working Capital Pesos'!$B$16:$C$18,2,FALSE),0%)</f>
        <v>0</v>
      </c>
      <c r="BSA2" s="5">
        <f>IFERROR(VLOOKUP(BSA$1,'Working Capital Pesos'!$B$16:$C$18,2,FALSE),0%)</f>
        <v>0</v>
      </c>
      <c r="BSB2" s="5">
        <f>IFERROR(VLOOKUP(BSB$1,'Working Capital Pesos'!$B$16:$C$18,2,FALSE),0%)</f>
        <v>0</v>
      </c>
      <c r="BSC2" s="5">
        <f>IFERROR(VLOOKUP(BSC$1,'Working Capital Pesos'!$B$16:$C$18,2,FALSE),0%)</f>
        <v>0</v>
      </c>
      <c r="BSD2" s="5">
        <f>IFERROR(VLOOKUP(BSD$1,'Working Capital Pesos'!$B$16:$C$18,2,FALSE),0%)</f>
        <v>0</v>
      </c>
      <c r="BSE2" s="5">
        <f>IFERROR(VLOOKUP(BSE$1,'Working Capital Pesos'!$B$16:$C$18,2,FALSE),0%)</f>
        <v>0</v>
      </c>
      <c r="BSF2" s="5">
        <f>IFERROR(VLOOKUP(BSF$1,'Working Capital Pesos'!$B$16:$C$18,2,FALSE),0%)</f>
        <v>0</v>
      </c>
      <c r="BSG2" s="5">
        <f>IFERROR(VLOOKUP(BSG$1,'Working Capital Pesos'!$B$16:$C$18,2,FALSE),0%)</f>
        <v>0</v>
      </c>
      <c r="BSH2" s="5">
        <f>IFERROR(VLOOKUP(BSH$1,'Working Capital Pesos'!$B$16:$C$18,2,FALSE),0%)</f>
        <v>0</v>
      </c>
      <c r="BSI2" s="5">
        <f>IFERROR(VLOOKUP(BSI$1,'Working Capital Pesos'!$B$16:$C$18,2,FALSE),0%)</f>
        <v>0</v>
      </c>
      <c r="BSJ2" s="5">
        <f>IFERROR(VLOOKUP(BSJ$1,'Working Capital Pesos'!$B$16:$C$18,2,FALSE),0%)</f>
        <v>0</v>
      </c>
      <c r="BSK2" s="5">
        <f>IFERROR(VLOOKUP(BSK$1,'Working Capital Pesos'!$B$16:$C$18,2,FALSE),0%)</f>
        <v>0</v>
      </c>
      <c r="BSL2" s="5">
        <f>IFERROR(VLOOKUP(BSL$1,'Working Capital Pesos'!$B$16:$C$18,2,FALSE),0%)</f>
        <v>0</v>
      </c>
      <c r="BSM2" s="5">
        <f>IFERROR(VLOOKUP(BSM$1,'Working Capital Pesos'!$B$16:$C$18,2,FALSE),0%)</f>
        <v>0</v>
      </c>
      <c r="BSN2" s="5">
        <f>IFERROR(VLOOKUP(BSN$1,'Working Capital Pesos'!$B$16:$C$18,2,FALSE),0%)</f>
        <v>0</v>
      </c>
      <c r="BSO2" s="5">
        <f>IFERROR(VLOOKUP(BSO$1,'Working Capital Pesos'!$B$16:$C$18,2,FALSE),0%)</f>
        <v>0</v>
      </c>
      <c r="BSP2" s="5">
        <f>IFERROR(VLOOKUP(BSP$1,'Working Capital Pesos'!$B$16:$C$18,2,FALSE),0%)</f>
        <v>0</v>
      </c>
      <c r="BSQ2" s="5">
        <f>IFERROR(VLOOKUP(BSQ$1,'Working Capital Pesos'!$B$16:$C$18,2,FALSE),0%)</f>
        <v>0</v>
      </c>
      <c r="BSR2" s="5">
        <f>IFERROR(VLOOKUP(BSR$1,'Working Capital Pesos'!$B$16:$C$18,2,FALSE),0%)</f>
        <v>0</v>
      </c>
      <c r="BSS2" s="5">
        <f>IFERROR(VLOOKUP(BSS$1,'Working Capital Pesos'!$B$16:$C$18,2,FALSE),0%)</f>
        <v>0</v>
      </c>
      <c r="BST2" s="5">
        <f>IFERROR(VLOOKUP(BST$1,'Working Capital Pesos'!$B$16:$C$18,2,FALSE),0%)</f>
        <v>0</v>
      </c>
      <c r="BSU2" s="5">
        <f>IFERROR(VLOOKUP(BSU$1,'Working Capital Pesos'!$B$16:$C$18,2,FALSE),0%)</f>
        <v>0</v>
      </c>
      <c r="BSV2" s="5">
        <f>IFERROR(VLOOKUP(BSV$1,'Working Capital Pesos'!$B$16:$C$18,2,FALSE),0%)</f>
        <v>0</v>
      </c>
      <c r="BSW2" s="5">
        <f>IFERROR(VLOOKUP(BSW$1,'Working Capital Pesos'!$B$16:$C$18,2,FALSE),0%)</f>
        <v>0</v>
      </c>
      <c r="BSX2" s="5">
        <f>IFERROR(VLOOKUP(BSX$1,'Working Capital Pesos'!$B$16:$C$18,2,FALSE),0%)</f>
        <v>0</v>
      </c>
      <c r="BSY2" s="5">
        <f>IFERROR(VLOOKUP(BSY$1,'Working Capital Pesos'!$B$16:$C$18,2,FALSE),0%)</f>
        <v>0</v>
      </c>
      <c r="BSZ2" s="5">
        <f>IFERROR(VLOOKUP(BSZ$1,'Working Capital Pesos'!$B$16:$C$18,2,FALSE),0%)</f>
        <v>0</v>
      </c>
      <c r="BTA2" s="5">
        <f>IFERROR(VLOOKUP(BTA$1,'Working Capital Pesos'!$B$16:$C$18,2,FALSE),0%)</f>
        <v>0</v>
      </c>
      <c r="BTB2" s="5">
        <f>IFERROR(VLOOKUP(BTB$1,'Working Capital Pesos'!$B$16:$C$18,2,FALSE),0%)</f>
        <v>0</v>
      </c>
      <c r="BTC2" s="5">
        <f>IFERROR(VLOOKUP(BTC$1,'Working Capital Pesos'!$B$16:$C$18,2,FALSE),0%)</f>
        <v>0</v>
      </c>
      <c r="BTD2" s="5">
        <f>IFERROR(VLOOKUP(BTD$1,'Working Capital Pesos'!$B$16:$C$18,2,FALSE),0%)</f>
        <v>0</v>
      </c>
      <c r="BTE2" s="5">
        <f>IFERROR(VLOOKUP(BTE$1,'Working Capital Pesos'!$B$16:$C$18,2,FALSE),0%)</f>
        <v>0</v>
      </c>
      <c r="BTF2" s="5">
        <f>IFERROR(VLOOKUP(BTF$1,'Working Capital Pesos'!$B$16:$C$18,2,FALSE),0%)</f>
        <v>0</v>
      </c>
      <c r="BTG2" s="5">
        <f>IFERROR(VLOOKUP(BTG$1,'Working Capital Pesos'!$B$16:$C$18,2,FALSE),0%)</f>
        <v>0</v>
      </c>
      <c r="BTH2" s="5">
        <f>IFERROR(VLOOKUP(BTH$1,'Working Capital Pesos'!$B$16:$C$18,2,FALSE),0%)</f>
        <v>0</v>
      </c>
      <c r="BTI2" s="5">
        <f>IFERROR(VLOOKUP(BTI$1,'Working Capital Pesos'!$B$16:$C$18,2,FALSE),0%)</f>
        <v>0</v>
      </c>
      <c r="BTJ2" s="5">
        <f>IFERROR(VLOOKUP(BTJ$1,'Working Capital Pesos'!$B$16:$C$18,2,FALSE),0%)</f>
        <v>0</v>
      </c>
      <c r="BTK2" s="5">
        <f>IFERROR(VLOOKUP(BTK$1,'Working Capital Pesos'!$B$16:$C$18,2,FALSE),0%)</f>
        <v>0</v>
      </c>
      <c r="BTL2" s="5">
        <f>IFERROR(VLOOKUP(BTL$1,'Working Capital Pesos'!$B$16:$C$18,2,FALSE),0%)</f>
        <v>0</v>
      </c>
      <c r="BTM2" s="5">
        <f>IFERROR(VLOOKUP(BTM$1,'Working Capital Pesos'!$B$16:$C$18,2,FALSE),0%)</f>
        <v>0</v>
      </c>
      <c r="BTN2" s="5">
        <f>IFERROR(VLOOKUP(BTN$1,'Working Capital Pesos'!$B$16:$C$18,2,FALSE),0%)</f>
        <v>0</v>
      </c>
      <c r="BTO2" s="5">
        <f>IFERROR(VLOOKUP(BTO$1,'Working Capital Pesos'!$B$16:$C$18,2,FALSE),0%)</f>
        <v>0</v>
      </c>
      <c r="BTP2" s="5">
        <f>IFERROR(VLOOKUP(BTP$1,'Working Capital Pesos'!$B$16:$C$18,2,FALSE),0%)</f>
        <v>0</v>
      </c>
      <c r="BTQ2" s="5">
        <f>IFERROR(VLOOKUP(BTQ$1,'Working Capital Pesos'!$B$16:$C$18,2,FALSE),0%)</f>
        <v>0</v>
      </c>
      <c r="BTR2" s="5">
        <f>IFERROR(VLOOKUP(BTR$1,'Working Capital Pesos'!$B$16:$C$18,2,FALSE),0%)</f>
        <v>0</v>
      </c>
      <c r="BTS2" s="5">
        <f>IFERROR(VLOOKUP(BTS$1,'Working Capital Pesos'!$B$16:$C$18,2,FALSE),0%)</f>
        <v>0</v>
      </c>
      <c r="BTT2" s="5">
        <f>IFERROR(VLOOKUP(BTT$1,'Working Capital Pesos'!$B$16:$C$18,2,FALSE),0%)</f>
        <v>0</v>
      </c>
      <c r="BTU2" s="5">
        <f>IFERROR(VLOOKUP(BTU$1,'Working Capital Pesos'!$B$16:$C$18,2,FALSE),0%)</f>
        <v>0</v>
      </c>
      <c r="BTV2" s="5">
        <f>IFERROR(VLOOKUP(BTV$1,'Working Capital Pesos'!$B$16:$C$18,2,FALSE),0%)</f>
        <v>0</v>
      </c>
      <c r="BTW2" s="5">
        <f>IFERROR(VLOOKUP(BTW$1,'Working Capital Pesos'!$B$16:$C$18,2,FALSE),0%)</f>
        <v>0</v>
      </c>
      <c r="BTX2" s="5">
        <f>IFERROR(VLOOKUP(BTX$1,'Working Capital Pesos'!$B$16:$C$18,2,FALSE),0%)</f>
        <v>0</v>
      </c>
      <c r="BTY2" s="5">
        <f>IFERROR(VLOOKUP(BTY$1,'Working Capital Pesos'!$B$16:$C$18,2,FALSE),0%)</f>
        <v>0</v>
      </c>
      <c r="BTZ2" s="5">
        <f>IFERROR(VLOOKUP(BTZ$1,'Working Capital Pesos'!$B$16:$C$18,2,FALSE),0%)</f>
        <v>0</v>
      </c>
      <c r="BUA2" s="5">
        <f>IFERROR(VLOOKUP(BUA$1,'Working Capital Pesos'!$B$16:$C$18,2,FALSE),0%)</f>
        <v>0</v>
      </c>
      <c r="BUB2" s="5">
        <f>IFERROR(VLOOKUP(BUB$1,'Working Capital Pesos'!$B$16:$C$18,2,FALSE),0%)</f>
        <v>0</v>
      </c>
      <c r="BUC2" s="5">
        <f>IFERROR(VLOOKUP(BUC$1,'Working Capital Pesos'!$B$16:$C$18,2,FALSE),0%)</f>
        <v>0</v>
      </c>
      <c r="BUD2" s="5">
        <f>IFERROR(VLOOKUP(BUD$1,'Working Capital Pesos'!$B$16:$C$18,2,FALSE),0%)</f>
        <v>0</v>
      </c>
      <c r="BUE2" s="5">
        <f>IFERROR(VLOOKUP(BUE$1,'Working Capital Pesos'!$B$16:$C$18,2,FALSE),0%)</f>
        <v>0</v>
      </c>
      <c r="BUF2" s="5">
        <f>IFERROR(VLOOKUP(BUF$1,'Working Capital Pesos'!$B$16:$C$18,2,FALSE),0%)</f>
        <v>0</v>
      </c>
      <c r="BUG2" s="5">
        <f>IFERROR(VLOOKUP(BUG$1,'Working Capital Pesos'!$B$16:$C$18,2,FALSE),0%)</f>
        <v>0</v>
      </c>
      <c r="BUH2" s="5">
        <f>IFERROR(VLOOKUP(BUH$1,'Working Capital Pesos'!$B$16:$C$18,2,FALSE),0%)</f>
        <v>0</v>
      </c>
      <c r="BUI2" s="5">
        <f>IFERROR(VLOOKUP(BUI$1,'Working Capital Pesos'!$B$16:$C$18,2,FALSE),0%)</f>
        <v>0</v>
      </c>
      <c r="BUJ2" s="5">
        <f>IFERROR(VLOOKUP(BUJ$1,'Working Capital Pesos'!$B$16:$C$18,2,FALSE),0%)</f>
        <v>0</v>
      </c>
      <c r="BUK2" s="5">
        <f>IFERROR(VLOOKUP(BUK$1,'Working Capital Pesos'!$B$16:$C$18,2,FALSE),0%)</f>
        <v>0</v>
      </c>
      <c r="BUL2" s="5">
        <f>IFERROR(VLOOKUP(BUL$1,'Working Capital Pesos'!$B$16:$C$18,2,FALSE),0%)</f>
        <v>0</v>
      </c>
      <c r="BUM2" s="5">
        <f>IFERROR(VLOOKUP(BUM$1,'Working Capital Pesos'!$B$16:$C$18,2,FALSE),0%)</f>
        <v>0</v>
      </c>
      <c r="BUN2" s="5">
        <f>IFERROR(VLOOKUP(BUN$1,'Working Capital Pesos'!$B$16:$C$18,2,FALSE),0%)</f>
        <v>0</v>
      </c>
      <c r="BUO2" s="5">
        <f>IFERROR(VLOOKUP(BUO$1,'Working Capital Pesos'!$B$16:$C$18,2,FALSE),0%)</f>
        <v>0</v>
      </c>
      <c r="BUP2" s="5">
        <f>IFERROR(VLOOKUP(BUP$1,'Working Capital Pesos'!$B$16:$C$18,2,FALSE),0%)</f>
        <v>0</v>
      </c>
      <c r="BUQ2" s="5">
        <f>IFERROR(VLOOKUP(BUQ$1,'Working Capital Pesos'!$B$16:$C$18,2,FALSE),0%)</f>
        <v>0</v>
      </c>
      <c r="BUR2" s="5">
        <f>IFERROR(VLOOKUP(BUR$1,'Working Capital Pesos'!$B$16:$C$18,2,FALSE),0%)</f>
        <v>0</v>
      </c>
      <c r="BUS2" s="5">
        <f>IFERROR(VLOOKUP(BUS$1,'Working Capital Pesos'!$B$16:$C$18,2,FALSE),0%)</f>
        <v>0</v>
      </c>
      <c r="BUT2" s="5">
        <f>IFERROR(VLOOKUP(BUT$1,'Working Capital Pesos'!$B$16:$C$18,2,FALSE),0%)</f>
        <v>0</v>
      </c>
      <c r="BUU2" s="5">
        <f>IFERROR(VLOOKUP(BUU$1,'Working Capital Pesos'!$B$16:$C$18,2,FALSE),0%)</f>
        <v>0</v>
      </c>
      <c r="BUV2" s="5">
        <f>IFERROR(VLOOKUP(BUV$1,'Working Capital Pesos'!$B$16:$C$18,2,FALSE),0%)</f>
        <v>0</v>
      </c>
      <c r="BUW2" s="5">
        <f>IFERROR(VLOOKUP(BUW$1,'Working Capital Pesos'!$B$16:$C$18,2,FALSE),0%)</f>
        <v>0</v>
      </c>
      <c r="BUX2" s="5">
        <f>IFERROR(VLOOKUP(BUX$1,'Working Capital Pesos'!$B$16:$C$18,2,FALSE),0%)</f>
        <v>0</v>
      </c>
      <c r="BUY2" s="5">
        <f>IFERROR(VLOOKUP(BUY$1,'Working Capital Pesos'!$B$16:$C$18,2,FALSE),0%)</f>
        <v>0</v>
      </c>
      <c r="BUZ2" s="5">
        <f>IFERROR(VLOOKUP(BUZ$1,'Working Capital Pesos'!$B$16:$C$18,2,FALSE),0%)</f>
        <v>0</v>
      </c>
      <c r="BVA2" s="5">
        <f>IFERROR(VLOOKUP(BVA$1,'Working Capital Pesos'!$B$16:$C$18,2,FALSE),0%)</f>
        <v>0</v>
      </c>
      <c r="BVB2" s="5">
        <f>IFERROR(VLOOKUP(BVB$1,'Working Capital Pesos'!$B$16:$C$18,2,FALSE),0%)</f>
        <v>0</v>
      </c>
      <c r="BVC2" s="5">
        <f>IFERROR(VLOOKUP(BVC$1,'Working Capital Pesos'!$B$16:$C$18,2,FALSE),0%)</f>
        <v>0</v>
      </c>
      <c r="BVD2" s="5">
        <f>IFERROR(VLOOKUP(BVD$1,'Working Capital Pesos'!$B$16:$C$18,2,FALSE),0%)</f>
        <v>0</v>
      </c>
      <c r="BVE2" s="5">
        <f>IFERROR(VLOOKUP(BVE$1,'Working Capital Pesos'!$B$16:$C$18,2,FALSE),0%)</f>
        <v>0</v>
      </c>
      <c r="BVF2" s="5">
        <f>IFERROR(VLOOKUP(BVF$1,'Working Capital Pesos'!$B$16:$C$18,2,FALSE),0%)</f>
        <v>0</v>
      </c>
      <c r="BVG2" s="5">
        <f>IFERROR(VLOOKUP(BVG$1,'Working Capital Pesos'!$B$16:$C$18,2,FALSE),0%)</f>
        <v>0</v>
      </c>
      <c r="BVH2" s="5">
        <f>IFERROR(VLOOKUP(BVH$1,'Working Capital Pesos'!$B$16:$C$18,2,FALSE),0%)</f>
        <v>0</v>
      </c>
      <c r="BVI2" s="5">
        <f>IFERROR(VLOOKUP(BVI$1,'Working Capital Pesos'!$B$16:$C$18,2,FALSE),0%)</f>
        <v>0</v>
      </c>
      <c r="BVJ2" s="5">
        <f>IFERROR(VLOOKUP(BVJ$1,'Working Capital Pesos'!$B$16:$C$18,2,FALSE),0%)</f>
        <v>0</v>
      </c>
      <c r="BVK2" s="5">
        <f>IFERROR(VLOOKUP(BVK$1,'Working Capital Pesos'!$B$16:$C$18,2,FALSE),0%)</f>
        <v>0</v>
      </c>
      <c r="BVL2" s="5">
        <f>IFERROR(VLOOKUP(BVL$1,'Working Capital Pesos'!$B$16:$C$18,2,FALSE),0%)</f>
        <v>0</v>
      </c>
      <c r="BVM2" s="5">
        <f>IFERROR(VLOOKUP(BVM$1,'Working Capital Pesos'!$B$16:$C$18,2,FALSE),0%)</f>
        <v>0</v>
      </c>
      <c r="BVN2" s="5">
        <f>IFERROR(VLOOKUP(BVN$1,'Working Capital Pesos'!$B$16:$C$18,2,FALSE),0%)</f>
        <v>0</v>
      </c>
      <c r="BVO2" s="5">
        <f>IFERROR(VLOOKUP(BVO$1,'Working Capital Pesos'!$B$16:$C$18,2,FALSE),0%)</f>
        <v>0</v>
      </c>
      <c r="BVP2" s="5">
        <f>IFERROR(VLOOKUP(BVP$1,'Working Capital Pesos'!$B$16:$C$18,2,FALSE),0%)</f>
        <v>0</v>
      </c>
      <c r="BVQ2" s="5">
        <f>IFERROR(VLOOKUP(BVQ$1,'Working Capital Pesos'!$B$16:$C$18,2,FALSE),0%)</f>
        <v>0</v>
      </c>
      <c r="BVR2" s="5">
        <f>IFERROR(VLOOKUP(BVR$1,'Working Capital Pesos'!$B$16:$C$18,2,FALSE),0%)</f>
        <v>0</v>
      </c>
      <c r="BVS2" s="5">
        <f>IFERROR(VLOOKUP(BVS$1,'Working Capital Pesos'!$B$16:$C$18,2,FALSE),0%)</f>
        <v>0</v>
      </c>
      <c r="BVT2" s="5">
        <f>IFERROR(VLOOKUP(BVT$1,'Working Capital Pesos'!$B$16:$C$18,2,FALSE),0%)</f>
        <v>0</v>
      </c>
      <c r="BVU2" s="5">
        <f>IFERROR(VLOOKUP(BVU$1,'Working Capital Pesos'!$B$16:$C$18,2,FALSE),0%)</f>
        <v>0</v>
      </c>
      <c r="BVV2" s="5">
        <f>IFERROR(VLOOKUP(BVV$1,'Working Capital Pesos'!$B$16:$C$18,2,FALSE),0%)</f>
        <v>0</v>
      </c>
      <c r="BVW2" s="5">
        <f>IFERROR(VLOOKUP(BVW$1,'Working Capital Pesos'!$B$16:$C$18,2,FALSE),0%)</f>
        <v>0</v>
      </c>
      <c r="BVX2" s="5">
        <f>IFERROR(VLOOKUP(BVX$1,'Working Capital Pesos'!$B$16:$C$18,2,FALSE),0%)</f>
        <v>0</v>
      </c>
      <c r="BVY2" s="5">
        <f>IFERROR(VLOOKUP(BVY$1,'Working Capital Pesos'!$B$16:$C$18,2,FALSE),0%)</f>
        <v>0</v>
      </c>
      <c r="BVZ2" s="5">
        <f>IFERROR(VLOOKUP(BVZ$1,'Working Capital Pesos'!$B$16:$C$18,2,FALSE),0%)</f>
        <v>0</v>
      </c>
      <c r="BWA2" s="5">
        <f>IFERROR(VLOOKUP(BWA$1,'Working Capital Pesos'!$B$16:$C$18,2,FALSE),0%)</f>
        <v>0</v>
      </c>
      <c r="BWB2" s="5">
        <f>IFERROR(VLOOKUP(BWB$1,'Working Capital Pesos'!$B$16:$C$18,2,FALSE),0%)</f>
        <v>0</v>
      </c>
      <c r="BWC2" s="5">
        <f>IFERROR(VLOOKUP(BWC$1,'Working Capital Pesos'!$B$16:$C$18,2,FALSE),0%)</f>
        <v>0</v>
      </c>
      <c r="BWD2" s="5">
        <f>IFERROR(VLOOKUP(BWD$1,'Working Capital Pesos'!$B$16:$C$18,2,FALSE),0%)</f>
        <v>0</v>
      </c>
      <c r="BWE2" s="5">
        <f>IFERROR(VLOOKUP(BWE$1,'Working Capital Pesos'!$B$16:$C$18,2,FALSE),0%)</f>
        <v>0</v>
      </c>
      <c r="BWF2" s="5">
        <f>IFERROR(VLOOKUP(BWF$1,'Working Capital Pesos'!$B$16:$C$18,2,FALSE),0%)</f>
        <v>0</v>
      </c>
      <c r="BWG2" s="5">
        <f>IFERROR(VLOOKUP(BWG$1,'Working Capital Pesos'!$B$16:$C$18,2,FALSE),0%)</f>
        <v>0</v>
      </c>
      <c r="BWH2" s="5">
        <f>IFERROR(VLOOKUP(BWH$1,'Working Capital Pesos'!$B$16:$C$18,2,FALSE),0%)</f>
        <v>0</v>
      </c>
      <c r="BWI2" s="5">
        <f>IFERROR(VLOOKUP(BWI$1,'Working Capital Pesos'!$B$16:$C$18,2,FALSE),0%)</f>
        <v>0</v>
      </c>
      <c r="BWJ2" s="5">
        <f>IFERROR(VLOOKUP(BWJ$1,'Working Capital Pesos'!$B$16:$C$18,2,FALSE),0%)</f>
        <v>0</v>
      </c>
      <c r="BWK2" s="5">
        <f>IFERROR(VLOOKUP(BWK$1,'Working Capital Pesos'!$B$16:$C$18,2,FALSE),0%)</f>
        <v>0</v>
      </c>
      <c r="BWL2" s="5">
        <f>IFERROR(VLOOKUP(BWL$1,'Working Capital Pesos'!$B$16:$C$18,2,FALSE),0%)</f>
        <v>0</v>
      </c>
      <c r="BWM2" s="5">
        <f>IFERROR(VLOOKUP(BWM$1,'Working Capital Pesos'!$B$16:$C$18,2,FALSE),0%)</f>
        <v>0</v>
      </c>
      <c r="BWN2" s="5">
        <f>IFERROR(VLOOKUP(BWN$1,'Working Capital Pesos'!$B$16:$C$18,2,FALSE),0%)</f>
        <v>0</v>
      </c>
      <c r="BWO2" s="5">
        <f>IFERROR(VLOOKUP(BWO$1,'Working Capital Pesos'!$B$16:$C$18,2,FALSE),0%)</f>
        <v>0</v>
      </c>
      <c r="BWP2" s="5">
        <f>IFERROR(VLOOKUP(BWP$1,'Working Capital Pesos'!$B$16:$C$18,2,FALSE),0%)</f>
        <v>0</v>
      </c>
      <c r="BWQ2" s="5">
        <f>IFERROR(VLOOKUP(BWQ$1,'Working Capital Pesos'!$B$16:$C$18,2,FALSE),0%)</f>
        <v>0</v>
      </c>
      <c r="BWR2" s="5">
        <f>IFERROR(VLOOKUP(BWR$1,'Working Capital Pesos'!$B$16:$C$18,2,FALSE),0%)</f>
        <v>0</v>
      </c>
      <c r="BWS2" s="5">
        <f>IFERROR(VLOOKUP(BWS$1,'Working Capital Pesos'!$B$16:$C$18,2,FALSE),0%)</f>
        <v>0</v>
      </c>
      <c r="BWT2" s="5">
        <f>IFERROR(VLOOKUP(BWT$1,'Working Capital Pesos'!$B$16:$C$18,2,FALSE),0%)</f>
        <v>0</v>
      </c>
      <c r="BWU2" s="5">
        <f>IFERROR(VLOOKUP(BWU$1,'Working Capital Pesos'!$B$16:$C$18,2,FALSE),0%)</f>
        <v>0</v>
      </c>
      <c r="BWV2" s="5">
        <f>IFERROR(VLOOKUP(BWV$1,'Working Capital Pesos'!$B$16:$C$18,2,FALSE),0%)</f>
        <v>0</v>
      </c>
      <c r="BWW2" s="5">
        <f>IFERROR(VLOOKUP(BWW$1,'Working Capital Pesos'!$B$16:$C$18,2,FALSE),0%)</f>
        <v>0</v>
      </c>
      <c r="BWX2" s="5">
        <f>IFERROR(VLOOKUP(BWX$1,'Working Capital Pesos'!$B$16:$C$18,2,FALSE),0%)</f>
        <v>0</v>
      </c>
      <c r="BWY2" s="5">
        <f>IFERROR(VLOOKUP(BWY$1,'Working Capital Pesos'!$B$16:$C$18,2,FALSE),0%)</f>
        <v>0</v>
      </c>
      <c r="BWZ2" s="5">
        <f>IFERROR(VLOOKUP(BWZ$1,'Working Capital Pesos'!$B$16:$C$18,2,FALSE),0%)</f>
        <v>0</v>
      </c>
      <c r="BXA2" s="5">
        <f>IFERROR(VLOOKUP(BXA$1,'Working Capital Pesos'!$B$16:$C$18,2,FALSE),0%)</f>
        <v>0</v>
      </c>
      <c r="BXB2" s="5">
        <f>IFERROR(VLOOKUP(BXB$1,'Working Capital Pesos'!$B$16:$C$18,2,FALSE),0%)</f>
        <v>0</v>
      </c>
      <c r="BXC2" s="5">
        <f>IFERROR(VLOOKUP(BXC$1,'Working Capital Pesos'!$B$16:$C$18,2,FALSE),0%)</f>
        <v>0</v>
      </c>
      <c r="BXD2" s="5">
        <f>IFERROR(VLOOKUP(BXD$1,'Working Capital Pesos'!$B$16:$C$18,2,FALSE),0%)</f>
        <v>0</v>
      </c>
      <c r="BXE2" s="5">
        <f>IFERROR(VLOOKUP(BXE$1,'Working Capital Pesos'!$B$16:$C$18,2,FALSE),0%)</f>
        <v>0</v>
      </c>
      <c r="BXF2" s="5">
        <f>IFERROR(VLOOKUP(BXF$1,'Working Capital Pesos'!$B$16:$C$18,2,FALSE),0%)</f>
        <v>0</v>
      </c>
      <c r="BXG2" s="5">
        <f>IFERROR(VLOOKUP(BXG$1,'Working Capital Pesos'!$B$16:$C$18,2,FALSE),0%)</f>
        <v>0</v>
      </c>
      <c r="BXH2" s="5">
        <f>IFERROR(VLOOKUP(BXH$1,'Working Capital Pesos'!$B$16:$C$18,2,FALSE),0%)</f>
        <v>0</v>
      </c>
      <c r="BXI2" s="5">
        <f>IFERROR(VLOOKUP(BXI$1,'Working Capital Pesos'!$B$16:$C$18,2,FALSE),0%)</f>
        <v>0</v>
      </c>
      <c r="BXJ2" s="5">
        <f>IFERROR(VLOOKUP(BXJ$1,'Working Capital Pesos'!$B$16:$C$18,2,FALSE),0%)</f>
        <v>0</v>
      </c>
      <c r="BXK2" s="5">
        <f>IFERROR(VLOOKUP(BXK$1,'Working Capital Pesos'!$B$16:$C$18,2,FALSE),0%)</f>
        <v>0</v>
      </c>
      <c r="BXL2" s="5">
        <f>IFERROR(VLOOKUP(BXL$1,'Working Capital Pesos'!$B$16:$C$18,2,FALSE),0%)</f>
        <v>0</v>
      </c>
      <c r="BXM2" s="5">
        <f>IFERROR(VLOOKUP(BXM$1,'Working Capital Pesos'!$B$16:$C$18,2,FALSE),0%)</f>
        <v>0</v>
      </c>
      <c r="BXN2" s="5">
        <f>IFERROR(VLOOKUP(BXN$1,'Working Capital Pesos'!$B$16:$C$18,2,FALSE),0%)</f>
        <v>0</v>
      </c>
      <c r="BXO2" s="5">
        <f>IFERROR(VLOOKUP(BXO$1,'Working Capital Pesos'!$B$16:$C$18,2,FALSE),0%)</f>
        <v>0</v>
      </c>
      <c r="BXP2" s="5">
        <f>IFERROR(VLOOKUP(BXP$1,'Working Capital Pesos'!$B$16:$C$18,2,FALSE),0%)</f>
        <v>0</v>
      </c>
      <c r="BXQ2" s="5">
        <f>IFERROR(VLOOKUP(BXQ$1,'Working Capital Pesos'!$B$16:$C$18,2,FALSE),0%)</f>
        <v>0</v>
      </c>
      <c r="BXR2" s="5">
        <f>IFERROR(VLOOKUP(BXR$1,'Working Capital Pesos'!$B$16:$C$18,2,FALSE),0%)</f>
        <v>0</v>
      </c>
      <c r="BXS2" s="5">
        <f>IFERROR(VLOOKUP(BXS$1,'Working Capital Pesos'!$B$16:$C$18,2,FALSE),0%)</f>
        <v>0</v>
      </c>
      <c r="BXT2" s="5">
        <f>IFERROR(VLOOKUP(BXT$1,'Working Capital Pesos'!$B$16:$C$18,2,FALSE),0%)</f>
        <v>0</v>
      </c>
      <c r="BXU2" s="5">
        <f>IFERROR(VLOOKUP(BXU$1,'Working Capital Pesos'!$B$16:$C$18,2,FALSE),0%)</f>
        <v>0</v>
      </c>
      <c r="BXV2" s="5">
        <f>IFERROR(VLOOKUP(BXV$1,'Working Capital Pesos'!$B$16:$C$18,2,FALSE),0%)</f>
        <v>0</v>
      </c>
      <c r="BXW2" s="5">
        <f>IFERROR(VLOOKUP(BXW$1,'Working Capital Pesos'!$B$16:$C$18,2,FALSE),0%)</f>
        <v>0</v>
      </c>
      <c r="BXX2" s="5">
        <f>IFERROR(VLOOKUP(BXX$1,'Working Capital Pesos'!$B$16:$C$18,2,FALSE),0%)</f>
        <v>0</v>
      </c>
      <c r="BXY2" s="5">
        <f>IFERROR(VLOOKUP(BXY$1,'Working Capital Pesos'!$B$16:$C$18,2,FALSE),0%)</f>
        <v>0</v>
      </c>
      <c r="BXZ2" s="5">
        <f>IFERROR(VLOOKUP(BXZ$1,'Working Capital Pesos'!$B$16:$C$18,2,FALSE),0%)</f>
        <v>0</v>
      </c>
      <c r="BYA2" s="5">
        <f>IFERROR(VLOOKUP(BYA$1,'Working Capital Pesos'!$B$16:$C$18,2,FALSE),0%)</f>
        <v>0</v>
      </c>
      <c r="BYB2" s="5">
        <f>IFERROR(VLOOKUP(BYB$1,'Working Capital Pesos'!$B$16:$C$18,2,FALSE),0%)</f>
        <v>0</v>
      </c>
      <c r="BYC2" s="5">
        <f>IFERROR(VLOOKUP(BYC$1,'Working Capital Pesos'!$B$16:$C$18,2,FALSE),0%)</f>
        <v>0</v>
      </c>
      <c r="BYD2" s="5">
        <f>IFERROR(VLOOKUP(BYD$1,'Working Capital Pesos'!$B$16:$C$18,2,FALSE),0%)</f>
        <v>0</v>
      </c>
      <c r="BYE2" s="5">
        <f>IFERROR(VLOOKUP(BYE$1,'Working Capital Pesos'!$B$16:$C$18,2,FALSE),0%)</f>
        <v>0</v>
      </c>
      <c r="BYF2" s="5">
        <f>IFERROR(VLOOKUP(BYF$1,'Working Capital Pesos'!$B$16:$C$18,2,FALSE),0%)</f>
        <v>0</v>
      </c>
      <c r="BYG2" s="5">
        <f>IFERROR(VLOOKUP(BYG$1,'Working Capital Pesos'!$B$16:$C$18,2,FALSE),0%)</f>
        <v>0</v>
      </c>
      <c r="BYH2" s="5">
        <f>IFERROR(VLOOKUP(BYH$1,'Working Capital Pesos'!$B$16:$C$18,2,FALSE),0%)</f>
        <v>0</v>
      </c>
      <c r="BYI2" s="5">
        <f>IFERROR(VLOOKUP(BYI$1,'Working Capital Pesos'!$B$16:$C$18,2,FALSE),0%)</f>
        <v>0</v>
      </c>
      <c r="BYJ2" s="5">
        <f>IFERROR(VLOOKUP(BYJ$1,'Working Capital Pesos'!$B$16:$C$18,2,FALSE),0%)</f>
        <v>0</v>
      </c>
      <c r="BYK2" s="5">
        <f>IFERROR(VLOOKUP(BYK$1,'Working Capital Pesos'!$B$16:$C$18,2,FALSE),0%)</f>
        <v>0</v>
      </c>
      <c r="BYL2" s="5">
        <f>IFERROR(VLOOKUP(BYL$1,'Working Capital Pesos'!$B$16:$C$18,2,FALSE),0%)</f>
        <v>0</v>
      </c>
    </row>
    <row r="3">
      <c r="A3" s="4" t="s">
        <v>2015</v>
      </c>
      <c r="B3" s="5">
        <f>IFERROR(VLOOKUP(B$1,'Renta fija USD Hiper Conservado'!$B$17:$C$25,2,FALSE),0%)</f>
        <v>0</v>
      </c>
      <c r="C3" s="5">
        <f>IFERROR(VLOOKUP(C$1,'Renta fija USD Hiper Conservado'!$B$17:$C$25,2,FALSE),0%)</f>
        <v>0</v>
      </c>
      <c r="D3" s="5">
        <f>IFERROR(VLOOKUP(D$1,'Renta fija USD Hiper Conservado'!$B$17:$C$25,2,FALSE),0%)</f>
        <v>0</v>
      </c>
      <c r="E3" s="5">
        <f>IFERROR(VLOOKUP(E$1,'Renta fija USD Hiper Conservado'!$B$17:$C$25,2,FALSE),0%)</f>
        <v>0</v>
      </c>
      <c r="F3" s="5">
        <f>IFERROR(VLOOKUP(F$1,'Renta fija USD Hiper Conservado'!$B$17:$C$25,2,FALSE),0%)</f>
        <v>0</v>
      </c>
      <c r="G3" s="5">
        <f>IFERROR(VLOOKUP(G$1,'Renta fija USD Hiper Conservado'!$B$17:$C$25,2,FALSE),0%)</f>
        <v>0</v>
      </c>
      <c r="H3" s="5">
        <f>IFERROR(VLOOKUP(H$1,'Renta fija USD Hiper Conservado'!$B$17:$C$25,2,FALSE),0%)</f>
        <v>0</v>
      </c>
      <c r="I3" s="5">
        <f>IFERROR(VLOOKUP(I$1,'Renta fija USD Hiper Conservado'!$B$17:$C$25,2,FALSE),0%)</f>
        <v>0</v>
      </c>
      <c r="J3" s="5">
        <f>IFERROR(VLOOKUP(J$1,'Renta fija USD Hiper Conservado'!$B$17:$C$25,2,FALSE),0%)</f>
        <v>0</v>
      </c>
      <c r="K3" s="5">
        <f>IFERROR(VLOOKUP(K$1,'Renta fija USD Hiper Conservado'!$B$17:$C$25,2,FALSE),0%)</f>
        <v>0</v>
      </c>
      <c r="L3" s="5">
        <f>IFERROR(VLOOKUP(L$1,'Renta fija USD Hiper Conservado'!$B$17:$C$25,2,FALSE),0%)</f>
        <v>0</v>
      </c>
      <c r="M3" s="5">
        <f>IFERROR(VLOOKUP(M$1,'Renta fija USD Hiper Conservado'!$B$17:$C$25,2,FALSE),0%)</f>
        <v>0</v>
      </c>
      <c r="N3" s="5">
        <f>IFERROR(VLOOKUP(N$1,'Renta fija USD Hiper Conservado'!$B$17:$C$25,2,FALSE),0%)</f>
        <v>0</v>
      </c>
      <c r="O3" s="5">
        <f>IFERROR(VLOOKUP(O$1,'Renta fija USD Hiper Conservado'!$B$17:$C$25,2,FALSE),0%)</f>
        <v>0</v>
      </c>
      <c r="P3" s="5">
        <f>IFERROR(VLOOKUP(P$1,'Renta fija USD Hiper Conservado'!$B$17:$C$25,2,FALSE),0%)</f>
        <v>0</v>
      </c>
      <c r="Q3" s="5">
        <f>IFERROR(VLOOKUP(Q$1,'Renta fija USD Hiper Conservado'!$B$17:$C$25,2,FALSE),0%)</f>
        <v>0</v>
      </c>
      <c r="R3" s="5">
        <f>IFERROR(VLOOKUP(R$1,'Renta fija USD Hiper Conservado'!$B$17:$C$25,2,FALSE),0%)</f>
        <v>0</v>
      </c>
      <c r="S3" s="5">
        <f>IFERROR(VLOOKUP(S$1,'Renta fija USD Hiper Conservado'!$B$17:$C$25,2,FALSE),0%)</f>
        <v>0</v>
      </c>
      <c r="T3" s="5">
        <f>IFERROR(VLOOKUP(T$1,'Renta fija USD Hiper Conservado'!$B$17:$C$25,2,FALSE),0%)</f>
        <v>0</v>
      </c>
      <c r="U3" s="5">
        <f>IFERROR(VLOOKUP(U$1,'Renta fija USD Hiper Conservado'!$B$17:$C$25,2,FALSE),0%)</f>
        <v>0</v>
      </c>
      <c r="V3" s="5">
        <f>IFERROR(VLOOKUP(V$1,'Renta fija USD Hiper Conservado'!$B$17:$C$25,2,FALSE),0%)</f>
        <v>0</v>
      </c>
      <c r="W3" s="5">
        <f>IFERROR(VLOOKUP(W$1,'Renta fija USD Hiper Conservado'!$B$17:$C$25,2,FALSE),0%)</f>
        <v>0</v>
      </c>
      <c r="X3" s="5">
        <f>IFERROR(VLOOKUP(X$1,'Renta fija USD Hiper Conservado'!$B$17:$C$25,2,FALSE),0%)</f>
        <v>0</v>
      </c>
      <c r="Y3" s="5">
        <f>IFERROR(VLOOKUP(Y$1,'Renta fija USD Hiper Conservado'!$B$17:$C$25,2,FALSE),0%)</f>
        <v>0</v>
      </c>
      <c r="Z3" s="5">
        <f>IFERROR(VLOOKUP(Z$1,'Renta fija USD Hiper Conservado'!$B$17:$C$25,2,FALSE),0%)</f>
        <v>0</v>
      </c>
      <c r="AA3" s="5">
        <f>IFERROR(VLOOKUP(AA$1,'Renta fija USD Hiper Conservado'!$B$17:$C$25,2,FALSE),0%)</f>
        <v>0</v>
      </c>
      <c r="AB3" s="5">
        <f>IFERROR(VLOOKUP(AB$1,'Renta fija USD Hiper Conservado'!$B$17:$C$25,2,FALSE),0%)</f>
        <v>0</v>
      </c>
      <c r="AC3" s="5">
        <f>IFERROR(VLOOKUP(AC$1,'Renta fija USD Hiper Conservado'!$B$17:$C$25,2,FALSE),0%)</f>
        <v>0</v>
      </c>
      <c r="AD3" s="5">
        <f>IFERROR(VLOOKUP(AD$1,'Renta fija USD Hiper Conservado'!$B$17:$C$25,2,FALSE),0%)</f>
        <v>0</v>
      </c>
      <c r="AE3" s="5">
        <f>IFERROR(VLOOKUP(AE$1,'Renta fija USD Hiper Conservado'!$B$17:$C$25,2,FALSE),0%)</f>
        <v>0</v>
      </c>
      <c r="AF3" s="5">
        <f>IFERROR(VLOOKUP(AF$1,'Renta fija USD Hiper Conservado'!$B$17:$C$25,2,FALSE),0%)</f>
        <v>0</v>
      </c>
      <c r="AG3" s="5">
        <f>IFERROR(VLOOKUP(AG$1,'Renta fija USD Hiper Conservado'!$B$17:$C$25,2,FALSE),0%)</f>
        <v>0</v>
      </c>
      <c r="AH3" s="5">
        <f>IFERROR(VLOOKUP(AH$1,'Renta fija USD Hiper Conservado'!$B$17:$C$25,2,FALSE),0%)</f>
        <v>0</v>
      </c>
      <c r="AI3" s="5">
        <f>IFERROR(VLOOKUP(AI$1,'Renta fija USD Hiper Conservado'!$B$17:$C$25,2,FALSE),0%)</f>
        <v>0</v>
      </c>
      <c r="AJ3" s="5">
        <f>IFERROR(VLOOKUP(AJ$1,'Renta fija USD Hiper Conservado'!$B$17:$C$25,2,FALSE),0%)</f>
        <v>0</v>
      </c>
      <c r="AK3" s="5">
        <f>IFERROR(VLOOKUP(AK$1,'Renta fija USD Hiper Conservado'!$B$17:$C$25,2,FALSE),0%)</f>
        <v>0.02079451461</v>
      </c>
      <c r="AL3" s="5">
        <f>IFERROR(VLOOKUP(AL$1,'Renta fija USD Hiper Conservado'!$B$17:$C$25,2,FALSE),0%)</f>
        <v>0</v>
      </c>
      <c r="AM3" s="5">
        <f>IFERROR(VLOOKUP(AM$1,'Renta fija USD Hiper Conservado'!$B$17:$C$25,2,FALSE),0%)</f>
        <v>0</v>
      </c>
      <c r="AN3" s="5">
        <f>IFERROR(VLOOKUP(AN$1,'Renta fija USD Hiper Conservado'!$B$17:$C$25,2,FALSE),0%)</f>
        <v>0</v>
      </c>
      <c r="AO3" s="5">
        <f>IFERROR(VLOOKUP(AO$1,'Renta fija USD Hiper Conservado'!$B$17:$C$25,2,FALSE),0%)</f>
        <v>0</v>
      </c>
      <c r="AP3" s="5">
        <f>IFERROR(VLOOKUP(AP$1,'Renta fija USD Hiper Conservado'!$B$17:$C$25,2,FALSE),0%)</f>
        <v>0</v>
      </c>
      <c r="AQ3" s="5">
        <f>IFERROR(VLOOKUP(AQ$1,'Renta fija USD Hiper Conservado'!$B$17:$C$25,2,FALSE),0%)</f>
        <v>0</v>
      </c>
      <c r="AR3" s="5">
        <f>IFERROR(VLOOKUP(AR$1,'Renta fija USD Hiper Conservado'!$B$17:$C$25,2,FALSE),0%)</f>
        <v>0</v>
      </c>
      <c r="AS3" s="5">
        <f>IFERROR(VLOOKUP(AS$1,'Renta fija USD Hiper Conservado'!$B$17:$C$25,2,FALSE),0%)</f>
        <v>0</v>
      </c>
      <c r="AT3" s="5">
        <f>IFERROR(VLOOKUP(AT$1,'Renta fija USD Hiper Conservado'!$B$17:$C$25,2,FALSE),0%)</f>
        <v>0</v>
      </c>
      <c r="AU3" s="5">
        <f>IFERROR(VLOOKUP(AU$1,'Renta fija USD Hiper Conservado'!$B$17:$C$25,2,FALSE),0%)</f>
        <v>0</v>
      </c>
      <c r="AV3" s="5">
        <f>IFERROR(VLOOKUP(AV$1,'Renta fija USD Hiper Conservado'!$B$17:$C$25,2,FALSE),0%)</f>
        <v>0</v>
      </c>
      <c r="AW3" s="5">
        <f>IFERROR(VLOOKUP(AW$1,'Renta fija USD Hiper Conservado'!$B$17:$C$25,2,FALSE),0%)</f>
        <v>0</v>
      </c>
      <c r="AX3" s="5">
        <f>IFERROR(VLOOKUP(AX$1,'Renta fija USD Hiper Conservado'!$B$17:$C$25,2,FALSE),0%)</f>
        <v>0</v>
      </c>
      <c r="AY3" s="5">
        <f>IFERROR(VLOOKUP(AY$1,'Renta fija USD Hiper Conservado'!$B$17:$C$25,2,FALSE),0%)</f>
        <v>0</v>
      </c>
      <c r="AZ3" s="5">
        <f>IFERROR(VLOOKUP(AZ$1,'Renta fija USD Hiper Conservado'!$B$17:$C$25,2,FALSE),0%)</f>
        <v>0</v>
      </c>
      <c r="BA3" s="5">
        <f>IFERROR(VLOOKUP(BA$1,'Renta fija USD Hiper Conservado'!$B$17:$C$25,2,FALSE),0%)</f>
        <v>0</v>
      </c>
      <c r="BB3" s="5">
        <f>IFERROR(VLOOKUP(BB$1,'Renta fija USD Hiper Conservado'!$B$17:$C$25,2,FALSE),0%)</f>
        <v>0</v>
      </c>
      <c r="BC3" s="5">
        <f>IFERROR(VLOOKUP(BC$1,'Renta fija USD Hiper Conservado'!$B$17:$C$25,2,FALSE),0%)</f>
        <v>0</v>
      </c>
      <c r="BD3" s="5">
        <f>IFERROR(VLOOKUP(BD$1,'Renta fija USD Hiper Conservado'!$B$17:$C$25,2,FALSE),0%)</f>
        <v>0</v>
      </c>
      <c r="BE3" s="5">
        <f>IFERROR(VLOOKUP(BE$1,'Renta fija USD Hiper Conservado'!$B$17:$C$25,2,FALSE),0%)</f>
        <v>0</v>
      </c>
      <c r="BF3" s="5">
        <f>IFERROR(VLOOKUP(BF$1,'Renta fija USD Hiper Conservado'!$B$17:$C$25,2,FALSE),0%)</f>
        <v>0</v>
      </c>
      <c r="BG3" s="5">
        <f>IFERROR(VLOOKUP(BG$1,'Renta fija USD Hiper Conservado'!$B$17:$C$25,2,FALSE),0%)</f>
        <v>0</v>
      </c>
      <c r="BH3" s="5">
        <f>IFERROR(VLOOKUP(BH$1,'Renta fija USD Hiper Conservado'!$B$17:$C$25,2,FALSE),0%)</f>
        <v>0</v>
      </c>
      <c r="BI3" s="5">
        <f>IFERROR(VLOOKUP(BI$1,'Renta fija USD Hiper Conservado'!$B$17:$C$25,2,FALSE),0%)</f>
        <v>0</v>
      </c>
      <c r="BJ3" s="5">
        <f>IFERROR(VLOOKUP(BJ$1,'Renta fija USD Hiper Conservado'!$B$17:$C$25,2,FALSE),0%)</f>
        <v>0</v>
      </c>
      <c r="BK3" s="5">
        <f>IFERROR(VLOOKUP(BK$1,'Renta fija USD Hiper Conservado'!$B$17:$C$25,2,FALSE),0%)</f>
        <v>0</v>
      </c>
      <c r="BL3" s="5">
        <f>IFERROR(VLOOKUP(BL$1,'Renta fija USD Hiper Conservado'!$B$17:$C$25,2,FALSE),0%)</f>
        <v>0</v>
      </c>
      <c r="BM3" s="5">
        <f>IFERROR(VLOOKUP(BM$1,'Renta fija USD Hiper Conservado'!$B$17:$C$25,2,FALSE),0%)</f>
        <v>0</v>
      </c>
      <c r="BN3" s="5">
        <f>IFERROR(VLOOKUP(BN$1,'Renta fija USD Hiper Conservado'!$B$17:$C$25,2,FALSE),0%)</f>
        <v>0</v>
      </c>
      <c r="BO3" s="5">
        <f>IFERROR(VLOOKUP(BO$1,'Renta fija USD Hiper Conservado'!$B$17:$C$25,2,FALSE),0%)</f>
        <v>0</v>
      </c>
      <c r="BP3" s="5">
        <f>IFERROR(VLOOKUP(BP$1,'Renta fija USD Hiper Conservado'!$B$17:$C$25,2,FALSE),0%)</f>
        <v>0</v>
      </c>
      <c r="BQ3" s="5">
        <f>IFERROR(VLOOKUP(BQ$1,'Renta fija USD Hiper Conservado'!$B$17:$C$25,2,FALSE),0%)</f>
        <v>0</v>
      </c>
      <c r="BR3" s="5">
        <f>IFERROR(VLOOKUP(BR$1,'Renta fija USD Hiper Conservado'!$B$17:$C$25,2,FALSE),0%)</f>
        <v>0.04428424033</v>
      </c>
      <c r="BS3" s="5">
        <f>IFERROR(VLOOKUP(BS$1,'Renta fija USD Hiper Conservado'!$B$17:$C$25,2,FALSE),0%)</f>
        <v>0</v>
      </c>
      <c r="BT3" s="5">
        <f>IFERROR(VLOOKUP(BT$1,'Renta fija USD Hiper Conservado'!$B$17:$C$25,2,FALSE),0%)</f>
        <v>0</v>
      </c>
      <c r="BU3" s="5">
        <f>IFERROR(VLOOKUP(BU$1,'Renta fija USD Hiper Conservado'!$B$17:$C$25,2,FALSE),0%)</f>
        <v>0</v>
      </c>
      <c r="BV3" s="5">
        <f>IFERROR(VLOOKUP(BV$1,'Renta fija USD Hiper Conservado'!$B$17:$C$25,2,FALSE),0%)</f>
        <v>0</v>
      </c>
      <c r="BW3" s="5">
        <f>IFERROR(VLOOKUP(BW$1,'Renta fija USD Hiper Conservado'!$B$17:$C$25,2,FALSE),0%)</f>
        <v>0</v>
      </c>
      <c r="BX3" s="5">
        <f>IFERROR(VLOOKUP(BX$1,'Renta fija USD Hiper Conservado'!$B$17:$C$25,2,FALSE),0%)</f>
        <v>0</v>
      </c>
      <c r="BY3" s="5">
        <f>IFERROR(VLOOKUP(BY$1,'Renta fija USD Hiper Conservado'!$B$17:$C$25,2,FALSE),0%)</f>
        <v>0</v>
      </c>
      <c r="BZ3" s="5">
        <f>IFERROR(VLOOKUP(BZ$1,'Renta fija USD Hiper Conservado'!$B$17:$C$25,2,FALSE),0%)</f>
        <v>0</v>
      </c>
      <c r="CA3" s="5">
        <f>IFERROR(VLOOKUP(CA$1,'Renta fija USD Hiper Conservado'!$B$17:$C$25,2,FALSE),0%)</f>
        <v>0</v>
      </c>
      <c r="CB3" s="5">
        <f>IFERROR(VLOOKUP(CB$1,'Renta fija USD Hiper Conservado'!$B$17:$C$25,2,FALSE),0%)</f>
        <v>0</v>
      </c>
      <c r="CC3" s="5">
        <f>IFERROR(VLOOKUP(CC$1,'Renta fija USD Hiper Conservado'!$B$17:$C$25,2,FALSE),0%)</f>
        <v>0</v>
      </c>
      <c r="CD3" s="5">
        <f>IFERROR(VLOOKUP(CD$1,'Renta fija USD Hiper Conservado'!$B$17:$C$25,2,FALSE),0%)</f>
        <v>0</v>
      </c>
      <c r="CE3" s="5">
        <f>IFERROR(VLOOKUP(CE$1,'Renta fija USD Hiper Conservado'!$B$17:$C$25,2,FALSE),0%)</f>
        <v>0</v>
      </c>
      <c r="CF3" s="5">
        <f>IFERROR(VLOOKUP(CF$1,'Renta fija USD Hiper Conservado'!$B$17:$C$25,2,FALSE),0%)</f>
        <v>0</v>
      </c>
      <c r="CG3" s="5">
        <f>IFERROR(VLOOKUP(CG$1,'Renta fija USD Hiper Conservado'!$B$17:$C$25,2,FALSE),0%)</f>
        <v>0</v>
      </c>
      <c r="CH3" s="5">
        <f>IFERROR(VLOOKUP(CH$1,'Renta fija USD Hiper Conservado'!$B$17:$C$25,2,FALSE),0%)</f>
        <v>0</v>
      </c>
      <c r="CI3" s="5">
        <f>IFERROR(VLOOKUP(CI$1,'Renta fija USD Hiper Conservado'!$B$17:$C$25,2,FALSE),0%)</f>
        <v>0</v>
      </c>
      <c r="CJ3" s="5">
        <f>IFERROR(VLOOKUP(CJ$1,'Renta fija USD Hiper Conservado'!$B$17:$C$25,2,FALSE),0%)</f>
        <v>0</v>
      </c>
      <c r="CK3" s="5">
        <f>IFERROR(VLOOKUP(CK$1,'Renta fija USD Hiper Conservado'!$B$17:$C$25,2,FALSE),0%)</f>
        <v>0</v>
      </c>
      <c r="CL3" s="5">
        <f>IFERROR(VLOOKUP(CL$1,'Renta fija USD Hiper Conservado'!$B$17:$C$25,2,FALSE),0%)</f>
        <v>0</v>
      </c>
      <c r="CM3" s="5">
        <f>IFERROR(VLOOKUP(CM$1,'Renta fija USD Hiper Conservado'!$B$17:$C$25,2,FALSE),0%)</f>
        <v>0</v>
      </c>
      <c r="CN3" s="5">
        <f>IFERROR(VLOOKUP(CN$1,'Renta fija USD Hiper Conservado'!$B$17:$C$25,2,FALSE),0%)</f>
        <v>0</v>
      </c>
      <c r="CO3" s="5">
        <f>IFERROR(VLOOKUP(CO$1,'Renta fija USD Hiper Conservado'!$B$17:$C$25,2,FALSE),0%)</f>
        <v>0</v>
      </c>
      <c r="CP3" s="5">
        <f>IFERROR(VLOOKUP(CP$1,'Renta fija USD Hiper Conservado'!$B$17:$C$25,2,FALSE),0%)</f>
        <v>0</v>
      </c>
      <c r="CQ3" s="5">
        <f>IFERROR(VLOOKUP(CQ$1,'Renta fija USD Hiper Conservado'!$B$17:$C$25,2,FALSE),0%)</f>
        <v>0</v>
      </c>
      <c r="CR3" s="5">
        <f>IFERROR(VLOOKUP(CR$1,'Renta fija USD Hiper Conservado'!$B$17:$C$25,2,FALSE),0%)</f>
        <v>0</v>
      </c>
      <c r="CS3" s="5">
        <f>IFERROR(VLOOKUP(CS$1,'Renta fija USD Hiper Conservado'!$B$17:$C$25,2,FALSE),0%)</f>
        <v>0</v>
      </c>
      <c r="CT3" s="5">
        <f>IFERROR(VLOOKUP(CT$1,'Renta fija USD Hiper Conservado'!$B$17:$C$25,2,FALSE),0%)</f>
        <v>0</v>
      </c>
      <c r="CU3" s="5">
        <f>IFERROR(VLOOKUP(CU$1,'Renta fija USD Hiper Conservado'!$B$17:$C$25,2,FALSE),0%)</f>
        <v>0</v>
      </c>
      <c r="CV3" s="5">
        <f>IFERROR(VLOOKUP(CV$1,'Renta fija USD Hiper Conservado'!$B$17:$C$25,2,FALSE),0%)</f>
        <v>0</v>
      </c>
      <c r="CW3" s="5">
        <f>IFERROR(VLOOKUP(CW$1,'Renta fija USD Hiper Conservado'!$B$17:$C$25,2,FALSE),0%)</f>
        <v>0</v>
      </c>
      <c r="CX3" s="5">
        <f>IFERROR(VLOOKUP(CX$1,'Renta fija USD Hiper Conservado'!$B$17:$C$25,2,FALSE),0%)</f>
        <v>0</v>
      </c>
      <c r="CY3" s="5">
        <f>IFERROR(VLOOKUP(CY$1,'Renta fija USD Hiper Conservado'!$B$17:$C$25,2,FALSE),0%)</f>
        <v>0</v>
      </c>
      <c r="CZ3" s="5">
        <f>IFERROR(VLOOKUP(CZ$1,'Renta fija USD Hiper Conservado'!$B$17:$C$25,2,FALSE),0%)</f>
        <v>0</v>
      </c>
      <c r="DA3" s="5">
        <f>IFERROR(VLOOKUP(DA$1,'Renta fija USD Hiper Conservado'!$B$17:$C$25,2,FALSE),0%)</f>
        <v>0</v>
      </c>
      <c r="DB3" s="5">
        <f>IFERROR(VLOOKUP(DB$1,'Renta fija USD Hiper Conservado'!$B$17:$C$25,2,FALSE),0%)</f>
        <v>0</v>
      </c>
      <c r="DC3" s="5">
        <f>IFERROR(VLOOKUP(DC$1,'Renta fija USD Hiper Conservado'!$B$17:$C$25,2,FALSE),0%)</f>
        <v>0</v>
      </c>
      <c r="DD3" s="5">
        <f>IFERROR(VLOOKUP(DD$1,'Renta fija USD Hiper Conservado'!$B$17:$C$25,2,FALSE),0%)</f>
        <v>0</v>
      </c>
      <c r="DE3" s="5">
        <f>IFERROR(VLOOKUP(DE$1,'Renta fija USD Hiper Conservado'!$B$17:$C$25,2,FALSE),0%)</f>
        <v>0</v>
      </c>
      <c r="DF3" s="5">
        <f>IFERROR(VLOOKUP(DF$1,'Renta fija USD Hiper Conservado'!$B$17:$C$25,2,FALSE),0%)</f>
        <v>0</v>
      </c>
      <c r="DG3" s="5">
        <f>IFERROR(VLOOKUP(DG$1,'Renta fija USD Hiper Conservado'!$B$17:$C$25,2,FALSE),0%)</f>
        <v>0</v>
      </c>
      <c r="DH3" s="5">
        <f>IFERROR(VLOOKUP(DH$1,'Renta fija USD Hiper Conservado'!$B$17:$C$25,2,FALSE),0%)</f>
        <v>0</v>
      </c>
      <c r="DI3" s="5">
        <f>IFERROR(VLOOKUP(DI$1,'Renta fija USD Hiper Conservado'!$B$17:$C$25,2,FALSE),0%)</f>
        <v>0</v>
      </c>
      <c r="DJ3" s="5">
        <f>IFERROR(VLOOKUP(DJ$1,'Renta fija USD Hiper Conservado'!$B$17:$C$25,2,FALSE),0%)</f>
        <v>0</v>
      </c>
      <c r="DK3" s="5">
        <f>IFERROR(VLOOKUP(DK$1,'Renta fija USD Hiper Conservado'!$B$17:$C$25,2,FALSE),0%)</f>
        <v>0</v>
      </c>
      <c r="DL3" s="5">
        <f>IFERROR(VLOOKUP(DL$1,'Renta fija USD Hiper Conservado'!$B$17:$C$25,2,FALSE),0%)</f>
        <v>0</v>
      </c>
      <c r="DM3" s="5">
        <f>IFERROR(VLOOKUP(DM$1,'Renta fija USD Hiper Conservado'!$B$17:$C$25,2,FALSE),0%)</f>
        <v>0</v>
      </c>
      <c r="DN3" s="5">
        <f>IFERROR(VLOOKUP(DN$1,'Renta fija USD Hiper Conservado'!$B$17:$C$25,2,FALSE),0%)</f>
        <v>0</v>
      </c>
      <c r="DO3" s="5">
        <f>IFERROR(VLOOKUP(DO$1,'Renta fija USD Hiper Conservado'!$B$17:$C$25,2,FALSE),0%)</f>
        <v>0</v>
      </c>
      <c r="DP3" s="5">
        <f>IFERROR(VLOOKUP(DP$1,'Renta fija USD Hiper Conservado'!$B$17:$C$25,2,FALSE),0%)</f>
        <v>0</v>
      </c>
      <c r="DQ3" s="5">
        <f>IFERROR(VLOOKUP(DQ$1,'Renta fija USD Hiper Conservado'!$B$17:$C$25,2,FALSE),0%)</f>
        <v>0</v>
      </c>
      <c r="DR3" s="5">
        <f>IFERROR(VLOOKUP(DR$1,'Renta fija USD Hiper Conservado'!$B$17:$C$25,2,FALSE),0%)</f>
        <v>0</v>
      </c>
      <c r="DS3" s="5">
        <f>IFERROR(VLOOKUP(DS$1,'Renta fija USD Hiper Conservado'!$B$17:$C$25,2,FALSE),0%)</f>
        <v>0</v>
      </c>
      <c r="DT3" s="5">
        <f>IFERROR(VLOOKUP(DT$1,'Renta fija USD Hiper Conservado'!$B$17:$C$25,2,FALSE),0%)</f>
        <v>0</v>
      </c>
      <c r="DU3" s="5">
        <f>IFERROR(VLOOKUP(DU$1,'Renta fija USD Hiper Conservado'!$B$17:$C$25,2,FALSE),0%)</f>
        <v>0</v>
      </c>
      <c r="DV3" s="5">
        <f>IFERROR(VLOOKUP(DV$1,'Renta fija USD Hiper Conservado'!$B$17:$C$25,2,FALSE),0%)</f>
        <v>0</v>
      </c>
      <c r="DW3" s="5">
        <f>IFERROR(VLOOKUP(DW$1,'Renta fija USD Hiper Conservado'!$B$17:$C$25,2,FALSE),0%)</f>
        <v>0</v>
      </c>
      <c r="DX3" s="5">
        <f>IFERROR(VLOOKUP(DX$1,'Renta fija USD Hiper Conservado'!$B$17:$C$25,2,FALSE),0%)</f>
        <v>0</v>
      </c>
      <c r="DY3" s="5">
        <f>IFERROR(VLOOKUP(DY$1,'Renta fija USD Hiper Conservado'!$B$17:$C$25,2,FALSE),0%)</f>
        <v>0</v>
      </c>
      <c r="DZ3" s="5">
        <f>IFERROR(VLOOKUP(DZ$1,'Renta fija USD Hiper Conservado'!$B$17:$C$25,2,FALSE),0%)</f>
        <v>0</v>
      </c>
      <c r="EA3" s="5">
        <f>IFERROR(VLOOKUP(EA$1,'Renta fija USD Hiper Conservado'!$B$17:$C$25,2,FALSE),0%)</f>
        <v>0</v>
      </c>
      <c r="EB3" s="5">
        <f>IFERROR(VLOOKUP(EB$1,'Renta fija USD Hiper Conservado'!$B$17:$C$25,2,FALSE),0%)</f>
        <v>0</v>
      </c>
      <c r="EC3" s="5">
        <f>IFERROR(VLOOKUP(EC$1,'Renta fija USD Hiper Conservado'!$B$17:$C$25,2,FALSE),0%)</f>
        <v>0</v>
      </c>
      <c r="ED3" s="5">
        <f>IFERROR(VLOOKUP(ED$1,'Renta fija USD Hiper Conservado'!$B$17:$C$25,2,FALSE),0%)</f>
        <v>0</v>
      </c>
      <c r="EE3" s="5">
        <f>IFERROR(VLOOKUP(EE$1,'Renta fija USD Hiper Conservado'!$B$17:$C$25,2,FALSE),0%)</f>
        <v>0</v>
      </c>
      <c r="EF3" s="5">
        <f>IFERROR(VLOOKUP(EF$1,'Renta fija USD Hiper Conservado'!$B$17:$C$25,2,FALSE),0%)</f>
        <v>0</v>
      </c>
      <c r="EG3" s="5">
        <f>IFERROR(VLOOKUP(EG$1,'Renta fija USD Hiper Conservado'!$B$17:$C$25,2,FALSE),0%)</f>
        <v>0</v>
      </c>
      <c r="EH3" s="5">
        <f>IFERROR(VLOOKUP(EH$1,'Renta fija USD Hiper Conservado'!$B$17:$C$25,2,FALSE),0%)</f>
        <v>0</v>
      </c>
      <c r="EI3" s="5">
        <f>IFERROR(VLOOKUP(EI$1,'Renta fija USD Hiper Conservado'!$B$17:$C$25,2,FALSE),0%)</f>
        <v>0</v>
      </c>
      <c r="EJ3" s="5">
        <f>IFERROR(VLOOKUP(EJ$1,'Renta fija USD Hiper Conservado'!$B$17:$C$25,2,FALSE),0%)</f>
        <v>0</v>
      </c>
      <c r="EK3" s="5">
        <f>IFERROR(VLOOKUP(EK$1,'Renta fija USD Hiper Conservado'!$B$17:$C$25,2,FALSE),0%)</f>
        <v>0</v>
      </c>
      <c r="EL3" s="5">
        <f>IFERROR(VLOOKUP(EL$1,'Renta fija USD Hiper Conservado'!$B$17:$C$25,2,FALSE),0%)</f>
        <v>0</v>
      </c>
      <c r="EM3" s="5">
        <f>IFERROR(VLOOKUP(EM$1,'Renta fija USD Hiper Conservado'!$B$17:$C$25,2,FALSE),0%)</f>
        <v>0</v>
      </c>
      <c r="EN3" s="5">
        <f>IFERROR(VLOOKUP(EN$1,'Renta fija USD Hiper Conservado'!$B$17:$C$25,2,FALSE),0%)</f>
        <v>0</v>
      </c>
      <c r="EO3" s="5">
        <f>IFERROR(VLOOKUP(EO$1,'Renta fija USD Hiper Conservado'!$B$17:$C$25,2,FALSE),0%)</f>
        <v>0</v>
      </c>
      <c r="EP3" s="5">
        <f>IFERROR(VLOOKUP(EP$1,'Renta fija USD Hiper Conservado'!$B$17:$C$25,2,FALSE),0%)</f>
        <v>0</v>
      </c>
      <c r="EQ3" s="5">
        <f>IFERROR(VLOOKUP(EQ$1,'Renta fija USD Hiper Conservado'!$B$17:$C$25,2,FALSE),0%)</f>
        <v>0</v>
      </c>
      <c r="ER3" s="5">
        <f>IFERROR(VLOOKUP(ER$1,'Renta fija USD Hiper Conservado'!$B$17:$C$25,2,FALSE),0%)</f>
        <v>0</v>
      </c>
      <c r="ES3" s="5">
        <f>IFERROR(VLOOKUP(ES$1,'Renta fija USD Hiper Conservado'!$B$17:$C$25,2,FALSE),0%)</f>
        <v>0</v>
      </c>
      <c r="ET3" s="5">
        <f>IFERROR(VLOOKUP(ET$1,'Renta fija USD Hiper Conservado'!$B$17:$C$25,2,FALSE),0%)</f>
        <v>0</v>
      </c>
      <c r="EU3" s="5">
        <f>IFERROR(VLOOKUP(EU$1,'Renta fija USD Hiper Conservado'!$B$17:$C$25,2,FALSE),0%)</f>
        <v>0.549993261</v>
      </c>
      <c r="EV3" s="5">
        <f>IFERROR(VLOOKUP(EV$1,'Renta fija USD Hiper Conservado'!$B$17:$C$25,2,FALSE),0%)</f>
        <v>0</v>
      </c>
      <c r="EW3" s="5">
        <f>IFERROR(VLOOKUP(EW$1,'Renta fija USD Hiper Conservado'!$B$17:$C$25,2,FALSE),0%)</f>
        <v>0</v>
      </c>
      <c r="EX3" s="5">
        <f>IFERROR(VLOOKUP(EX$1,'Renta fija USD Hiper Conservado'!$B$17:$C$25,2,FALSE),0%)</f>
        <v>0</v>
      </c>
      <c r="EY3" s="5">
        <f>IFERROR(VLOOKUP(EY$1,'Renta fija USD Hiper Conservado'!$B$17:$C$25,2,FALSE),0%)</f>
        <v>0</v>
      </c>
      <c r="EZ3" s="5">
        <f>IFERROR(VLOOKUP(EZ$1,'Renta fija USD Hiper Conservado'!$B$17:$C$25,2,FALSE),0%)</f>
        <v>0</v>
      </c>
      <c r="FA3" s="5">
        <f>IFERROR(VLOOKUP(FA$1,'Renta fija USD Hiper Conservado'!$B$17:$C$25,2,FALSE),0%)</f>
        <v>0</v>
      </c>
      <c r="FB3" s="5">
        <f>IFERROR(VLOOKUP(FB$1,'Renta fija USD Hiper Conservado'!$B$17:$C$25,2,FALSE),0%)</f>
        <v>0</v>
      </c>
      <c r="FC3" s="5">
        <f>IFERROR(VLOOKUP(FC$1,'Renta fija USD Hiper Conservado'!$B$17:$C$25,2,FALSE),0%)</f>
        <v>0</v>
      </c>
      <c r="FD3" s="5">
        <f>IFERROR(VLOOKUP(FD$1,'Renta fija USD Hiper Conservado'!$B$17:$C$25,2,FALSE),0%)</f>
        <v>0</v>
      </c>
      <c r="FE3" s="5">
        <f>IFERROR(VLOOKUP(FE$1,'Renta fija USD Hiper Conservado'!$B$17:$C$25,2,FALSE),0%)</f>
        <v>0</v>
      </c>
      <c r="FF3" s="5">
        <f>IFERROR(VLOOKUP(FF$1,'Renta fija USD Hiper Conservado'!$B$17:$C$25,2,FALSE),0%)</f>
        <v>0</v>
      </c>
      <c r="FG3" s="5">
        <f>IFERROR(VLOOKUP(FG$1,'Renta fija USD Hiper Conservado'!$B$17:$C$25,2,FALSE),0%)</f>
        <v>0</v>
      </c>
      <c r="FH3" s="5">
        <f>IFERROR(VLOOKUP(FH$1,'Renta fija USD Hiper Conservado'!$B$17:$C$25,2,FALSE),0%)</f>
        <v>0</v>
      </c>
      <c r="FI3" s="5">
        <f>IFERROR(VLOOKUP(FI$1,'Renta fija USD Hiper Conservado'!$B$17:$C$25,2,FALSE),0%)</f>
        <v>0</v>
      </c>
      <c r="FJ3" s="5">
        <f>IFERROR(VLOOKUP(FJ$1,'Renta fija USD Hiper Conservado'!$B$17:$C$25,2,FALSE),0%)</f>
        <v>0</v>
      </c>
      <c r="FK3" s="5">
        <f>IFERROR(VLOOKUP(FK$1,'Renta fija USD Hiper Conservado'!$B$17:$C$25,2,FALSE),0%)</f>
        <v>0</v>
      </c>
      <c r="FL3" s="5">
        <f>IFERROR(VLOOKUP(FL$1,'Renta fija USD Hiper Conservado'!$B$17:$C$25,2,FALSE),0%)</f>
        <v>0</v>
      </c>
      <c r="FM3" s="5">
        <f>IFERROR(VLOOKUP(FM$1,'Renta fija USD Hiper Conservado'!$B$17:$C$25,2,FALSE),0%)</f>
        <v>0</v>
      </c>
      <c r="FN3" s="5">
        <f>IFERROR(VLOOKUP(FN$1,'Renta fija USD Hiper Conservado'!$B$17:$C$25,2,FALSE),0%)</f>
        <v>0</v>
      </c>
      <c r="FO3" s="5">
        <f>IFERROR(VLOOKUP(FO$1,'Renta fija USD Hiper Conservado'!$B$17:$C$25,2,FALSE),0%)</f>
        <v>0</v>
      </c>
      <c r="FP3" s="5">
        <f>IFERROR(VLOOKUP(FP$1,'Renta fija USD Hiper Conservado'!$B$17:$C$25,2,FALSE),0%)</f>
        <v>0</v>
      </c>
      <c r="FQ3" s="5">
        <f>IFERROR(VLOOKUP(FQ$1,'Renta fija USD Hiper Conservado'!$B$17:$C$25,2,FALSE),0%)</f>
        <v>0</v>
      </c>
      <c r="FR3" s="5">
        <f>IFERROR(VLOOKUP(FR$1,'Renta fija USD Hiper Conservado'!$B$17:$C$25,2,FALSE),0%)</f>
        <v>0</v>
      </c>
      <c r="FS3" s="5">
        <f>IFERROR(VLOOKUP(FS$1,'Renta fija USD Hiper Conservado'!$B$17:$C$25,2,FALSE),0%)</f>
        <v>0</v>
      </c>
      <c r="FT3" s="5">
        <f>IFERROR(VLOOKUP(FT$1,'Renta fija USD Hiper Conservado'!$B$17:$C$25,2,FALSE),0%)</f>
        <v>0</v>
      </c>
      <c r="FU3" s="5">
        <f>IFERROR(VLOOKUP(FU$1,'Renta fija USD Hiper Conservado'!$B$17:$C$25,2,FALSE),0%)</f>
        <v>0</v>
      </c>
      <c r="FV3" s="5">
        <f>IFERROR(VLOOKUP(FV$1,'Renta fija USD Hiper Conservado'!$B$17:$C$25,2,FALSE),0%)</f>
        <v>0</v>
      </c>
      <c r="FW3" s="5">
        <f>IFERROR(VLOOKUP(FW$1,'Renta fija USD Hiper Conservado'!$B$17:$C$25,2,FALSE),0%)</f>
        <v>0</v>
      </c>
      <c r="FX3" s="5">
        <f>IFERROR(VLOOKUP(FX$1,'Renta fija USD Hiper Conservado'!$B$17:$C$25,2,FALSE),0%)</f>
        <v>0</v>
      </c>
      <c r="FY3" s="5">
        <f>IFERROR(VLOOKUP(FY$1,'Renta fija USD Hiper Conservado'!$B$17:$C$25,2,FALSE),0%)</f>
        <v>0</v>
      </c>
      <c r="FZ3" s="5">
        <f>IFERROR(VLOOKUP(FZ$1,'Renta fija USD Hiper Conservado'!$B$17:$C$25,2,FALSE),0%)</f>
        <v>0</v>
      </c>
      <c r="GA3" s="5">
        <f>IFERROR(VLOOKUP(GA$1,'Renta fija USD Hiper Conservado'!$B$17:$C$25,2,FALSE),0%)</f>
        <v>0</v>
      </c>
      <c r="GB3" s="5">
        <f>IFERROR(VLOOKUP(GB$1,'Renta fija USD Hiper Conservado'!$B$17:$C$25,2,FALSE),0%)</f>
        <v>0</v>
      </c>
      <c r="GC3" s="5">
        <f>IFERROR(VLOOKUP(GC$1,'Renta fija USD Hiper Conservado'!$B$17:$C$25,2,FALSE),0%)</f>
        <v>0</v>
      </c>
      <c r="GD3" s="5">
        <f>IFERROR(VLOOKUP(GD$1,'Renta fija USD Hiper Conservado'!$B$17:$C$25,2,FALSE),0%)</f>
        <v>0</v>
      </c>
      <c r="GE3" s="5">
        <f>IFERROR(VLOOKUP(GE$1,'Renta fija USD Hiper Conservado'!$B$17:$C$25,2,FALSE),0%)</f>
        <v>0</v>
      </c>
      <c r="GF3" s="5">
        <f>IFERROR(VLOOKUP(GF$1,'Renta fija USD Hiper Conservado'!$B$17:$C$25,2,FALSE),0%)</f>
        <v>0</v>
      </c>
      <c r="GG3" s="5">
        <f>IFERROR(VLOOKUP(GG$1,'Renta fija USD Hiper Conservado'!$B$17:$C$25,2,FALSE),0%)</f>
        <v>0</v>
      </c>
      <c r="GH3" s="5">
        <f>IFERROR(VLOOKUP(GH$1,'Renta fija USD Hiper Conservado'!$B$17:$C$25,2,FALSE),0%)</f>
        <v>0</v>
      </c>
      <c r="GI3" s="5">
        <f>IFERROR(VLOOKUP(GI$1,'Renta fija USD Hiper Conservado'!$B$17:$C$25,2,FALSE),0%)</f>
        <v>0</v>
      </c>
      <c r="GJ3" s="5">
        <f>IFERROR(VLOOKUP(GJ$1,'Renta fija USD Hiper Conservado'!$B$17:$C$25,2,FALSE),0%)</f>
        <v>0</v>
      </c>
      <c r="GK3" s="5">
        <f>IFERROR(VLOOKUP(GK$1,'Renta fija USD Hiper Conservado'!$B$17:$C$25,2,FALSE),0%)</f>
        <v>0</v>
      </c>
      <c r="GL3" s="5">
        <f>IFERROR(VLOOKUP(GL$1,'Renta fija USD Hiper Conservado'!$B$17:$C$25,2,FALSE),0%)</f>
        <v>0</v>
      </c>
      <c r="GM3" s="5">
        <f>IFERROR(VLOOKUP(GM$1,'Renta fija USD Hiper Conservado'!$B$17:$C$25,2,FALSE),0%)</f>
        <v>0</v>
      </c>
      <c r="GN3" s="5">
        <f>IFERROR(VLOOKUP(GN$1,'Renta fija USD Hiper Conservado'!$B$17:$C$25,2,FALSE),0%)</f>
        <v>0</v>
      </c>
      <c r="GO3" s="5">
        <f>IFERROR(VLOOKUP(GO$1,'Renta fija USD Hiper Conservado'!$B$17:$C$25,2,FALSE),0%)</f>
        <v>0</v>
      </c>
      <c r="GP3" s="5">
        <f>IFERROR(VLOOKUP(GP$1,'Renta fija USD Hiper Conservado'!$B$17:$C$25,2,FALSE),0%)</f>
        <v>0</v>
      </c>
      <c r="GQ3" s="5">
        <f>IFERROR(VLOOKUP(GQ$1,'Renta fija USD Hiper Conservado'!$B$17:$C$25,2,FALSE),0%)</f>
        <v>0</v>
      </c>
      <c r="GR3" s="5">
        <f>IFERROR(VLOOKUP(GR$1,'Renta fija USD Hiper Conservado'!$B$17:$C$25,2,FALSE),0%)</f>
        <v>0</v>
      </c>
      <c r="GS3" s="5">
        <f>IFERROR(VLOOKUP(GS$1,'Renta fija USD Hiper Conservado'!$B$17:$C$25,2,FALSE),0%)</f>
        <v>0</v>
      </c>
      <c r="GT3" s="5">
        <f>IFERROR(VLOOKUP(GT$1,'Renta fija USD Hiper Conservado'!$B$17:$C$25,2,FALSE),0%)</f>
        <v>0</v>
      </c>
      <c r="GU3" s="5">
        <f>IFERROR(VLOOKUP(GU$1,'Renta fija USD Hiper Conservado'!$B$17:$C$25,2,FALSE),0%)</f>
        <v>0</v>
      </c>
      <c r="GV3" s="5">
        <f>IFERROR(VLOOKUP(GV$1,'Renta fija USD Hiper Conservado'!$B$17:$C$25,2,FALSE),0%)</f>
        <v>0</v>
      </c>
      <c r="GW3" s="5">
        <f>IFERROR(VLOOKUP(GW$1,'Renta fija USD Hiper Conservado'!$B$17:$C$25,2,FALSE),0%)</f>
        <v>0</v>
      </c>
      <c r="GX3" s="5">
        <f>IFERROR(VLOOKUP(GX$1,'Renta fija USD Hiper Conservado'!$B$17:$C$25,2,FALSE),0%)</f>
        <v>0</v>
      </c>
      <c r="GY3" s="5">
        <f>IFERROR(VLOOKUP(GY$1,'Renta fija USD Hiper Conservado'!$B$17:$C$25,2,FALSE),0%)</f>
        <v>0</v>
      </c>
      <c r="GZ3" s="5">
        <f>IFERROR(VLOOKUP(GZ$1,'Renta fija USD Hiper Conservado'!$B$17:$C$25,2,FALSE),0%)</f>
        <v>0</v>
      </c>
      <c r="HA3" s="5">
        <f>IFERROR(VLOOKUP(HA$1,'Renta fija USD Hiper Conservado'!$B$17:$C$25,2,FALSE),0%)</f>
        <v>0</v>
      </c>
      <c r="HB3" s="5">
        <f>IFERROR(VLOOKUP(HB$1,'Renta fija USD Hiper Conservado'!$B$17:$C$25,2,FALSE),0%)</f>
        <v>0</v>
      </c>
      <c r="HC3" s="5">
        <f>IFERROR(VLOOKUP(HC$1,'Renta fija USD Hiper Conservado'!$B$17:$C$25,2,FALSE),0%)</f>
        <v>0</v>
      </c>
      <c r="HD3" s="5">
        <f>IFERROR(VLOOKUP(HD$1,'Renta fija USD Hiper Conservado'!$B$17:$C$25,2,FALSE),0%)</f>
        <v>0</v>
      </c>
      <c r="HE3" s="5">
        <f>IFERROR(VLOOKUP(HE$1,'Renta fija USD Hiper Conservado'!$B$17:$C$25,2,FALSE),0%)</f>
        <v>0</v>
      </c>
      <c r="HF3" s="5">
        <f>IFERROR(VLOOKUP(HF$1,'Renta fija USD Hiper Conservado'!$B$17:$C$25,2,FALSE),0%)</f>
        <v>0</v>
      </c>
      <c r="HG3" s="5">
        <f>IFERROR(VLOOKUP(HG$1,'Renta fija USD Hiper Conservado'!$B$17:$C$25,2,FALSE),0%)</f>
        <v>0</v>
      </c>
      <c r="HH3" s="5">
        <f>IFERROR(VLOOKUP(HH$1,'Renta fija USD Hiper Conservado'!$B$17:$C$25,2,FALSE),0%)</f>
        <v>0</v>
      </c>
      <c r="HI3" s="5">
        <f>IFERROR(VLOOKUP(HI$1,'Renta fija USD Hiper Conservado'!$B$17:$C$25,2,FALSE),0%)</f>
        <v>0</v>
      </c>
      <c r="HJ3" s="5">
        <f>IFERROR(VLOOKUP(HJ$1,'Renta fija USD Hiper Conservado'!$B$17:$C$25,2,FALSE),0%)</f>
        <v>0</v>
      </c>
      <c r="HK3" s="5">
        <f>IFERROR(VLOOKUP(HK$1,'Renta fija USD Hiper Conservado'!$B$17:$C$25,2,FALSE),0%)</f>
        <v>0</v>
      </c>
      <c r="HL3" s="5">
        <f>IFERROR(VLOOKUP(HL$1,'Renta fija USD Hiper Conservado'!$B$17:$C$25,2,FALSE),0%)</f>
        <v>0</v>
      </c>
      <c r="HM3" s="5">
        <f>IFERROR(VLOOKUP(HM$1,'Renta fija USD Hiper Conservado'!$B$17:$C$25,2,FALSE),0%)</f>
        <v>0</v>
      </c>
      <c r="HN3" s="5">
        <f>IFERROR(VLOOKUP(HN$1,'Renta fija USD Hiper Conservado'!$B$17:$C$25,2,FALSE),0%)</f>
        <v>0</v>
      </c>
      <c r="HO3" s="5">
        <f>IFERROR(VLOOKUP(HO$1,'Renta fija USD Hiper Conservado'!$B$17:$C$25,2,FALSE),0%)</f>
        <v>0</v>
      </c>
      <c r="HP3" s="5">
        <f>IFERROR(VLOOKUP(HP$1,'Renta fija USD Hiper Conservado'!$B$17:$C$25,2,FALSE),0%)</f>
        <v>0</v>
      </c>
      <c r="HQ3" s="5">
        <f>IFERROR(VLOOKUP(HQ$1,'Renta fija USD Hiper Conservado'!$B$17:$C$25,2,FALSE),0%)</f>
        <v>0</v>
      </c>
      <c r="HR3" s="5">
        <f>IFERROR(VLOOKUP(HR$1,'Renta fija USD Hiper Conservado'!$B$17:$C$25,2,FALSE),0%)</f>
        <v>0</v>
      </c>
      <c r="HS3" s="5">
        <f>IFERROR(VLOOKUP(HS$1,'Renta fija USD Hiper Conservado'!$B$17:$C$25,2,FALSE),0%)</f>
        <v>0</v>
      </c>
      <c r="HT3" s="5">
        <f>IFERROR(VLOOKUP(HT$1,'Renta fija USD Hiper Conservado'!$B$17:$C$25,2,FALSE),0%)</f>
        <v>0</v>
      </c>
      <c r="HU3" s="5">
        <f>IFERROR(VLOOKUP(HU$1,'Renta fija USD Hiper Conservado'!$B$17:$C$25,2,FALSE),0%)</f>
        <v>0</v>
      </c>
      <c r="HV3" s="5">
        <f>IFERROR(VLOOKUP(HV$1,'Renta fija USD Hiper Conservado'!$B$17:$C$25,2,FALSE),0%)</f>
        <v>0</v>
      </c>
      <c r="HW3" s="5">
        <f>IFERROR(VLOOKUP(HW$1,'Renta fija USD Hiper Conservado'!$B$17:$C$25,2,FALSE),0%)</f>
        <v>0</v>
      </c>
      <c r="HX3" s="5">
        <f>IFERROR(VLOOKUP(HX$1,'Renta fija USD Hiper Conservado'!$B$17:$C$25,2,FALSE),0%)</f>
        <v>0</v>
      </c>
      <c r="HY3" s="5">
        <f>IFERROR(VLOOKUP(HY$1,'Renta fija USD Hiper Conservado'!$B$17:$C$25,2,FALSE),0%)</f>
        <v>0</v>
      </c>
      <c r="HZ3" s="5">
        <f>IFERROR(VLOOKUP(HZ$1,'Renta fija USD Hiper Conservado'!$B$17:$C$25,2,FALSE),0%)</f>
        <v>0</v>
      </c>
      <c r="IA3" s="5">
        <f>IFERROR(VLOOKUP(IA$1,'Renta fija USD Hiper Conservado'!$B$17:$C$25,2,FALSE),0%)</f>
        <v>0</v>
      </c>
      <c r="IB3" s="5">
        <f>IFERROR(VLOOKUP(IB$1,'Renta fija USD Hiper Conservado'!$B$17:$C$25,2,FALSE),0%)</f>
        <v>0</v>
      </c>
      <c r="IC3" s="5">
        <f>IFERROR(VLOOKUP(IC$1,'Renta fija USD Hiper Conservado'!$B$17:$C$25,2,FALSE),0%)</f>
        <v>0</v>
      </c>
      <c r="ID3" s="5">
        <f>IFERROR(VLOOKUP(ID$1,'Renta fija USD Hiper Conservado'!$B$17:$C$25,2,FALSE),0%)</f>
        <v>0</v>
      </c>
      <c r="IE3" s="5">
        <f>IFERROR(VLOOKUP(IE$1,'Renta fija USD Hiper Conservado'!$B$17:$C$25,2,FALSE),0%)</f>
        <v>0</v>
      </c>
      <c r="IF3" s="5">
        <f>IFERROR(VLOOKUP(IF$1,'Renta fija USD Hiper Conservado'!$B$17:$C$25,2,FALSE),0%)</f>
        <v>0</v>
      </c>
      <c r="IG3" s="5">
        <f>IFERROR(VLOOKUP(IG$1,'Renta fija USD Hiper Conservado'!$B$17:$C$25,2,FALSE),0%)</f>
        <v>0</v>
      </c>
      <c r="IH3" s="5">
        <f>IFERROR(VLOOKUP(IH$1,'Renta fija USD Hiper Conservado'!$B$17:$C$25,2,FALSE),0%)</f>
        <v>0</v>
      </c>
      <c r="II3" s="5">
        <f>IFERROR(VLOOKUP(II$1,'Renta fija USD Hiper Conservado'!$B$17:$C$25,2,FALSE),0%)</f>
        <v>0</v>
      </c>
      <c r="IJ3" s="5">
        <f>IFERROR(VLOOKUP(IJ$1,'Renta fija USD Hiper Conservado'!$B$17:$C$25,2,FALSE),0%)</f>
        <v>0</v>
      </c>
      <c r="IK3" s="5">
        <f>IFERROR(VLOOKUP(IK$1,'Renta fija USD Hiper Conservado'!$B$17:$C$25,2,FALSE),0%)</f>
        <v>0</v>
      </c>
      <c r="IL3" s="5">
        <f>IFERROR(VLOOKUP(IL$1,'Renta fija USD Hiper Conservado'!$B$17:$C$25,2,FALSE),0%)</f>
        <v>0</v>
      </c>
      <c r="IM3" s="5">
        <f>IFERROR(VLOOKUP(IM$1,'Renta fija USD Hiper Conservado'!$B$17:$C$25,2,FALSE),0%)</f>
        <v>0</v>
      </c>
      <c r="IN3" s="5">
        <f>IFERROR(VLOOKUP(IN$1,'Renta fija USD Hiper Conservado'!$B$17:$C$25,2,FALSE),0%)</f>
        <v>0</v>
      </c>
      <c r="IO3" s="5">
        <f>IFERROR(VLOOKUP(IO$1,'Renta fija USD Hiper Conservado'!$B$17:$C$25,2,FALSE),0%)</f>
        <v>0</v>
      </c>
      <c r="IP3" s="5">
        <f>IFERROR(VLOOKUP(IP$1,'Renta fija USD Hiper Conservado'!$B$17:$C$25,2,FALSE),0%)</f>
        <v>0</v>
      </c>
      <c r="IQ3" s="5">
        <f>IFERROR(VLOOKUP(IQ$1,'Renta fija USD Hiper Conservado'!$B$17:$C$25,2,FALSE),0%)</f>
        <v>0</v>
      </c>
      <c r="IR3" s="5">
        <f>IFERROR(VLOOKUP(IR$1,'Renta fija USD Hiper Conservado'!$B$17:$C$25,2,FALSE),0%)</f>
        <v>0</v>
      </c>
      <c r="IS3" s="5">
        <f>IFERROR(VLOOKUP(IS$1,'Renta fija USD Hiper Conservado'!$B$17:$C$25,2,FALSE),0%)</f>
        <v>0</v>
      </c>
      <c r="IT3" s="5">
        <f>IFERROR(VLOOKUP(IT$1,'Renta fija USD Hiper Conservado'!$B$17:$C$25,2,FALSE),0%)</f>
        <v>0</v>
      </c>
      <c r="IU3" s="5">
        <f>IFERROR(VLOOKUP(IU$1,'Renta fija USD Hiper Conservado'!$B$17:$C$25,2,FALSE),0%)</f>
        <v>0</v>
      </c>
      <c r="IV3" s="5">
        <f>IFERROR(VLOOKUP(IV$1,'Renta fija USD Hiper Conservado'!$B$17:$C$25,2,FALSE),0%)</f>
        <v>0</v>
      </c>
      <c r="IW3" s="5">
        <f>IFERROR(VLOOKUP(IW$1,'Renta fija USD Hiper Conservado'!$B$17:$C$25,2,FALSE),0%)</f>
        <v>0</v>
      </c>
      <c r="IX3" s="5">
        <f>IFERROR(VLOOKUP(IX$1,'Renta fija USD Hiper Conservado'!$B$17:$C$25,2,FALSE),0%)</f>
        <v>0</v>
      </c>
      <c r="IY3" s="5">
        <f>IFERROR(VLOOKUP(IY$1,'Renta fija USD Hiper Conservado'!$B$17:$C$25,2,FALSE),0%)</f>
        <v>0</v>
      </c>
      <c r="IZ3" s="5">
        <f>IFERROR(VLOOKUP(IZ$1,'Renta fija USD Hiper Conservado'!$B$17:$C$25,2,FALSE),0%)</f>
        <v>0</v>
      </c>
      <c r="JA3" s="5">
        <f>IFERROR(VLOOKUP(JA$1,'Renta fija USD Hiper Conservado'!$B$17:$C$25,2,FALSE),0%)</f>
        <v>0</v>
      </c>
      <c r="JB3" s="5">
        <f>IFERROR(VLOOKUP(JB$1,'Renta fija USD Hiper Conservado'!$B$17:$C$25,2,FALSE),0%)</f>
        <v>0</v>
      </c>
      <c r="JC3" s="5">
        <f>IFERROR(VLOOKUP(JC$1,'Renta fija USD Hiper Conservado'!$B$17:$C$25,2,FALSE),0%)</f>
        <v>0</v>
      </c>
      <c r="JD3" s="5">
        <f>IFERROR(VLOOKUP(JD$1,'Renta fija USD Hiper Conservado'!$B$17:$C$25,2,FALSE),0%)</f>
        <v>0</v>
      </c>
      <c r="JE3" s="5">
        <f>IFERROR(VLOOKUP(JE$1,'Renta fija USD Hiper Conservado'!$B$17:$C$25,2,FALSE),0%)</f>
        <v>0</v>
      </c>
      <c r="JF3" s="5">
        <f>IFERROR(VLOOKUP(JF$1,'Renta fija USD Hiper Conservado'!$B$17:$C$25,2,FALSE),0%)</f>
        <v>0</v>
      </c>
      <c r="JG3" s="5">
        <f>IFERROR(VLOOKUP(JG$1,'Renta fija USD Hiper Conservado'!$B$17:$C$25,2,FALSE),0%)</f>
        <v>0</v>
      </c>
      <c r="JH3" s="5">
        <f>IFERROR(VLOOKUP(JH$1,'Renta fija USD Hiper Conservado'!$B$17:$C$25,2,FALSE),0%)</f>
        <v>0.03492124506</v>
      </c>
      <c r="JI3" s="5">
        <f>IFERROR(VLOOKUP(JI$1,'Renta fija USD Hiper Conservado'!$B$17:$C$25,2,FALSE),0%)</f>
        <v>0</v>
      </c>
      <c r="JJ3" s="5">
        <f>IFERROR(VLOOKUP(JJ$1,'Renta fija USD Hiper Conservado'!$B$17:$C$25,2,FALSE),0%)</f>
        <v>0</v>
      </c>
      <c r="JK3" s="5">
        <f>IFERROR(VLOOKUP(JK$1,'Renta fija USD Hiper Conservado'!$B$17:$C$25,2,FALSE),0%)</f>
        <v>0</v>
      </c>
      <c r="JL3" s="5">
        <f>IFERROR(VLOOKUP(JL$1,'Renta fija USD Hiper Conservado'!$B$17:$C$25,2,FALSE),0%)</f>
        <v>0</v>
      </c>
      <c r="JM3" s="5">
        <f>IFERROR(VLOOKUP(JM$1,'Renta fija USD Hiper Conservado'!$B$17:$C$25,2,FALSE),0%)</f>
        <v>0</v>
      </c>
      <c r="JN3" s="5">
        <f>IFERROR(VLOOKUP(JN$1,'Renta fija USD Hiper Conservado'!$B$17:$C$25,2,FALSE),0%)</f>
        <v>0</v>
      </c>
      <c r="JO3" s="5">
        <f>IFERROR(VLOOKUP(JO$1,'Renta fija USD Hiper Conservado'!$B$17:$C$25,2,FALSE),0%)</f>
        <v>0</v>
      </c>
      <c r="JP3" s="5">
        <f>IFERROR(VLOOKUP(JP$1,'Renta fija USD Hiper Conservado'!$B$17:$C$25,2,FALSE),0%)</f>
        <v>0</v>
      </c>
      <c r="JQ3" s="5">
        <f>IFERROR(VLOOKUP(JQ$1,'Renta fija USD Hiper Conservado'!$B$17:$C$25,2,FALSE),0%)</f>
        <v>0</v>
      </c>
      <c r="JR3" s="5">
        <f>IFERROR(VLOOKUP(JR$1,'Renta fija USD Hiper Conservado'!$B$17:$C$25,2,FALSE),0%)</f>
        <v>0</v>
      </c>
      <c r="JS3" s="5">
        <f>IFERROR(VLOOKUP(JS$1,'Renta fija USD Hiper Conservado'!$B$17:$C$25,2,FALSE),0%)</f>
        <v>0</v>
      </c>
      <c r="JT3" s="5">
        <f>IFERROR(VLOOKUP(JT$1,'Renta fija USD Hiper Conservado'!$B$17:$C$25,2,FALSE),0%)</f>
        <v>0</v>
      </c>
      <c r="JU3" s="5">
        <f>IFERROR(VLOOKUP(JU$1,'Renta fija USD Hiper Conservado'!$B$17:$C$25,2,FALSE),0%)</f>
        <v>0</v>
      </c>
      <c r="JV3" s="5">
        <f>IFERROR(VLOOKUP(JV$1,'Renta fija USD Hiper Conservado'!$B$17:$C$25,2,FALSE),0%)</f>
        <v>0</v>
      </c>
      <c r="JW3" s="5">
        <f>IFERROR(VLOOKUP(JW$1,'Renta fija USD Hiper Conservado'!$B$17:$C$25,2,FALSE),0%)</f>
        <v>0</v>
      </c>
      <c r="JX3" s="5">
        <f>IFERROR(VLOOKUP(JX$1,'Renta fija USD Hiper Conservado'!$B$17:$C$25,2,FALSE),0%)</f>
        <v>0</v>
      </c>
      <c r="JY3" s="5">
        <f>IFERROR(VLOOKUP(JY$1,'Renta fija USD Hiper Conservado'!$B$17:$C$25,2,FALSE),0%)</f>
        <v>0</v>
      </c>
      <c r="JZ3" s="5">
        <f>IFERROR(VLOOKUP(JZ$1,'Renta fija USD Hiper Conservado'!$B$17:$C$25,2,FALSE),0%)</f>
        <v>0</v>
      </c>
      <c r="KA3" s="5">
        <f>IFERROR(VLOOKUP(KA$1,'Renta fija USD Hiper Conservado'!$B$17:$C$25,2,FALSE),0%)</f>
        <v>0</v>
      </c>
      <c r="KB3" s="5">
        <f>IFERROR(VLOOKUP(KB$1,'Renta fija USD Hiper Conservado'!$B$17:$C$25,2,FALSE),0%)</f>
        <v>0</v>
      </c>
      <c r="KC3" s="5">
        <f>IFERROR(VLOOKUP(KC$1,'Renta fija USD Hiper Conservado'!$B$17:$C$25,2,FALSE),0%)</f>
        <v>0</v>
      </c>
      <c r="KD3" s="5">
        <f>IFERROR(VLOOKUP(KD$1,'Renta fija USD Hiper Conservado'!$B$17:$C$25,2,FALSE),0%)</f>
        <v>0</v>
      </c>
      <c r="KE3" s="5">
        <f>IFERROR(VLOOKUP(KE$1,'Renta fija USD Hiper Conservado'!$B$17:$C$25,2,FALSE),0%)</f>
        <v>0</v>
      </c>
      <c r="KF3" s="5">
        <f>IFERROR(VLOOKUP(KF$1,'Renta fija USD Hiper Conservado'!$B$17:$C$25,2,FALSE),0%)</f>
        <v>0</v>
      </c>
      <c r="KG3" s="5">
        <f>IFERROR(VLOOKUP(KG$1,'Renta fija USD Hiper Conservado'!$B$17:$C$25,2,FALSE),0%)</f>
        <v>0</v>
      </c>
      <c r="KH3" s="5">
        <f>IFERROR(VLOOKUP(KH$1,'Renta fija USD Hiper Conservado'!$B$17:$C$25,2,FALSE),0%)</f>
        <v>0</v>
      </c>
      <c r="KI3" s="5">
        <f>IFERROR(VLOOKUP(KI$1,'Renta fija USD Hiper Conservado'!$B$17:$C$25,2,FALSE),0%)</f>
        <v>0</v>
      </c>
      <c r="KJ3" s="5">
        <f>IFERROR(VLOOKUP(KJ$1,'Renta fija USD Hiper Conservado'!$B$17:$C$25,2,FALSE),0%)</f>
        <v>0</v>
      </c>
      <c r="KK3" s="5">
        <f>IFERROR(VLOOKUP(KK$1,'Renta fija USD Hiper Conservado'!$B$17:$C$25,2,FALSE),0%)</f>
        <v>0</v>
      </c>
      <c r="KL3" s="5">
        <f>IFERROR(VLOOKUP(KL$1,'Renta fija USD Hiper Conservado'!$B$17:$C$25,2,FALSE),0%)</f>
        <v>0</v>
      </c>
      <c r="KM3" s="5">
        <f>IFERROR(VLOOKUP(KM$1,'Renta fija USD Hiper Conservado'!$B$17:$C$25,2,FALSE),0%)</f>
        <v>0</v>
      </c>
      <c r="KN3" s="5">
        <f>IFERROR(VLOOKUP(KN$1,'Renta fija USD Hiper Conservado'!$B$17:$C$25,2,FALSE),0%)</f>
        <v>0</v>
      </c>
      <c r="KO3" s="5">
        <f>IFERROR(VLOOKUP(KO$1,'Renta fija USD Hiper Conservado'!$B$17:$C$25,2,FALSE),0%)</f>
        <v>0</v>
      </c>
      <c r="KP3" s="5">
        <f>IFERROR(VLOOKUP(KP$1,'Renta fija USD Hiper Conservado'!$B$17:$C$25,2,FALSE),0%)</f>
        <v>0</v>
      </c>
      <c r="KQ3" s="5">
        <f>IFERROR(VLOOKUP(KQ$1,'Renta fija USD Hiper Conservado'!$B$17:$C$25,2,FALSE),0%)</f>
        <v>0</v>
      </c>
      <c r="KR3" s="5">
        <f>IFERROR(VLOOKUP(KR$1,'Renta fija USD Hiper Conservado'!$B$17:$C$25,2,FALSE),0%)</f>
        <v>0</v>
      </c>
      <c r="KS3" s="5">
        <f>IFERROR(VLOOKUP(KS$1,'Renta fija USD Hiper Conservado'!$B$17:$C$25,2,FALSE),0%)</f>
        <v>0</v>
      </c>
      <c r="KT3" s="5">
        <f>IFERROR(VLOOKUP(KT$1,'Renta fija USD Hiper Conservado'!$B$17:$C$25,2,FALSE),0%)</f>
        <v>0</v>
      </c>
      <c r="KU3" s="5">
        <f>IFERROR(VLOOKUP(KU$1,'Renta fija USD Hiper Conservado'!$B$17:$C$25,2,FALSE),0%)</f>
        <v>0</v>
      </c>
      <c r="KV3" s="5">
        <f>IFERROR(VLOOKUP(KV$1,'Renta fija USD Hiper Conservado'!$B$17:$C$25,2,FALSE),0%)</f>
        <v>0</v>
      </c>
      <c r="KW3" s="5">
        <f>IFERROR(VLOOKUP(KW$1,'Renta fija USD Hiper Conservado'!$B$17:$C$25,2,FALSE),0%)</f>
        <v>0</v>
      </c>
      <c r="KX3" s="5">
        <f>IFERROR(VLOOKUP(KX$1,'Renta fija USD Hiper Conservado'!$B$17:$C$25,2,FALSE),0%)</f>
        <v>0</v>
      </c>
      <c r="KY3" s="5">
        <f>IFERROR(VLOOKUP(KY$1,'Renta fija USD Hiper Conservado'!$B$17:$C$25,2,FALSE),0%)</f>
        <v>0</v>
      </c>
      <c r="KZ3" s="5">
        <f>IFERROR(VLOOKUP(KZ$1,'Renta fija USD Hiper Conservado'!$B$17:$C$25,2,FALSE),0%)</f>
        <v>0</v>
      </c>
      <c r="LA3" s="5">
        <f>IFERROR(VLOOKUP(LA$1,'Renta fija USD Hiper Conservado'!$B$17:$C$25,2,FALSE),0%)</f>
        <v>0</v>
      </c>
      <c r="LB3" s="5">
        <f>IFERROR(VLOOKUP(LB$1,'Renta fija USD Hiper Conservado'!$B$17:$C$25,2,FALSE),0%)</f>
        <v>0</v>
      </c>
      <c r="LC3" s="5">
        <f>IFERROR(VLOOKUP(LC$1,'Renta fija USD Hiper Conservado'!$B$17:$C$25,2,FALSE),0%)</f>
        <v>0</v>
      </c>
      <c r="LD3" s="5">
        <f>IFERROR(VLOOKUP(LD$1,'Renta fija USD Hiper Conservado'!$B$17:$C$25,2,FALSE),0%)</f>
        <v>0</v>
      </c>
      <c r="LE3" s="5">
        <f>IFERROR(VLOOKUP(LE$1,'Renta fija USD Hiper Conservado'!$B$17:$C$25,2,FALSE),0%)</f>
        <v>0</v>
      </c>
      <c r="LF3" s="5">
        <f>IFERROR(VLOOKUP(LF$1,'Renta fija USD Hiper Conservado'!$B$17:$C$25,2,FALSE),0%)</f>
        <v>0</v>
      </c>
      <c r="LG3" s="5">
        <f>IFERROR(VLOOKUP(LG$1,'Renta fija USD Hiper Conservado'!$B$17:$C$25,2,FALSE),0%)</f>
        <v>0</v>
      </c>
      <c r="LH3" s="5">
        <f>IFERROR(VLOOKUP(LH$1,'Renta fija USD Hiper Conservado'!$B$17:$C$25,2,FALSE),0%)</f>
        <v>0</v>
      </c>
      <c r="LI3" s="5">
        <f>IFERROR(VLOOKUP(LI$1,'Renta fija USD Hiper Conservado'!$B$17:$C$25,2,FALSE),0%)</f>
        <v>0</v>
      </c>
      <c r="LJ3" s="5">
        <f>IFERROR(VLOOKUP(LJ$1,'Renta fija USD Hiper Conservado'!$B$17:$C$25,2,FALSE),0%)</f>
        <v>0</v>
      </c>
      <c r="LK3" s="5">
        <f>IFERROR(VLOOKUP(LK$1,'Renta fija USD Hiper Conservado'!$B$17:$C$25,2,FALSE),0%)</f>
        <v>0</v>
      </c>
      <c r="LL3" s="5">
        <f>IFERROR(VLOOKUP(LL$1,'Renta fija USD Hiper Conservado'!$B$17:$C$25,2,FALSE),0%)</f>
        <v>0</v>
      </c>
      <c r="LM3" s="5">
        <f>IFERROR(VLOOKUP(LM$1,'Renta fija USD Hiper Conservado'!$B$17:$C$25,2,FALSE),0%)</f>
        <v>0</v>
      </c>
      <c r="LN3" s="5">
        <f>IFERROR(VLOOKUP(LN$1,'Renta fija USD Hiper Conservado'!$B$17:$C$25,2,FALSE),0%)</f>
        <v>0</v>
      </c>
      <c r="LO3" s="5">
        <f>IFERROR(VLOOKUP(LO$1,'Renta fija USD Hiper Conservado'!$B$17:$C$25,2,FALSE),0%)</f>
        <v>0</v>
      </c>
      <c r="LP3" s="5">
        <f>IFERROR(VLOOKUP(LP$1,'Renta fija USD Hiper Conservado'!$B$17:$C$25,2,FALSE),0%)</f>
        <v>0</v>
      </c>
      <c r="LQ3" s="5">
        <f>IFERROR(VLOOKUP(LQ$1,'Renta fija USD Hiper Conservado'!$B$17:$C$25,2,FALSE),0%)</f>
        <v>0</v>
      </c>
      <c r="LR3" s="5">
        <f>IFERROR(VLOOKUP(LR$1,'Renta fija USD Hiper Conservado'!$B$17:$C$25,2,FALSE),0%)</f>
        <v>0</v>
      </c>
      <c r="LS3" s="5">
        <f>IFERROR(VLOOKUP(LS$1,'Renta fija USD Hiper Conservado'!$B$17:$C$25,2,FALSE),0%)</f>
        <v>0</v>
      </c>
      <c r="LT3" s="5">
        <f>IFERROR(VLOOKUP(LT$1,'Renta fija USD Hiper Conservado'!$B$17:$C$25,2,FALSE),0%)</f>
        <v>0</v>
      </c>
      <c r="LU3" s="5">
        <f>IFERROR(VLOOKUP(LU$1,'Renta fija USD Hiper Conservado'!$B$17:$C$25,2,FALSE),0%)</f>
        <v>0</v>
      </c>
      <c r="LV3" s="5">
        <f>IFERROR(VLOOKUP(LV$1,'Renta fija USD Hiper Conservado'!$B$17:$C$25,2,FALSE),0%)</f>
        <v>0</v>
      </c>
      <c r="LW3" s="5">
        <f>IFERROR(VLOOKUP(LW$1,'Renta fija USD Hiper Conservado'!$B$17:$C$25,2,FALSE),0%)</f>
        <v>0</v>
      </c>
      <c r="LX3" s="5">
        <f>IFERROR(VLOOKUP(LX$1,'Renta fija USD Hiper Conservado'!$B$17:$C$25,2,FALSE),0%)</f>
        <v>0</v>
      </c>
      <c r="LY3" s="5">
        <f>IFERROR(VLOOKUP(LY$1,'Renta fija USD Hiper Conservado'!$B$17:$C$25,2,FALSE),0%)</f>
        <v>0</v>
      </c>
      <c r="LZ3" s="5">
        <f>IFERROR(VLOOKUP(LZ$1,'Renta fija USD Hiper Conservado'!$B$17:$C$25,2,FALSE),0%)</f>
        <v>0</v>
      </c>
      <c r="MA3" s="5">
        <f>IFERROR(VLOOKUP(MA$1,'Renta fija USD Hiper Conservado'!$B$17:$C$25,2,FALSE),0%)</f>
        <v>0</v>
      </c>
      <c r="MB3" s="5">
        <f>IFERROR(VLOOKUP(MB$1,'Renta fija USD Hiper Conservado'!$B$17:$C$25,2,FALSE),0%)</f>
        <v>0</v>
      </c>
      <c r="MC3" s="5">
        <f>IFERROR(VLOOKUP(MC$1,'Renta fija USD Hiper Conservado'!$B$17:$C$25,2,FALSE),0%)</f>
        <v>0</v>
      </c>
      <c r="MD3" s="5">
        <f>IFERROR(VLOOKUP(MD$1,'Renta fija USD Hiper Conservado'!$B$17:$C$25,2,FALSE),0%)</f>
        <v>0</v>
      </c>
      <c r="ME3" s="5">
        <f>IFERROR(VLOOKUP(ME$1,'Renta fija USD Hiper Conservado'!$B$17:$C$25,2,FALSE),0%)</f>
        <v>0</v>
      </c>
      <c r="MF3" s="5">
        <f>IFERROR(VLOOKUP(MF$1,'Renta fija USD Hiper Conservado'!$B$17:$C$25,2,FALSE),0%)</f>
        <v>0</v>
      </c>
      <c r="MG3" s="5">
        <f>IFERROR(VLOOKUP(MG$1,'Renta fija USD Hiper Conservado'!$B$17:$C$25,2,FALSE),0%)</f>
        <v>0</v>
      </c>
      <c r="MH3" s="5">
        <f>IFERROR(VLOOKUP(MH$1,'Renta fija USD Hiper Conservado'!$B$17:$C$25,2,FALSE),0%)</f>
        <v>0</v>
      </c>
      <c r="MI3" s="5">
        <f>IFERROR(VLOOKUP(MI$1,'Renta fija USD Hiper Conservado'!$B$17:$C$25,2,FALSE),0%)</f>
        <v>0</v>
      </c>
      <c r="MJ3" s="5">
        <f>IFERROR(VLOOKUP(MJ$1,'Renta fija USD Hiper Conservado'!$B$17:$C$25,2,FALSE),0%)</f>
        <v>0</v>
      </c>
      <c r="MK3" s="5">
        <f>IFERROR(VLOOKUP(MK$1,'Renta fija USD Hiper Conservado'!$B$17:$C$25,2,FALSE),0%)</f>
        <v>0</v>
      </c>
      <c r="ML3" s="5">
        <f>IFERROR(VLOOKUP(ML$1,'Renta fija USD Hiper Conservado'!$B$17:$C$25,2,FALSE),0%)</f>
        <v>0</v>
      </c>
      <c r="MM3" s="5">
        <f>IFERROR(VLOOKUP(MM$1,'Renta fija USD Hiper Conservado'!$B$17:$C$25,2,FALSE),0%)</f>
        <v>0</v>
      </c>
      <c r="MN3" s="5">
        <f>IFERROR(VLOOKUP(MN$1,'Renta fija USD Hiper Conservado'!$B$17:$C$25,2,FALSE),0%)</f>
        <v>0</v>
      </c>
      <c r="MO3" s="5">
        <f>IFERROR(VLOOKUP(MO$1,'Renta fija USD Hiper Conservado'!$B$17:$C$25,2,FALSE),0%)</f>
        <v>0</v>
      </c>
      <c r="MP3" s="5">
        <f>IFERROR(VLOOKUP(MP$1,'Renta fija USD Hiper Conservado'!$B$17:$C$25,2,FALSE),0%)</f>
        <v>0</v>
      </c>
      <c r="MQ3" s="5">
        <f>IFERROR(VLOOKUP(MQ$1,'Renta fija USD Hiper Conservado'!$B$17:$C$25,2,FALSE),0%)</f>
        <v>0</v>
      </c>
      <c r="MR3" s="5">
        <f>IFERROR(VLOOKUP(MR$1,'Renta fija USD Hiper Conservado'!$B$17:$C$25,2,FALSE),0%)</f>
        <v>0</v>
      </c>
      <c r="MS3" s="5">
        <f>IFERROR(VLOOKUP(MS$1,'Renta fija USD Hiper Conservado'!$B$17:$C$25,2,FALSE),0%)</f>
        <v>0</v>
      </c>
      <c r="MT3" s="5">
        <f>IFERROR(VLOOKUP(MT$1,'Renta fija USD Hiper Conservado'!$B$17:$C$25,2,FALSE),0%)</f>
        <v>0</v>
      </c>
      <c r="MU3" s="5">
        <f>IFERROR(VLOOKUP(MU$1,'Renta fija USD Hiper Conservado'!$B$17:$C$25,2,FALSE),0%)</f>
        <v>0</v>
      </c>
      <c r="MV3" s="5">
        <f>IFERROR(VLOOKUP(MV$1,'Renta fija USD Hiper Conservado'!$B$17:$C$25,2,FALSE),0%)</f>
        <v>0</v>
      </c>
      <c r="MW3" s="5">
        <f>IFERROR(VLOOKUP(MW$1,'Renta fija USD Hiper Conservado'!$B$17:$C$25,2,FALSE),0%)</f>
        <v>0</v>
      </c>
      <c r="MX3" s="5">
        <f>IFERROR(VLOOKUP(MX$1,'Renta fija USD Hiper Conservado'!$B$17:$C$25,2,FALSE),0%)</f>
        <v>0</v>
      </c>
      <c r="MY3" s="5">
        <f>IFERROR(VLOOKUP(MY$1,'Renta fija USD Hiper Conservado'!$B$17:$C$25,2,FALSE),0%)</f>
        <v>0</v>
      </c>
      <c r="MZ3" s="5">
        <f>IFERROR(VLOOKUP(MZ$1,'Renta fija USD Hiper Conservado'!$B$17:$C$25,2,FALSE),0%)</f>
        <v>0</v>
      </c>
      <c r="NA3" s="5">
        <f>IFERROR(VLOOKUP(NA$1,'Renta fija USD Hiper Conservado'!$B$17:$C$25,2,FALSE),0%)</f>
        <v>0</v>
      </c>
      <c r="NB3" s="5">
        <f>IFERROR(VLOOKUP(NB$1,'Renta fija USD Hiper Conservado'!$B$17:$C$25,2,FALSE),0%)</f>
        <v>0</v>
      </c>
      <c r="NC3" s="5">
        <f>IFERROR(VLOOKUP(NC$1,'Renta fija USD Hiper Conservado'!$B$17:$C$25,2,FALSE),0%)</f>
        <v>0</v>
      </c>
      <c r="ND3" s="5">
        <f>IFERROR(VLOOKUP(ND$1,'Renta fija USD Hiper Conservado'!$B$17:$C$25,2,FALSE),0%)</f>
        <v>0</v>
      </c>
      <c r="NE3" s="5">
        <f>IFERROR(VLOOKUP(NE$1,'Renta fija USD Hiper Conservado'!$B$17:$C$25,2,FALSE),0%)</f>
        <v>0</v>
      </c>
      <c r="NF3" s="5">
        <f>IFERROR(VLOOKUP(NF$1,'Renta fija USD Hiper Conservado'!$B$17:$C$25,2,FALSE),0%)</f>
        <v>0</v>
      </c>
      <c r="NG3" s="5">
        <f>IFERROR(VLOOKUP(NG$1,'Renta fija USD Hiper Conservado'!$B$17:$C$25,2,FALSE),0%)</f>
        <v>0</v>
      </c>
      <c r="NH3" s="5">
        <f>IFERROR(VLOOKUP(NH$1,'Renta fija USD Hiper Conservado'!$B$17:$C$25,2,FALSE),0%)</f>
        <v>0</v>
      </c>
      <c r="NI3" s="5">
        <f>IFERROR(VLOOKUP(NI$1,'Renta fija USD Hiper Conservado'!$B$17:$C$25,2,FALSE),0%)</f>
        <v>0</v>
      </c>
      <c r="NJ3" s="5">
        <f>IFERROR(VLOOKUP(NJ$1,'Renta fija USD Hiper Conservado'!$B$17:$C$25,2,FALSE),0%)</f>
        <v>0</v>
      </c>
      <c r="NK3" s="5">
        <f>IFERROR(VLOOKUP(NK$1,'Renta fija USD Hiper Conservado'!$B$17:$C$25,2,FALSE),0%)</f>
        <v>0</v>
      </c>
      <c r="NL3" s="5">
        <f>IFERROR(VLOOKUP(NL$1,'Renta fija USD Hiper Conservado'!$B$17:$C$25,2,FALSE),0%)</f>
        <v>0</v>
      </c>
      <c r="NM3" s="5">
        <f>IFERROR(VLOOKUP(NM$1,'Renta fija USD Hiper Conservado'!$B$17:$C$25,2,FALSE),0%)</f>
        <v>0</v>
      </c>
      <c r="NN3" s="5">
        <f>IFERROR(VLOOKUP(NN$1,'Renta fija USD Hiper Conservado'!$B$17:$C$25,2,FALSE),0%)</f>
        <v>0</v>
      </c>
      <c r="NO3" s="5">
        <f>IFERROR(VLOOKUP(NO$1,'Renta fija USD Hiper Conservado'!$B$17:$C$25,2,FALSE),0%)</f>
        <v>0</v>
      </c>
      <c r="NP3" s="5">
        <f>IFERROR(VLOOKUP(NP$1,'Renta fija USD Hiper Conservado'!$B$17:$C$25,2,FALSE),0%)</f>
        <v>0</v>
      </c>
      <c r="NQ3" s="5">
        <f>IFERROR(VLOOKUP(NQ$1,'Renta fija USD Hiper Conservado'!$B$17:$C$25,2,FALSE),0%)</f>
        <v>0</v>
      </c>
      <c r="NR3" s="5">
        <f>IFERROR(VLOOKUP(NR$1,'Renta fija USD Hiper Conservado'!$B$17:$C$25,2,FALSE),0%)</f>
        <v>0</v>
      </c>
      <c r="NS3" s="5">
        <f>IFERROR(VLOOKUP(NS$1,'Renta fija USD Hiper Conservado'!$B$17:$C$25,2,FALSE),0%)</f>
        <v>0</v>
      </c>
      <c r="NT3" s="5">
        <f>IFERROR(VLOOKUP(NT$1,'Renta fija USD Hiper Conservado'!$B$17:$C$25,2,FALSE),0%)</f>
        <v>0</v>
      </c>
      <c r="NU3" s="5">
        <f>IFERROR(VLOOKUP(NU$1,'Renta fija USD Hiper Conservado'!$B$17:$C$25,2,FALSE),0%)</f>
        <v>0</v>
      </c>
      <c r="NV3" s="5">
        <f>IFERROR(VLOOKUP(NV$1,'Renta fija USD Hiper Conservado'!$B$17:$C$25,2,FALSE),0%)</f>
        <v>0</v>
      </c>
      <c r="NW3" s="5">
        <f>IFERROR(VLOOKUP(NW$1,'Renta fija USD Hiper Conservado'!$B$17:$C$25,2,FALSE),0%)</f>
        <v>0</v>
      </c>
      <c r="NX3" s="5">
        <f>IFERROR(VLOOKUP(NX$1,'Renta fija USD Hiper Conservado'!$B$17:$C$25,2,FALSE),0%)</f>
        <v>0</v>
      </c>
      <c r="NY3" s="5">
        <f>IFERROR(VLOOKUP(NY$1,'Renta fija USD Hiper Conservado'!$B$17:$C$25,2,FALSE),0%)</f>
        <v>0</v>
      </c>
      <c r="NZ3" s="5">
        <f>IFERROR(VLOOKUP(NZ$1,'Renta fija USD Hiper Conservado'!$B$17:$C$25,2,FALSE),0%)</f>
        <v>0</v>
      </c>
      <c r="OA3" s="5">
        <f>IFERROR(VLOOKUP(OA$1,'Renta fija USD Hiper Conservado'!$B$17:$C$25,2,FALSE),0%)</f>
        <v>0</v>
      </c>
      <c r="OB3" s="5">
        <f>IFERROR(VLOOKUP(OB$1,'Renta fija USD Hiper Conservado'!$B$17:$C$25,2,FALSE),0%)</f>
        <v>0</v>
      </c>
      <c r="OC3" s="5">
        <f>IFERROR(VLOOKUP(OC$1,'Renta fija USD Hiper Conservado'!$B$17:$C$25,2,FALSE),0%)</f>
        <v>0</v>
      </c>
      <c r="OD3" s="5">
        <f>IFERROR(VLOOKUP(OD$1,'Renta fija USD Hiper Conservado'!$B$17:$C$25,2,FALSE),0%)</f>
        <v>0</v>
      </c>
      <c r="OE3" s="5">
        <f>IFERROR(VLOOKUP(OE$1,'Renta fija USD Hiper Conservado'!$B$17:$C$25,2,FALSE),0%)</f>
        <v>0</v>
      </c>
      <c r="OF3" s="5">
        <f>IFERROR(VLOOKUP(OF$1,'Renta fija USD Hiper Conservado'!$B$17:$C$25,2,FALSE),0%)</f>
        <v>0</v>
      </c>
      <c r="OG3" s="5">
        <f>IFERROR(VLOOKUP(OG$1,'Renta fija USD Hiper Conservado'!$B$17:$C$25,2,FALSE),0%)</f>
        <v>0</v>
      </c>
      <c r="OH3" s="5">
        <f>IFERROR(VLOOKUP(OH$1,'Renta fija USD Hiper Conservado'!$B$17:$C$25,2,FALSE),0%)</f>
        <v>0</v>
      </c>
      <c r="OI3" s="5">
        <f>IFERROR(VLOOKUP(OI$1,'Renta fija USD Hiper Conservado'!$B$17:$C$25,2,FALSE),0%)</f>
        <v>0</v>
      </c>
      <c r="OJ3" s="5">
        <f>IFERROR(VLOOKUP(OJ$1,'Renta fija USD Hiper Conservado'!$B$17:$C$25,2,FALSE),0%)</f>
        <v>0</v>
      </c>
      <c r="OK3" s="5">
        <f>IFERROR(VLOOKUP(OK$1,'Renta fija USD Hiper Conservado'!$B$17:$C$25,2,FALSE),0%)</f>
        <v>0</v>
      </c>
      <c r="OL3" s="5">
        <f>IFERROR(VLOOKUP(OL$1,'Renta fija USD Hiper Conservado'!$B$17:$C$25,2,FALSE),0%)</f>
        <v>0</v>
      </c>
      <c r="OM3" s="5">
        <f>IFERROR(VLOOKUP(OM$1,'Renta fija USD Hiper Conservado'!$B$17:$C$25,2,FALSE),0%)</f>
        <v>0</v>
      </c>
      <c r="ON3" s="5">
        <f>IFERROR(VLOOKUP(ON$1,'Renta fija USD Hiper Conservado'!$B$17:$C$25,2,FALSE),0%)</f>
        <v>0</v>
      </c>
      <c r="OO3" s="5">
        <f>IFERROR(VLOOKUP(OO$1,'Renta fija USD Hiper Conservado'!$B$17:$C$25,2,FALSE),0%)</f>
        <v>0</v>
      </c>
      <c r="OP3" s="5">
        <f>IFERROR(VLOOKUP(OP$1,'Renta fija USD Hiper Conservado'!$B$17:$C$25,2,FALSE),0%)</f>
        <v>0</v>
      </c>
      <c r="OQ3" s="5">
        <f>IFERROR(VLOOKUP(OQ$1,'Renta fija USD Hiper Conservado'!$B$17:$C$25,2,FALSE),0%)</f>
        <v>0</v>
      </c>
      <c r="OR3" s="5">
        <f>IFERROR(VLOOKUP(OR$1,'Renta fija USD Hiper Conservado'!$B$17:$C$25,2,FALSE),0%)</f>
        <v>0</v>
      </c>
      <c r="OS3" s="5">
        <f>IFERROR(VLOOKUP(OS$1,'Renta fija USD Hiper Conservado'!$B$17:$C$25,2,FALSE),0%)</f>
        <v>0</v>
      </c>
      <c r="OT3" s="5">
        <f>IFERROR(VLOOKUP(OT$1,'Renta fija USD Hiper Conservado'!$B$17:$C$25,2,FALSE),0%)</f>
        <v>0</v>
      </c>
      <c r="OU3" s="5">
        <f>IFERROR(VLOOKUP(OU$1,'Renta fija USD Hiper Conservado'!$B$17:$C$25,2,FALSE),0%)</f>
        <v>0</v>
      </c>
      <c r="OV3" s="5">
        <f>IFERROR(VLOOKUP(OV$1,'Renta fija USD Hiper Conservado'!$B$17:$C$25,2,FALSE),0%)</f>
        <v>0</v>
      </c>
      <c r="OW3" s="5">
        <f>IFERROR(VLOOKUP(OW$1,'Renta fija USD Hiper Conservado'!$B$17:$C$25,2,FALSE),0%)</f>
        <v>0</v>
      </c>
      <c r="OX3" s="5">
        <f>IFERROR(VLOOKUP(OX$1,'Renta fija USD Hiper Conservado'!$B$17:$C$25,2,FALSE),0%)</f>
        <v>0</v>
      </c>
      <c r="OY3" s="5">
        <f>IFERROR(VLOOKUP(OY$1,'Renta fija USD Hiper Conservado'!$B$17:$C$25,2,FALSE),0%)</f>
        <v>0</v>
      </c>
      <c r="OZ3" s="5">
        <f>IFERROR(VLOOKUP(OZ$1,'Renta fija USD Hiper Conservado'!$B$17:$C$25,2,FALSE),0%)</f>
        <v>0</v>
      </c>
      <c r="PA3" s="5">
        <f>IFERROR(VLOOKUP(PA$1,'Renta fija USD Hiper Conservado'!$B$17:$C$25,2,FALSE),0%)</f>
        <v>0</v>
      </c>
      <c r="PB3" s="5">
        <f>IFERROR(VLOOKUP(PB$1,'Renta fija USD Hiper Conservado'!$B$17:$C$25,2,FALSE),0%)</f>
        <v>0</v>
      </c>
      <c r="PC3" s="5">
        <f>IFERROR(VLOOKUP(PC$1,'Renta fija USD Hiper Conservado'!$B$17:$C$25,2,FALSE),0%)</f>
        <v>0</v>
      </c>
      <c r="PD3" s="5">
        <f>IFERROR(VLOOKUP(PD$1,'Renta fija USD Hiper Conservado'!$B$17:$C$25,2,FALSE),0%)</f>
        <v>0</v>
      </c>
      <c r="PE3" s="5">
        <f>IFERROR(VLOOKUP(PE$1,'Renta fija USD Hiper Conservado'!$B$17:$C$25,2,FALSE),0%)</f>
        <v>0</v>
      </c>
      <c r="PF3" s="5">
        <f>IFERROR(VLOOKUP(PF$1,'Renta fija USD Hiper Conservado'!$B$17:$C$25,2,FALSE),0%)</f>
        <v>0</v>
      </c>
      <c r="PG3" s="5">
        <f>IFERROR(VLOOKUP(PG$1,'Renta fija USD Hiper Conservado'!$B$17:$C$25,2,FALSE),0%)</f>
        <v>0</v>
      </c>
      <c r="PH3" s="5">
        <f>IFERROR(VLOOKUP(PH$1,'Renta fija USD Hiper Conservado'!$B$17:$C$25,2,FALSE),0%)</f>
        <v>0</v>
      </c>
      <c r="PI3" s="5">
        <f>IFERROR(VLOOKUP(PI$1,'Renta fija USD Hiper Conservado'!$B$17:$C$25,2,FALSE),0%)</f>
        <v>0</v>
      </c>
      <c r="PJ3" s="5">
        <f>IFERROR(VLOOKUP(PJ$1,'Renta fija USD Hiper Conservado'!$B$17:$C$25,2,FALSE),0%)</f>
        <v>0</v>
      </c>
      <c r="PK3" s="5">
        <f>IFERROR(VLOOKUP(PK$1,'Renta fija USD Hiper Conservado'!$B$17:$C$25,2,FALSE),0%)</f>
        <v>0</v>
      </c>
      <c r="PL3" s="5">
        <f>IFERROR(VLOOKUP(PL$1,'Renta fija USD Hiper Conservado'!$B$17:$C$25,2,FALSE),0%)</f>
        <v>0</v>
      </c>
      <c r="PM3" s="5">
        <f>IFERROR(VLOOKUP(PM$1,'Renta fija USD Hiper Conservado'!$B$17:$C$25,2,FALSE),0%)</f>
        <v>0</v>
      </c>
      <c r="PN3" s="5">
        <f>IFERROR(VLOOKUP(PN$1,'Renta fija USD Hiper Conservado'!$B$17:$C$25,2,FALSE),0%)</f>
        <v>0</v>
      </c>
      <c r="PO3" s="5">
        <f>IFERROR(VLOOKUP(PO$1,'Renta fija USD Hiper Conservado'!$B$17:$C$25,2,FALSE),0%)</f>
        <v>0</v>
      </c>
      <c r="PP3" s="5">
        <f>IFERROR(VLOOKUP(PP$1,'Renta fija USD Hiper Conservado'!$B$17:$C$25,2,FALSE),0%)</f>
        <v>0</v>
      </c>
      <c r="PQ3" s="5">
        <f>IFERROR(VLOOKUP(PQ$1,'Renta fija USD Hiper Conservado'!$B$17:$C$25,2,FALSE),0%)</f>
        <v>0</v>
      </c>
      <c r="PR3" s="5">
        <f>IFERROR(VLOOKUP(PR$1,'Renta fija USD Hiper Conservado'!$B$17:$C$25,2,FALSE),0%)</f>
        <v>0</v>
      </c>
      <c r="PS3" s="5">
        <f>IFERROR(VLOOKUP(PS$1,'Renta fija USD Hiper Conservado'!$B$17:$C$25,2,FALSE),0%)</f>
        <v>0</v>
      </c>
      <c r="PT3" s="5">
        <f>IFERROR(VLOOKUP(PT$1,'Renta fija USD Hiper Conservado'!$B$17:$C$25,2,FALSE),0%)</f>
        <v>0</v>
      </c>
      <c r="PU3" s="5">
        <f>IFERROR(VLOOKUP(PU$1,'Renta fija USD Hiper Conservado'!$B$17:$C$25,2,FALSE),0%)</f>
        <v>0</v>
      </c>
      <c r="PV3" s="5">
        <f>IFERROR(VLOOKUP(PV$1,'Renta fija USD Hiper Conservado'!$B$17:$C$25,2,FALSE),0%)</f>
        <v>0</v>
      </c>
      <c r="PW3" s="5">
        <f>IFERROR(VLOOKUP(PW$1,'Renta fija USD Hiper Conservado'!$B$17:$C$25,2,FALSE),0%)</f>
        <v>0</v>
      </c>
      <c r="PX3" s="5">
        <f>IFERROR(VLOOKUP(PX$1,'Renta fija USD Hiper Conservado'!$B$17:$C$25,2,FALSE),0%)</f>
        <v>0</v>
      </c>
      <c r="PY3" s="5">
        <f>IFERROR(VLOOKUP(PY$1,'Renta fija USD Hiper Conservado'!$B$17:$C$25,2,FALSE),0%)</f>
        <v>0</v>
      </c>
      <c r="PZ3" s="5">
        <f>IFERROR(VLOOKUP(PZ$1,'Renta fija USD Hiper Conservado'!$B$17:$C$25,2,FALSE),0%)</f>
        <v>0</v>
      </c>
      <c r="QA3" s="5">
        <f>IFERROR(VLOOKUP(QA$1,'Renta fija USD Hiper Conservado'!$B$17:$C$25,2,FALSE),0%)</f>
        <v>0</v>
      </c>
      <c r="QB3" s="5">
        <f>IFERROR(VLOOKUP(QB$1,'Renta fija USD Hiper Conservado'!$B$17:$C$25,2,FALSE),0%)</f>
        <v>0</v>
      </c>
      <c r="QC3" s="5">
        <f>IFERROR(VLOOKUP(QC$1,'Renta fija USD Hiper Conservado'!$B$17:$C$25,2,FALSE),0%)</f>
        <v>0</v>
      </c>
      <c r="QD3" s="5">
        <f>IFERROR(VLOOKUP(QD$1,'Renta fija USD Hiper Conservado'!$B$17:$C$25,2,FALSE),0%)</f>
        <v>0</v>
      </c>
      <c r="QE3" s="5">
        <f>IFERROR(VLOOKUP(QE$1,'Renta fija USD Hiper Conservado'!$B$17:$C$25,2,FALSE),0%)</f>
        <v>0</v>
      </c>
      <c r="QF3" s="5">
        <f>IFERROR(VLOOKUP(QF$1,'Renta fija USD Hiper Conservado'!$B$17:$C$25,2,FALSE),0%)</f>
        <v>0</v>
      </c>
      <c r="QG3" s="5">
        <f>IFERROR(VLOOKUP(QG$1,'Renta fija USD Hiper Conservado'!$B$17:$C$25,2,FALSE),0%)</f>
        <v>0</v>
      </c>
      <c r="QH3" s="5">
        <f>IFERROR(VLOOKUP(QH$1,'Renta fija USD Hiper Conservado'!$B$17:$C$25,2,FALSE),0%)</f>
        <v>0</v>
      </c>
      <c r="QI3" s="5">
        <f>IFERROR(VLOOKUP(QI$1,'Renta fija USD Hiper Conservado'!$B$17:$C$25,2,FALSE),0%)</f>
        <v>0</v>
      </c>
      <c r="QJ3" s="5">
        <f>IFERROR(VLOOKUP(QJ$1,'Renta fija USD Hiper Conservado'!$B$17:$C$25,2,FALSE),0%)</f>
        <v>0</v>
      </c>
      <c r="QK3" s="5">
        <f>IFERROR(VLOOKUP(QK$1,'Renta fija USD Hiper Conservado'!$B$17:$C$25,2,FALSE),0%)</f>
        <v>0</v>
      </c>
      <c r="QL3" s="5">
        <f>IFERROR(VLOOKUP(QL$1,'Renta fija USD Hiper Conservado'!$B$17:$C$25,2,FALSE),0%)</f>
        <v>0</v>
      </c>
      <c r="QM3" s="5">
        <f>IFERROR(VLOOKUP(QM$1,'Renta fija USD Hiper Conservado'!$B$17:$C$25,2,FALSE),0%)</f>
        <v>0</v>
      </c>
      <c r="QN3" s="5">
        <f>IFERROR(VLOOKUP(QN$1,'Renta fija USD Hiper Conservado'!$B$17:$C$25,2,FALSE),0%)</f>
        <v>0</v>
      </c>
      <c r="QO3" s="5">
        <f>IFERROR(VLOOKUP(QO$1,'Renta fija USD Hiper Conservado'!$B$17:$C$25,2,FALSE),0%)</f>
        <v>0</v>
      </c>
      <c r="QP3" s="5">
        <f>IFERROR(VLOOKUP(QP$1,'Renta fija USD Hiper Conservado'!$B$17:$C$25,2,FALSE),0%)</f>
        <v>0</v>
      </c>
      <c r="QQ3" s="5">
        <f>IFERROR(VLOOKUP(QQ$1,'Renta fija USD Hiper Conservado'!$B$17:$C$25,2,FALSE),0%)</f>
        <v>0</v>
      </c>
      <c r="QR3" s="5">
        <f>IFERROR(VLOOKUP(QR$1,'Renta fija USD Hiper Conservado'!$B$17:$C$25,2,FALSE),0%)</f>
        <v>0</v>
      </c>
      <c r="QS3" s="5">
        <f>IFERROR(VLOOKUP(QS$1,'Renta fija USD Hiper Conservado'!$B$17:$C$25,2,FALSE),0%)</f>
        <v>0</v>
      </c>
      <c r="QT3" s="5">
        <f>IFERROR(VLOOKUP(QT$1,'Renta fija USD Hiper Conservado'!$B$17:$C$25,2,FALSE),0%)</f>
        <v>0</v>
      </c>
      <c r="QU3" s="5">
        <f>IFERROR(VLOOKUP(QU$1,'Renta fija USD Hiper Conservado'!$B$17:$C$25,2,FALSE),0%)</f>
        <v>0</v>
      </c>
      <c r="QV3" s="5">
        <f>IFERROR(VLOOKUP(QV$1,'Renta fija USD Hiper Conservado'!$B$17:$C$25,2,FALSE),0%)</f>
        <v>0</v>
      </c>
      <c r="QW3" s="5">
        <f>IFERROR(VLOOKUP(QW$1,'Renta fija USD Hiper Conservado'!$B$17:$C$25,2,FALSE),0%)</f>
        <v>0</v>
      </c>
      <c r="QX3" s="5">
        <f>IFERROR(VLOOKUP(QX$1,'Renta fija USD Hiper Conservado'!$B$17:$C$25,2,FALSE),0%)</f>
        <v>0</v>
      </c>
      <c r="QY3" s="5">
        <f>IFERROR(VLOOKUP(QY$1,'Renta fija USD Hiper Conservado'!$B$17:$C$25,2,FALSE),0%)</f>
        <v>0</v>
      </c>
      <c r="QZ3" s="5">
        <f>IFERROR(VLOOKUP(QZ$1,'Renta fija USD Hiper Conservado'!$B$17:$C$25,2,FALSE),0%)</f>
        <v>0</v>
      </c>
      <c r="RA3" s="5">
        <f>IFERROR(VLOOKUP(RA$1,'Renta fija USD Hiper Conservado'!$B$17:$C$25,2,FALSE),0%)</f>
        <v>0</v>
      </c>
      <c r="RB3" s="5">
        <f>IFERROR(VLOOKUP(RB$1,'Renta fija USD Hiper Conservado'!$B$17:$C$25,2,FALSE),0%)</f>
        <v>0</v>
      </c>
      <c r="RC3" s="5">
        <f>IFERROR(VLOOKUP(RC$1,'Renta fija USD Hiper Conservado'!$B$17:$C$25,2,FALSE),0%)</f>
        <v>0</v>
      </c>
      <c r="RD3" s="5">
        <f>IFERROR(VLOOKUP(RD$1,'Renta fija USD Hiper Conservado'!$B$17:$C$25,2,FALSE),0%)</f>
        <v>0</v>
      </c>
      <c r="RE3" s="5">
        <f>IFERROR(VLOOKUP(RE$1,'Renta fija USD Hiper Conservado'!$B$17:$C$25,2,FALSE),0%)</f>
        <v>0</v>
      </c>
      <c r="RF3" s="5">
        <f>IFERROR(VLOOKUP(RF$1,'Renta fija USD Hiper Conservado'!$B$17:$C$25,2,FALSE),0%)</f>
        <v>0</v>
      </c>
      <c r="RG3" s="5">
        <f>IFERROR(VLOOKUP(RG$1,'Renta fija USD Hiper Conservado'!$B$17:$C$25,2,FALSE),0%)</f>
        <v>0</v>
      </c>
      <c r="RH3" s="5">
        <f>IFERROR(VLOOKUP(RH$1,'Renta fija USD Hiper Conservado'!$B$17:$C$25,2,FALSE),0%)</f>
        <v>0</v>
      </c>
      <c r="RI3" s="5">
        <f>IFERROR(VLOOKUP(RI$1,'Renta fija USD Hiper Conservado'!$B$17:$C$25,2,FALSE),0%)</f>
        <v>0</v>
      </c>
      <c r="RJ3" s="5">
        <f>IFERROR(VLOOKUP(RJ$1,'Renta fija USD Hiper Conservado'!$B$17:$C$25,2,FALSE),0%)</f>
        <v>0</v>
      </c>
      <c r="RK3" s="5">
        <f>IFERROR(VLOOKUP(RK$1,'Renta fija USD Hiper Conservado'!$B$17:$C$25,2,FALSE),0%)</f>
        <v>0</v>
      </c>
      <c r="RL3" s="5">
        <f>IFERROR(VLOOKUP(RL$1,'Renta fija USD Hiper Conservado'!$B$17:$C$25,2,FALSE),0%)</f>
        <v>0</v>
      </c>
      <c r="RM3" s="5">
        <f>IFERROR(VLOOKUP(RM$1,'Renta fija USD Hiper Conservado'!$B$17:$C$25,2,FALSE),0%)</f>
        <v>0</v>
      </c>
      <c r="RN3" s="5">
        <f>IFERROR(VLOOKUP(RN$1,'Renta fija USD Hiper Conservado'!$B$17:$C$25,2,FALSE),0%)</f>
        <v>0</v>
      </c>
      <c r="RO3" s="5">
        <f>IFERROR(VLOOKUP(RO$1,'Renta fija USD Hiper Conservado'!$B$17:$C$25,2,FALSE),0%)</f>
        <v>0</v>
      </c>
      <c r="RP3" s="5">
        <f>IFERROR(VLOOKUP(RP$1,'Renta fija USD Hiper Conservado'!$B$17:$C$25,2,FALSE),0%)</f>
        <v>0</v>
      </c>
      <c r="RQ3" s="5">
        <f>IFERROR(VLOOKUP(RQ$1,'Renta fija USD Hiper Conservado'!$B$17:$C$25,2,FALSE),0%)</f>
        <v>0</v>
      </c>
      <c r="RR3" s="5">
        <f>IFERROR(VLOOKUP(RR$1,'Renta fija USD Hiper Conservado'!$B$17:$C$25,2,FALSE),0%)</f>
        <v>0</v>
      </c>
      <c r="RS3" s="5">
        <f>IFERROR(VLOOKUP(RS$1,'Renta fija USD Hiper Conservado'!$B$17:$C$25,2,FALSE),0%)</f>
        <v>0</v>
      </c>
      <c r="RT3" s="5">
        <f>IFERROR(VLOOKUP(RT$1,'Renta fija USD Hiper Conservado'!$B$17:$C$25,2,FALSE),0%)</f>
        <v>0</v>
      </c>
      <c r="RU3" s="5">
        <f>IFERROR(VLOOKUP(RU$1,'Renta fija USD Hiper Conservado'!$B$17:$C$25,2,FALSE),0%)</f>
        <v>0</v>
      </c>
      <c r="RV3" s="5">
        <f>IFERROR(VLOOKUP(RV$1,'Renta fija USD Hiper Conservado'!$B$17:$C$25,2,FALSE),0%)</f>
        <v>0</v>
      </c>
      <c r="RW3" s="5">
        <f>IFERROR(VLOOKUP(RW$1,'Renta fija USD Hiper Conservado'!$B$17:$C$25,2,FALSE),0%)</f>
        <v>0</v>
      </c>
      <c r="RX3" s="5">
        <f>IFERROR(VLOOKUP(RX$1,'Renta fija USD Hiper Conservado'!$B$17:$C$25,2,FALSE),0%)</f>
        <v>0</v>
      </c>
      <c r="RY3" s="5">
        <f>IFERROR(VLOOKUP(RY$1,'Renta fija USD Hiper Conservado'!$B$17:$C$25,2,FALSE),0%)</f>
        <v>0</v>
      </c>
      <c r="RZ3" s="5">
        <f>IFERROR(VLOOKUP(RZ$1,'Renta fija USD Hiper Conservado'!$B$17:$C$25,2,FALSE),0%)</f>
        <v>0</v>
      </c>
      <c r="SA3" s="5">
        <f>IFERROR(VLOOKUP(SA$1,'Renta fija USD Hiper Conservado'!$B$17:$C$25,2,FALSE),0%)</f>
        <v>0</v>
      </c>
      <c r="SB3" s="5">
        <f>IFERROR(VLOOKUP(SB$1,'Renta fija USD Hiper Conservado'!$B$17:$C$25,2,FALSE),0%)</f>
        <v>0</v>
      </c>
      <c r="SC3" s="5">
        <f>IFERROR(VLOOKUP(SC$1,'Renta fija USD Hiper Conservado'!$B$17:$C$25,2,FALSE),0%)</f>
        <v>0</v>
      </c>
      <c r="SD3" s="5">
        <f>IFERROR(VLOOKUP(SD$1,'Renta fija USD Hiper Conservado'!$B$17:$C$25,2,FALSE),0%)</f>
        <v>0</v>
      </c>
      <c r="SE3" s="5">
        <f>IFERROR(VLOOKUP(SE$1,'Renta fija USD Hiper Conservado'!$B$17:$C$25,2,FALSE),0%)</f>
        <v>0</v>
      </c>
      <c r="SF3" s="5">
        <f>IFERROR(VLOOKUP(SF$1,'Renta fija USD Hiper Conservado'!$B$17:$C$25,2,FALSE),0%)</f>
        <v>0</v>
      </c>
      <c r="SG3" s="5">
        <f>IFERROR(VLOOKUP(SG$1,'Renta fija USD Hiper Conservado'!$B$17:$C$25,2,FALSE),0%)</f>
        <v>0</v>
      </c>
      <c r="SH3" s="5">
        <f>IFERROR(VLOOKUP(SH$1,'Renta fija USD Hiper Conservado'!$B$17:$C$25,2,FALSE),0%)</f>
        <v>0</v>
      </c>
      <c r="SI3" s="5">
        <f>IFERROR(VLOOKUP(SI$1,'Renta fija USD Hiper Conservado'!$B$17:$C$25,2,FALSE),0%)</f>
        <v>0</v>
      </c>
      <c r="SJ3" s="5">
        <f>IFERROR(VLOOKUP(SJ$1,'Renta fija USD Hiper Conservado'!$B$17:$C$25,2,FALSE),0%)</f>
        <v>0</v>
      </c>
      <c r="SK3" s="5">
        <f>IFERROR(VLOOKUP(SK$1,'Renta fija USD Hiper Conservado'!$B$17:$C$25,2,FALSE),0%)</f>
        <v>0</v>
      </c>
      <c r="SL3" s="5">
        <f>IFERROR(VLOOKUP(SL$1,'Renta fija USD Hiper Conservado'!$B$17:$C$25,2,FALSE),0%)</f>
        <v>0</v>
      </c>
      <c r="SM3" s="5">
        <f>IFERROR(VLOOKUP(SM$1,'Renta fija USD Hiper Conservado'!$B$17:$C$25,2,FALSE),0%)</f>
        <v>0</v>
      </c>
      <c r="SN3" s="5">
        <f>IFERROR(VLOOKUP(SN$1,'Renta fija USD Hiper Conservado'!$B$17:$C$25,2,FALSE),0%)</f>
        <v>0</v>
      </c>
      <c r="SO3" s="5">
        <f>IFERROR(VLOOKUP(SO$1,'Renta fija USD Hiper Conservado'!$B$17:$C$25,2,FALSE),0%)</f>
        <v>0</v>
      </c>
      <c r="SP3" s="5">
        <f>IFERROR(VLOOKUP(SP$1,'Renta fija USD Hiper Conservado'!$B$17:$C$25,2,FALSE),0%)</f>
        <v>0</v>
      </c>
      <c r="SQ3" s="5">
        <f>IFERROR(VLOOKUP(SQ$1,'Renta fija USD Hiper Conservado'!$B$17:$C$25,2,FALSE),0%)</f>
        <v>0</v>
      </c>
      <c r="SR3" s="5">
        <f>IFERROR(VLOOKUP(SR$1,'Renta fija USD Hiper Conservado'!$B$17:$C$25,2,FALSE),0%)</f>
        <v>0</v>
      </c>
      <c r="SS3" s="5">
        <f>IFERROR(VLOOKUP(SS$1,'Renta fija USD Hiper Conservado'!$B$17:$C$25,2,FALSE),0%)</f>
        <v>0</v>
      </c>
      <c r="ST3" s="5">
        <f>IFERROR(VLOOKUP(ST$1,'Renta fija USD Hiper Conservado'!$B$17:$C$25,2,FALSE),0%)</f>
        <v>0</v>
      </c>
      <c r="SU3" s="5">
        <f>IFERROR(VLOOKUP(SU$1,'Renta fija USD Hiper Conservado'!$B$17:$C$25,2,FALSE),0%)</f>
        <v>0</v>
      </c>
      <c r="SV3" s="5">
        <f>IFERROR(VLOOKUP(SV$1,'Renta fija USD Hiper Conservado'!$B$17:$C$25,2,FALSE),0%)</f>
        <v>0</v>
      </c>
      <c r="SW3" s="5">
        <f>IFERROR(VLOOKUP(SW$1,'Renta fija USD Hiper Conservado'!$B$17:$C$25,2,FALSE),0%)</f>
        <v>0</v>
      </c>
      <c r="SX3" s="5">
        <f>IFERROR(VLOOKUP(SX$1,'Renta fija USD Hiper Conservado'!$B$17:$C$25,2,FALSE),0%)</f>
        <v>0</v>
      </c>
      <c r="SY3" s="5">
        <f>IFERROR(VLOOKUP(SY$1,'Renta fija USD Hiper Conservado'!$B$17:$C$25,2,FALSE),0%)</f>
        <v>0</v>
      </c>
      <c r="SZ3" s="5">
        <f>IFERROR(VLOOKUP(SZ$1,'Renta fija USD Hiper Conservado'!$B$17:$C$25,2,FALSE),0%)</f>
        <v>0</v>
      </c>
      <c r="TA3" s="5">
        <f>IFERROR(VLOOKUP(TA$1,'Renta fija USD Hiper Conservado'!$B$17:$C$25,2,FALSE),0%)</f>
        <v>0</v>
      </c>
      <c r="TB3" s="5">
        <f>IFERROR(VLOOKUP(TB$1,'Renta fija USD Hiper Conservado'!$B$17:$C$25,2,FALSE),0%)</f>
        <v>0</v>
      </c>
      <c r="TC3" s="5">
        <f>IFERROR(VLOOKUP(TC$1,'Renta fija USD Hiper Conservado'!$B$17:$C$25,2,FALSE),0%)</f>
        <v>0</v>
      </c>
      <c r="TD3" s="5">
        <f>IFERROR(VLOOKUP(TD$1,'Renta fija USD Hiper Conservado'!$B$17:$C$25,2,FALSE),0%)</f>
        <v>0</v>
      </c>
      <c r="TE3" s="5">
        <f>IFERROR(VLOOKUP(TE$1,'Renta fija USD Hiper Conservado'!$B$17:$C$25,2,FALSE),0%)</f>
        <v>0</v>
      </c>
      <c r="TF3" s="5">
        <f>IFERROR(VLOOKUP(TF$1,'Renta fija USD Hiper Conservado'!$B$17:$C$25,2,FALSE),0%)</f>
        <v>0</v>
      </c>
      <c r="TG3" s="5">
        <f>IFERROR(VLOOKUP(TG$1,'Renta fija USD Hiper Conservado'!$B$17:$C$25,2,FALSE),0%)</f>
        <v>0</v>
      </c>
      <c r="TH3" s="5">
        <f>IFERROR(VLOOKUP(TH$1,'Renta fija USD Hiper Conservado'!$B$17:$C$25,2,FALSE),0%)</f>
        <v>0</v>
      </c>
      <c r="TI3" s="5">
        <f>IFERROR(VLOOKUP(TI$1,'Renta fija USD Hiper Conservado'!$B$17:$C$25,2,FALSE),0%)</f>
        <v>0</v>
      </c>
      <c r="TJ3" s="5">
        <f>IFERROR(VLOOKUP(TJ$1,'Renta fija USD Hiper Conservado'!$B$17:$C$25,2,FALSE),0%)</f>
        <v>0</v>
      </c>
      <c r="TK3" s="5">
        <f>IFERROR(VLOOKUP(TK$1,'Renta fija USD Hiper Conservado'!$B$17:$C$25,2,FALSE),0%)</f>
        <v>0</v>
      </c>
      <c r="TL3" s="5">
        <f>IFERROR(VLOOKUP(TL$1,'Renta fija USD Hiper Conservado'!$B$17:$C$25,2,FALSE),0%)</f>
        <v>0</v>
      </c>
      <c r="TM3" s="5">
        <f>IFERROR(VLOOKUP(TM$1,'Renta fija USD Hiper Conservado'!$B$17:$C$25,2,FALSE),0%)</f>
        <v>0</v>
      </c>
      <c r="TN3" s="5">
        <f>IFERROR(VLOOKUP(TN$1,'Renta fija USD Hiper Conservado'!$B$17:$C$25,2,FALSE),0%)</f>
        <v>0</v>
      </c>
      <c r="TO3" s="5">
        <f>IFERROR(VLOOKUP(TO$1,'Renta fija USD Hiper Conservado'!$B$17:$C$25,2,FALSE),0%)</f>
        <v>0</v>
      </c>
      <c r="TP3" s="5">
        <f>IFERROR(VLOOKUP(TP$1,'Renta fija USD Hiper Conservado'!$B$17:$C$25,2,FALSE),0%)</f>
        <v>0</v>
      </c>
      <c r="TQ3" s="5">
        <f>IFERROR(VLOOKUP(TQ$1,'Renta fija USD Hiper Conservado'!$B$17:$C$25,2,FALSE),0%)</f>
        <v>0</v>
      </c>
      <c r="TR3" s="5">
        <f>IFERROR(VLOOKUP(TR$1,'Renta fija USD Hiper Conservado'!$B$17:$C$25,2,FALSE),0%)</f>
        <v>0</v>
      </c>
      <c r="TS3" s="5">
        <f>IFERROR(VLOOKUP(TS$1,'Renta fija USD Hiper Conservado'!$B$17:$C$25,2,FALSE),0%)</f>
        <v>0</v>
      </c>
      <c r="TT3" s="5">
        <f>IFERROR(VLOOKUP(TT$1,'Renta fija USD Hiper Conservado'!$B$17:$C$25,2,FALSE),0%)</f>
        <v>0</v>
      </c>
      <c r="TU3" s="5">
        <f>IFERROR(VLOOKUP(TU$1,'Renta fija USD Hiper Conservado'!$B$17:$C$25,2,FALSE),0%)</f>
        <v>0</v>
      </c>
      <c r="TV3" s="5">
        <f>IFERROR(VLOOKUP(TV$1,'Renta fija USD Hiper Conservado'!$B$17:$C$25,2,FALSE),0%)</f>
        <v>0</v>
      </c>
      <c r="TW3" s="5">
        <f>IFERROR(VLOOKUP(TW$1,'Renta fija USD Hiper Conservado'!$B$17:$C$25,2,FALSE),0%)</f>
        <v>0</v>
      </c>
      <c r="TX3" s="5">
        <f>IFERROR(VLOOKUP(TX$1,'Renta fija USD Hiper Conservado'!$B$17:$C$25,2,FALSE),0%)</f>
        <v>0</v>
      </c>
      <c r="TY3" s="5">
        <f>IFERROR(VLOOKUP(TY$1,'Renta fija USD Hiper Conservado'!$B$17:$C$25,2,FALSE),0%)</f>
        <v>0</v>
      </c>
      <c r="TZ3" s="5">
        <f>IFERROR(VLOOKUP(TZ$1,'Renta fija USD Hiper Conservado'!$B$17:$C$25,2,FALSE),0%)</f>
        <v>0</v>
      </c>
      <c r="UA3" s="5">
        <f>IFERROR(VLOOKUP(UA$1,'Renta fija USD Hiper Conservado'!$B$17:$C$25,2,FALSE),0%)</f>
        <v>0</v>
      </c>
      <c r="UB3" s="5">
        <f>IFERROR(VLOOKUP(UB$1,'Renta fija USD Hiper Conservado'!$B$17:$C$25,2,FALSE),0%)</f>
        <v>0</v>
      </c>
      <c r="UC3" s="5">
        <f>IFERROR(VLOOKUP(UC$1,'Renta fija USD Hiper Conservado'!$B$17:$C$25,2,FALSE),0%)</f>
        <v>0</v>
      </c>
      <c r="UD3" s="5">
        <f>IFERROR(VLOOKUP(UD$1,'Renta fija USD Hiper Conservado'!$B$17:$C$25,2,FALSE),0%)</f>
        <v>0</v>
      </c>
      <c r="UE3" s="5">
        <f>IFERROR(VLOOKUP(UE$1,'Renta fija USD Hiper Conservado'!$B$17:$C$25,2,FALSE),0%)</f>
        <v>0</v>
      </c>
      <c r="UF3" s="5">
        <f>IFERROR(VLOOKUP(UF$1,'Renta fija USD Hiper Conservado'!$B$17:$C$25,2,FALSE),0%)</f>
        <v>0</v>
      </c>
      <c r="UG3" s="5">
        <f>IFERROR(VLOOKUP(UG$1,'Renta fija USD Hiper Conservado'!$B$17:$C$25,2,FALSE),0%)</f>
        <v>0</v>
      </c>
      <c r="UH3" s="5">
        <f>IFERROR(VLOOKUP(UH$1,'Renta fija USD Hiper Conservado'!$B$17:$C$25,2,FALSE),0%)</f>
        <v>0</v>
      </c>
      <c r="UI3" s="5">
        <f>IFERROR(VLOOKUP(UI$1,'Renta fija USD Hiper Conservado'!$B$17:$C$25,2,FALSE),0%)</f>
        <v>0</v>
      </c>
      <c r="UJ3" s="5">
        <f>IFERROR(VLOOKUP(UJ$1,'Renta fija USD Hiper Conservado'!$B$17:$C$25,2,FALSE),0%)</f>
        <v>0</v>
      </c>
      <c r="UK3" s="5">
        <f>IFERROR(VLOOKUP(UK$1,'Renta fija USD Hiper Conservado'!$B$17:$C$25,2,FALSE),0%)</f>
        <v>0</v>
      </c>
      <c r="UL3" s="5">
        <f>IFERROR(VLOOKUP(UL$1,'Renta fija USD Hiper Conservado'!$B$17:$C$25,2,FALSE),0%)</f>
        <v>0</v>
      </c>
      <c r="UM3" s="5">
        <f>IFERROR(VLOOKUP(UM$1,'Renta fija USD Hiper Conservado'!$B$17:$C$25,2,FALSE),0%)</f>
        <v>0</v>
      </c>
      <c r="UN3" s="5">
        <f>IFERROR(VLOOKUP(UN$1,'Renta fija USD Hiper Conservado'!$B$17:$C$25,2,FALSE),0%)</f>
        <v>0</v>
      </c>
      <c r="UO3" s="5">
        <f>IFERROR(VLOOKUP(UO$1,'Renta fija USD Hiper Conservado'!$B$17:$C$25,2,FALSE),0%)</f>
        <v>0</v>
      </c>
      <c r="UP3" s="5">
        <f>IFERROR(VLOOKUP(UP$1,'Renta fija USD Hiper Conservado'!$B$17:$C$25,2,FALSE),0%)</f>
        <v>0</v>
      </c>
      <c r="UQ3" s="5">
        <f>IFERROR(VLOOKUP(UQ$1,'Renta fija USD Hiper Conservado'!$B$17:$C$25,2,FALSE),0%)</f>
        <v>0</v>
      </c>
      <c r="UR3" s="5">
        <f>IFERROR(VLOOKUP(UR$1,'Renta fija USD Hiper Conservado'!$B$17:$C$25,2,FALSE),0%)</f>
        <v>0</v>
      </c>
      <c r="US3" s="5">
        <f>IFERROR(VLOOKUP(US$1,'Renta fija USD Hiper Conservado'!$B$17:$C$25,2,FALSE),0%)</f>
        <v>0</v>
      </c>
      <c r="UT3" s="5">
        <f>IFERROR(VLOOKUP(UT$1,'Renta fija USD Hiper Conservado'!$B$17:$C$25,2,FALSE),0%)</f>
        <v>0</v>
      </c>
      <c r="UU3" s="5">
        <f>IFERROR(VLOOKUP(UU$1,'Renta fija USD Hiper Conservado'!$B$17:$C$25,2,FALSE),0%)</f>
        <v>0</v>
      </c>
      <c r="UV3" s="5">
        <f>IFERROR(VLOOKUP(UV$1,'Renta fija USD Hiper Conservado'!$B$17:$C$25,2,FALSE),0%)</f>
        <v>0</v>
      </c>
      <c r="UW3" s="5">
        <f>IFERROR(VLOOKUP(UW$1,'Renta fija USD Hiper Conservado'!$B$17:$C$25,2,FALSE),0%)</f>
        <v>0</v>
      </c>
      <c r="UX3" s="5">
        <f>IFERROR(VLOOKUP(UX$1,'Renta fija USD Hiper Conservado'!$B$17:$C$25,2,FALSE),0%)</f>
        <v>0</v>
      </c>
      <c r="UY3" s="5">
        <f>IFERROR(VLOOKUP(UY$1,'Renta fija USD Hiper Conservado'!$B$17:$C$25,2,FALSE),0%)</f>
        <v>0</v>
      </c>
      <c r="UZ3" s="5">
        <f>IFERROR(VLOOKUP(UZ$1,'Renta fija USD Hiper Conservado'!$B$17:$C$25,2,FALSE),0%)</f>
        <v>0</v>
      </c>
      <c r="VA3" s="5">
        <f>IFERROR(VLOOKUP(VA$1,'Renta fija USD Hiper Conservado'!$B$17:$C$25,2,FALSE),0%)</f>
        <v>0</v>
      </c>
      <c r="VB3" s="5">
        <f>IFERROR(VLOOKUP(VB$1,'Renta fija USD Hiper Conservado'!$B$17:$C$25,2,FALSE),0%)</f>
        <v>0</v>
      </c>
      <c r="VC3" s="5">
        <f>IFERROR(VLOOKUP(VC$1,'Renta fija USD Hiper Conservado'!$B$17:$C$25,2,FALSE),0%)</f>
        <v>0</v>
      </c>
      <c r="VD3" s="5">
        <f>IFERROR(VLOOKUP(VD$1,'Renta fija USD Hiper Conservado'!$B$17:$C$25,2,FALSE),0%)</f>
        <v>0</v>
      </c>
      <c r="VE3" s="5">
        <f>IFERROR(VLOOKUP(VE$1,'Renta fija USD Hiper Conservado'!$B$17:$C$25,2,FALSE),0%)</f>
        <v>0</v>
      </c>
      <c r="VF3" s="5">
        <f>IFERROR(VLOOKUP(VF$1,'Renta fija USD Hiper Conservado'!$B$17:$C$25,2,FALSE),0%)</f>
        <v>0</v>
      </c>
      <c r="VG3" s="5">
        <f>IFERROR(VLOOKUP(VG$1,'Renta fija USD Hiper Conservado'!$B$17:$C$25,2,FALSE),0%)</f>
        <v>0</v>
      </c>
      <c r="VH3" s="5">
        <f>IFERROR(VLOOKUP(VH$1,'Renta fija USD Hiper Conservado'!$B$17:$C$25,2,FALSE),0%)</f>
        <v>0</v>
      </c>
      <c r="VI3" s="5">
        <f>IFERROR(VLOOKUP(VI$1,'Renta fija USD Hiper Conservado'!$B$17:$C$25,2,FALSE),0%)</f>
        <v>0</v>
      </c>
      <c r="VJ3" s="5">
        <f>IFERROR(VLOOKUP(VJ$1,'Renta fija USD Hiper Conservado'!$B$17:$C$25,2,FALSE),0%)</f>
        <v>0</v>
      </c>
      <c r="VK3" s="5">
        <f>IFERROR(VLOOKUP(VK$1,'Renta fija USD Hiper Conservado'!$B$17:$C$25,2,FALSE),0%)</f>
        <v>0</v>
      </c>
      <c r="VL3" s="5">
        <f>IFERROR(VLOOKUP(VL$1,'Renta fija USD Hiper Conservado'!$B$17:$C$25,2,FALSE),0%)</f>
        <v>0</v>
      </c>
      <c r="VM3" s="5">
        <f>IFERROR(VLOOKUP(VM$1,'Renta fija USD Hiper Conservado'!$B$17:$C$25,2,FALSE),0%)</f>
        <v>0</v>
      </c>
      <c r="VN3" s="5">
        <f>IFERROR(VLOOKUP(VN$1,'Renta fija USD Hiper Conservado'!$B$17:$C$25,2,FALSE),0%)</f>
        <v>0</v>
      </c>
      <c r="VO3" s="5">
        <f>IFERROR(VLOOKUP(VO$1,'Renta fija USD Hiper Conservado'!$B$17:$C$25,2,FALSE),0%)</f>
        <v>0</v>
      </c>
      <c r="VP3" s="5">
        <f>IFERROR(VLOOKUP(VP$1,'Renta fija USD Hiper Conservado'!$B$17:$C$25,2,FALSE),0%)</f>
        <v>0</v>
      </c>
      <c r="VQ3" s="5">
        <f>IFERROR(VLOOKUP(VQ$1,'Renta fija USD Hiper Conservado'!$B$17:$C$25,2,FALSE),0%)</f>
        <v>0</v>
      </c>
      <c r="VR3" s="5">
        <f>IFERROR(VLOOKUP(VR$1,'Renta fija USD Hiper Conservado'!$B$17:$C$25,2,FALSE),0%)</f>
        <v>0</v>
      </c>
      <c r="VS3" s="5">
        <f>IFERROR(VLOOKUP(VS$1,'Renta fija USD Hiper Conservado'!$B$17:$C$25,2,FALSE),0%)</f>
        <v>0</v>
      </c>
      <c r="VT3" s="5">
        <f>IFERROR(VLOOKUP(VT$1,'Renta fija USD Hiper Conservado'!$B$17:$C$25,2,FALSE),0%)</f>
        <v>0</v>
      </c>
      <c r="VU3" s="5">
        <f>IFERROR(VLOOKUP(VU$1,'Renta fija USD Hiper Conservado'!$B$17:$C$25,2,FALSE),0%)</f>
        <v>0</v>
      </c>
      <c r="VV3" s="5">
        <f>IFERROR(VLOOKUP(VV$1,'Renta fija USD Hiper Conservado'!$B$17:$C$25,2,FALSE),0%)</f>
        <v>0</v>
      </c>
      <c r="VW3" s="5">
        <f>IFERROR(VLOOKUP(VW$1,'Renta fija USD Hiper Conservado'!$B$17:$C$25,2,FALSE),0%)</f>
        <v>0</v>
      </c>
      <c r="VX3" s="5">
        <f>IFERROR(VLOOKUP(VX$1,'Renta fija USD Hiper Conservado'!$B$17:$C$25,2,FALSE),0%)</f>
        <v>0</v>
      </c>
      <c r="VY3" s="5">
        <f>IFERROR(VLOOKUP(VY$1,'Renta fija USD Hiper Conservado'!$B$17:$C$25,2,FALSE),0%)</f>
        <v>0</v>
      </c>
      <c r="VZ3" s="5">
        <f>IFERROR(VLOOKUP(VZ$1,'Renta fija USD Hiper Conservado'!$B$17:$C$25,2,FALSE),0%)</f>
        <v>0</v>
      </c>
      <c r="WA3" s="5">
        <f>IFERROR(VLOOKUP(WA$1,'Renta fija USD Hiper Conservado'!$B$17:$C$25,2,FALSE),0%)</f>
        <v>0</v>
      </c>
      <c r="WB3" s="5">
        <f>IFERROR(VLOOKUP(WB$1,'Renta fija USD Hiper Conservado'!$B$17:$C$25,2,FALSE),0%)</f>
        <v>0</v>
      </c>
      <c r="WC3" s="5">
        <f>IFERROR(VLOOKUP(WC$1,'Renta fija USD Hiper Conservado'!$B$17:$C$25,2,FALSE),0%)</f>
        <v>0</v>
      </c>
      <c r="WD3" s="5">
        <f>IFERROR(VLOOKUP(WD$1,'Renta fija USD Hiper Conservado'!$B$17:$C$25,2,FALSE),0%)</f>
        <v>0</v>
      </c>
      <c r="WE3" s="5">
        <f>IFERROR(VLOOKUP(WE$1,'Renta fija USD Hiper Conservado'!$B$17:$C$25,2,FALSE),0%)</f>
        <v>0</v>
      </c>
      <c r="WF3" s="5">
        <f>IFERROR(VLOOKUP(WF$1,'Renta fija USD Hiper Conservado'!$B$17:$C$25,2,FALSE),0%)</f>
        <v>0</v>
      </c>
      <c r="WG3" s="5">
        <f>IFERROR(VLOOKUP(WG$1,'Renta fija USD Hiper Conservado'!$B$17:$C$25,2,FALSE),0%)</f>
        <v>0</v>
      </c>
      <c r="WH3" s="5">
        <f>IFERROR(VLOOKUP(WH$1,'Renta fija USD Hiper Conservado'!$B$17:$C$25,2,FALSE),0%)</f>
        <v>0</v>
      </c>
      <c r="WI3" s="5">
        <f>IFERROR(VLOOKUP(WI$1,'Renta fija USD Hiper Conservado'!$B$17:$C$25,2,FALSE),0%)</f>
        <v>0</v>
      </c>
      <c r="WJ3" s="5">
        <f>IFERROR(VLOOKUP(WJ$1,'Renta fija USD Hiper Conservado'!$B$17:$C$25,2,FALSE),0%)</f>
        <v>0</v>
      </c>
      <c r="WK3" s="5">
        <f>IFERROR(VLOOKUP(WK$1,'Renta fija USD Hiper Conservado'!$B$17:$C$25,2,FALSE),0%)</f>
        <v>0</v>
      </c>
      <c r="WL3" s="5">
        <f>IFERROR(VLOOKUP(WL$1,'Renta fija USD Hiper Conservado'!$B$17:$C$25,2,FALSE),0%)</f>
        <v>0</v>
      </c>
      <c r="WM3" s="5">
        <f>IFERROR(VLOOKUP(WM$1,'Renta fija USD Hiper Conservado'!$B$17:$C$25,2,FALSE),0%)</f>
        <v>0</v>
      </c>
      <c r="WN3" s="5">
        <f>IFERROR(VLOOKUP(WN$1,'Renta fija USD Hiper Conservado'!$B$17:$C$25,2,FALSE),0%)</f>
        <v>0</v>
      </c>
      <c r="WO3" s="5">
        <f>IFERROR(VLOOKUP(WO$1,'Renta fija USD Hiper Conservado'!$B$17:$C$25,2,FALSE),0%)</f>
        <v>0</v>
      </c>
      <c r="WP3" s="5">
        <f>IFERROR(VLOOKUP(WP$1,'Renta fija USD Hiper Conservado'!$B$17:$C$25,2,FALSE),0%)</f>
        <v>0</v>
      </c>
      <c r="WQ3" s="5">
        <f>IFERROR(VLOOKUP(WQ$1,'Renta fija USD Hiper Conservado'!$B$17:$C$25,2,FALSE),0%)</f>
        <v>0</v>
      </c>
      <c r="WR3" s="5">
        <f>IFERROR(VLOOKUP(WR$1,'Renta fija USD Hiper Conservado'!$B$17:$C$25,2,FALSE),0%)</f>
        <v>0</v>
      </c>
      <c r="WS3" s="5">
        <f>IFERROR(VLOOKUP(WS$1,'Renta fija USD Hiper Conservado'!$B$17:$C$25,2,FALSE),0%)</f>
        <v>0</v>
      </c>
      <c r="WT3" s="5">
        <f>IFERROR(VLOOKUP(WT$1,'Renta fija USD Hiper Conservado'!$B$17:$C$25,2,FALSE),0%)</f>
        <v>0</v>
      </c>
      <c r="WU3" s="5">
        <f>IFERROR(VLOOKUP(WU$1,'Renta fija USD Hiper Conservado'!$B$17:$C$25,2,FALSE),0%)</f>
        <v>0</v>
      </c>
      <c r="WV3" s="5">
        <f>IFERROR(VLOOKUP(WV$1,'Renta fija USD Hiper Conservado'!$B$17:$C$25,2,FALSE),0%)</f>
        <v>0</v>
      </c>
      <c r="WW3" s="5">
        <f>IFERROR(VLOOKUP(WW$1,'Renta fija USD Hiper Conservado'!$B$17:$C$25,2,FALSE),0%)</f>
        <v>0</v>
      </c>
      <c r="WX3" s="5">
        <f>IFERROR(VLOOKUP(WX$1,'Renta fija USD Hiper Conservado'!$B$17:$C$25,2,FALSE),0%)</f>
        <v>0</v>
      </c>
      <c r="WY3" s="5">
        <f>IFERROR(VLOOKUP(WY$1,'Renta fija USD Hiper Conservado'!$B$17:$C$25,2,FALSE),0%)</f>
        <v>0</v>
      </c>
      <c r="WZ3" s="5">
        <f>IFERROR(VLOOKUP(WZ$1,'Renta fija USD Hiper Conservado'!$B$17:$C$25,2,FALSE),0%)</f>
        <v>0</v>
      </c>
      <c r="XA3" s="5">
        <f>IFERROR(VLOOKUP(XA$1,'Renta fija USD Hiper Conservado'!$B$17:$C$25,2,FALSE),0%)</f>
        <v>0</v>
      </c>
      <c r="XB3" s="5">
        <f>IFERROR(VLOOKUP(XB$1,'Renta fija USD Hiper Conservado'!$B$17:$C$25,2,FALSE),0%)</f>
        <v>0</v>
      </c>
      <c r="XC3" s="5">
        <f>IFERROR(VLOOKUP(XC$1,'Renta fija USD Hiper Conservado'!$B$17:$C$25,2,FALSE),0%)</f>
        <v>0</v>
      </c>
      <c r="XD3" s="5">
        <f>IFERROR(VLOOKUP(XD$1,'Renta fija USD Hiper Conservado'!$B$17:$C$25,2,FALSE),0%)</f>
        <v>0</v>
      </c>
      <c r="XE3" s="5">
        <f>IFERROR(VLOOKUP(XE$1,'Renta fija USD Hiper Conservado'!$B$17:$C$25,2,FALSE),0%)</f>
        <v>0</v>
      </c>
      <c r="XF3" s="5">
        <f>IFERROR(VLOOKUP(XF$1,'Renta fija USD Hiper Conservado'!$B$17:$C$25,2,FALSE),0%)</f>
        <v>0</v>
      </c>
      <c r="XG3" s="5">
        <f>IFERROR(VLOOKUP(XG$1,'Renta fija USD Hiper Conservado'!$B$17:$C$25,2,FALSE),0%)</f>
        <v>0</v>
      </c>
      <c r="XH3" s="5">
        <f>IFERROR(VLOOKUP(XH$1,'Renta fija USD Hiper Conservado'!$B$17:$C$25,2,FALSE),0%)</f>
        <v>0</v>
      </c>
      <c r="XI3" s="5">
        <f>IFERROR(VLOOKUP(XI$1,'Renta fija USD Hiper Conservado'!$B$17:$C$25,2,FALSE),0%)</f>
        <v>0</v>
      </c>
      <c r="XJ3" s="5">
        <f>IFERROR(VLOOKUP(XJ$1,'Renta fija USD Hiper Conservado'!$B$17:$C$25,2,FALSE),0%)</f>
        <v>0</v>
      </c>
      <c r="XK3" s="5">
        <f>IFERROR(VLOOKUP(XK$1,'Renta fija USD Hiper Conservado'!$B$17:$C$25,2,FALSE),0%)</f>
        <v>0</v>
      </c>
      <c r="XL3" s="5">
        <f>IFERROR(VLOOKUP(XL$1,'Renta fija USD Hiper Conservado'!$B$17:$C$25,2,FALSE),0%)</f>
        <v>0</v>
      </c>
      <c r="XM3" s="5">
        <f>IFERROR(VLOOKUP(XM$1,'Renta fija USD Hiper Conservado'!$B$17:$C$25,2,FALSE),0%)</f>
        <v>0</v>
      </c>
      <c r="XN3" s="5">
        <f>IFERROR(VLOOKUP(XN$1,'Renta fija USD Hiper Conservado'!$B$17:$C$25,2,FALSE),0%)</f>
        <v>0</v>
      </c>
      <c r="XO3" s="5">
        <f>IFERROR(VLOOKUP(XO$1,'Renta fija USD Hiper Conservado'!$B$17:$C$25,2,FALSE),0%)</f>
        <v>0</v>
      </c>
      <c r="XP3" s="5">
        <f>IFERROR(VLOOKUP(XP$1,'Renta fija USD Hiper Conservado'!$B$17:$C$25,2,FALSE),0%)</f>
        <v>0</v>
      </c>
      <c r="XQ3" s="5">
        <f>IFERROR(VLOOKUP(XQ$1,'Renta fija USD Hiper Conservado'!$B$17:$C$25,2,FALSE),0%)</f>
        <v>0</v>
      </c>
      <c r="XR3" s="5">
        <f>IFERROR(VLOOKUP(XR$1,'Renta fija USD Hiper Conservado'!$B$17:$C$25,2,FALSE),0%)</f>
        <v>0</v>
      </c>
      <c r="XS3" s="5">
        <f>IFERROR(VLOOKUP(XS$1,'Renta fija USD Hiper Conservado'!$B$17:$C$25,2,FALSE),0%)</f>
        <v>0</v>
      </c>
      <c r="XT3" s="5">
        <f>IFERROR(VLOOKUP(XT$1,'Renta fija USD Hiper Conservado'!$B$17:$C$25,2,FALSE),0%)</f>
        <v>0</v>
      </c>
      <c r="XU3" s="5">
        <f>IFERROR(VLOOKUP(XU$1,'Renta fija USD Hiper Conservado'!$B$17:$C$25,2,FALSE),0%)</f>
        <v>0</v>
      </c>
      <c r="XV3" s="5">
        <f>IFERROR(VLOOKUP(XV$1,'Renta fija USD Hiper Conservado'!$B$17:$C$25,2,FALSE),0%)</f>
        <v>0</v>
      </c>
      <c r="XW3" s="5">
        <f>IFERROR(VLOOKUP(XW$1,'Renta fija USD Hiper Conservado'!$B$17:$C$25,2,FALSE),0%)</f>
        <v>0</v>
      </c>
      <c r="XX3" s="5">
        <f>IFERROR(VLOOKUP(XX$1,'Renta fija USD Hiper Conservado'!$B$17:$C$25,2,FALSE),0%)</f>
        <v>0</v>
      </c>
      <c r="XY3" s="5">
        <f>IFERROR(VLOOKUP(XY$1,'Renta fija USD Hiper Conservado'!$B$17:$C$25,2,FALSE),0%)</f>
        <v>0</v>
      </c>
      <c r="XZ3" s="5">
        <f>IFERROR(VLOOKUP(XZ$1,'Renta fija USD Hiper Conservado'!$B$17:$C$25,2,FALSE),0%)</f>
        <v>0</v>
      </c>
      <c r="YA3" s="5">
        <f>IFERROR(VLOOKUP(YA$1,'Renta fija USD Hiper Conservado'!$B$17:$C$25,2,FALSE),0%)</f>
        <v>0</v>
      </c>
      <c r="YB3" s="5">
        <f>IFERROR(VLOOKUP(YB$1,'Renta fija USD Hiper Conservado'!$B$17:$C$25,2,FALSE),0%)</f>
        <v>0</v>
      </c>
      <c r="YC3" s="5">
        <f>IFERROR(VLOOKUP(YC$1,'Renta fija USD Hiper Conservado'!$B$17:$C$25,2,FALSE),0%)</f>
        <v>0</v>
      </c>
      <c r="YD3" s="5">
        <f>IFERROR(VLOOKUP(YD$1,'Renta fija USD Hiper Conservado'!$B$17:$C$25,2,FALSE),0%)</f>
        <v>0</v>
      </c>
      <c r="YE3" s="5">
        <f>IFERROR(VLOOKUP(YE$1,'Renta fija USD Hiper Conservado'!$B$17:$C$25,2,FALSE),0%)</f>
        <v>0</v>
      </c>
      <c r="YF3" s="5">
        <f>IFERROR(VLOOKUP(YF$1,'Renta fija USD Hiper Conservado'!$B$17:$C$25,2,FALSE),0%)</f>
        <v>0</v>
      </c>
      <c r="YG3" s="5">
        <f>IFERROR(VLOOKUP(YG$1,'Renta fija USD Hiper Conservado'!$B$17:$C$25,2,FALSE),0%)</f>
        <v>0</v>
      </c>
      <c r="YH3" s="5">
        <f>IFERROR(VLOOKUP(YH$1,'Renta fija USD Hiper Conservado'!$B$17:$C$25,2,FALSE),0%)</f>
        <v>0</v>
      </c>
      <c r="YI3" s="5">
        <f>IFERROR(VLOOKUP(YI$1,'Renta fija USD Hiper Conservado'!$B$17:$C$25,2,FALSE),0%)</f>
        <v>0</v>
      </c>
      <c r="YJ3" s="5">
        <f>IFERROR(VLOOKUP(YJ$1,'Renta fija USD Hiper Conservado'!$B$17:$C$25,2,FALSE),0%)</f>
        <v>0</v>
      </c>
      <c r="YK3" s="5">
        <f>IFERROR(VLOOKUP(YK$1,'Renta fija USD Hiper Conservado'!$B$17:$C$25,2,FALSE),0%)</f>
        <v>0</v>
      </c>
      <c r="YL3" s="5">
        <f>IFERROR(VLOOKUP(YL$1,'Renta fija USD Hiper Conservado'!$B$17:$C$25,2,FALSE),0%)</f>
        <v>0</v>
      </c>
      <c r="YM3" s="5">
        <f>IFERROR(VLOOKUP(YM$1,'Renta fija USD Hiper Conservado'!$B$17:$C$25,2,FALSE),0%)</f>
        <v>0</v>
      </c>
      <c r="YN3" s="5">
        <f>IFERROR(VLOOKUP(YN$1,'Renta fija USD Hiper Conservado'!$B$17:$C$25,2,FALSE),0%)</f>
        <v>0</v>
      </c>
      <c r="YO3" s="5">
        <f>IFERROR(VLOOKUP(YO$1,'Renta fija USD Hiper Conservado'!$B$17:$C$25,2,FALSE),0%)</f>
        <v>0</v>
      </c>
      <c r="YP3" s="5">
        <f>IFERROR(VLOOKUP(YP$1,'Renta fija USD Hiper Conservado'!$B$17:$C$25,2,FALSE),0%)</f>
        <v>0</v>
      </c>
      <c r="YQ3" s="5">
        <f>IFERROR(VLOOKUP(YQ$1,'Renta fija USD Hiper Conservado'!$B$17:$C$25,2,FALSE),0%)</f>
        <v>0</v>
      </c>
      <c r="YR3" s="5">
        <f>IFERROR(VLOOKUP(YR$1,'Renta fija USD Hiper Conservado'!$B$17:$C$25,2,FALSE),0%)</f>
        <v>0</v>
      </c>
      <c r="YS3" s="5">
        <f>IFERROR(VLOOKUP(YS$1,'Renta fija USD Hiper Conservado'!$B$17:$C$25,2,FALSE),0%)</f>
        <v>0</v>
      </c>
      <c r="YT3" s="5">
        <f>IFERROR(VLOOKUP(YT$1,'Renta fija USD Hiper Conservado'!$B$17:$C$25,2,FALSE),0%)</f>
        <v>0</v>
      </c>
      <c r="YU3" s="5">
        <f>IFERROR(VLOOKUP(YU$1,'Renta fija USD Hiper Conservado'!$B$17:$C$25,2,FALSE),0%)</f>
        <v>0</v>
      </c>
      <c r="YV3" s="5">
        <f>IFERROR(VLOOKUP(YV$1,'Renta fija USD Hiper Conservado'!$B$17:$C$25,2,FALSE),0%)</f>
        <v>0</v>
      </c>
      <c r="YW3" s="5">
        <f>IFERROR(VLOOKUP(YW$1,'Renta fija USD Hiper Conservado'!$B$17:$C$25,2,FALSE),0%)</f>
        <v>0</v>
      </c>
      <c r="YX3" s="5">
        <f>IFERROR(VLOOKUP(YX$1,'Renta fija USD Hiper Conservado'!$B$17:$C$25,2,FALSE),0%)</f>
        <v>0</v>
      </c>
      <c r="YY3" s="5">
        <f>IFERROR(VLOOKUP(YY$1,'Renta fija USD Hiper Conservado'!$B$17:$C$25,2,FALSE),0%)</f>
        <v>0</v>
      </c>
      <c r="YZ3" s="5">
        <f>IFERROR(VLOOKUP(YZ$1,'Renta fija USD Hiper Conservado'!$B$17:$C$25,2,FALSE),0%)</f>
        <v>0</v>
      </c>
      <c r="ZA3" s="5">
        <f>IFERROR(VLOOKUP(ZA$1,'Renta fija USD Hiper Conservado'!$B$17:$C$25,2,FALSE),0%)</f>
        <v>0</v>
      </c>
      <c r="ZB3" s="5">
        <f>IFERROR(VLOOKUP(ZB$1,'Renta fija USD Hiper Conservado'!$B$17:$C$25,2,FALSE),0%)</f>
        <v>0</v>
      </c>
      <c r="ZC3" s="5">
        <f>IFERROR(VLOOKUP(ZC$1,'Renta fija USD Hiper Conservado'!$B$17:$C$25,2,FALSE),0%)</f>
        <v>0</v>
      </c>
      <c r="ZD3" s="5">
        <f>IFERROR(VLOOKUP(ZD$1,'Renta fija USD Hiper Conservado'!$B$17:$C$25,2,FALSE),0%)</f>
        <v>0</v>
      </c>
      <c r="ZE3" s="5">
        <f>IFERROR(VLOOKUP(ZE$1,'Renta fija USD Hiper Conservado'!$B$17:$C$25,2,FALSE),0%)</f>
        <v>0</v>
      </c>
      <c r="ZF3" s="5">
        <f>IFERROR(VLOOKUP(ZF$1,'Renta fija USD Hiper Conservado'!$B$17:$C$25,2,FALSE),0%)</f>
        <v>0</v>
      </c>
      <c r="ZG3" s="5">
        <f>IFERROR(VLOOKUP(ZG$1,'Renta fija USD Hiper Conservado'!$B$17:$C$25,2,FALSE),0%)</f>
        <v>0</v>
      </c>
      <c r="ZH3" s="5">
        <f>IFERROR(VLOOKUP(ZH$1,'Renta fija USD Hiper Conservado'!$B$17:$C$25,2,FALSE),0%)</f>
        <v>0</v>
      </c>
      <c r="ZI3" s="5">
        <f>IFERROR(VLOOKUP(ZI$1,'Renta fija USD Hiper Conservado'!$B$17:$C$25,2,FALSE),0%)</f>
        <v>0</v>
      </c>
      <c r="ZJ3" s="5">
        <f>IFERROR(VLOOKUP(ZJ$1,'Renta fija USD Hiper Conservado'!$B$17:$C$25,2,FALSE),0%)</f>
        <v>0</v>
      </c>
      <c r="ZK3" s="5">
        <f>IFERROR(VLOOKUP(ZK$1,'Renta fija USD Hiper Conservado'!$B$17:$C$25,2,FALSE),0%)</f>
        <v>0</v>
      </c>
      <c r="ZL3" s="5">
        <f>IFERROR(VLOOKUP(ZL$1,'Renta fija USD Hiper Conservado'!$B$17:$C$25,2,FALSE),0%)</f>
        <v>0</v>
      </c>
      <c r="ZM3" s="5">
        <f>IFERROR(VLOOKUP(ZM$1,'Renta fija USD Hiper Conservado'!$B$17:$C$25,2,FALSE),0%)</f>
        <v>0</v>
      </c>
      <c r="ZN3" s="5">
        <f>IFERROR(VLOOKUP(ZN$1,'Renta fija USD Hiper Conservado'!$B$17:$C$25,2,FALSE),0%)</f>
        <v>0</v>
      </c>
      <c r="ZO3" s="5">
        <f>IFERROR(VLOOKUP(ZO$1,'Renta fija USD Hiper Conservado'!$B$17:$C$25,2,FALSE),0%)</f>
        <v>0</v>
      </c>
      <c r="ZP3" s="5">
        <f>IFERROR(VLOOKUP(ZP$1,'Renta fija USD Hiper Conservado'!$B$17:$C$25,2,FALSE),0%)</f>
        <v>0</v>
      </c>
      <c r="ZQ3" s="5">
        <f>IFERROR(VLOOKUP(ZQ$1,'Renta fija USD Hiper Conservado'!$B$17:$C$25,2,FALSE),0%)</f>
        <v>0</v>
      </c>
      <c r="ZR3" s="5">
        <f>IFERROR(VLOOKUP(ZR$1,'Renta fija USD Hiper Conservado'!$B$17:$C$25,2,FALSE),0%)</f>
        <v>0</v>
      </c>
      <c r="ZS3" s="5">
        <f>IFERROR(VLOOKUP(ZS$1,'Renta fija USD Hiper Conservado'!$B$17:$C$25,2,FALSE),0%)</f>
        <v>0</v>
      </c>
      <c r="ZT3" s="5">
        <f>IFERROR(VLOOKUP(ZT$1,'Renta fija USD Hiper Conservado'!$B$17:$C$25,2,FALSE),0%)</f>
        <v>0</v>
      </c>
      <c r="ZU3" s="5">
        <f>IFERROR(VLOOKUP(ZU$1,'Renta fija USD Hiper Conservado'!$B$17:$C$25,2,FALSE),0%)</f>
        <v>0</v>
      </c>
      <c r="ZV3" s="5">
        <f>IFERROR(VLOOKUP(ZV$1,'Renta fija USD Hiper Conservado'!$B$17:$C$25,2,FALSE),0%)</f>
        <v>0</v>
      </c>
      <c r="ZW3" s="5">
        <f>IFERROR(VLOOKUP(ZW$1,'Renta fija USD Hiper Conservado'!$B$17:$C$25,2,FALSE),0%)</f>
        <v>0</v>
      </c>
      <c r="ZX3" s="5">
        <f>IFERROR(VLOOKUP(ZX$1,'Renta fija USD Hiper Conservado'!$B$17:$C$25,2,FALSE),0%)</f>
        <v>0</v>
      </c>
      <c r="ZY3" s="5">
        <f>IFERROR(VLOOKUP(ZY$1,'Renta fija USD Hiper Conservado'!$B$17:$C$25,2,FALSE),0%)</f>
        <v>0</v>
      </c>
      <c r="ZZ3" s="5">
        <f>IFERROR(VLOOKUP(ZZ$1,'Renta fija USD Hiper Conservado'!$B$17:$C$25,2,FALSE),0%)</f>
        <v>0</v>
      </c>
      <c r="AAA3" s="5">
        <f>IFERROR(VLOOKUP(AAA$1,'Renta fija USD Hiper Conservado'!$B$17:$C$25,2,FALSE),0%)</f>
        <v>0</v>
      </c>
      <c r="AAB3" s="5">
        <f>IFERROR(VLOOKUP(AAB$1,'Renta fija USD Hiper Conservado'!$B$17:$C$25,2,FALSE),0%)</f>
        <v>0</v>
      </c>
      <c r="AAC3" s="5">
        <f>IFERROR(VLOOKUP(AAC$1,'Renta fija USD Hiper Conservado'!$B$17:$C$25,2,FALSE),0%)</f>
        <v>0</v>
      </c>
      <c r="AAD3" s="5">
        <f>IFERROR(VLOOKUP(AAD$1,'Renta fija USD Hiper Conservado'!$B$17:$C$25,2,FALSE),0%)</f>
        <v>0</v>
      </c>
      <c r="AAE3" s="5">
        <f>IFERROR(VLOOKUP(AAE$1,'Renta fija USD Hiper Conservado'!$B$17:$C$25,2,FALSE),0%)</f>
        <v>0</v>
      </c>
      <c r="AAF3" s="5">
        <f>IFERROR(VLOOKUP(AAF$1,'Renta fija USD Hiper Conservado'!$B$17:$C$25,2,FALSE),0%)</f>
        <v>0</v>
      </c>
      <c r="AAG3" s="5">
        <f>IFERROR(VLOOKUP(AAG$1,'Renta fija USD Hiper Conservado'!$B$17:$C$25,2,FALSE),0%)</f>
        <v>0</v>
      </c>
      <c r="AAH3" s="5">
        <f>IFERROR(VLOOKUP(AAH$1,'Renta fija USD Hiper Conservado'!$B$17:$C$25,2,FALSE),0%)</f>
        <v>0</v>
      </c>
      <c r="AAI3" s="5">
        <f>IFERROR(VLOOKUP(AAI$1,'Renta fija USD Hiper Conservado'!$B$17:$C$25,2,FALSE),0%)</f>
        <v>0</v>
      </c>
      <c r="AAJ3" s="5">
        <f>IFERROR(VLOOKUP(AAJ$1,'Renta fija USD Hiper Conservado'!$B$17:$C$25,2,FALSE),0%)</f>
        <v>0</v>
      </c>
      <c r="AAK3" s="5">
        <f>IFERROR(VLOOKUP(AAK$1,'Renta fija USD Hiper Conservado'!$B$17:$C$25,2,FALSE),0%)</f>
        <v>0</v>
      </c>
      <c r="AAL3" s="5">
        <f>IFERROR(VLOOKUP(AAL$1,'Renta fija USD Hiper Conservado'!$B$17:$C$25,2,FALSE),0%)</f>
        <v>0</v>
      </c>
      <c r="AAM3" s="5">
        <f>IFERROR(VLOOKUP(AAM$1,'Renta fija USD Hiper Conservado'!$B$17:$C$25,2,FALSE),0%)</f>
        <v>0</v>
      </c>
      <c r="AAN3" s="5">
        <f>IFERROR(VLOOKUP(AAN$1,'Renta fija USD Hiper Conservado'!$B$17:$C$25,2,FALSE),0%)</f>
        <v>0</v>
      </c>
      <c r="AAO3" s="5">
        <f>IFERROR(VLOOKUP(AAO$1,'Renta fija USD Hiper Conservado'!$B$17:$C$25,2,FALSE),0%)</f>
        <v>0</v>
      </c>
      <c r="AAP3" s="5">
        <f>IFERROR(VLOOKUP(AAP$1,'Renta fija USD Hiper Conservado'!$B$17:$C$25,2,FALSE),0%)</f>
        <v>0</v>
      </c>
      <c r="AAQ3" s="5">
        <f>IFERROR(VLOOKUP(AAQ$1,'Renta fija USD Hiper Conservado'!$B$17:$C$25,2,FALSE),0%)</f>
        <v>0</v>
      </c>
      <c r="AAR3" s="5">
        <f>IFERROR(VLOOKUP(AAR$1,'Renta fija USD Hiper Conservado'!$B$17:$C$25,2,FALSE),0%)</f>
        <v>0</v>
      </c>
      <c r="AAS3" s="5">
        <f>IFERROR(VLOOKUP(AAS$1,'Renta fija USD Hiper Conservado'!$B$17:$C$25,2,FALSE),0%)</f>
        <v>0</v>
      </c>
      <c r="AAT3" s="5">
        <f>IFERROR(VLOOKUP(AAT$1,'Renta fija USD Hiper Conservado'!$B$17:$C$25,2,FALSE),0%)</f>
        <v>0</v>
      </c>
      <c r="AAU3" s="5">
        <f>IFERROR(VLOOKUP(AAU$1,'Renta fija USD Hiper Conservado'!$B$17:$C$25,2,FALSE),0%)</f>
        <v>0</v>
      </c>
      <c r="AAV3" s="5">
        <f>IFERROR(VLOOKUP(AAV$1,'Renta fija USD Hiper Conservado'!$B$17:$C$25,2,FALSE),0%)</f>
        <v>0</v>
      </c>
      <c r="AAW3" s="5">
        <f>IFERROR(VLOOKUP(AAW$1,'Renta fija USD Hiper Conservado'!$B$17:$C$25,2,FALSE),0%)</f>
        <v>0</v>
      </c>
      <c r="AAX3" s="5">
        <f>IFERROR(VLOOKUP(AAX$1,'Renta fija USD Hiper Conservado'!$B$17:$C$25,2,FALSE),0%)</f>
        <v>0</v>
      </c>
      <c r="AAY3" s="5">
        <f>IFERROR(VLOOKUP(AAY$1,'Renta fija USD Hiper Conservado'!$B$17:$C$25,2,FALSE),0%)</f>
        <v>0</v>
      </c>
      <c r="AAZ3" s="5">
        <f>IFERROR(VLOOKUP(AAZ$1,'Renta fija USD Hiper Conservado'!$B$17:$C$25,2,FALSE),0%)</f>
        <v>0</v>
      </c>
      <c r="ABA3" s="5">
        <f>IFERROR(VLOOKUP(ABA$1,'Renta fija USD Hiper Conservado'!$B$17:$C$25,2,FALSE),0%)</f>
        <v>0</v>
      </c>
      <c r="ABB3" s="5">
        <f>IFERROR(VLOOKUP(ABB$1,'Renta fija USD Hiper Conservado'!$B$17:$C$25,2,FALSE),0%)</f>
        <v>0</v>
      </c>
      <c r="ABC3" s="5">
        <f>IFERROR(VLOOKUP(ABC$1,'Renta fija USD Hiper Conservado'!$B$17:$C$25,2,FALSE),0%)</f>
        <v>0</v>
      </c>
      <c r="ABD3" s="5">
        <f>IFERROR(VLOOKUP(ABD$1,'Renta fija USD Hiper Conservado'!$B$17:$C$25,2,FALSE),0%)</f>
        <v>0</v>
      </c>
      <c r="ABE3" s="5">
        <f>IFERROR(VLOOKUP(ABE$1,'Renta fija USD Hiper Conservado'!$B$17:$C$25,2,FALSE),0%)</f>
        <v>0</v>
      </c>
      <c r="ABF3" s="5">
        <f>IFERROR(VLOOKUP(ABF$1,'Renta fija USD Hiper Conservado'!$B$17:$C$25,2,FALSE),0%)</f>
        <v>0</v>
      </c>
      <c r="ABG3" s="5">
        <f>IFERROR(VLOOKUP(ABG$1,'Renta fija USD Hiper Conservado'!$B$17:$C$25,2,FALSE),0%)</f>
        <v>0</v>
      </c>
      <c r="ABH3" s="5">
        <f>IFERROR(VLOOKUP(ABH$1,'Renta fija USD Hiper Conservado'!$B$17:$C$25,2,FALSE),0%)</f>
        <v>0</v>
      </c>
      <c r="ABI3" s="5">
        <f>IFERROR(VLOOKUP(ABI$1,'Renta fija USD Hiper Conservado'!$B$17:$C$25,2,FALSE),0%)</f>
        <v>0</v>
      </c>
      <c r="ABJ3" s="5">
        <f>IFERROR(VLOOKUP(ABJ$1,'Renta fija USD Hiper Conservado'!$B$17:$C$25,2,FALSE),0%)</f>
        <v>0</v>
      </c>
      <c r="ABK3" s="5">
        <f>IFERROR(VLOOKUP(ABK$1,'Renta fija USD Hiper Conservado'!$B$17:$C$25,2,FALSE),0%)</f>
        <v>0</v>
      </c>
      <c r="ABL3" s="5">
        <f>IFERROR(VLOOKUP(ABL$1,'Renta fija USD Hiper Conservado'!$B$17:$C$25,2,FALSE),0%)</f>
        <v>0</v>
      </c>
      <c r="ABM3" s="5">
        <f>IFERROR(VLOOKUP(ABM$1,'Renta fija USD Hiper Conservado'!$B$17:$C$25,2,FALSE),0%)</f>
        <v>0</v>
      </c>
      <c r="ABN3" s="5">
        <f>IFERROR(VLOOKUP(ABN$1,'Renta fija USD Hiper Conservado'!$B$17:$C$25,2,FALSE),0%)</f>
        <v>0</v>
      </c>
      <c r="ABO3" s="5">
        <f>IFERROR(VLOOKUP(ABO$1,'Renta fija USD Hiper Conservado'!$B$17:$C$25,2,FALSE),0%)</f>
        <v>0</v>
      </c>
      <c r="ABP3" s="5">
        <f>IFERROR(VLOOKUP(ABP$1,'Renta fija USD Hiper Conservado'!$B$17:$C$25,2,FALSE),0%)</f>
        <v>0</v>
      </c>
      <c r="ABQ3" s="5">
        <f>IFERROR(VLOOKUP(ABQ$1,'Renta fija USD Hiper Conservado'!$B$17:$C$25,2,FALSE),0%)</f>
        <v>0</v>
      </c>
      <c r="ABR3" s="5">
        <f>IFERROR(VLOOKUP(ABR$1,'Renta fija USD Hiper Conservado'!$B$17:$C$25,2,FALSE),0%)</f>
        <v>0</v>
      </c>
      <c r="ABS3" s="5">
        <f>IFERROR(VLOOKUP(ABS$1,'Renta fija USD Hiper Conservado'!$B$17:$C$25,2,FALSE),0%)</f>
        <v>0</v>
      </c>
      <c r="ABT3" s="5">
        <f>IFERROR(VLOOKUP(ABT$1,'Renta fija USD Hiper Conservado'!$B$17:$C$25,2,FALSE),0%)</f>
        <v>0</v>
      </c>
      <c r="ABU3" s="5">
        <f>IFERROR(VLOOKUP(ABU$1,'Renta fija USD Hiper Conservado'!$B$17:$C$25,2,FALSE),0%)</f>
        <v>0</v>
      </c>
      <c r="ABV3" s="5">
        <f>IFERROR(VLOOKUP(ABV$1,'Renta fija USD Hiper Conservado'!$B$17:$C$25,2,FALSE),0%)</f>
        <v>0</v>
      </c>
      <c r="ABW3" s="5">
        <f>IFERROR(VLOOKUP(ABW$1,'Renta fija USD Hiper Conservado'!$B$17:$C$25,2,FALSE),0%)</f>
        <v>0</v>
      </c>
      <c r="ABX3" s="5">
        <f>IFERROR(VLOOKUP(ABX$1,'Renta fija USD Hiper Conservado'!$B$17:$C$25,2,FALSE),0%)</f>
        <v>0</v>
      </c>
      <c r="ABY3" s="5">
        <f>IFERROR(VLOOKUP(ABY$1,'Renta fija USD Hiper Conservado'!$B$17:$C$25,2,FALSE),0%)</f>
        <v>0</v>
      </c>
      <c r="ABZ3" s="5">
        <f>IFERROR(VLOOKUP(ABZ$1,'Renta fija USD Hiper Conservado'!$B$17:$C$25,2,FALSE),0%)</f>
        <v>0</v>
      </c>
      <c r="ACA3" s="5">
        <f>IFERROR(VLOOKUP(ACA$1,'Renta fija USD Hiper Conservado'!$B$17:$C$25,2,FALSE),0%)</f>
        <v>0</v>
      </c>
      <c r="ACB3" s="5">
        <f>IFERROR(VLOOKUP(ACB$1,'Renta fija USD Hiper Conservado'!$B$17:$C$25,2,FALSE),0%)</f>
        <v>0</v>
      </c>
      <c r="ACC3" s="5">
        <f>IFERROR(VLOOKUP(ACC$1,'Renta fija USD Hiper Conservado'!$B$17:$C$25,2,FALSE),0%)</f>
        <v>0</v>
      </c>
      <c r="ACD3" s="5">
        <f>IFERROR(VLOOKUP(ACD$1,'Renta fija USD Hiper Conservado'!$B$17:$C$25,2,FALSE),0%)</f>
        <v>0</v>
      </c>
      <c r="ACE3" s="5">
        <f>IFERROR(VLOOKUP(ACE$1,'Renta fija USD Hiper Conservado'!$B$17:$C$25,2,FALSE),0%)</f>
        <v>0</v>
      </c>
      <c r="ACF3" s="5">
        <f>IFERROR(VLOOKUP(ACF$1,'Renta fija USD Hiper Conservado'!$B$17:$C$25,2,FALSE),0%)</f>
        <v>0</v>
      </c>
      <c r="ACG3" s="5">
        <f>IFERROR(VLOOKUP(ACG$1,'Renta fija USD Hiper Conservado'!$B$17:$C$25,2,FALSE),0%)</f>
        <v>0</v>
      </c>
      <c r="ACH3" s="5">
        <f>IFERROR(VLOOKUP(ACH$1,'Renta fija USD Hiper Conservado'!$B$17:$C$25,2,FALSE),0%)</f>
        <v>0</v>
      </c>
      <c r="ACI3" s="5">
        <f>IFERROR(VLOOKUP(ACI$1,'Renta fija USD Hiper Conservado'!$B$17:$C$25,2,FALSE),0%)</f>
        <v>0</v>
      </c>
      <c r="ACJ3" s="5">
        <f>IFERROR(VLOOKUP(ACJ$1,'Renta fija USD Hiper Conservado'!$B$17:$C$25,2,FALSE),0%)</f>
        <v>0</v>
      </c>
      <c r="ACK3" s="5">
        <f>IFERROR(VLOOKUP(ACK$1,'Renta fija USD Hiper Conservado'!$B$17:$C$25,2,FALSE),0%)</f>
        <v>0</v>
      </c>
      <c r="ACL3" s="5">
        <f>IFERROR(VLOOKUP(ACL$1,'Renta fija USD Hiper Conservado'!$B$17:$C$25,2,FALSE),0%)</f>
        <v>0</v>
      </c>
      <c r="ACM3" s="5">
        <f>IFERROR(VLOOKUP(ACM$1,'Renta fija USD Hiper Conservado'!$B$17:$C$25,2,FALSE),0%)</f>
        <v>0</v>
      </c>
      <c r="ACN3" s="5">
        <f>IFERROR(VLOOKUP(ACN$1,'Renta fija USD Hiper Conservado'!$B$17:$C$25,2,FALSE),0%)</f>
        <v>0</v>
      </c>
      <c r="ACO3" s="5">
        <f>IFERROR(VLOOKUP(ACO$1,'Renta fija USD Hiper Conservado'!$B$17:$C$25,2,FALSE),0%)</f>
        <v>0</v>
      </c>
      <c r="ACP3" s="5">
        <f>IFERROR(VLOOKUP(ACP$1,'Renta fija USD Hiper Conservado'!$B$17:$C$25,2,FALSE),0%)</f>
        <v>0</v>
      </c>
      <c r="ACQ3" s="5">
        <f>IFERROR(VLOOKUP(ACQ$1,'Renta fija USD Hiper Conservado'!$B$17:$C$25,2,FALSE),0%)</f>
        <v>0</v>
      </c>
      <c r="ACR3" s="5">
        <f>IFERROR(VLOOKUP(ACR$1,'Renta fija USD Hiper Conservado'!$B$17:$C$25,2,FALSE),0%)</f>
        <v>0</v>
      </c>
      <c r="ACS3" s="5">
        <f>IFERROR(VLOOKUP(ACS$1,'Renta fija USD Hiper Conservado'!$B$17:$C$25,2,FALSE),0%)</f>
        <v>0</v>
      </c>
      <c r="ACT3" s="5">
        <f>IFERROR(VLOOKUP(ACT$1,'Renta fija USD Hiper Conservado'!$B$17:$C$25,2,FALSE),0%)</f>
        <v>0</v>
      </c>
      <c r="ACU3" s="5">
        <f>IFERROR(VLOOKUP(ACU$1,'Renta fija USD Hiper Conservado'!$B$17:$C$25,2,FALSE),0%)</f>
        <v>0</v>
      </c>
      <c r="ACV3" s="5">
        <f>IFERROR(VLOOKUP(ACV$1,'Renta fija USD Hiper Conservado'!$B$17:$C$25,2,FALSE),0%)</f>
        <v>0</v>
      </c>
      <c r="ACW3" s="5">
        <f>IFERROR(VLOOKUP(ACW$1,'Renta fija USD Hiper Conservado'!$B$17:$C$25,2,FALSE),0%)</f>
        <v>0</v>
      </c>
      <c r="ACX3" s="5">
        <f>IFERROR(VLOOKUP(ACX$1,'Renta fija USD Hiper Conservado'!$B$17:$C$25,2,FALSE),0%)</f>
        <v>0</v>
      </c>
      <c r="ACY3" s="5">
        <f>IFERROR(VLOOKUP(ACY$1,'Renta fija USD Hiper Conservado'!$B$17:$C$25,2,FALSE),0%)</f>
        <v>0</v>
      </c>
      <c r="ACZ3" s="5">
        <f>IFERROR(VLOOKUP(ACZ$1,'Renta fija USD Hiper Conservado'!$B$17:$C$25,2,FALSE),0%)</f>
        <v>0</v>
      </c>
      <c r="ADA3" s="5">
        <f>IFERROR(VLOOKUP(ADA$1,'Renta fija USD Hiper Conservado'!$B$17:$C$25,2,FALSE),0%)</f>
        <v>0</v>
      </c>
      <c r="ADB3" s="5">
        <f>IFERROR(VLOOKUP(ADB$1,'Renta fija USD Hiper Conservado'!$B$17:$C$25,2,FALSE),0%)</f>
        <v>0</v>
      </c>
      <c r="ADC3" s="5">
        <f>IFERROR(VLOOKUP(ADC$1,'Renta fija USD Hiper Conservado'!$B$17:$C$25,2,FALSE),0%)</f>
        <v>0</v>
      </c>
      <c r="ADD3" s="5">
        <f>IFERROR(VLOOKUP(ADD$1,'Renta fija USD Hiper Conservado'!$B$17:$C$25,2,FALSE),0%)</f>
        <v>0</v>
      </c>
      <c r="ADE3" s="5">
        <f>IFERROR(VLOOKUP(ADE$1,'Renta fija USD Hiper Conservado'!$B$17:$C$25,2,FALSE),0%)</f>
        <v>0</v>
      </c>
      <c r="ADF3" s="5">
        <f>IFERROR(VLOOKUP(ADF$1,'Renta fija USD Hiper Conservado'!$B$17:$C$25,2,FALSE),0%)</f>
        <v>0</v>
      </c>
      <c r="ADG3" s="5">
        <f>IFERROR(VLOOKUP(ADG$1,'Renta fija USD Hiper Conservado'!$B$17:$C$25,2,FALSE),0%)</f>
        <v>0</v>
      </c>
      <c r="ADH3" s="5">
        <f>IFERROR(VLOOKUP(ADH$1,'Renta fija USD Hiper Conservado'!$B$17:$C$25,2,FALSE),0%)</f>
        <v>0</v>
      </c>
      <c r="ADI3" s="5">
        <f>IFERROR(VLOOKUP(ADI$1,'Renta fija USD Hiper Conservado'!$B$17:$C$25,2,FALSE),0%)</f>
        <v>0</v>
      </c>
      <c r="ADJ3" s="5">
        <f>IFERROR(VLOOKUP(ADJ$1,'Renta fija USD Hiper Conservado'!$B$17:$C$25,2,FALSE),0%)</f>
        <v>0</v>
      </c>
      <c r="ADK3" s="5">
        <f>IFERROR(VLOOKUP(ADK$1,'Renta fija USD Hiper Conservado'!$B$17:$C$25,2,FALSE),0%)</f>
        <v>0</v>
      </c>
      <c r="ADL3" s="5">
        <f>IFERROR(VLOOKUP(ADL$1,'Renta fija USD Hiper Conservado'!$B$17:$C$25,2,FALSE),0%)</f>
        <v>0</v>
      </c>
      <c r="ADM3" s="5">
        <f>IFERROR(VLOOKUP(ADM$1,'Renta fija USD Hiper Conservado'!$B$17:$C$25,2,FALSE),0%)</f>
        <v>0</v>
      </c>
      <c r="ADN3" s="5">
        <f>IFERROR(VLOOKUP(ADN$1,'Renta fija USD Hiper Conservado'!$B$17:$C$25,2,FALSE),0%)</f>
        <v>0</v>
      </c>
      <c r="ADO3" s="5">
        <f>IFERROR(VLOOKUP(ADO$1,'Renta fija USD Hiper Conservado'!$B$17:$C$25,2,FALSE),0%)</f>
        <v>0</v>
      </c>
      <c r="ADP3" s="5">
        <f>IFERROR(VLOOKUP(ADP$1,'Renta fija USD Hiper Conservado'!$B$17:$C$25,2,FALSE),0%)</f>
        <v>0</v>
      </c>
      <c r="ADQ3" s="5">
        <f>IFERROR(VLOOKUP(ADQ$1,'Renta fija USD Hiper Conservado'!$B$17:$C$25,2,FALSE),0%)</f>
        <v>0</v>
      </c>
      <c r="ADR3" s="5">
        <f>IFERROR(VLOOKUP(ADR$1,'Renta fija USD Hiper Conservado'!$B$17:$C$25,2,FALSE),0%)</f>
        <v>0</v>
      </c>
      <c r="ADS3" s="5">
        <f>IFERROR(VLOOKUP(ADS$1,'Renta fija USD Hiper Conservado'!$B$17:$C$25,2,FALSE),0%)</f>
        <v>0</v>
      </c>
      <c r="ADT3" s="5">
        <f>IFERROR(VLOOKUP(ADT$1,'Renta fija USD Hiper Conservado'!$B$17:$C$25,2,FALSE),0%)</f>
        <v>0</v>
      </c>
      <c r="ADU3" s="5">
        <f>IFERROR(VLOOKUP(ADU$1,'Renta fija USD Hiper Conservado'!$B$17:$C$25,2,FALSE),0%)</f>
        <v>0</v>
      </c>
      <c r="ADV3" s="5">
        <f>IFERROR(VLOOKUP(ADV$1,'Renta fija USD Hiper Conservado'!$B$17:$C$25,2,FALSE),0%)</f>
        <v>0</v>
      </c>
      <c r="ADW3" s="5">
        <f>IFERROR(VLOOKUP(ADW$1,'Renta fija USD Hiper Conservado'!$B$17:$C$25,2,FALSE),0%)</f>
        <v>0</v>
      </c>
      <c r="ADX3" s="5">
        <f>IFERROR(VLOOKUP(ADX$1,'Renta fija USD Hiper Conservado'!$B$17:$C$25,2,FALSE),0%)</f>
        <v>0</v>
      </c>
      <c r="ADY3" s="5">
        <f>IFERROR(VLOOKUP(ADY$1,'Renta fija USD Hiper Conservado'!$B$17:$C$25,2,FALSE),0%)</f>
        <v>0</v>
      </c>
      <c r="ADZ3" s="5">
        <f>IFERROR(VLOOKUP(ADZ$1,'Renta fija USD Hiper Conservado'!$B$17:$C$25,2,FALSE),0%)</f>
        <v>0</v>
      </c>
      <c r="AEA3" s="5">
        <f>IFERROR(VLOOKUP(AEA$1,'Renta fija USD Hiper Conservado'!$B$17:$C$25,2,FALSE),0%)</f>
        <v>0</v>
      </c>
      <c r="AEB3" s="5">
        <f>IFERROR(VLOOKUP(AEB$1,'Renta fija USD Hiper Conservado'!$B$17:$C$25,2,FALSE),0%)</f>
        <v>0</v>
      </c>
      <c r="AEC3" s="5">
        <f>IFERROR(VLOOKUP(AEC$1,'Renta fija USD Hiper Conservado'!$B$17:$C$25,2,FALSE),0%)</f>
        <v>0</v>
      </c>
      <c r="AED3" s="5">
        <f>IFERROR(VLOOKUP(AED$1,'Renta fija USD Hiper Conservado'!$B$17:$C$25,2,FALSE),0%)</f>
        <v>0</v>
      </c>
      <c r="AEE3" s="5">
        <f>IFERROR(VLOOKUP(AEE$1,'Renta fija USD Hiper Conservado'!$B$17:$C$25,2,FALSE),0%)</f>
        <v>0</v>
      </c>
      <c r="AEF3" s="5">
        <f>IFERROR(VLOOKUP(AEF$1,'Renta fija USD Hiper Conservado'!$B$17:$C$25,2,FALSE),0%)</f>
        <v>0</v>
      </c>
      <c r="AEG3" s="5">
        <f>IFERROR(VLOOKUP(AEG$1,'Renta fija USD Hiper Conservado'!$B$17:$C$25,2,FALSE),0%)</f>
        <v>0</v>
      </c>
      <c r="AEH3" s="5">
        <f>IFERROR(VLOOKUP(AEH$1,'Renta fija USD Hiper Conservado'!$B$17:$C$25,2,FALSE),0%)</f>
        <v>0</v>
      </c>
      <c r="AEI3" s="5">
        <f>IFERROR(VLOOKUP(AEI$1,'Renta fija USD Hiper Conservado'!$B$17:$C$25,2,FALSE),0%)</f>
        <v>0</v>
      </c>
      <c r="AEJ3" s="5">
        <f>IFERROR(VLOOKUP(AEJ$1,'Renta fija USD Hiper Conservado'!$B$17:$C$25,2,FALSE),0%)</f>
        <v>0</v>
      </c>
      <c r="AEK3" s="5">
        <f>IFERROR(VLOOKUP(AEK$1,'Renta fija USD Hiper Conservado'!$B$17:$C$25,2,FALSE),0%)</f>
        <v>0</v>
      </c>
      <c r="AEL3" s="5">
        <f>IFERROR(VLOOKUP(AEL$1,'Renta fija USD Hiper Conservado'!$B$17:$C$25,2,FALSE),0%)</f>
        <v>0</v>
      </c>
      <c r="AEM3" s="5">
        <f>IFERROR(VLOOKUP(AEM$1,'Renta fija USD Hiper Conservado'!$B$17:$C$25,2,FALSE),0%)</f>
        <v>0</v>
      </c>
      <c r="AEN3" s="5">
        <f>IFERROR(VLOOKUP(AEN$1,'Renta fija USD Hiper Conservado'!$B$17:$C$25,2,FALSE),0%)</f>
        <v>0</v>
      </c>
      <c r="AEO3" s="5">
        <f>IFERROR(VLOOKUP(AEO$1,'Renta fija USD Hiper Conservado'!$B$17:$C$25,2,FALSE),0%)</f>
        <v>0</v>
      </c>
      <c r="AEP3" s="5">
        <f>IFERROR(VLOOKUP(AEP$1,'Renta fija USD Hiper Conservado'!$B$17:$C$25,2,FALSE),0%)</f>
        <v>0</v>
      </c>
      <c r="AEQ3" s="5">
        <f>IFERROR(VLOOKUP(AEQ$1,'Renta fija USD Hiper Conservado'!$B$17:$C$25,2,FALSE),0%)</f>
        <v>0</v>
      </c>
      <c r="AER3" s="5">
        <f>IFERROR(VLOOKUP(AER$1,'Renta fija USD Hiper Conservado'!$B$17:$C$25,2,FALSE),0%)</f>
        <v>0</v>
      </c>
      <c r="AES3" s="5">
        <f>IFERROR(VLOOKUP(AES$1,'Renta fija USD Hiper Conservado'!$B$17:$C$25,2,FALSE),0%)</f>
        <v>0</v>
      </c>
      <c r="AET3" s="5">
        <f>IFERROR(VLOOKUP(AET$1,'Renta fija USD Hiper Conservado'!$B$17:$C$25,2,FALSE),0%)</f>
        <v>0</v>
      </c>
      <c r="AEU3" s="5">
        <f>IFERROR(VLOOKUP(AEU$1,'Renta fija USD Hiper Conservado'!$B$17:$C$25,2,FALSE),0%)</f>
        <v>0</v>
      </c>
      <c r="AEV3" s="5">
        <f>IFERROR(VLOOKUP(AEV$1,'Renta fija USD Hiper Conservado'!$B$17:$C$25,2,FALSE),0%)</f>
        <v>0</v>
      </c>
      <c r="AEW3" s="5">
        <f>IFERROR(VLOOKUP(AEW$1,'Renta fija USD Hiper Conservado'!$B$17:$C$25,2,FALSE),0%)</f>
        <v>0</v>
      </c>
      <c r="AEX3" s="5">
        <f>IFERROR(VLOOKUP(AEX$1,'Renta fija USD Hiper Conservado'!$B$17:$C$25,2,FALSE),0%)</f>
        <v>0</v>
      </c>
      <c r="AEY3" s="5">
        <f>IFERROR(VLOOKUP(AEY$1,'Renta fija USD Hiper Conservado'!$B$17:$C$25,2,FALSE),0%)</f>
        <v>0</v>
      </c>
      <c r="AEZ3" s="5">
        <f>IFERROR(VLOOKUP(AEZ$1,'Renta fija USD Hiper Conservado'!$B$17:$C$25,2,FALSE),0%)</f>
        <v>0</v>
      </c>
      <c r="AFA3" s="5">
        <f>IFERROR(VLOOKUP(AFA$1,'Renta fija USD Hiper Conservado'!$B$17:$C$25,2,FALSE),0%)</f>
        <v>0</v>
      </c>
      <c r="AFB3" s="5">
        <f>IFERROR(VLOOKUP(AFB$1,'Renta fija USD Hiper Conservado'!$B$17:$C$25,2,FALSE),0%)</f>
        <v>0</v>
      </c>
      <c r="AFC3" s="5">
        <f>IFERROR(VLOOKUP(AFC$1,'Renta fija USD Hiper Conservado'!$B$17:$C$25,2,FALSE),0%)</f>
        <v>0</v>
      </c>
      <c r="AFD3" s="5">
        <f>IFERROR(VLOOKUP(AFD$1,'Renta fija USD Hiper Conservado'!$B$17:$C$25,2,FALSE),0%)</f>
        <v>0</v>
      </c>
      <c r="AFE3" s="5">
        <f>IFERROR(VLOOKUP(AFE$1,'Renta fija USD Hiper Conservado'!$B$17:$C$25,2,FALSE),0%)</f>
        <v>0</v>
      </c>
      <c r="AFF3" s="5">
        <f>IFERROR(VLOOKUP(AFF$1,'Renta fija USD Hiper Conservado'!$B$17:$C$25,2,FALSE),0%)</f>
        <v>0</v>
      </c>
      <c r="AFG3" s="5">
        <f>IFERROR(VLOOKUP(AFG$1,'Renta fija USD Hiper Conservado'!$B$17:$C$25,2,FALSE),0%)</f>
        <v>0</v>
      </c>
      <c r="AFH3" s="5">
        <f>IFERROR(VLOOKUP(AFH$1,'Renta fija USD Hiper Conservado'!$B$17:$C$25,2,FALSE),0%)</f>
        <v>0</v>
      </c>
      <c r="AFI3" s="5">
        <f>IFERROR(VLOOKUP(AFI$1,'Renta fija USD Hiper Conservado'!$B$17:$C$25,2,FALSE),0%)</f>
        <v>0</v>
      </c>
      <c r="AFJ3" s="5">
        <f>IFERROR(VLOOKUP(AFJ$1,'Renta fija USD Hiper Conservado'!$B$17:$C$25,2,FALSE),0%)</f>
        <v>0</v>
      </c>
      <c r="AFK3" s="5">
        <f>IFERROR(VLOOKUP(AFK$1,'Renta fija USD Hiper Conservado'!$B$17:$C$25,2,FALSE),0%)</f>
        <v>0</v>
      </c>
      <c r="AFL3" s="5">
        <f>IFERROR(VLOOKUP(AFL$1,'Renta fija USD Hiper Conservado'!$B$17:$C$25,2,FALSE),0%)</f>
        <v>0</v>
      </c>
      <c r="AFM3" s="5">
        <f>IFERROR(VLOOKUP(AFM$1,'Renta fija USD Hiper Conservado'!$B$17:$C$25,2,FALSE),0%)</f>
        <v>0</v>
      </c>
      <c r="AFN3" s="5">
        <f>IFERROR(VLOOKUP(AFN$1,'Renta fija USD Hiper Conservado'!$B$17:$C$25,2,FALSE),0%)</f>
        <v>0</v>
      </c>
      <c r="AFO3" s="5">
        <f>IFERROR(VLOOKUP(AFO$1,'Renta fija USD Hiper Conservado'!$B$17:$C$25,2,FALSE),0%)</f>
        <v>0</v>
      </c>
      <c r="AFP3" s="5">
        <f>IFERROR(VLOOKUP(AFP$1,'Renta fija USD Hiper Conservado'!$B$17:$C$25,2,FALSE),0%)</f>
        <v>0</v>
      </c>
      <c r="AFQ3" s="5">
        <f>IFERROR(VLOOKUP(AFQ$1,'Renta fija USD Hiper Conservado'!$B$17:$C$25,2,FALSE),0%)</f>
        <v>0</v>
      </c>
      <c r="AFR3" s="5">
        <f>IFERROR(VLOOKUP(AFR$1,'Renta fija USD Hiper Conservado'!$B$17:$C$25,2,FALSE),0%)</f>
        <v>0</v>
      </c>
      <c r="AFS3" s="5">
        <f>IFERROR(VLOOKUP(AFS$1,'Renta fija USD Hiper Conservado'!$B$17:$C$25,2,FALSE),0%)</f>
        <v>0</v>
      </c>
      <c r="AFT3" s="5">
        <f>IFERROR(VLOOKUP(AFT$1,'Renta fija USD Hiper Conservado'!$B$17:$C$25,2,FALSE),0%)</f>
        <v>0</v>
      </c>
      <c r="AFU3" s="5">
        <f>IFERROR(VLOOKUP(AFU$1,'Renta fija USD Hiper Conservado'!$B$17:$C$25,2,FALSE),0%)</f>
        <v>0</v>
      </c>
      <c r="AFV3" s="5">
        <f>IFERROR(VLOOKUP(AFV$1,'Renta fija USD Hiper Conservado'!$B$17:$C$25,2,FALSE),0%)</f>
        <v>0</v>
      </c>
      <c r="AFW3" s="5">
        <f>IFERROR(VLOOKUP(AFW$1,'Renta fija USD Hiper Conservado'!$B$17:$C$25,2,FALSE),0%)</f>
        <v>0</v>
      </c>
      <c r="AFX3" s="5">
        <f>IFERROR(VLOOKUP(AFX$1,'Renta fija USD Hiper Conservado'!$B$17:$C$25,2,FALSE),0%)</f>
        <v>0</v>
      </c>
      <c r="AFY3" s="5">
        <f>IFERROR(VLOOKUP(AFY$1,'Renta fija USD Hiper Conservado'!$B$17:$C$25,2,FALSE),0%)</f>
        <v>0</v>
      </c>
      <c r="AFZ3" s="5">
        <f>IFERROR(VLOOKUP(AFZ$1,'Renta fija USD Hiper Conservado'!$B$17:$C$25,2,FALSE),0%)</f>
        <v>0</v>
      </c>
      <c r="AGA3" s="5">
        <f>IFERROR(VLOOKUP(AGA$1,'Renta fija USD Hiper Conservado'!$B$17:$C$25,2,FALSE),0%)</f>
        <v>0</v>
      </c>
      <c r="AGB3" s="5">
        <f>IFERROR(VLOOKUP(AGB$1,'Renta fija USD Hiper Conservado'!$B$17:$C$25,2,FALSE),0%)</f>
        <v>0</v>
      </c>
      <c r="AGC3" s="5">
        <f>IFERROR(VLOOKUP(AGC$1,'Renta fija USD Hiper Conservado'!$B$17:$C$25,2,FALSE),0%)</f>
        <v>0</v>
      </c>
      <c r="AGD3" s="5">
        <f>IFERROR(VLOOKUP(AGD$1,'Renta fija USD Hiper Conservado'!$B$17:$C$25,2,FALSE),0%)</f>
        <v>0</v>
      </c>
      <c r="AGE3" s="5">
        <f>IFERROR(VLOOKUP(AGE$1,'Renta fija USD Hiper Conservado'!$B$17:$C$25,2,FALSE),0%)</f>
        <v>0</v>
      </c>
      <c r="AGF3" s="5">
        <f>IFERROR(VLOOKUP(AGF$1,'Renta fija USD Hiper Conservado'!$B$17:$C$25,2,FALSE),0%)</f>
        <v>0</v>
      </c>
      <c r="AGG3" s="5">
        <f>IFERROR(VLOOKUP(AGG$1,'Renta fija USD Hiper Conservado'!$B$17:$C$25,2,FALSE),0%)</f>
        <v>0</v>
      </c>
      <c r="AGH3" s="5">
        <f>IFERROR(VLOOKUP(AGH$1,'Renta fija USD Hiper Conservado'!$B$17:$C$25,2,FALSE),0%)</f>
        <v>0</v>
      </c>
      <c r="AGI3" s="5">
        <f>IFERROR(VLOOKUP(AGI$1,'Renta fija USD Hiper Conservado'!$B$17:$C$25,2,FALSE),0%)</f>
        <v>0</v>
      </c>
      <c r="AGJ3" s="5">
        <f>IFERROR(VLOOKUP(AGJ$1,'Renta fija USD Hiper Conservado'!$B$17:$C$25,2,FALSE),0%)</f>
        <v>0</v>
      </c>
      <c r="AGK3" s="5">
        <f>IFERROR(VLOOKUP(AGK$1,'Renta fija USD Hiper Conservado'!$B$17:$C$25,2,FALSE),0%)</f>
        <v>0</v>
      </c>
      <c r="AGL3" s="5">
        <f>IFERROR(VLOOKUP(AGL$1,'Renta fija USD Hiper Conservado'!$B$17:$C$25,2,FALSE),0%)</f>
        <v>0</v>
      </c>
      <c r="AGM3" s="5">
        <f>IFERROR(VLOOKUP(AGM$1,'Renta fija USD Hiper Conservado'!$B$17:$C$25,2,FALSE),0%)</f>
        <v>0</v>
      </c>
      <c r="AGN3" s="5">
        <f>IFERROR(VLOOKUP(AGN$1,'Renta fija USD Hiper Conservado'!$B$17:$C$25,2,FALSE),0%)</f>
        <v>0</v>
      </c>
      <c r="AGO3" s="5">
        <f>IFERROR(VLOOKUP(AGO$1,'Renta fija USD Hiper Conservado'!$B$17:$C$25,2,FALSE),0%)</f>
        <v>0</v>
      </c>
      <c r="AGP3" s="5">
        <f>IFERROR(VLOOKUP(AGP$1,'Renta fija USD Hiper Conservado'!$B$17:$C$25,2,FALSE),0%)</f>
        <v>0</v>
      </c>
      <c r="AGQ3" s="5">
        <f>IFERROR(VLOOKUP(AGQ$1,'Renta fija USD Hiper Conservado'!$B$17:$C$25,2,FALSE),0%)</f>
        <v>0</v>
      </c>
      <c r="AGR3" s="5">
        <f>IFERROR(VLOOKUP(AGR$1,'Renta fija USD Hiper Conservado'!$B$17:$C$25,2,FALSE),0%)</f>
        <v>0</v>
      </c>
      <c r="AGS3" s="5">
        <f>IFERROR(VLOOKUP(AGS$1,'Renta fija USD Hiper Conservado'!$B$17:$C$25,2,FALSE),0%)</f>
        <v>0</v>
      </c>
      <c r="AGT3" s="5">
        <f>IFERROR(VLOOKUP(AGT$1,'Renta fija USD Hiper Conservado'!$B$17:$C$25,2,FALSE),0%)</f>
        <v>0</v>
      </c>
      <c r="AGU3" s="5">
        <f>IFERROR(VLOOKUP(AGU$1,'Renta fija USD Hiper Conservado'!$B$17:$C$25,2,FALSE),0%)</f>
        <v>0</v>
      </c>
      <c r="AGV3" s="5">
        <f>IFERROR(VLOOKUP(AGV$1,'Renta fija USD Hiper Conservado'!$B$17:$C$25,2,FALSE),0%)</f>
        <v>0</v>
      </c>
      <c r="AGW3" s="5">
        <f>IFERROR(VLOOKUP(AGW$1,'Renta fija USD Hiper Conservado'!$B$17:$C$25,2,FALSE),0%)</f>
        <v>0</v>
      </c>
      <c r="AGX3" s="5">
        <f>IFERROR(VLOOKUP(AGX$1,'Renta fija USD Hiper Conservado'!$B$17:$C$25,2,FALSE),0%)</f>
        <v>0</v>
      </c>
      <c r="AGY3" s="5">
        <f>IFERROR(VLOOKUP(AGY$1,'Renta fija USD Hiper Conservado'!$B$17:$C$25,2,FALSE),0%)</f>
        <v>0</v>
      </c>
      <c r="AGZ3" s="5">
        <f>IFERROR(VLOOKUP(AGZ$1,'Renta fija USD Hiper Conservado'!$B$17:$C$25,2,FALSE),0%)</f>
        <v>0</v>
      </c>
      <c r="AHA3" s="5">
        <f>IFERROR(VLOOKUP(AHA$1,'Renta fija USD Hiper Conservado'!$B$17:$C$25,2,FALSE),0%)</f>
        <v>0</v>
      </c>
      <c r="AHB3" s="5">
        <f>IFERROR(VLOOKUP(AHB$1,'Renta fija USD Hiper Conservado'!$B$17:$C$25,2,FALSE),0%)</f>
        <v>0</v>
      </c>
      <c r="AHC3" s="5">
        <f>IFERROR(VLOOKUP(AHC$1,'Renta fija USD Hiper Conservado'!$B$17:$C$25,2,FALSE),0%)</f>
        <v>0</v>
      </c>
      <c r="AHD3" s="5">
        <f>IFERROR(VLOOKUP(AHD$1,'Renta fija USD Hiper Conservado'!$B$17:$C$25,2,FALSE),0%)</f>
        <v>0</v>
      </c>
      <c r="AHE3" s="5">
        <f>IFERROR(VLOOKUP(AHE$1,'Renta fija USD Hiper Conservado'!$B$17:$C$25,2,FALSE),0%)</f>
        <v>0</v>
      </c>
      <c r="AHF3" s="5">
        <f>IFERROR(VLOOKUP(AHF$1,'Renta fija USD Hiper Conservado'!$B$17:$C$25,2,FALSE),0%)</f>
        <v>0</v>
      </c>
      <c r="AHG3" s="5">
        <f>IFERROR(VLOOKUP(AHG$1,'Renta fija USD Hiper Conservado'!$B$17:$C$25,2,FALSE),0%)</f>
        <v>0</v>
      </c>
      <c r="AHH3" s="5">
        <f>IFERROR(VLOOKUP(AHH$1,'Renta fija USD Hiper Conservado'!$B$17:$C$25,2,FALSE),0%)</f>
        <v>0</v>
      </c>
      <c r="AHI3" s="5">
        <f>IFERROR(VLOOKUP(AHI$1,'Renta fija USD Hiper Conservado'!$B$17:$C$25,2,FALSE),0%)</f>
        <v>0</v>
      </c>
      <c r="AHJ3" s="5">
        <f>IFERROR(VLOOKUP(AHJ$1,'Renta fija USD Hiper Conservado'!$B$17:$C$25,2,FALSE),0%)</f>
        <v>0</v>
      </c>
      <c r="AHK3" s="5">
        <f>IFERROR(VLOOKUP(AHK$1,'Renta fija USD Hiper Conservado'!$B$17:$C$25,2,FALSE),0%)</f>
        <v>0</v>
      </c>
      <c r="AHL3" s="5">
        <f>IFERROR(VLOOKUP(AHL$1,'Renta fija USD Hiper Conservado'!$B$17:$C$25,2,FALSE),0%)</f>
        <v>0</v>
      </c>
      <c r="AHM3" s="5">
        <f>IFERROR(VLOOKUP(AHM$1,'Renta fija USD Hiper Conservado'!$B$17:$C$25,2,FALSE),0%)</f>
        <v>0</v>
      </c>
      <c r="AHN3" s="5">
        <f>IFERROR(VLOOKUP(AHN$1,'Renta fija USD Hiper Conservado'!$B$17:$C$25,2,FALSE),0%)</f>
        <v>0</v>
      </c>
      <c r="AHO3" s="5">
        <f>IFERROR(VLOOKUP(AHO$1,'Renta fija USD Hiper Conservado'!$B$17:$C$25,2,FALSE),0%)</f>
        <v>0</v>
      </c>
      <c r="AHP3" s="5">
        <f>IFERROR(VLOOKUP(AHP$1,'Renta fija USD Hiper Conservado'!$B$17:$C$25,2,FALSE),0%)</f>
        <v>0</v>
      </c>
      <c r="AHQ3" s="5">
        <f>IFERROR(VLOOKUP(AHQ$1,'Renta fija USD Hiper Conservado'!$B$17:$C$25,2,FALSE),0%)</f>
        <v>0</v>
      </c>
      <c r="AHR3" s="5">
        <f>IFERROR(VLOOKUP(AHR$1,'Renta fija USD Hiper Conservado'!$B$17:$C$25,2,FALSE),0%)</f>
        <v>0</v>
      </c>
      <c r="AHS3" s="5">
        <f>IFERROR(VLOOKUP(AHS$1,'Renta fija USD Hiper Conservado'!$B$17:$C$25,2,FALSE),0%)</f>
        <v>0</v>
      </c>
      <c r="AHT3" s="5">
        <f>IFERROR(VLOOKUP(AHT$1,'Renta fija USD Hiper Conservado'!$B$17:$C$25,2,FALSE),0%)</f>
        <v>0</v>
      </c>
      <c r="AHU3" s="5">
        <f>IFERROR(VLOOKUP(AHU$1,'Renta fija USD Hiper Conservado'!$B$17:$C$25,2,FALSE),0%)</f>
        <v>0</v>
      </c>
      <c r="AHV3" s="5">
        <f>IFERROR(VLOOKUP(AHV$1,'Renta fija USD Hiper Conservado'!$B$17:$C$25,2,FALSE),0%)</f>
        <v>0</v>
      </c>
      <c r="AHW3" s="5">
        <f>IFERROR(VLOOKUP(AHW$1,'Renta fija USD Hiper Conservado'!$B$17:$C$25,2,FALSE),0%)</f>
        <v>0</v>
      </c>
      <c r="AHX3" s="5">
        <f>IFERROR(VLOOKUP(AHX$1,'Renta fija USD Hiper Conservado'!$B$17:$C$25,2,FALSE),0%)</f>
        <v>0</v>
      </c>
      <c r="AHY3" s="5">
        <f>IFERROR(VLOOKUP(AHY$1,'Renta fija USD Hiper Conservado'!$B$17:$C$25,2,FALSE),0%)</f>
        <v>0</v>
      </c>
      <c r="AHZ3" s="5">
        <f>IFERROR(VLOOKUP(AHZ$1,'Renta fija USD Hiper Conservado'!$B$17:$C$25,2,FALSE),0%)</f>
        <v>0</v>
      </c>
      <c r="AIA3" s="5">
        <f>IFERROR(VLOOKUP(AIA$1,'Renta fija USD Hiper Conservado'!$B$17:$C$25,2,FALSE),0%)</f>
        <v>0</v>
      </c>
      <c r="AIB3" s="5">
        <f>IFERROR(VLOOKUP(AIB$1,'Renta fija USD Hiper Conservado'!$B$17:$C$25,2,FALSE),0%)</f>
        <v>0</v>
      </c>
      <c r="AIC3" s="5">
        <f>IFERROR(VLOOKUP(AIC$1,'Renta fija USD Hiper Conservado'!$B$17:$C$25,2,FALSE),0%)</f>
        <v>0</v>
      </c>
      <c r="AID3" s="5">
        <f>IFERROR(VLOOKUP(AID$1,'Renta fija USD Hiper Conservado'!$B$17:$C$25,2,FALSE),0%)</f>
        <v>0</v>
      </c>
      <c r="AIE3" s="5">
        <f>IFERROR(VLOOKUP(AIE$1,'Renta fija USD Hiper Conservado'!$B$17:$C$25,2,FALSE),0%)</f>
        <v>0</v>
      </c>
      <c r="AIF3" s="5">
        <f>IFERROR(VLOOKUP(AIF$1,'Renta fija USD Hiper Conservado'!$B$17:$C$25,2,FALSE),0%)</f>
        <v>0</v>
      </c>
      <c r="AIG3" s="5">
        <f>IFERROR(VLOOKUP(AIG$1,'Renta fija USD Hiper Conservado'!$B$17:$C$25,2,FALSE),0%)</f>
        <v>0</v>
      </c>
      <c r="AIH3" s="5">
        <f>IFERROR(VLOOKUP(AIH$1,'Renta fija USD Hiper Conservado'!$B$17:$C$25,2,FALSE),0%)</f>
        <v>0</v>
      </c>
      <c r="AII3" s="5">
        <f>IFERROR(VLOOKUP(AII$1,'Renta fija USD Hiper Conservado'!$B$17:$C$25,2,FALSE),0%)</f>
        <v>0</v>
      </c>
      <c r="AIJ3" s="5">
        <f>IFERROR(VLOOKUP(AIJ$1,'Renta fija USD Hiper Conservado'!$B$17:$C$25,2,FALSE),0%)</f>
        <v>0</v>
      </c>
      <c r="AIK3" s="5">
        <f>IFERROR(VLOOKUP(AIK$1,'Renta fija USD Hiper Conservado'!$B$17:$C$25,2,FALSE),0%)</f>
        <v>0</v>
      </c>
      <c r="AIL3" s="5">
        <f>IFERROR(VLOOKUP(AIL$1,'Renta fija USD Hiper Conservado'!$B$17:$C$25,2,FALSE),0%)</f>
        <v>0</v>
      </c>
      <c r="AIM3" s="5">
        <f>IFERROR(VLOOKUP(AIM$1,'Renta fija USD Hiper Conservado'!$B$17:$C$25,2,FALSE),0%)</f>
        <v>0</v>
      </c>
      <c r="AIN3" s="5">
        <f>IFERROR(VLOOKUP(AIN$1,'Renta fija USD Hiper Conservado'!$B$17:$C$25,2,FALSE),0%)</f>
        <v>0</v>
      </c>
      <c r="AIO3" s="5">
        <f>IFERROR(VLOOKUP(AIO$1,'Renta fija USD Hiper Conservado'!$B$17:$C$25,2,FALSE),0%)</f>
        <v>0</v>
      </c>
      <c r="AIP3" s="5">
        <f>IFERROR(VLOOKUP(AIP$1,'Renta fija USD Hiper Conservado'!$B$17:$C$25,2,FALSE),0%)</f>
        <v>0</v>
      </c>
      <c r="AIQ3" s="5">
        <f>IFERROR(VLOOKUP(AIQ$1,'Renta fija USD Hiper Conservado'!$B$17:$C$25,2,FALSE),0%)</f>
        <v>0</v>
      </c>
      <c r="AIR3" s="5">
        <f>IFERROR(VLOOKUP(AIR$1,'Renta fija USD Hiper Conservado'!$B$17:$C$25,2,FALSE),0%)</f>
        <v>0</v>
      </c>
      <c r="AIS3" s="5">
        <f>IFERROR(VLOOKUP(AIS$1,'Renta fija USD Hiper Conservado'!$B$17:$C$25,2,FALSE),0%)</f>
        <v>0</v>
      </c>
      <c r="AIT3" s="5">
        <f>IFERROR(VLOOKUP(AIT$1,'Renta fija USD Hiper Conservado'!$B$17:$C$25,2,FALSE),0%)</f>
        <v>0</v>
      </c>
      <c r="AIU3" s="5">
        <f>IFERROR(VLOOKUP(AIU$1,'Renta fija USD Hiper Conservado'!$B$17:$C$25,2,FALSE),0%)</f>
        <v>0</v>
      </c>
      <c r="AIV3" s="5">
        <f>IFERROR(VLOOKUP(AIV$1,'Renta fija USD Hiper Conservado'!$B$17:$C$25,2,FALSE),0%)</f>
        <v>0</v>
      </c>
      <c r="AIW3" s="5">
        <f>IFERROR(VLOOKUP(AIW$1,'Renta fija USD Hiper Conservado'!$B$17:$C$25,2,FALSE),0%)</f>
        <v>0</v>
      </c>
      <c r="AIX3" s="5">
        <f>IFERROR(VLOOKUP(AIX$1,'Renta fija USD Hiper Conservado'!$B$17:$C$25,2,FALSE),0%)</f>
        <v>0</v>
      </c>
      <c r="AIY3" s="5">
        <f>IFERROR(VLOOKUP(AIY$1,'Renta fija USD Hiper Conservado'!$B$17:$C$25,2,FALSE),0%)</f>
        <v>0</v>
      </c>
      <c r="AIZ3" s="5">
        <f>IFERROR(VLOOKUP(AIZ$1,'Renta fija USD Hiper Conservado'!$B$17:$C$25,2,FALSE),0%)</f>
        <v>0</v>
      </c>
      <c r="AJA3" s="5">
        <f>IFERROR(VLOOKUP(AJA$1,'Renta fija USD Hiper Conservado'!$B$17:$C$25,2,FALSE),0%)</f>
        <v>0</v>
      </c>
      <c r="AJB3" s="5">
        <f>IFERROR(VLOOKUP(AJB$1,'Renta fija USD Hiper Conservado'!$B$17:$C$25,2,FALSE),0%)</f>
        <v>0</v>
      </c>
      <c r="AJC3" s="5">
        <f>IFERROR(VLOOKUP(AJC$1,'Renta fija USD Hiper Conservado'!$B$17:$C$25,2,FALSE),0%)</f>
        <v>0</v>
      </c>
      <c r="AJD3" s="5">
        <f>IFERROR(VLOOKUP(AJD$1,'Renta fija USD Hiper Conservado'!$B$17:$C$25,2,FALSE),0%)</f>
        <v>0</v>
      </c>
      <c r="AJE3" s="5">
        <f>IFERROR(VLOOKUP(AJE$1,'Renta fija USD Hiper Conservado'!$B$17:$C$25,2,FALSE),0%)</f>
        <v>0</v>
      </c>
      <c r="AJF3" s="5">
        <f>IFERROR(VLOOKUP(AJF$1,'Renta fija USD Hiper Conservado'!$B$17:$C$25,2,FALSE),0%)</f>
        <v>0</v>
      </c>
      <c r="AJG3" s="5">
        <f>IFERROR(VLOOKUP(AJG$1,'Renta fija USD Hiper Conservado'!$B$17:$C$25,2,FALSE),0%)</f>
        <v>0</v>
      </c>
      <c r="AJH3" s="5">
        <f>IFERROR(VLOOKUP(AJH$1,'Renta fija USD Hiper Conservado'!$B$17:$C$25,2,FALSE),0%)</f>
        <v>0</v>
      </c>
      <c r="AJI3" s="5">
        <f>IFERROR(VLOOKUP(AJI$1,'Renta fija USD Hiper Conservado'!$B$17:$C$25,2,FALSE),0%)</f>
        <v>0</v>
      </c>
      <c r="AJJ3" s="5">
        <f>IFERROR(VLOOKUP(AJJ$1,'Renta fija USD Hiper Conservado'!$B$17:$C$25,2,FALSE),0%)</f>
        <v>0</v>
      </c>
      <c r="AJK3" s="5">
        <f>IFERROR(VLOOKUP(AJK$1,'Renta fija USD Hiper Conservado'!$B$17:$C$25,2,FALSE),0%)</f>
        <v>0</v>
      </c>
      <c r="AJL3" s="5">
        <f>IFERROR(VLOOKUP(AJL$1,'Renta fija USD Hiper Conservado'!$B$17:$C$25,2,FALSE),0%)</f>
        <v>0</v>
      </c>
      <c r="AJM3" s="5">
        <f>IFERROR(VLOOKUP(AJM$1,'Renta fija USD Hiper Conservado'!$B$17:$C$25,2,FALSE),0%)</f>
        <v>0</v>
      </c>
      <c r="AJN3" s="5">
        <f>IFERROR(VLOOKUP(AJN$1,'Renta fija USD Hiper Conservado'!$B$17:$C$25,2,FALSE),0%)</f>
        <v>0</v>
      </c>
      <c r="AJO3" s="5">
        <f>IFERROR(VLOOKUP(AJO$1,'Renta fija USD Hiper Conservado'!$B$17:$C$25,2,FALSE),0%)</f>
        <v>0</v>
      </c>
      <c r="AJP3" s="5">
        <f>IFERROR(VLOOKUP(AJP$1,'Renta fija USD Hiper Conservado'!$B$17:$C$25,2,FALSE),0%)</f>
        <v>0</v>
      </c>
      <c r="AJQ3" s="5">
        <f>IFERROR(VLOOKUP(AJQ$1,'Renta fija USD Hiper Conservado'!$B$17:$C$25,2,FALSE),0%)</f>
        <v>0</v>
      </c>
      <c r="AJR3" s="5">
        <f>IFERROR(VLOOKUP(AJR$1,'Renta fija USD Hiper Conservado'!$B$17:$C$25,2,FALSE),0%)</f>
        <v>0</v>
      </c>
      <c r="AJS3" s="5">
        <f>IFERROR(VLOOKUP(AJS$1,'Renta fija USD Hiper Conservado'!$B$17:$C$25,2,FALSE),0%)</f>
        <v>0</v>
      </c>
      <c r="AJT3" s="5">
        <f>IFERROR(VLOOKUP(AJT$1,'Renta fija USD Hiper Conservado'!$B$17:$C$25,2,FALSE),0%)</f>
        <v>0</v>
      </c>
      <c r="AJU3" s="5">
        <f>IFERROR(VLOOKUP(AJU$1,'Renta fija USD Hiper Conservado'!$B$17:$C$25,2,FALSE),0%)</f>
        <v>0</v>
      </c>
      <c r="AJV3" s="5">
        <f>IFERROR(VLOOKUP(AJV$1,'Renta fija USD Hiper Conservado'!$B$17:$C$25,2,FALSE),0%)</f>
        <v>0</v>
      </c>
      <c r="AJW3" s="5">
        <f>IFERROR(VLOOKUP(AJW$1,'Renta fija USD Hiper Conservado'!$B$17:$C$25,2,FALSE),0%)</f>
        <v>0</v>
      </c>
      <c r="AJX3" s="5">
        <f>IFERROR(VLOOKUP(AJX$1,'Renta fija USD Hiper Conservado'!$B$17:$C$25,2,FALSE),0%)</f>
        <v>0</v>
      </c>
      <c r="AJY3" s="5">
        <f>IFERROR(VLOOKUP(AJY$1,'Renta fija USD Hiper Conservado'!$B$17:$C$25,2,FALSE),0%)</f>
        <v>0</v>
      </c>
      <c r="AJZ3" s="5">
        <f>IFERROR(VLOOKUP(AJZ$1,'Renta fija USD Hiper Conservado'!$B$17:$C$25,2,FALSE),0%)</f>
        <v>0</v>
      </c>
      <c r="AKA3" s="5">
        <f>IFERROR(VLOOKUP(AKA$1,'Renta fija USD Hiper Conservado'!$B$17:$C$25,2,FALSE),0%)</f>
        <v>0</v>
      </c>
      <c r="AKB3" s="5">
        <f>IFERROR(VLOOKUP(AKB$1,'Renta fija USD Hiper Conservado'!$B$17:$C$25,2,FALSE),0%)</f>
        <v>0</v>
      </c>
      <c r="AKC3" s="5">
        <f>IFERROR(VLOOKUP(AKC$1,'Renta fija USD Hiper Conservado'!$B$17:$C$25,2,FALSE),0%)</f>
        <v>0</v>
      </c>
      <c r="AKD3" s="5">
        <f>IFERROR(VLOOKUP(AKD$1,'Renta fija USD Hiper Conservado'!$B$17:$C$25,2,FALSE),0%)</f>
        <v>0</v>
      </c>
      <c r="AKE3" s="5">
        <f>IFERROR(VLOOKUP(AKE$1,'Renta fija USD Hiper Conservado'!$B$17:$C$25,2,FALSE),0%)</f>
        <v>0</v>
      </c>
      <c r="AKF3" s="5">
        <f>IFERROR(VLOOKUP(AKF$1,'Renta fija USD Hiper Conservado'!$B$17:$C$25,2,FALSE),0%)</f>
        <v>0</v>
      </c>
      <c r="AKG3" s="5">
        <f>IFERROR(VLOOKUP(AKG$1,'Renta fija USD Hiper Conservado'!$B$17:$C$25,2,FALSE),0%)</f>
        <v>0</v>
      </c>
      <c r="AKH3" s="5">
        <f>IFERROR(VLOOKUP(AKH$1,'Renta fija USD Hiper Conservado'!$B$17:$C$25,2,FALSE),0%)</f>
        <v>0</v>
      </c>
      <c r="AKI3" s="5">
        <f>IFERROR(VLOOKUP(AKI$1,'Renta fija USD Hiper Conservado'!$B$17:$C$25,2,FALSE),0%)</f>
        <v>0</v>
      </c>
      <c r="AKJ3" s="5">
        <f>IFERROR(VLOOKUP(AKJ$1,'Renta fija USD Hiper Conservado'!$B$17:$C$25,2,FALSE),0%)</f>
        <v>0</v>
      </c>
      <c r="AKK3" s="5">
        <f>IFERROR(VLOOKUP(AKK$1,'Renta fija USD Hiper Conservado'!$B$17:$C$25,2,FALSE),0%)</f>
        <v>0</v>
      </c>
      <c r="AKL3" s="5">
        <f>IFERROR(VLOOKUP(AKL$1,'Renta fija USD Hiper Conservado'!$B$17:$C$25,2,FALSE),0%)</f>
        <v>0</v>
      </c>
      <c r="AKM3" s="5">
        <f>IFERROR(VLOOKUP(AKM$1,'Renta fija USD Hiper Conservado'!$B$17:$C$25,2,FALSE),0%)</f>
        <v>0</v>
      </c>
      <c r="AKN3" s="5">
        <f>IFERROR(VLOOKUP(AKN$1,'Renta fija USD Hiper Conservado'!$B$17:$C$25,2,FALSE),0%)</f>
        <v>0</v>
      </c>
      <c r="AKO3" s="5">
        <f>IFERROR(VLOOKUP(AKO$1,'Renta fija USD Hiper Conservado'!$B$17:$C$25,2,FALSE),0%)</f>
        <v>0</v>
      </c>
      <c r="AKP3" s="5">
        <f>IFERROR(VLOOKUP(AKP$1,'Renta fija USD Hiper Conservado'!$B$17:$C$25,2,FALSE),0%)</f>
        <v>0</v>
      </c>
      <c r="AKQ3" s="5">
        <f>IFERROR(VLOOKUP(AKQ$1,'Renta fija USD Hiper Conservado'!$B$17:$C$25,2,FALSE),0%)</f>
        <v>0</v>
      </c>
      <c r="AKR3" s="5">
        <f>IFERROR(VLOOKUP(AKR$1,'Renta fija USD Hiper Conservado'!$B$17:$C$25,2,FALSE),0%)</f>
        <v>0</v>
      </c>
      <c r="AKS3" s="5">
        <f>IFERROR(VLOOKUP(AKS$1,'Renta fija USD Hiper Conservado'!$B$17:$C$25,2,FALSE),0%)</f>
        <v>0</v>
      </c>
      <c r="AKT3" s="5">
        <f>IFERROR(VLOOKUP(AKT$1,'Renta fija USD Hiper Conservado'!$B$17:$C$25,2,FALSE),0%)</f>
        <v>0</v>
      </c>
      <c r="AKU3" s="5">
        <f>IFERROR(VLOOKUP(AKU$1,'Renta fija USD Hiper Conservado'!$B$17:$C$25,2,FALSE),0%)</f>
        <v>0</v>
      </c>
      <c r="AKV3" s="5">
        <f>IFERROR(VLOOKUP(AKV$1,'Renta fija USD Hiper Conservado'!$B$17:$C$25,2,FALSE),0%)</f>
        <v>0</v>
      </c>
      <c r="AKW3" s="5">
        <f>IFERROR(VLOOKUP(AKW$1,'Renta fija USD Hiper Conservado'!$B$17:$C$25,2,FALSE),0%)</f>
        <v>0</v>
      </c>
      <c r="AKX3" s="5">
        <f>IFERROR(VLOOKUP(AKX$1,'Renta fija USD Hiper Conservado'!$B$17:$C$25,2,FALSE),0%)</f>
        <v>0</v>
      </c>
      <c r="AKY3" s="5">
        <f>IFERROR(VLOOKUP(AKY$1,'Renta fija USD Hiper Conservado'!$B$17:$C$25,2,FALSE),0%)</f>
        <v>0</v>
      </c>
      <c r="AKZ3" s="5">
        <f>IFERROR(VLOOKUP(AKZ$1,'Renta fija USD Hiper Conservado'!$B$17:$C$25,2,FALSE),0%)</f>
        <v>0</v>
      </c>
      <c r="ALA3" s="5">
        <f>IFERROR(VLOOKUP(ALA$1,'Renta fija USD Hiper Conservado'!$B$17:$C$25,2,FALSE),0%)</f>
        <v>0</v>
      </c>
      <c r="ALB3" s="5">
        <f>IFERROR(VLOOKUP(ALB$1,'Renta fija USD Hiper Conservado'!$B$17:$C$25,2,FALSE),0%)</f>
        <v>0</v>
      </c>
      <c r="ALC3" s="5">
        <f>IFERROR(VLOOKUP(ALC$1,'Renta fija USD Hiper Conservado'!$B$17:$C$25,2,FALSE),0%)</f>
        <v>0</v>
      </c>
      <c r="ALD3" s="5">
        <f>IFERROR(VLOOKUP(ALD$1,'Renta fija USD Hiper Conservado'!$B$17:$C$25,2,FALSE),0%)</f>
        <v>0</v>
      </c>
      <c r="ALE3" s="5">
        <f>IFERROR(VLOOKUP(ALE$1,'Renta fija USD Hiper Conservado'!$B$17:$C$25,2,FALSE),0%)</f>
        <v>0</v>
      </c>
      <c r="ALF3" s="5">
        <f>IFERROR(VLOOKUP(ALF$1,'Renta fija USD Hiper Conservado'!$B$17:$C$25,2,FALSE),0%)</f>
        <v>0</v>
      </c>
      <c r="ALG3" s="5">
        <f>IFERROR(VLOOKUP(ALG$1,'Renta fija USD Hiper Conservado'!$B$17:$C$25,2,FALSE),0%)</f>
        <v>0</v>
      </c>
      <c r="ALH3" s="5">
        <f>IFERROR(VLOOKUP(ALH$1,'Renta fija USD Hiper Conservado'!$B$17:$C$25,2,FALSE),0%)</f>
        <v>0</v>
      </c>
      <c r="ALI3" s="5">
        <f>IFERROR(VLOOKUP(ALI$1,'Renta fija USD Hiper Conservado'!$B$17:$C$25,2,FALSE),0%)</f>
        <v>0</v>
      </c>
      <c r="ALJ3" s="5">
        <f>IFERROR(VLOOKUP(ALJ$1,'Renta fija USD Hiper Conservado'!$B$17:$C$25,2,FALSE),0%)</f>
        <v>0</v>
      </c>
      <c r="ALK3" s="5">
        <f>IFERROR(VLOOKUP(ALK$1,'Renta fija USD Hiper Conservado'!$B$17:$C$25,2,FALSE),0%)</f>
        <v>0</v>
      </c>
      <c r="ALL3" s="5">
        <f>IFERROR(VLOOKUP(ALL$1,'Renta fija USD Hiper Conservado'!$B$17:$C$25,2,FALSE),0%)</f>
        <v>0</v>
      </c>
      <c r="ALM3" s="5">
        <f>IFERROR(VLOOKUP(ALM$1,'Renta fija USD Hiper Conservado'!$B$17:$C$25,2,FALSE),0%)</f>
        <v>0</v>
      </c>
      <c r="ALN3" s="5">
        <f>IFERROR(VLOOKUP(ALN$1,'Renta fija USD Hiper Conservado'!$B$17:$C$25,2,FALSE),0%)</f>
        <v>0</v>
      </c>
      <c r="ALO3" s="5">
        <f>IFERROR(VLOOKUP(ALO$1,'Renta fija USD Hiper Conservado'!$B$17:$C$25,2,FALSE),0%)</f>
        <v>0</v>
      </c>
      <c r="ALP3" s="5">
        <f>IFERROR(VLOOKUP(ALP$1,'Renta fija USD Hiper Conservado'!$B$17:$C$25,2,FALSE),0%)</f>
        <v>0</v>
      </c>
      <c r="ALQ3" s="5">
        <f>IFERROR(VLOOKUP(ALQ$1,'Renta fija USD Hiper Conservado'!$B$17:$C$25,2,FALSE),0%)</f>
        <v>0</v>
      </c>
      <c r="ALR3" s="5">
        <f>IFERROR(VLOOKUP(ALR$1,'Renta fija USD Hiper Conservado'!$B$17:$C$25,2,FALSE),0%)</f>
        <v>0</v>
      </c>
      <c r="ALS3" s="5">
        <f>IFERROR(VLOOKUP(ALS$1,'Renta fija USD Hiper Conservado'!$B$17:$C$25,2,FALSE),0%)</f>
        <v>0</v>
      </c>
      <c r="ALT3" s="5">
        <f>IFERROR(VLOOKUP(ALT$1,'Renta fija USD Hiper Conservado'!$B$17:$C$25,2,FALSE),0%)</f>
        <v>0</v>
      </c>
      <c r="ALU3" s="5">
        <f>IFERROR(VLOOKUP(ALU$1,'Renta fija USD Hiper Conservado'!$B$17:$C$25,2,FALSE),0%)</f>
        <v>0</v>
      </c>
      <c r="ALV3" s="5">
        <f>IFERROR(VLOOKUP(ALV$1,'Renta fija USD Hiper Conservado'!$B$17:$C$25,2,FALSE),0%)</f>
        <v>0</v>
      </c>
      <c r="ALW3" s="5">
        <f>IFERROR(VLOOKUP(ALW$1,'Renta fija USD Hiper Conservado'!$B$17:$C$25,2,FALSE),0%)</f>
        <v>0</v>
      </c>
      <c r="ALX3" s="5">
        <f>IFERROR(VLOOKUP(ALX$1,'Renta fija USD Hiper Conservado'!$B$17:$C$25,2,FALSE),0%)</f>
        <v>0</v>
      </c>
      <c r="ALY3" s="5">
        <f>IFERROR(VLOOKUP(ALY$1,'Renta fija USD Hiper Conservado'!$B$17:$C$25,2,FALSE),0%)</f>
        <v>0</v>
      </c>
      <c r="ALZ3" s="5">
        <f>IFERROR(VLOOKUP(ALZ$1,'Renta fija USD Hiper Conservado'!$B$17:$C$25,2,FALSE),0%)</f>
        <v>0</v>
      </c>
      <c r="AMA3" s="5">
        <f>IFERROR(VLOOKUP(AMA$1,'Renta fija USD Hiper Conservado'!$B$17:$C$25,2,FALSE),0%)</f>
        <v>0</v>
      </c>
      <c r="AMB3" s="5">
        <f>IFERROR(VLOOKUP(AMB$1,'Renta fija USD Hiper Conservado'!$B$17:$C$25,2,FALSE),0%)</f>
        <v>0</v>
      </c>
      <c r="AMC3" s="5">
        <f>IFERROR(VLOOKUP(AMC$1,'Renta fija USD Hiper Conservado'!$B$17:$C$25,2,FALSE),0%)</f>
        <v>0</v>
      </c>
      <c r="AMD3" s="5">
        <f>IFERROR(VLOOKUP(AMD$1,'Renta fija USD Hiper Conservado'!$B$17:$C$25,2,FALSE),0%)</f>
        <v>0</v>
      </c>
      <c r="AME3" s="5">
        <f>IFERROR(VLOOKUP(AME$1,'Renta fija USD Hiper Conservado'!$B$17:$C$25,2,FALSE),0%)</f>
        <v>0</v>
      </c>
      <c r="AMF3" s="5">
        <f>IFERROR(VLOOKUP(AMF$1,'Renta fija USD Hiper Conservado'!$B$17:$C$25,2,FALSE),0%)</f>
        <v>0</v>
      </c>
      <c r="AMG3" s="5">
        <f>IFERROR(VLOOKUP(AMG$1,'Renta fija USD Hiper Conservado'!$B$17:$C$25,2,FALSE),0%)</f>
        <v>0</v>
      </c>
      <c r="AMH3" s="5">
        <f>IFERROR(VLOOKUP(AMH$1,'Renta fija USD Hiper Conservado'!$B$17:$C$25,2,FALSE),0%)</f>
        <v>0</v>
      </c>
      <c r="AMI3" s="5">
        <f>IFERROR(VLOOKUP(AMI$1,'Renta fija USD Hiper Conservado'!$B$17:$C$25,2,FALSE),0%)</f>
        <v>0</v>
      </c>
      <c r="AMJ3" s="5">
        <f>IFERROR(VLOOKUP(AMJ$1,'Renta fija USD Hiper Conservado'!$B$17:$C$25,2,FALSE),0%)</f>
        <v>0</v>
      </c>
      <c r="AMK3" s="5">
        <f>IFERROR(VLOOKUP(AMK$1,'Renta fija USD Hiper Conservado'!$B$17:$C$25,2,FALSE),0%)</f>
        <v>0</v>
      </c>
      <c r="AML3" s="5">
        <f>IFERROR(VLOOKUP(AML$1,'Renta fija USD Hiper Conservado'!$B$17:$C$25,2,FALSE),0%)</f>
        <v>0</v>
      </c>
      <c r="AMM3" s="5">
        <f>IFERROR(VLOOKUP(AMM$1,'Renta fija USD Hiper Conservado'!$B$17:$C$25,2,FALSE),0%)</f>
        <v>0</v>
      </c>
      <c r="AMN3" s="5">
        <f>IFERROR(VLOOKUP(AMN$1,'Renta fija USD Hiper Conservado'!$B$17:$C$25,2,FALSE),0%)</f>
        <v>0</v>
      </c>
      <c r="AMO3" s="5">
        <f>IFERROR(VLOOKUP(AMO$1,'Renta fija USD Hiper Conservado'!$B$17:$C$25,2,FALSE),0%)</f>
        <v>0</v>
      </c>
      <c r="AMP3" s="5">
        <f>IFERROR(VLOOKUP(AMP$1,'Renta fija USD Hiper Conservado'!$B$17:$C$25,2,FALSE),0%)</f>
        <v>0</v>
      </c>
      <c r="AMQ3" s="5">
        <f>IFERROR(VLOOKUP(AMQ$1,'Renta fija USD Hiper Conservado'!$B$17:$C$25,2,FALSE),0%)</f>
        <v>0</v>
      </c>
      <c r="AMR3" s="5">
        <f>IFERROR(VLOOKUP(AMR$1,'Renta fija USD Hiper Conservado'!$B$17:$C$25,2,FALSE),0%)</f>
        <v>0</v>
      </c>
      <c r="AMS3" s="5">
        <f>IFERROR(VLOOKUP(AMS$1,'Renta fija USD Hiper Conservado'!$B$17:$C$25,2,FALSE),0%)</f>
        <v>0</v>
      </c>
      <c r="AMT3" s="5">
        <f>IFERROR(VLOOKUP(AMT$1,'Renta fija USD Hiper Conservado'!$B$17:$C$25,2,FALSE),0%)</f>
        <v>0</v>
      </c>
      <c r="AMU3" s="5">
        <f>IFERROR(VLOOKUP(AMU$1,'Renta fija USD Hiper Conservado'!$B$17:$C$25,2,FALSE),0%)</f>
        <v>0</v>
      </c>
      <c r="AMV3" s="5">
        <f>IFERROR(VLOOKUP(AMV$1,'Renta fija USD Hiper Conservado'!$B$17:$C$25,2,FALSE),0%)</f>
        <v>0</v>
      </c>
      <c r="AMW3" s="5">
        <f>IFERROR(VLOOKUP(AMW$1,'Renta fija USD Hiper Conservado'!$B$17:$C$25,2,FALSE),0%)</f>
        <v>0</v>
      </c>
      <c r="AMX3" s="5">
        <f>IFERROR(VLOOKUP(AMX$1,'Renta fija USD Hiper Conservado'!$B$17:$C$25,2,FALSE),0%)</f>
        <v>0</v>
      </c>
      <c r="AMY3" s="5">
        <f>IFERROR(VLOOKUP(AMY$1,'Renta fija USD Hiper Conservado'!$B$17:$C$25,2,FALSE),0%)</f>
        <v>0</v>
      </c>
      <c r="AMZ3" s="5">
        <f>IFERROR(VLOOKUP(AMZ$1,'Renta fija USD Hiper Conservado'!$B$17:$C$25,2,FALSE),0%)</f>
        <v>0</v>
      </c>
      <c r="ANA3" s="5">
        <f>IFERROR(VLOOKUP(ANA$1,'Renta fija USD Hiper Conservado'!$B$17:$C$25,2,FALSE),0%)</f>
        <v>0</v>
      </c>
      <c r="ANB3" s="5">
        <f>IFERROR(VLOOKUP(ANB$1,'Renta fija USD Hiper Conservado'!$B$17:$C$25,2,FALSE),0%)</f>
        <v>0</v>
      </c>
      <c r="ANC3" s="5">
        <f>IFERROR(VLOOKUP(ANC$1,'Renta fija USD Hiper Conservado'!$B$17:$C$25,2,FALSE),0%)</f>
        <v>0</v>
      </c>
      <c r="AND3" s="5">
        <f>IFERROR(VLOOKUP(AND$1,'Renta fija USD Hiper Conservado'!$B$17:$C$25,2,FALSE),0%)</f>
        <v>0</v>
      </c>
      <c r="ANE3" s="5">
        <f>IFERROR(VLOOKUP(ANE$1,'Renta fija USD Hiper Conservado'!$B$17:$C$25,2,FALSE),0%)</f>
        <v>0</v>
      </c>
      <c r="ANF3" s="5">
        <f>IFERROR(VLOOKUP(ANF$1,'Renta fija USD Hiper Conservado'!$B$17:$C$25,2,FALSE),0%)</f>
        <v>0</v>
      </c>
      <c r="ANG3" s="5">
        <f>IFERROR(VLOOKUP(ANG$1,'Renta fija USD Hiper Conservado'!$B$17:$C$25,2,FALSE),0%)</f>
        <v>0</v>
      </c>
      <c r="ANH3" s="5">
        <f>IFERROR(VLOOKUP(ANH$1,'Renta fija USD Hiper Conservado'!$B$17:$C$25,2,FALSE),0%)</f>
        <v>0</v>
      </c>
      <c r="ANI3" s="5">
        <f>IFERROR(VLOOKUP(ANI$1,'Renta fija USD Hiper Conservado'!$B$17:$C$25,2,FALSE),0%)</f>
        <v>0</v>
      </c>
      <c r="ANJ3" s="5">
        <f>IFERROR(VLOOKUP(ANJ$1,'Renta fija USD Hiper Conservado'!$B$17:$C$25,2,FALSE),0%)</f>
        <v>0</v>
      </c>
      <c r="ANK3" s="5">
        <f>IFERROR(VLOOKUP(ANK$1,'Renta fija USD Hiper Conservado'!$B$17:$C$25,2,FALSE),0%)</f>
        <v>0</v>
      </c>
      <c r="ANL3" s="5">
        <f>IFERROR(VLOOKUP(ANL$1,'Renta fija USD Hiper Conservado'!$B$17:$C$25,2,FALSE),0%)</f>
        <v>0</v>
      </c>
      <c r="ANM3" s="5">
        <f>IFERROR(VLOOKUP(ANM$1,'Renta fija USD Hiper Conservado'!$B$17:$C$25,2,FALSE),0%)</f>
        <v>0</v>
      </c>
      <c r="ANN3" s="5">
        <f>IFERROR(VLOOKUP(ANN$1,'Renta fija USD Hiper Conservado'!$B$17:$C$25,2,FALSE),0%)</f>
        <v>0</v>
      </c>
      <c r="ANO3" s="5">
        <f>IFERROR(VLOOKUP(ANO$1,'Renta fija USD Hiper Conservado'!$B$17:$C$25,2,FALSE),0%)</f>
        <v>0</v>
      </c>
      <c r="ANP3" s="5">
        <f>IFERROR(VLOOKUP(ANP$1,'Renta fija USD Hiper Conservado'!$B$17:$C$25,2,FALSE),0%)</f>
        <v>0</v>
      </c>
      <c r="ANQ3" s="5">
        <f>IFERROR(VLOOKUP(ANQ$1,'Renta fija USD Hiper Conservado'!$B$17:$C$25,2,FALSE),0%)</f>
        <v>0</v>
      </c>
      <c r="ANR3" s="5">
        <f>IFERROR(VLOOKUP(ANR$1,'Renta fija USD Hiper Conservado'!$B$17:$C$25,2,FALSE),0%)</f>
        <v>0</v>
      </c>
      <c r="ANS3" s="5">
        <f>IFERROR(VLOOKUP(ANS$1,'Renta fija USD Hiper Conservado'!$B$17:$C$25,2,FALSE),0%)</f>
        <v>0</v>
      </c>
      <c r="ANT3" s="5">
        <f>IFERROR(VLOOKUP(ANT$1,'Renta fija USD Hiper Conservado'!$B$17:$C$25,2,FALSE),0%)</f>
        <v>0</v>
      </c>
      <c r="ANU3" s="5">
        <f>IFERROR(VLOOKUP(ANU$1,'Renta fija USD Hiper Conservado'!$B$17:$C$25,2,FALSE),0%)</f>
        <v>0</v>
      </c>
      <c r="ANV3" s="5">
        <f>IFERROR(VLOOKUP(ANV$1,'Renta fija USD Hiper Conservado'!$B$17:$C$25,2,FALSE),0%)</f>
        <v>0</v>
      </c>
      <c r="ANW3" s="5">
        <f>IFERROR(VLOOKUP(ANW$1,'Renta fija USD Hiper Conservado'!$B$17:$C$25,2,FALSE),0%)</f>
        <v>0</v>
      </c>
      <c r="ANX3" s="5">
        <f>IFERROR(VLOOKUP(ANX$1,'Renta fija USD Hiper Conservado'!$B$17:$C$25,2,FALSE),0%)</f>
        <v>0</v>
      </c>
      <c r="ANY3" s="5">
        <f>IFERROR(VLOOKUP(ANY$1,'Renta fija USD Hiper Conservado'!$B$17:$C$25,2,FALSE),0%)</f>
        <v>0</v>
      </c>
      <c r="ANZ3" s="5">
        <f>IFERROR(VLOOKUP(ANZ$1,'Renta fija USD Hiper Conservado'!$B$17:$C$25,2,FALSE),0%)</f>
        <v>0</v>
      </c>
      <c r="AOA3" s="5">
        <f>IFERROR(VLOOKUP(AOA$1,'Renta fija USD Hiper Conservado'!$B$17:$C$25,2,FALSE),0%)</f>
        <v>0</v>
      </c>
      <c r="AOB3" s="5">
        <f>IFERROR(VLOOKUP(AOB$1,'Renta fija USD Hiper Conservado'!$B$17:$C$25,2,FALSE),0%)</f>
        <v>0</v>
      </c>
      <c r="AOC3" s="5">
        <f>IFERROR(VLOOKUP(AOC$1,'Renta fija USD Hiper Conservado'!$B$17:$C$25,2,FALSE),0%)</f>
        <v>0</v>
      </c>
      <c r="AOD3" s="5">
        <f>IFERROR(VLOOKUP(AOD$1,'Renta fija USD Hiper Conservado'!$B$17:$C$25,2,FALSE),0%)</f>
        <v>0</v>
      </c>
      <c r="AOE3" s="5">
        <f>IFERROR(VLOOKUP(AOE$1,'Renta fija USD Hiper Conservado'!$B$17:$C$25,2,FALSE),0%)</f>
        <v>0</v>
      </c>
      <c r="AOF3" s="5">
        <f>IFERROR(VLOOKUP(AOF$1,'Renta fija USD Hiper Conservado'!$B$17:$C$25,2,FALSE),0%)</f>
        <v>0</v>
      </c>
      <c r="AOG3" s="5">
        <f>IFERROR(VLOOKUP(AOG$1,'Renta fija USD Hiper Conservado'!$B$17:$C$25,2,FALSE),0%)</f>
        <v>0</v>
      </c>
      <c r="AOH3" s="5">
        <f>IFERROR(VLOOKUP(AOH$1,'Renta fija USD Hiper Conservado'!$B$17:$C$25,2,FALSE),0%)</f>
        <v>0</v>
      </c>
      <c r="AOI3" s="5">
        <f>IFERROR(VLOOKUP(AOI$1,'Renta fija USD Hiper Conservado'!$B$17:$C$25,2,FALSE),0%)</f>
        <v>0</v>
      </c>
      <c r="AOJ3" s="5">
        <f>IFERROR(VLOOKUP(AOJ$1,'Renta fija USD Hiper Conservado'!$B$17:$C$25,2,FALSE),0%)</f>
        <v>0</v>
      </c>
      <c r="AOK3" s="5">
        <f>IFERROR(VLOOKUP(AOK$1,'Renta fija USD Hiper Conservado'!$B$17:$C$25,2,FALSE),0%)</f>
        <v>0</v>
      </c>
      <c r="AOL3" s="5">
        <f>IFERROR(VLOOKUP(AOL$1,'Renta fija USD Hiper Conservado'!$B$17:$C$25,2,FALSE),0%)</f>
        <v>0</v>
      </c>
      <c r="AOM3" s="5">
        <f>IFERROR(VLOOKUP(AOM$1,'Renta fija USD Hiper Conservado'!$B$17:$C$25,2,FALSE),0%)</f>
        <v>0</v>
      </c>
      <c r="AON3" s="5">
        <f>IFERROR(VLOOKUP(AON$1,'Renta fija USD Hiper Conservado'!$B$17:$C$25,2,FALSE),0%)</f>
        <v>0</v>
      </c>
      <c r="AOO3" s="5">
        <f>IFERROR(VLOOKUP(AOO$1,'Renta fija USD Hiper Conservado'!$B$17:$C$25,2,FALSE),0%)</f>
        <v>0</v>
      </c>
      <c r="AOP3" s="5">
        <f>IFERROR(VLOOKUP(AOP$1,'Renta fija USD Hiper Conservado'!$B$17:$C$25,2,FALSE),0%)</f>
        <v>0</v>
      </c>
      <c r="AOQ3" s="5">
        <f>IFERROR(VLOOKUP(AOQ$1,'Renta fija USD Hiper Conservado'!$B$17:$C$25,2,FALSE),0%)</f>
        <v>0</v>
      </c>
      <c r="AOR3" s="5">
        <f>IFERROR(VLOOKUP(AOR$1,'Renta fija USD Hiper Conservado'!$B$17:$C$25,2,FALSE),0%)</f>
        <v>0</v>
      </c>
      <c r="AOS3" s="5">
        <f>IFERROR(VLOOKUP(AOS$1,'Renta fija USD Hiper Conservado'!$B$17:$C$25,2,FALSE),0%)</f>
        <v>0</v>
      </c>
      <c r="AOT3" s="5">
        <f>IFERROR(VLOOKUP(AOT$1,'Renta fija USD Hiper Conservado'!$B$17:$C$25,2,FALSE),0%)</f>
        <v>0</v>
      </c>
      <c r="AOU3" s="5">
        <f>IFERROR(VLOOKUP(AOU$1,'Renta fija USD Hiper Conservado'!$B$17:$C$25,2,FALSE),0%)</f>
        <v>0</v>
      </c>
      <c r="AOV3" s="5">
        <f>IFERROR(VLOOKUP(AOV$1,'Renta fija USD Hiper Conservado'!$B$17:$C$25,2,FALSE),0%)</f>
        <v>0</v>
      </c>
      <c r="AOW3" s="5">
        <f>IFERROR(VLOOKUP(AOW$1,'Renta fija USD Hiper Conservado'!$B$17:$C$25,2,FALSE),0%)</f>
        <v>0</v>
      </c>
      <c r="AOX3" s="5">
        <f>IFERROR(VLOOKUP(AOX$1,'Renta fija USD Hiper Conservado'!$B$17:$C$25,2,FALSE),0%)</f>
        <v>0</v>
      </c>
      <c r="AOY3" s="5">
        <f>IFERROR(VLOOKUP(AOY$1,'Renta fija USD Hiper Conservado'!$B$17:$C$25,2,FALSE),0%)</f>
        <v>0</v>
      </c>
      <c r="AOZ3" s="5">
        <f>IFERROR(VLOOKUP(AOZ$1,'Renta fija USD Hiper Conservado'!$B$17:$C$25,2,FALSE),0%)</f>
        <v>0</v>
      </c>
      <c r="APA3" s="5">
        <f>IFERROR(VLOOKUP(APA$1,'Renta fija USD Hiper Conservado'!$B$17:$C$25,2,FALSE),0%)</f>
        <v>0</v>
      </c>
      <c r="APB3" s="5">
        <f>IFERROR(VLOOKUP(APB$1,'Renta fija USD Hiper Conservado'!$B$17:$C$25,2,FALSE),0%)</f>
        <v>0</v>
      </c>
      <c r="APC3" s="5">
        <f>IFERROR(VLOOKUP(APC$1,'Renta fija USD Hiper Conservado'!$B$17:$C$25,2,FALSE),0%)</f>
        <v>0</v>
      </c>
      <c r="APD3" s="5">
        <f>IFERROR(VLOOKUP(APD$1,'Renta fija USD Hiper Conservado'!$B$17:$C$25,2,FALSE),0%)</f>
        <v>0</v>
      </c>
      <c r="APE3" s="5">
        <f>IFERROR(VLOOKUP(APE$1,'Renta fija USD Hiper Conservado'!$B$17:$C$25,2,FALSE),0%)</f>
        <v>0</v>
      </c>
      <c r="APF3" s="5">
        <f>IFERROR(VLOOKUP(APF$1,'Renta fija USD Hiper Conservado'!$B$17:$C$25,2,FALSE),0%)</f>
        <v>0</v>
      </c>
      <c r="APG3" s="5">
        <f>IFERROR(VLOOKUP(APG$1,'Renta fija USD Hiper Conservado'!$B$17:$C$25,2,FALSE),0%)</f>
        <v>0</v>
      </c>
      <c r="APH3" s="5">
        <f>IFERROR(VLOOKUP(APH$1,'Renta fija USD Hiper Conservado'!$B$17:$C$25,2,FALSE),0%)</f>
        <v>0</v>
      </c>
      <c r="API3" s="5">
        <f>IFERROR(VLOOKUP(API$1,'Renta fija USD Hiper Conservado'!$B$17:$C$25,2,FALSE),0%)</f>
        <v>0</v>
      </c>
      <c r="APJ3" s="5">
        <f>IFERROR(VLOOKUP(APJ$1,'Renta fija USD Hiper Conservado'!$B$17:$C$25,2,FALSE),0%)</f>
        <v>0</v>
      </c>
      <c r="APK3" s="5">
        <f>IFERROR(VLOOKUP(APK$1,'Renta fija USD Hiper Conservado'!$B$17:$C$25,2,FALSE),0%)</f>
        <v>0</v>
      </c>
      <c r="APL3" s="5">
        <f>IFERROR(VLOOKUP(APL$1,'Renta fija USD Hiper Conservado'!$B$17:$C$25,2,FALSE),0%)</f>
        <v>0</v>
      </c>
      <c r="APM3" s="5">
        <f>IFERROR(VLOOKUP(APM$1,'Renta fija USD Hiper Conservado'!$B$17:$C$25,2,FALSE),0%)</f>
        <v>0</v>
      </c>
      <c r="APN3" s="5">
        <f>IFERROR(VLOOKUP(APN$1,'Renta fija USD Hiper Conservado'!$B$17:$C$25,2,FALSE),0%)</f>
        <v>0</v>
      </c>
      <c r="APO3" s="5">
        <f>IFERROR(VLOOKUP(APO$1,'Renta fija USD Hiper Conservado'!$B$17:$C$25,2,FALSE),0%)</f>
        <v>0</v>
      </c>
      <c r="APP3" s="5">
        <f>IFERROR(VLOOKUP(APP$1,'Renta fija USD Hiper Conservado'!$B$17:$C$25,2,FALSE),0%)</f>
        <v>0</v>
      </c>
      <c r="APQ3" s="5">
        <f>IFERROR(VLOOKUP(APQ$1,'Renta fija USD Hiper Conservado'!$B$17:$C$25,2,FALSE),0%)</f>
        <v>0</v>
      </c>
      <c r="APR3" s="5">
        <f>IFERROR(VLOOKUP(APR$1,'Renta fija USD Hiper Conservado'!$B$17:$C$25,2,FALSE),0%)</f>
        <v>0</v>
      </c>
      <c r="APS3" s="5">
        <f>IFERROR(VLOOKUP(APS$1,'Renta fija USD Hiper Conservado'!$B$17:$C$25,2,FALSE),0%)</f>
        <v>0</v>
      </c>
      <c r="APT3" s="5">
        <f>IFERROR(VLOOKUP(APT$1,'Renta fija USD Hiper Conservado'!$B$17:$C$25,2,FALSE),0%)</f>
        <v>0</v>
      </c>
      <c r="APU3" s="5">
        <f>IFERROR(VLOOKUP(APU$1,'Renta fija USD Hiper Conservado'!$B$17:$C$25,2,FALSE),0%)</f>
        <v>0</v>
      </c>
      <c r="APV3" s="5">
        <f>IFERROR(VLOOKUP(APV$1,'Renta fija USD Hiper Conservado'!$B$17:$C$25,2,FALSE),0%)</f>
        <v>0</v>
      </c>
      <c r="APW3" s="5">
        <f>IFERROR(VLOOKUP(APW$1,'Renta fija USD Hiper Conservado'!$B$17:$C$25,2,FALSE),0%)</f>
        <v>0</v>
      </c>
      <c r="APX3" s="5">
        <f>IFERROR(VLOOKUP(APX$1,'Renta fija USD Hiper Conservado'!$B$17:$C$25,2,FALSE),0%)</f>
        <v>0</v>
      </c>
      <c r="APY3" s="5">
        <f>IFERROR(VLOOKUP(APY$1,'Renta fija USD Hiper Conservado'!$B$17:$C$25,2,FALSE),0%)</f>
        <v>0</v>
      </c>
      <c r="APZ3" s="5">
        <f>IFERROR(VLOOKUP(APZ$1,'Renta fija USD Hiper Conservado'!$B$17:$C$25,2,FALSE),0%)</f>
        <v>0</v>
      </c>
      <c r="AQA3" s="5">
        <f>IFERROR(VLOOKUP(AQA$1,'Renta fija USD Hiper Conservado'!$B$17:$C$25,2,FALSE),0%)</f>
        <v>0</v>
      </c>
      <c r="AQB3" s="5">
        <f>IFERROR(VLOOKUP(AQB$1,'Renta fija USD Hiper Conservado'!$B$17:$C$25,2,FALSE),0%)</f>
        <v>0</v>
      </c>
      <c r="AQC3" s="5">
        <f>IFERROR(VLOOKUP(AQC$1,'Renta fija USD Hiper Conservado'!$B$17:$C$25,2,FALSE),0%)</f>
        <v>0</v>
      </c>
      <c r="AQD3" s="5">
        <f>IFERROR(VLOOKUP(AQD$1,'Renta fija USD Hiper Conservado'!$B$17:$C$25,2,FALSE),0%)</f>
        <v>0</v>
      </c>
      <c r="AQE3" s="5">
        <f>IFERROR(VLOOKUP(AQE$1,'Renta fija USD Hiper Conservado'!$B$17:$C$25,2,FALSE),0%)</f>
        <v>0</v>
      </c>
      <c r="AQF3" s="5">
        <f>IFERROR(VLOOKUP(AQF$1,'Renta fija USD Hiper Conservado'!$B$17:$C$25,2,FALSE),0%)</f>
        <v>0</v>
      </c>
      <c r="AQG3" s="5">
        <f>IFERROR(VLOOKUP(AQG$1,'Renta fija USD Hiper Conservado'!$B$17:$C$25,2,FALSE),0%)</f>
        <v>0</v>
      </c>
      <c r="AQH3" s="5">
        <f>IFERROR(VLOOKUP(AQH$1,'Renta fija USD Hiper Conservado'!$B$17:$C$25,2,FALSE),0%)</f>
        <v>0</v>
      </c>
      <c r="AQI3" s="5">
        <f>IFERROR(VLOOKUP(AQI$1,'Renta fija USD Hiper Conservado'!$B$17:$C$25,2,FALSE),0%)</f>
        <v>0</v>
      </c>
      <c r="AQJ3" s="5">
        <f>IFERROR(VLOOKUP(AQJ$1,'Renta fija USD Hiper Conservado'!$B$17:$C$25,2,FALSE),0%)</f>
        <v>0</v>
      </c>
      <c r="AQK3" s="5">
        <f>IFERROR(VLOOKUP(AQK$1,'Renta fija USD Hiper Conservado'!$B$17:$C$25,2,FALSE),0%)</f>
        <v>0</v>
      </c>
      <c r="AQL3" s="5">
        <f>IFERROR(VLOOKUP(AQL$1,'Renta fija USD Hiper Conservado'!$B$17:$C$25,2,FALSE),0%)</f>
        <v>0</v>
      </c>
      <c r="AQM3" s="5">
        <f>IFERROR(VLOOKUP(AQM$1,'Renta fija USD Hiper Conservado'!$B$17:$C$25,2,FALSE),0%)</f>
        <v>0</v>
      </c>
      <c r="AQN3" s="5">
        <f>IFERROR(VLOOKUP(AQN$1,'Renta fija USD Hiper Conservado'!$B$17:$C$25,2,FALSE),0%)</f>
        <v>0</v>
      </c>
      <c r="AQO3" s="5">
        <f>IFERROR(VLOOKUP(AQO$1,'Renta fija USD Hiper Conservado'!$B$17:$C$25,2,FALSE),0%)</f>
        <v>0</v>
      </c>
      <c r="AQP3" s="5">
        <f>IFERROR(VLOOKUP(AQP$1,'Renta fija USD Hiper Conservado'!$B$17:$C$25,2,FALSE),0%)</f>
        <v>0</v>
      </c>
      <c r="AQQ3" s="5">
        <f>IFERROR(VLOOKUP(AQQ$1,'Renta fija USD Hiper Conservado'!$B$17:$C$25,2,FALSE),0%)</f>
        <v>0</v>
      </c>
      <c r="AQR3" s="5">
        <f>IFERROR(VLOOKUP(AQR$1,'Renta fija USD Hiper Conservado'!$B$17:$C$25,2,FALSE),0%)</f>
        <v>0</v>
      </c>
      <c r="AQS3" s="5">
        <f>IFERROR(VLOOKUP(AQS$1,'Renta fija USD Hiper Conservado'!$B$17:$C$25,2,FALSE),0%)</f>
        <v>0</v>
      </c>
      <c r="AQT3" s="5">
        <f>IFERROR(VLOOKUP(AQT$1,'Renta fija USD Hiper Conservado'!$B$17:$C$25,2,FALSE),0%)</f>
        <v>0</v>
      </c>
      <c r="AQU3" s="5">
        <f>IFERROR(VLOOKUP(AQU$1,'Renta fija USD Hiper Conservado'!$B$17:$C$25,2,FALSE),0%)</f>
        <v>0</v>
      </c>
      <c r="AQV3" s="5">
        <f>IFERROR(VLOOKUP(AQV$1,'Renta fija USD Hiper Conservado'!$B$17:$C$25,2,FALSE),0%)</f>
        <v>0</v>
      </c>
      <c r="AQW3" s="5">
        <f>IFERROR(VLOOKUP(AQW$1,'Renta fija USD Hiper Conservado'!$B$17:$C$25,2,FALSE),0%)</f>
        <v>0</v>
      </c>
      <c r="AQX3" s="5">
        <f>IFERROR(VLOOKUP(AQX$1,'Renta fija USD Hiper Conservado'!$B$17:$C$25,2,FALSE),0%)</f>
        <v>0</v>
      </c>
      <c r="AQY3" s="5">
        <f>IFERROR(VLOOKUP(AQY$1,'Renta fija USD Hiper Conservado'!$B$17:$C$25,2,FALSE),0%)</f>
        <v>0</v>
      </c>
      <c r="AQZ3" s="5">
        <f>IFERROR(VLOOKUP(AQZ$1,'Renta fija USD Hiper Conservado'!$B$17:$C$25,2,FALSE),0%)</f>
        <v>0</v>
      </c>
      <c r="ARA3" s="5">
        <f>IFERROR(VLOOKUP(ARA$1,'Renta fija USD Hiper Conservado'!$B$17:$C$25,2,FALSE),0%)</f>
        <v>0</v>
      </c>
      <c r="ARB3" s="5">
        <f>IFERROR(VLOOKUP(ARB$1,'Renta fija USD Hiper Conservado'!$B$17:$C$25,2,FALSE),0%)</f>
        <v>0</v>
      </c>
      <c r="ARC3" s="5">
        <f>IFERROR(VLOOKUP(ARC$1,'Renta fija USD Hiper Conservado'!$B$17:$C$25,2,FALSE),0%)</f>
        <v>0</v>
      </c>
      <c r="ARD3" s="5">
        <f>IFERROR(VLOOKUP(ARD$1,'Renta fija USD Hiper Conservado'!$B$17:$C$25,2,FALSE),0%)</f>
        <v>0</v>
      </c>
      <c r="ARE3" s="5">
        <f>IFERROR(VLOOKUP(ARE$1,'Renta fija USD Hiper Conservado'!$B$17:$C$25,2,FALSE),0%)</f>
        <v>0</v>
      </c>
      <c r="ARF3" s="5">
        <f>IFERROR(VLOOKUP(ARF$1,'Renta fija USD Hiper Conservado'!$B$17:$C$25,2,FALSE),0%)</f>
        <v>0</v>
      </c>
      <c r="ARG3" s="5">
        <f>IFERROR(VLOOKUP(ARG$1,'Renta fija USD Hiper Conservado'!$B$17:$C$25,2,FALSE),0%)</f>
        <v>0</v>
      </c>
      <c r="ARH3" s="5">
        <f>IFERROR(VLOOKUP(ARH$1,'Renta fija USD Hiper Conservado'!$B$17:$C$25,2,FALSE),0%)</f>
        <v>0</v>
      </c>
      <c r="ARI3" s="5">
        <f>IFERROR(VLOOKUP(ARI$1,'Renta fija USD Hiper Conservado'!$B$17:$C$25,2,FALSE),0%)</f>
        <v>0</v>
      </c>
      <c r="ARJ3" s="5">
        <f>IFERROR(VLOOKUP(ARJ$1,'Renta fija USD Hiper Conservado'!$B$17:$C$25,2,FALSE),0%)</f>
        <v>0</v>
      </c>
      <c r="ARK3" s="5">
        <f>IFERROR(VLOOKUP(ARK$1,'Renta fija USD Hiper Conservado'!$B$17:$C$25,2,FALSE),0%)</f>
        <v>0</v>
      </c>
      <c r="ARL3" s="5">
        <f>IFERROR(VLOOKUP(ARL$1,'Renta fija USD Hiper Conservado'!$B$17:$C$25,2,FALSE),0%)</f>
        <v>0</v>
      </c>
      <c r="ARM3" s="5">
        <f>IFERROR(VLOOKUP(ARM$1,'Renta fija USD Hiper Conservado'!$B$17:$C$25,2,FALSE),0%)</f>
        <v>0</v>
      </c>
      <c r="ARN3" s="5">
        <f>IFERROR(VLOOKUP(ARN$1,'Renta fija USD Hiper Conservado'!$B$17:$C$25,2,FALSE),0%)</f>
        <v>0</v>
      </c>
      <c r="ARO3" s="5">
        <f>IFERROR(VLOOKUP(ARO$1,'Renta fija USD Hiper Conservado'!$B$17:$C$25,2,FALSE),0%)</f>
        <v>0</v>
      </c>
      <c r="ARP3" s="5">
        <f>IFERROR(VLOOKUP(ARP$1,'Renta fija USD Hiper Conservado'!$B$17:$C$25,2,FALSE),0%)</f>
        <v>0</v>
      </c>
      <c r="ARQ3" s="5">
        <f>IFERROR(VLOOKUP(ARQ$1,'Renta fija USD Hiper Conservado'!$B$17:$C$25,2,FALSE),0%)</f>
        <v>0</v>
      </c>
      <c r="ARR3" s="5">
        <f>IFERROR(VLOOKUP(ARR$1,'Renta fija USD Hiper Conservado'!$B$17:$C$25,2,FALSE),0%)</f>
        <v>0</v>
      </c>
      <c r="ARS3" s="5">
        <f>IFERROR(VLOOKUP(ARS$1,'Renta fija USD Hiper Conservado'!$B$17:$C$25,2,FALSE),0%)</f>
        <v>0</v>
      </c>
      <c r="ART3" s="5">
        <f>IFERROR(VLOOKUP(ART$1,'Renta fija USD Hiper Conservado'!$B$17:$C$25,2,FALSE),0%)</f>
        <v>0</v>
      </c>
      <c r="ARU3" s="5">
        <f>IFERROR(VLOOKUP(ARU$1,'Renta fija USD Hiper Conservado'!$B$17:$C$25,2,FALSE),0%)</f>
        <v>0</v>
      </c>
      <c r="ARV3" s="5">
        <f>IFERROR(VLOOKUP(ARV$1,'Renta fija USD Hiper Conservado'!$B$17:$C$25,2,FALSE),0%)</f>
        <v>0</v>
      </c>
      <c r="ARW3" s="5">
        <f>IFERROR(VLOOKUP(ARW$1,'Renta fija USD Hiper Conservado'!$B$17:$C$25,2,FALSE),0%)</f>
        <v>0</v>
      </c>
      <c r="ARX3" s="5">
        <f>IFERROR(VLOOKUP(ARX$1,'Renta fija USD Hiper Conservado'!$B$17:$C$25,2,FALSE),0%)</f>
        <v>0</v>
      </c>
      <c r="ARY3" s="5">
        <f>IFERROR(VLOOKUP(ARY$1,'Renta fija USD Hiper Conservado'!$B$17:$C$25,2,FALSE),0%)</f>
        <v>0</v>
      </c>
      <c r="ARZ3" s="5">
        <f>IFERROR(VLOOKUP(ARZ$1,'Renta fija USD Hiper Conservado'!$B$17:$C$25,2,FALSE),0%)</f>
        <v>0</v>
      </c>
      <c r="ASA3" s="5">
        <f>IFERROR(VLOOKUP(ASA$1,'Renta fija USD Hiper Conservado'!$B$17:$C$25,2,FALSE),0%)</f>
        <v>0</v>
      </c>
      <c r="ASB3" s="5">
        <f>IFERROR(VLOOKUP(ASB$1,'Renta fija USD Hiper Conservado'!$B$17:$C$25,2,FALSE),0%)</f>
        <v>0</v>
      </c>
      <c r="ASC3" s="5">
        <f>IFERROR(VLOOKUP(ASC$1,'Renta fija USD Hiper Conservado'!$B$17:$C$25,2,FALSE),0%)</f>
        <v>0</v>
      </c>
      <c r="ASD3" s="5">
        <f>IFERROR(VLOOKUP(ASD$1,'Renta fija USD Hiper Conservado'!$B$17:$C$25,2,FALSE),0%)</f>
        <v>0</v>
      </c>
      <c r="ASE3" s="5">
        <f>IFERROR(VLOOKUP(ASE$1,'Renta fija USD Hiper Conservado'!$B$17:$C$25,2,FALSE),0%)</f>
        <v>0</v>
      </c>
      <c r="ASF3" s="5">
        <f>IFERROR(VLOOKUP(ASF$1,'Renta fija USD Hiper Conservado'!$B$17:$C$25,2,FALSE),0%)</f>
        <v>0</v>
      </c>
      <c r="ASG3" s="5">
        <f>IFERROR(VLOOKUP(ASG$1,'Renta fija USD Hiper Conservado'!$B$17:$C$25,2,FALSE),0%)</f>
        <v>0</v>
      </c>
      <c r="ASH3" s="5">
        <f>IFERROR(VLOOKUP(ASH$1,'Renta fija USD Hiper Conservado'!$B$17:$C$25,2,FALSE),0%)</f>
        <v>0</v>
      </c>
      <c r="ASI3" s="5">
        <f>IFERROR(VLOOKUP(ASI$1,'Renta fija USD Hiper Conservado'!$B$17:$C$25,2,FALSE),0%)</f>
        <v>0</v>
      </c>
      <c r="ASJ3" s="5">
        <f>IFERROR(VLOOKUP(ASJ$1,'Renta fija USD Hiper Conservado'!$B$17:$C$25,2,FALSE),0%)</f>
        <v>0</v>
      </c>
      <c r="ASK3" s="5">
        <f>IFERROR(VLOOKUP(ASK$1,'Renta fija USD Hiper Conservado'!$B$17:$C$25,2,FALSE),0%)</f>
        <v>0</v>
      </c>
      <c r="ASL3" s="5">
        <f>IFERROR(VLOOKUP(ASL$1,'Renta fija USD Hiper Conservado'!$B$17:$C$25,2,FALSE),0%)</f>
        <v>0</v>
      </c>
      <c r="ASM3" s="5">
        <f>IFERROR(VLOOKUP(ASM$1,'Renta fija USD Hiper Conservado'!$B$17:$C$25,2,FALSE),0%)</f>
        <v>0</v>
      </c>
      <c r="ASN3" s="5">
        <f>IFERROR(VLOOKUP(ASN$1,'Renta fija USD Hiper Conservado'!$B$17:$C$25,2,FALSE),0%)</f>
        <v>0</v>
      </c>
      <c r="ASO3" s="5">
        <f>IFERROR(VLOOKUP(ASO$1,'Renta fija USD Hiper Conservado'!$B$17:$C$25,2,FALSE),0%)</f>
        <v>0</v>
      </c>
      <c r="ASP3" s="5">
        <f>IFERROR(VLOOKUP(ASP$1,'Renta fija USD Hiper Conservado'!$B$17:$C$25,2,FALSE),0%)</f>
        <v>0</v>
      </c>
      <c r="ASQ3" s="5">
        <f>IFERROR(VLOOKUP(ASQ$1,'Renta fija USD Hiper Conservado'!$B$17:$C$25,2,FALSE),0%)</f>
        <v>0</v>
      </c>
      <c r="ASR3" s="5">
        <f>IFERROR(VLOOKUP(ASR$1,'Renta fija USD Hiper Conservado'!$B$17:$C$25,2,FALSE),0%)</f>
        <v>0</v>
      </c>
      <c r="ASS3" s="5">
        <f>IFERROR(VLOOKUP(ASS$1,'Renta fija USD Hiper Conservado'!$B$17:$C$25,2,FALSE),0%)</f>
        <v>0</v>
      </c>
      <c r="AST3" s="5">
        <f>IFERROR(VLOOKUP(AST$1,'Renta fija USD Hiper Conservado'!$B$17:$C$25,2,FALSE),0%)</f>
        <v>0</v>
      </c>
      <c r="ASU3" s="5">
        <f>IFERROR(VLOOKUP(ASU$1,'Renta fija USD Hiper Conservado'!$B$17:$C$25,2,FALSE),0%)</f>
        <v>0</v>
      </c>
      <c r="ASV3" s="5">
        <f>IFERROR(VLOOKUP(ASV$1,'Renta fija USD Hiper Conservado'!$B$17:$C$25,2,FALSE),0%)</f>
        <v>0</v>
      </c>
      <c r="ASW3" s="5">
        <f>IFERROR(VLOOKUP(ASW$1,'Renta fija USD Hiper Conservado'!$B$17:$C$25,2,FALSE),0%)</f>
        <v>0</v>
      </c>
      <c r="ASX3" s="5">
        <f>IFERROR(VLOOKUP(ASX$1,'Renta fija USD Hiper Conservado'!$B$17:$C$25,2,FALSE),0%)</f>
        <v>0</v>
      </c>
      <c r="ASY3" s="5">
        <f>IFERROR(VLOOKUP(ASY$1,'Renta fija USD Hiper Conservado'!$B$17:$C$25,2,FALSE),0%)</f>
        <v>0</v>
      </c>
      <c r="ASZ3" s="5">
        <f>IFERROR(VLOOKUP(ASZ$1,'Renta fija USD Hiper Conservado'!$B$17:$C$25,2,FALSE),0%)</f>
        <v>0</v>
      </c>
      <c r="ATA3" s="5">
        <f>IFERROR(VLOOKUP(ATA$1,'Renta fija USD Hiper Conservado'!$B$17:$C$25,2,FALSE),0%)</f>
        <v>0</v>
      </c>
      <c r="ATB3" s="5">
        <f>IFERROR(VLOOKUP(ATB$1,'Renta fija USD Hiper Conservado'!$B$17:$C$25,2,FALSE),0%)</f>
        <v>0</v>
      </c>
      <c r="ATC3" s="5">
        <f>IFERROR(VLOOKUP(ATC$1,'Renta fija USD Hiper Conservado'!$B$17:$C$25,2,FALSE),0%)</f>
        <v>0</v>
      </c>
      <c r="ATD3" s="5">
        <f>IFERROR(VLOOKUP(ATD$1,'Renta fija USD Hiper Conservado'!$B$17:$C$25,2,FALSE),0%)</f>
        <v>0</v>
      </c>
      <c r="ATE3" s="5">
        <f>IFERROR(VLOOKUP(ATE$1,'Renta fija USD Hiper Conservado'!$B$17:$C$25,2,FALSE),0%)</f>
        <v>0</v>
      </c>
      <c r="ATF3" s="5">
        <f>IFERROR(VLOOKUP(ATF$1,'Renta fija USD Hiper Conservado'!$B$17:$C$25,2,FALSE),0%)</f>
        <v>0</v>
      </c>
      <c r="ATG3" s="5">
        <f>IFERROR(VLOOKUP(ATG$1,'Renta fija USD Hiper Conservado'!$B$17:$C$25,2,FALSE),0%)</f>
        <v>0</v>
      </c>
      <c r="ATH3" s="5">
        <f>IFERROR(VLOOKUP(ATH$1,'Renta fija USD Hiper Conservado'!$B$17:$C$25,2,FALSE),0%)</f>
        <v>0</v>
      </c>
      <c r="ATI3" s="5">
        <f>IFERROR(VLOOKUP(ATI$1,'Renta fija USD Hiper Conservado'!$B$17:$C$25,2,FALSE),0%)</f>
        <v>0</v>
      </c>
      <c r="ATJ3" s="5">
        <f>IFERROR(VLOOKUP(ATJ$1,'Renta fija USD Hiper Conservado'!$B$17:$C$25,2,FALSE),0%)</f>
        <v>0</v>
      </c>
      <c r="ATK3" s="5">
        <f>IFERROR(VLOOKUP(ATK$1,'Renta fija USD Hiper Conservado'!$B$17:$C$25,2,FALSE),0%)</f>
        <v>0</v>
      </c>
      <c r="ATL3" s="5">
        <f>IFERROR(VLOOKUP(ATL$1,'Renta fija USD Hiper Conservado'!$B$17:$C$25,2,FALSE),0%)</f>
        <v>0</v>
      </c>
      <c r="ATM3" s="5">
        <f>IFERROR(VLOOKUP(ATM$1,'Renta fija USD Hiper Conservado'!$B$17:$C$25,2,FALSE),0%)</f>
        <v>0</v>
      </c>
      <c r="ATN3" s="5">
        <f>IFERROR(VLOOKUP(ATN$1,'Renta fija USD Hiper Conservado'!$B$17:$C$25,2,FALSE),0%)</f>
        <v>0</v>
      </c>
      <c r="ATO3" s="5">
        <f>IFERROR(VLOOKUP(ATO$1,'Renta fija USD Hiper Conservado'!$B$17:$C$25,2,FALSE),0%)</f>
        <v>0</v>
      </c>
      <c r="ATP3" s="5">
        <f>IFERROR(VLOOKUP(ATP$1,'Renta fija USD Hiper Conservado'!$B$17:$C$25,2,FALSE),0%)</f>
        <v>0</v>
      </c>
      <c r="ATQ3" s="5">
        <f>IFERROR(VLOOKUP(ATQ$1,'Renta fija USD Hiper Conservado'!$B$17:$C$25,2,FALSE),0%)</f>
        <v>0</v>
      </c>
      <c r="ATR3" s="5">
        <f>IFERROR(VLOOKUP(ATR$1,'Renta fija USD Hiper Conservado'!$B$17:$C$25,2,FALSE),0%)</f>
        <v>0</v>
      </c>
      <c r="ATS3" s="5">
        <f>IFERROR(VLOOKUP(ATS$1,'Renta fija USD Hiper Conservado'!$B$17:$C$25,2,FALSE),0%)</f>
        <v>0</v>
      </c>
      <c r="ATT3" s="5">
        <f>IFERROR(VLOOKUP(ATT$1,'Renta fija USD Hiper Conservado'!$B$17:$C$25,2,FALSE),0%)</f>
        <v>0</v>
      </c>
      <c r="ATU3" s="5">
        <f>IFERROR(VLOOKUP(ATU$1,'Renta fija USD Hiper Conservado'!$B$17:$C$25,2,FALSE),0%)</f>
        <v>0</v>
      </c>
      <c r="ATV3" s="5">
        <f>IFERROR(VLOOKUP(ATV$1,'Renta fija USD Hiper Conservado'!$B$17:$C$25,2,FALSE),0%)</f>
        <v>0</v>
      </c>
      <c r="ATW3" s="5">
        <f>IFERROR(VLOOKUP(ATW$1,'Renta fija USD Hiper Conservado'!$B$17:$C$25,2,FALSE),0%)</f>
        <v>0</v>
      </c>
      <c r="ATX3" s="5">
        <f>IFERROR(VLOOKUP(ATX$1,'Renta fija USD Hiper Conservado'!$B$17:$C$25,2,FALSE),0%)</f>
        <v>0</v>
      </c>
      <c r="ATY3" s="5">
        <f>IFERROR(VLOOKUP(ATY$1,'Renta fija USD Hiper Conservado'!$B$17:$C$25,2,FALSE),0%)</f>
        <v>0</v>
      </c>
      <c r="ATZ3" s="5">
        <f>IFERROR(VLOOKUP(ATZ$1,'Renta fija USD Hiper Conservado'!$B$17:$C$25,2,FALSE),0%)</f>
        <v>0</v>
      </c>
      <c r="AUA3" s="5">
        <f>IFERROR(VLOOKUP(AUA$1,'Renta fija USD Hiper Conservado'!$B$17:$C$25,2,FALSE),0%)</f>
        <v>0</v>
      </c>
      <c r="AUB3" s="5">
        <f>IFERROR(VLOOKUP(AUB$1,'Renta fija USD Hiper Conservado'!$B$17:$C$25,2,FALSE),0%)</f>
        <v>0</v>
      </c>
      <c r="AUC3" s="5">
        <f>IFERROR(VLOOKUP(AUC$1,'Renta fija USD Hiper Conservado'!$B$17:$C$25,2,FALSE),0%)</f>
        <v>0</v>
      </c>
      <c r="AUD3" s="5">
        <f>IFERROR(VLOOKUP(AUD$1,'Renta fija USD Hiper Conservado'!$B$17:$C$25,2,FALSE),0%)</f>
        <v>0</v>
      </c>
      <c r="AUE3" s="5">
        <f>IFERROR(VLOOKUP(AUE$1,'Renta fija USD Hiper Conservado'!$B$17:$C$25,2,FALSE),0%)</f>
        <v>0</v>
      </c>
      <c r="AUF3" s="5">
        <f>IFERROR(VLOOKUP(AUF$1,'Renta fija USD Hiper Conservado'!$B$17:$C$25,2,FALSE),0%)</f>
        <v>0</v>
      </c>
      <c r="AUG3" s="5">
        <f>IFERROR(VLOOKUP(AUG$1,'Renta fija USD Hiper Conservado'!$B$17:$C$25,2,FALSE),0%)</f>
        <v>0</v>
      </c>
      <c r="AUH3" s="5">
        <f>IFERROR(VLOOKUP(AUH$1,'Renta fija USD Hiper Conservado'!$B$17:$C$25,2,FALSE),0%)</f>
        <v>0</v>
      </c>
      <c r="AUI3" s="5">
        <f>IFERROR(VLOOKUP(AUI$1,'Renta fija USD Hiper Conservado'!$B$17:$C$25,2,FALSE),0%)</f>
        <v>0</v>
      </c>
      <c r="AUJ3" s="5">
        <f>IFERROR(VLOOKUP(AUJ$1,'Renta fija USD Hiper Conservado'!$B$17:$C$25,2,FALSE),0%)</f>
        <v>0</v>
      </c>
      <c r="AUK3" s="5">
        <f>IFERROR(VLOOKUP(AUK$1,'Renta fija USD Hiper Conservado'!$B$17:$C$25,2,FALSE),0%)</f>
        <v>0</v>
      </c>
      <c r="AUL3" s="5">
        <f>IFERROR(VLOOKUP(AUL$1,'Renta fija USD Hiper Conservado'!$B$17:$C$25,2,FALSE),0%)</f>
        <v>0</v>
      </c>
      <c r="AUM3" s="5">
        <f>IFERROR(VLOOKUP(AUM$1,'Renta fija USD Hiper Conservado'!$B$17:$C$25,2,FALSE),0%)</f>
        <v>0</v>
      </c>
      <c r="AUN3" s="5">
        <f>IFERROR(VLOOKUP(AUN$1,'Renta fija USD Hiper Conservado'!$B$17:$C$25,2,FALSE),0%)</f>
        <v>0</v>
      </c>
      <c r="AUO3" s="5">
        <f>IFERROR(VLOOKUP(AUO$1,'Renta fija USD Hiper Conservado'!$B$17:$C$25,2,FALSE),0%)</f>
        <v>0</v>
      </c>
      <c r="AUP3" s="5">
        <f>IFERROR(VLOOKUP(AUP$1,'Renta fija USD Hiper Conservado'!$B$17:$C$25,2,FALSE),0%)</f>
        <v>0</v>
      </c>
      <c r="AUQ3" s="5">
        <f>IFERROR(VLOOKUP(AUQ$1,'Renta fija USD Hiper Conservado'!$B$17:$C$25,2,FALSE),0%)</f>
        <v>0</v>
      </c>
      <c r="AUR3" s="5">
        <f>IFERROR(VLOOKUP(AUR$1,'Renta fija USD Hiper Conservado'!$B$17:$C$25,2,FALSE),0%)</f>
        <v>0</v>
      </c>
      <c r="AUS3" s="5">
        <f>IFERROR(VLOOKUP(AUS$1,'Renta fija USD Hiper Conservado'!$B$17:$C$25,2,FALSE),0%)</f>
        <v>0</v>
      </c>
      <c r="AUT3" s="5">
        <f>IFERROR(VLOOKUP(AUT$1,'Renta fija USD Hiper Conservado'!$B$17:$C$25,2,FALSE),0%)</f>
        <v>0</v>
      </c>
      <c r="AUU3" s="5">
        <f>IFERROR(VLOOKUP(AUU$1,'Renta fija USD Hiper Conservado'!$B$17:$C$25,2,FALSE),0%)</f>
        <v>0</v>
      </c>
      <c r="AUV3" s="5">
        <f>IFERROR(VLOOKUP(AUV$1,'Renta fija USD Hiper Conservado'!$B$17:$C$25,2,FALSE),0%)</f>
        <v>0</v>
      </c>
      <c r="AUW3" s="5">
        <f>IFERROR(VLOOKUP(AUW$1,'Renta fija USD Hiper Conservado'!$B$17:$C$25,2,FALSE),0%)</f>
        <v>0</v>
      </c>
      <c r="AUX3" s="5">
        <f>IFERROR(VLOOKUP(AUX$1,'Renta fija USD Hiper Conservado'!$B$17:$C$25,2,FALSE),0%)</f>
        <v>0</v>
      </c>
      <c r="AUY3" s="5">
        <f>IFERROR(VLOOKUP(AUY$1,'Renta fija USD Hiper Conservado'!$B$17:$C$25,2,FALSE),0%)</f>
        <v>0</v>
      </c>
      <c r="AUZ3" s="5">
        <f>IFERROR(VLOOKUP(AUZ$1,'Renta fija USD Hiper Conservado'!$B$17:$C$25,2,FALSE),0%)</f>
        <v>0</v>
      </c>
      <c r="AVA3" s="5">
        <f>IFERROR(VLOOKUP(AVA$1,'Renta fija USD Hiper Conservado'!$B$17:$C$25,2,FALSE),0%)</f>
        <v>0</v>
      </c>
      <c r="AVB3" s="5">
        <f>IFERROR(VLOOKUP(AVB$1,'Renta fija USD Hiper Conservado'!$B$17:$C$25,2,FALSE),0%)</f>
        <v>0</v>
      </c>
      <c r="AVC3" s="5">
        <f>IFERROR(VLOOKUP(AVC$1,'Renta fija USD Hiper Conservado'!$B$17:$C$25,2,FALSE),0%)</f>
        <v>0</v>
      </c>
      <c r="AVD3" s="5">
        <f>IFERROR(VLOOKUP(AVD$1,'Renta fija USD Hiper Conservado'!$B$17:$C$25,2,FALSE),0%)</f>
        <v>0</v>
      </c>
      <c r="AVE3" s="5">
        <f>IFERROR(VLOOKUP(AVE$1,'Renta fija USD Hiper Conservado'!$B$17:$C$25,2,FALSE),0%)</f>
        <v>0</v>
      </c>
      <c r="AVF3" s="5">
        <f>IFERROR(VLOOKUP(AVF$1,'Renta fija USD Hiper Conservado'!$B$17:$C$25,2,FALSE),0%)</f>
        <v>0</v>
      </c>
      <c r="AVG3" s="5">
        <f>IFERROR(VLOOKUP(AVG$1,'Renta fija USD Hiper Conservado'!$B$17:$C$25,2,FALSE),0%)</f>
        <v>0</v>
      </c>
      <c r="AVH3" s="5">
        <f>IFERROR(VLOOKUP(AVH$1,'Renta fija USD Hiper Conservado'!$B$17:$C$25,2,FALSE),0%)</f>
        <v>0</v>
      </c>
      <c r="AVI3" s="5">
        <f>IFERROR(VLOOKUP(AVI$1,'Renta fija USD Hiper Conservado'!$B$17:$C$25,2,FALSE),0%)</f>
        <v>0</v>
      </c>
      <c r="AVJ3" s="5">
        <f>IFERROR(VLOOKUP(AVJ$1,'Renta fija USD Hiper Conservado'!$B$17:$C$25,2,FALSE),0%)</f>
        <v>0</v>
      </c>
      <c r="AVK3" s="5">
        <f>IFERROR(VLOOKUP(AVK$1,'Renta fija USD Hiper Conservado'!$B$17:$C$25,2,FALSE),0%)</f>
        <v>0</v>
      </c>
      <c r="AVL3" s="5">
        <f>IFERROR(VLOOKUP(AVL$1,'Renta fija USD Hiper Conservado'!$B$17:$C$25,2,FALSE),0%)</f>
        <v>0</v>
      </c>
      <c r="AVM3" s="5">
        <f>IFERROR(VLOOKUP(AVM$1,'Renta fija USD Hiper Conservado'!$B$17:$C$25,2,FALSE),0%)</f>
        <v>0</v>
      </c>
      <c r="AVN3" s="5">
        <f>IFERROR(VLOOKUP(AVN$1,'Renta fija USD Hiper Conservado'!$B$17:$C$25,2,FALSE),0%)</f>
        <v>0</v>
      </c>
      <c r="AVO3" s="5">
        <f>IFERROR(VLOOKUP(AVO$1,'Renta fija USD Hiper Conservado'!$B$17:$C$25,2,FALSE),0%)</f>
        <v>0</v>
      </c>
      <c r="AVP3" s="5">
        <f>IFERROR(VLOOKUP(AVP$1,'Renta fija USD Hiper Conservado'!$B$17:$C$25,2,FALSE),0%)</f>
        <v>0</v>
      </c>
      <c r="AVQ3" s="5">
        <f>IFERROR(VLOOKUP(AVQ$1,'Renta fija USD Hiper Conservado'!$B$17:$C$25,2,FALSE),0%)</f>
        <v>0</v>
      </c>
      <c r="AVR3" s="5">
        <f>IFERROR(VLOOKUP(AVR$1,'Renta fija USD Hiper Conservado'!$B$17:$C$25,2,FALSE),0%)</f>
        <v>0</v>
      </c>
      <c r="AVS3" s="5">
        <f>IFERROR(VLOOKUP(AVS$1,'Renta fija USD Hiper Conservado'!$B$17:$C$25,2,FALSE),0%)</f>
        <v>0</v>
      </c>
      <c r="AVT3" s="5">
        <f>IFERROR(VLOOKUP(AVT$1,'Renta fija USD Hiper Conservado'!$B$17:$C$25,2,FALSE),0%)</f>
        <v>0</v>
      </c>
      <c r="AVU3" s="5">
        <f>IFERROR(VLOOKUP(AVU$1,'Renta fija USD Hiper Conservado'!$B$17:$C$25,2,FALSE),0%)</f>
        <v>0</v>
      </c>
      <c r="AVV3" s="5">
        <f>IFERROR(VLOOKUP(AVV$1,'Renta fija USD Hiper Conservado'!$B$17:$C$25,2,FALSE),0%)</f>
        <v>0</v>
      </c>
      <c r="AVW3" s="5">
        <f>IFERROR(VLOOKUP(AVW$1,'Renta fija USD Hiper Conservado'!$B$17:$C$25,2,FALSE),0%)</f>
        <v>0</v>
      </c>
      <c r="AVX3" s="5">
        <f>IFERROR(VLOOKUP(AVX$1,'Renta fija USD Hiper Conservado'!$B$17:$C$25,2,FALSE),0%)</f>
        <v>0</v>
      </c>
      <c r="AVY3" s="5">
        <f>IFERROR(VLOOKUP(AVY$1,'Renta fija USD Hiper Conservado'!$B$17:$C$25,2,FALSE),0%)</f>
        <v>0</v>
      </c>
      <c r="AVZ3" s="5">
        <f>IFERROR(VLOOKUP(AVZ$1,'Renta fija USD Hiper Conservado'!$B$17:$C$25,2,FALSE),0%)</f>
        <v>0</v>
      </c>
      <c r="AWA3" s="5">
        <f>IFERROR(VLOOKUP(AWA$1,'Renta fija USD Hiper Conservado'!$B$17:$C$25,2,FALSE),0%)</f>
        <v>0</v>
      </c>
      <c r="AWB3" s="5">
        <f>IFERROR(VLOOKUP(AWB$1,'Renta fija USD Hiper Conservado'!$B$17:$C$25,2,FALSE),0%)</f>
        <v>0</v>
      </c>
      <c r="AWC3" s="5">
        <f>IFERROR(VLOOKUP(AWC$1,'Renta fija USD Hiper Conservado'!$B$17:$C$25,2,FALSE),0%)</f>
        <v>0</v>
      </c>
      <c r="AWD3" s="5">
        <f>IFERROR(VLOOKUP(AWD$1,'Renta fija USD Hiper Conservado'!$B$17:$C$25,2,FALSE),0%)</f>
        <v>0</v>
      </c>
      <c r="AWE3" s="5">
        <f>IFERROR(VLOOKUP(AWE$1,'Renta fija USD Hiper Conservado'!$B$17:$C$25,2,FALSE),0%)</f>
        <v>0</v>
      </c>
      <c r="AWF3" s="5">
        <f>IFERROR(VLOOKUP(AWF$1,'Renta fija USD Hiper Conservado'!$B$17:$C$25,2,FALSE),0%)</f>
        <v>0</v>
      </c>
      <c r="AWG3" s="5">
        <f>IFERROR(VLOOKUP(AWG$1,'Renta fija USD Hiper Conservado'!$B$17:$C$25,2,FALSE),0%)</f>
        <v>0</v>
      </c>
      <c r="AWH3" s="5">
        <f>IFERROR(VLOOKUP(AWH$1,'Renta fija USD Hiper Conservado'!$B$17:$C$25,2,FALSE),0%)</f>
        <v>0</v>
      </c>
      <c r="AWI3" s="5">
        <f>IFERROR(VLOOKUP(AWI$1,'Renta fija USD Hiper Conservado'!$B$17:$C$25,2,FALSE),0%)</f>
        <v>0</v>
      </c>
      <c r="AWJ3" s="5">
        <f>IFERROR(VLOOKUP(AWJ$1,'Renta fija USD Hiper Conservado'!$B$17:$C$25,2,FALSE),0%)</f>
        <v>0</v>
      </c>
      <c r="AWK3" s="5">
        <f>IFERROR(VLOOKUP(AWK$1,'Renta fija USD Hiper Conservado'!$B$17:$C$25,2,FALSE),0%)</f>
        <v>0</v>
      </c>
      <c r="AWL3" s="5">
        <f>IFERROR(VLOOKUP(AWL$1,'Renta fija USD Hiper Conservado'!$B$17:$C$25,2,FALSE),0%)</f>
        <v>0</v>
      </c>
      <c r="AWM3" s="5">
        <f>IFERROR(VLOOKUP(AWM$1,'Renta fija USD Hiper Conservado'!$B$17:$C$25,2,FALSE),0%)</f>
        <v>0</v>
      </c>
      <c r="AWN3" s="5">
        <f>IFERROR(VLOOKUP(AWN$1,'Renta fija USD Hiper Conservado'!$B$17:$C$25,2,FALSE),0%)</f>
        <v>0</v>
      </c>
      <c r="AWO3" s="5">
        <f>IFERROR(VLOOKUP(AWO$1,'Renta fija USD Hiper Conservado'!$B$17:$C$25,2,FALSE),0%)</f>
        <v>0</v>
      </c>
      <c r="AWP3" s="5">
        <f>IFERROR(VLOOKUP(AWP$1,'Renta fija USD Hiper Conservado'!$B$17:$C$25,2,FALSE),0%)</f>
        <v>0</v>
      </c>
      <c r="AWQ3" s="5">
        <f>IFERROR(VLOOKUP(AWQ$1,'Renta fija USD Hiper Conservado'!$B$17:$C$25,2,FALSE),0%)</f>
        <v>0</v>
      </c>
      <c r="AWR3" s="5">
        <f>IFERROR(VLOOKUP(AWR$1,'Renta fija USD Hiper Conservado'!$B$17:$C$25,2,FALSE),0%)</f>
        <v>0</v>
      </c>
      <c r="AWS3" s="5">
        <f>IFERROR(VLOOKUP(AWS$1,'Renta fija USD Hiper Conservado'!$B$17:$C$25,2,FALSE),0%)</f>
        <v>0</v>
      </c>
      <c r="AWT3" s="5">
        <f>IFERROR(VLOOKUP(AWT$1,'Renta fija USD Hiper Conservado'!$B$17:$C$25,2,FALSE),0%)</f>
        <v>0</v>
      </c>
      <c r="AWU3" s="5">
        <f>IFERROR(VLOOKUP(AWU$1,'Renta fija USD Hiper Conservado'!$B$17:$C$25,2,FALSE),0%)</f>
        <v>0</v>
      </c>
      <c r="AWV3" s="5">
        <f>IFERROR(VLOOKUP(AWV$1,'Renta fija USD Hiper Conservado'!$B$17:$C$25,2,FALSE),0%)</f>
        <v>0</v>
      </c>
      <c r="AWW3" s="5">
        <f>IFERROR(VLOOKUP(AWW$1,'Renta fija USD Hiper Conservado'!$B$17:$C$25,2,FALSE),0%)</f>
        <v>0</v>
      </c>
      <c r="AWX3" s="5">
        <f>IFERROR(VLOOKUP(AWX$1,'Renta fija USD Hiper Conservado'!$B$17:$C$25,2,FALSE),0%)</f>
        <v>0</v>
      </c>
      <c r="AWY3" s="5">
        <f>IFERROR(VLOOKUP(AWY$1,'Renta fija USD Hiper Conservado'!$B$17:$C$25,2,FALSE),0%)</f>
        <v>0</v>
      </c>
      <c r="AWZ3" s="5">
        <f>IFERROR(VLOOKUP(AWZ$1,'Renta fija USD Hiper Conservado'!$B$17:$C$25,2,FALSE),0%)</f>
        <v>0</v>
      </c>
      <c r="AXA3" s="5">
        <f>IFERROR(VLOOKUP(AXA$1,'Renta fija USD Hiper Conservado'!$B$17:$C$25,2,FALSE),0%)</f>
        <v>0</v>
      </c>
      <c r="AXB3" s="5">
        <f>IFERROR(VLOOKUP(AXB$1,'Renta fija USD Hiper Conservado'!$B$17:$C$25,2,FALSE),0%)</f>
        <v>0</v>
      </c>
      <c r="AXC3" s="5">
        <f>IFERROR(VLOOKUP(AXC$1,'Renta fija USD Hiper Conservado'!$B$17:$C$25,2,FALSE),0%)</f>
        <v>0</v>
      </c>
      <c r="AXD3" s="5">
        <f>IFERROR(VLOOKUP(AXD$1,'Renta fija USD Hiper Conservado'!$B$17:$C$25,2,FALSE),0%)</f>
        <v>0</v>
      </c>
      <c r="AXE3" s="5">
        <f>IFERROR(VLOOKUP(AXE$1,'Renta fija USD Hiper Conservado'!$B$17:$C$25,2,FALSE),0%)</f>
        <v>0</v>
      </c>
      <c r="AXF3" s="5">
        <f>IFERROR(VLOOKUP(AXF$1,'Renta fija USD Hiper Conservado'!$B$17:$C$25,2,FALSE),0%)</f>
        <v>0</v>
      </c>
      <c r="AXG3" s="5">
        <f>IFERROR(VLOOKUP(AXG$1,'Renta fija USD Hiper Conservado'!$B$17:$C$25,2,FALSE),0%)</f>
        <v>0</v>
      </c>
      <c r="AXH3" s="5">
        <f>IFERROR(VLOOKUP(AXH$1,'Renta fija USD Hiper Conservado'!$B$17:$C$25,2,FALSE),0%)</f>
        <v>0</v>
      </c>
      <c r="AXI3" s="5">
        <f>IFERROR(VLOOKUP(AXI$1,'Renta fija USD Hiper Conservado'!$B$17:$C$25,2,FALSE),0%)</f>
        <v>0</v>
      </c>
      <c r="AXJ3" s="5">
        <f>IFERROR(VLOOKUP(AXJ$1,'Renta fija USD Hiper Conservado'!$B$17:$C$25,2,FALSE),0%)</f>
        <v>0</v>
      </c>
      <c r="AXK3" s="5">
        <f>IFERROR(VLOOKUP(AXK$1,'Renta fija USD Hiper Conservado'!$B$17:$C$25,2,FALSE),0%)</f>
        <v>0</v>
      </c>
      <c r="AXL3" s="5">
        <f>IFERROR(VLOOKUP(AXL$1,'Renta fija USD Hiper Conservado'!$B$17:$C$25,2,FALSE),0%)</f>
        <v>0</v>
      </c>
      <c r="AXM3" s="5">
        <f>IFERROR(VLOOKUP(AXM$1,'Renta fija USD Hiper Conservado'!$B$17:$C$25,2,FALSE),0%)</f>
        <v>0</v>
      </c>
      <c r="AXN3" s="5">
        <f>IFERROR(VLOOKUP(AXN$1,'Renta fija USD Hiper Conservado'!$B$17:$C$25,2,FALSE),0%)</f>
        <v>0</v>
      </c>
      <c r="AXO3" s="5">
        <f>IFERROR(VLOOKUP(AXO$1,'Renta fija USD Hiper Conservado'!$B$17:$C$25,2,FALSE),0%)</f>
        <v>0</v>
      </c>
      <c r="AXP3" s="5">
        <f>IFERROR(VLOOKUP(AXP$1,'Renta fija USD Hiper Conservado'!$B$17:$C$25,2,FALSE),0%)</f>
        <v>0</v>
      </c>
      <c r="AXQ3" s="5">
        <f>IFERROR(VLOOKUP(AXQ$1,'Renta fija USD Hiper Conservado'!$B$17:$C$25,2,FALSE),0%)</f>
        <v>0</v>
      </c>
      <c r="AXR3" s="5">
        <f>IFERROR(VLOOKUP(AXR$1,'Renta fija USD Hiper Conservado'!$B$17:$C$25,2,FALSE),0%)</f>
        <v>0</v>
      </c>
      <c r="AXS3" s="5">
        <f>IFERROR(VLOOKUP(AXS$1,'Renta fija USD Hiper Conservado'!$B$17:$C$25,2,FALSE),0%)</f>
        <v>0</v>
      </c>
      <c r="AXT3" s="5">
        <f>IFERROR(VLOOKUP(AXT$1,'Renta fija USD Hiper Conservado'!$B$17:$C$25,2,FALSE),0%)</f>
        <v>0</v>
      </c>
      <c r="AXU3" s="5">
        <f>IFERROR(VLOOKUP(AXU$1,'Renta fija USD Hiper Conservado'!$B$17:$C$25,2,FALSE),0%)</f>
        <v>0</v>
      </c>
      <c r="AXV3" s="5">
        <f>IFERROR(VLOOKUP(AXV$1,'Renta fija USD Hiper Conservado'!$B$17:$C$25,2,FALSE),0%)</f>
        <v>0</v>
      </c>
      <c r="AXW3" s="5">
        <f>IFERROR(VLOOKUP(AXW$1,'Renta fija USD Hiper Conservado'!$B$17:$C$25,2,FALSE),0%)</f>
        <v>0</v>
      </c>
      <c r="AXX3" s="5">
        <f>IFERROR(VLOOKUP(AXX$1,'Renta fija USD Hiper Conservado'!$B$17:$C$25,2,FALSE),0%)</f>
        <v>0</v>
      </c>
      <c r="AXY3" s="5">
        <f>IFERROR(VLOOKUP(AXY$1,'Renta fija USD Hiper Conservado'!$B$17:$C$25,2,FALSE),0%)</f>
        <v>0</v>
      </c>
      <c r="AXZ3" s="5">
        <f>IFERROR(VLOOKUP(AXZ$1,'Renta fija USD Hiper Conservado'!$B$17:$C$25,2,FALSE),0%)</f>
        <v>0</v>
      </c>
      <c r="AYA3" s="5">
        <f>IFERROR(VLOOKUP(AYA$1,'Renta fija USD Hiper Conservado'!$B$17:$C$25,2,FALSE),0%)</f>
        <v>0</v>
      </c>
      <c r="AYB3" s="5">
        <f>IFERROR(VLOOKUP(AYB$1,'Renta fija USD Hiper Conservado'!$B$17:$C$25,2,FALSE),0%)</f>
        <v>0</v>
      </c>
      <c r="AYC3" s="5">
        <f>IFERROR(VLOOKUP(AYC$1,'Renta fija USD Hiper Conservado'!$B$17:$C$25,2,FALSE),0%)</f>
        <v>0</v>
      </c>
      <c r="AYD3" s="5">
        <f>IFERROR(VLOOKUP(AYD$1,'Renta fija USD Hiper Conservado'!$B$17:$C$25,2,FALSE),0%)</f>
        <v>0</v>
      </c>
      <c r="AYE3" s="5">
        <f>IFERROR(VLOOKUP(AYE$1,'Renta fija USD Hiper Conservado'!$B$17:$C$25,2,FALSE),0%)</f>
        <v>0</v>
      </c>
      <c r="AYF3" s="5">
        <f>IFERROR(VLOOKUP(AYF$1,'Renta fija USD Hiper Conservado'!$B$17:$C$25,2,FALSE),0%)</f>
        <v>0</v>
      </c>
      <c r="AYG3" s="5">
        <f>IFERROR(VLOOKUP(AYG$1,'Renta fija USD Hiper Conservado'!$B$17:$C$25,2,FALSE),0%)</f>
        <v>0</v>
      </c>
      <c r="AYH3" s="5">
        <f>IFERROR(VLOOKUP(AYH$1,'Renta fija USD Hiper Conservado'!$B$17:$C$25,2,FALSE),0%)</f>
        <v>0</v>
      </c>
      <c r="AYI3" s="5">
        <f>IFERROR(VLOOKUP(AYI$1,'Renta fija USD Hiper Conservado'!$B$17:$C$25,2,FALSE),0%)</f>
        <v>0</v>
      </c>
      <c r="AYJ3" s="5">
        <f>IFERROR(VLOOKUP(AYJ$1,'Renta fija USD Hiper Conservado'!$B$17:$C$25,2,FALSE),0%)</f>
        <v>0</v>
      </c>
      <c r="AYK3" s="5">
        <f>IFERROR(VLOOKUP(AYK$1,'Renta fija USD Hiper Conservado'!$B$17:$C$25,2,FALSE),0%)</f>
        <v>0</v>
      </c>
      <c r="AYL3" s="5">
        <f>IFERROR(VLOOKUP(AYL$1,'Renta fija USD Hiper Conservado'!$B$17:$C$25,2,FALSE),0%)</f>
        <v>0</v>
      </c>
      <c r="AYM3" s="5">
        <f>IFERROR(VLOOKUP(AYM$1,'Renta fija USD Hiper Conservado'!$B$17:$C$25,2,FALSE),0%)</f>
        <v>0</v>
      </c>
      <c r="AYN3" s="5">
        <f>IFERROR(VLOOKUP(AYN$1,'Renta fija USD Hiper Conservado'!$B$17:$C$25,2,FALSE),0%)</f>
        <v>0</v>
      </c>
      <c r="AYO3" s="5">
        <f>IFERROR(VLOOKUP(AYO$1,'Renta fija USD Hiper Conservado'!$B$17:$C$25,2,FALSE),0%)</f>
        <v>0</v>
      </c>
      <c r="AYP3" s="5">
        <f>IFERROR(VLOOKUP(AYP$1,'Renta fija USD Hiper Conservado'!$B$17:$C$25,2,FALSE),0%)</f>
        <v>0</v>
      </c>
      <c r="AYQ3" s="5">
        <f>IFERROR(VLOOKUP(AYQ$1,'Renta fija USD Hiper Conservado'!$B$17:$C$25,2,FALSE),0%)</f>
        <v>0</v>
      </c>
      <c r="AYR3" s="5">
        <f>IFERROR(VLOOKUP(AYR$1,'Renta fija USD Hiper Conservado'!$B$17:$C$25,2,FALSE),0%)</f>
        <v>0</v>
      </c>
      <c r="AYS3" s="5">
        <f>IFERROR(VLOOKUP(AYS$1,'Renta fija USD Hiper Conservado'!$B$17:$C$25,2,FALSE),0%)</f>
        <v>0</v>
      </c>
      <c r="AYT3" s="5">
        <f>IFERROR(VLOOKUP(AYT$1,'Renta fija USD Hiper Conservado'!$B$17:$C$25,2,FALSE),0%)</f>
        <v>0</v>
      </c>
      <c r="AYU3" s="5">
        <f>IFERROR(VLOOKUP(AYU$1,'Renta fija USD Hiper Conservado'!$B$17:$C$25,2,FALSE),0%)</f>
        <v>0</v>
      </c>
      <c r="AYV3" s="5">
        <f>IFERROR(VLOOKUP(AYV$1,'Renta fija USD Hiper Conservado'!$B$17:$C$25,2,FALSE),0%)</f>
        <v>0</v>
      </c>
      <c r="AYW3" s="5">
        <f>IFERROR(VLOOKUP(AYW$1,'Renta fija USD Hiper Conservado'!$B$17:$C$25,2,FALSE),0%)</f>
        <v>0</v>
      </c>
      <c r="AYX3" s="5">
        <f>IFERROR(VLOOKUP(AYX$1,'Renta fija USD Hiper Conservado'!$B$17:$C$25,2,FALSE),0%)</f>
        <v>0</v>
      </c>
      <c r="AYY3" s="5">
        <f>IFERROR(VLOOKUP(AYY$1,'Renta fija USD Hiper Conservado'!$B$17:$C$25,2,FALSE),0%)</f>
        <v>0</v>
      </c>
      <c r="AYZ3" s="5">
        <f>IFERROR(VLOOKUP(AYZ$1,'Renta fija USD Hiper Conservado'!$B$17:$C$25,2,FALSE),0%)</f>
        <v>0</v>
      </c>
      <c r="AZA3" s="5">
        <f>IFERROR(VLOOKUP(AZA$1,'Renta fija USD Hiper Conservado'!$B$17:$C$25,2,FALSE),0%)</f>
        <v>0</v>
      </c>
      <c r="AZB3" s="5">
        <f>IFERROR(VLOOKUP(AZB$1,'Renta fija USD Hiper Conservado'!$B$17:$C$25,2,FALSE),0%)</f>
        <v>0</v>
      </c>
      <c r="AZC3" s="5">
        <f>IFERROR(VLOOKUP(AZC$1,'Renta fija USD Hiper Conservado'!$B$17:$C$25,2,FALSE),0%)</f>
        <v>0</v>
      </c>
      <c r="AZD3" s="5">
        <f>IFERROR(VLOOKUP(AZD$1,'Renta fija USD Hiper Conservado'!$B$17:$C$25,2,FALSE),0%)</f>
        <v>0</v>
      </c>
      <c r="AZE3" s="5">
        <f>IFERROR(VLOOKUP(AZE$1,'Renta fija USD Hiper Conservado'!$B$17:$C$25,2,FALSE),0%)</f>
        <v>0</v>
      </c>
      <c r="AZF3" s="5">
        <f>IFERROR(VLOOKUP(AZF$1,'Renta fija USD Hiper Conservado'!$B$17:$C$25,2,FALSE),0%)</f>
        <v>0</v>
      </c>
      <c r="AZG3" s="5">
        <f>IFERROR(VLOOKUP(AZG$1,'Renta fija USD Hiper Conservado'!$B$17:$C$25,2,FALSE),0%)</f>
        <v>0</v>
      </c>
      <c r="AZH3" s="5">
        <f>IFERROR(VLOOKUP(AZH$1,'Renta fija USD Hiper Conservado'!$B$17:$C$25,2,FALSE),0%)</f>
        <v>0</v>
      </c>
      <c r="AZI3" s="5">
        <f>IFERROR(VLOOKUP(AZI$1,'Renta fija USD Hiper Conservado'!$B$17:$C$25,2,FALSE),0%)</f>
        <v>0</v>
      </c>
      <c r="AZJ3" s="5">
        <f>IFERROR(VLOOKUP(AZJ$1,'Renta fija USD Hiper Conservado'!$B$17:$C$25,2,FALSE),0%)</f>
        <v>0</v>
      </c>
      <c r="AZK3" s="5">
        <f>IFERROR(VLOOKUP(AZK$1,'Renta fija USD Hiper Conservado'!$B$17:$C$25,2,FALSE),0%)</f>
        <v>0</v>
      </c>
      <c r="AZL3" s="5">
        <f>IFERROR(VLOOKUP(AZL$1,'Renta fija USD Hiper Conservado'!$B$17:$C$25,2,FALSE),0%)</f>
        <v>0</v>
      </c>
      <c r="AZM3" s="5">
        <f>IFERROR(VLOOKUP(AZM$1,'Renta fija USD Hiper Conservado'!$B$17:$C$25,2,FALSE),0%)</f>
        <v>0</v>
      </c>
      <c r="AZN3" s="5">
        <f>IFERROR(VLOOKUP(AZN$1,'Renta fija USD Hiper Conservado'!$B$17:$C$25,2,FALSE),0%)</f>
        <v>0</v>
      </c>
      <c r="AZO3" s="5">
        <f>IFERROR(VLOOKUP(AZO$1,'Renta fija USD Hiper Conservado'!$B$17:$C$25,2,FALSE),0%)</f>
        <v>0</v>
      </c>
      <c r="AZP3" s="5">
        <f>IFERROR(VLOOKUP(AZP$1,'Renta fija USD Hiper Conservado'!$B$17:$C$25,2,FALSE),0%)</f>
        <v>0</v>
      </c>
      <c r="AZQ3" s="5">
        <f>IFERROR(VLOOKUP(AZQ$1,'Renta fija USD Hiper Conservado'!$B$17:$C$25,2,FALSE),0%)</f>
        <v>0</v>
      </c>
      <c r="AZR3" s="5">
        <f>IFERROR(VLOOKUP(AZR$1,'Renta fija USD Hiper Conservado'!$B$17:$C$25,2,FALSE),0%)</f>
        <v>0</v>
      </c>
      <c r="AZS3" s="5">
        <f>IFERROR(VLOOKUP(AZS$1,'Renta fija USD Hiper Conservado'!$B$17:$C$25,2,FALSE),0%)</f>
        <v>0</v>
      </c>
      <c r="AZT3" s="5">
        <f>IFERROR(VLOOKUP(AZT$1,'Renta fija USD Hiper Conservado'!$B$17:$C$25,2,FALSE),0%)</f>
        <v>0</v>
      </c>
      <c r="AZU3" s="5">
        <f>IFERROR(VLOOKUP(AZU$1,'Renta fija USD Hiper Conservado'!$B$17:$C$25,2,FALSE),0%)</f>
        <v>0</v>
      </c>
      <c r="AZV3" s="5">
        <f>IFERROR(VLOOKUP(AZV$1,'Renta fija USD Hiper Conservado'!$B$17:$C$25,2,FALSE),0%)</f>
        <v>0</v>
      </c>
      <c r="AZW3" s="5">
        <f>IFERROR(VLOOKUP(AZW$1,'Renta fija USD Hiper Conservado'!$B$17:$C$25,2,FALSE),0%)</f>
        <v>0</v>
      </c>
      <c r="AZX3" s="5">
        <f>IFERROR(VLOOKUP(AZX$1,'Renta fija USD Hiper Conservado'!$B$17:$C$25,2,FALSE),0%)</f>
        <v>0</v>
      </c>
      <c r="AZY3" s="5">
        <f>IFERROR(VLOOKUP(AZY$1,'Renta fija USD Hiper Conservado'!$B$17:$C$25,2,FALSE),0%)</f>
        <v>0</v>
      </c>
      <c r="AZZ3" s="5">
        <f>IFERROR(VLOOKUP(AZZ$1,'Renta fija USD Hiper Conservado'!$B$17:$C$25,2,FALSE),0%)</f>
        <v>0</v>
      </c>
      <c r="BAA3" s="5">
        <f>IFERROR(VLOOKUP(BAA$1,'Renta fija USD Hiper Conservado'!$B$17:$C$25,2,FALSE),0%)</f>
        <v>0</v>
      </c>
      <c r="BAB3" s="5">
        <f>IFERROR(VLOOKUP(BAB$1,'Renta fija USD Hiper Conservado'!$B$17:$C$25,2,FALSE),0%)</f>
        <v>0</v>
      </c>
      <c r="BAC3" s="5">
        <f>IFERROR(VLOOKUP(BAC$1,'Renta fija USD Hiper Conservado'!$B$17:$C$25,2,FALSE),0%)</f>
        <v>0</v>
      </c>
      <c r="BAD3" s="5">
        <f>IFERROR(VLOOKUP(BAD$1,'Renta fija USD Hiper Conservado'!$B$17:$C$25,2,FALSE),0%)</f>
        <v>0</v>
      </c>
      <c r="BAE3" s="5">
        <f>IFERROR(VLOOKUP(BAE$1,'Renta fija USD Hiper Conservado'!$B$17:$C$25,2,FALSE),0%)</f>
        <v>0</v>
      </c>
      <c r="BAF3" s="5">
        <f>IFERROR(VLOOKUP(BAF$1,'Renta fija USD Hiper Conservado'!$B$17:$C$25,2,FALSE),0%)</f>
        <v>0</v>
      </c>
      <c r="BAG3" s="5">
        <f>IFERROR(VLOOKUP(BAG$1,'Renta fija USD Hiper Conservado'!$B$17:$C$25,2,FALSE),0%)</f>
        <v>0</v>
      </c>
      <c r="BAH3" s="5">
        <f>IFERROR(VLOOKUP(BAH$1,'Renta fija USD Hiper Conservado'!$B$17:$C$25,2,FALSE),0%)</f>
        <v>0</v>
      </c>
      <c r="BAI3" s="5">
        <f>IFERROR(VLOOKUP(BAI$1,'Renta fija USD Hiper Conservado'!$B$17:$C$25,2,FALSE),0%)</f>
        <v>0</v>
      </c>
      <c r="BAJ3" s="5">
        <f>IFERROR(VLOOKUP(BAJ$1,'Renta fija USD Hiper Conservado'!$B$17:$C$25,2,FALSE),0%)</f>
        <v>0</v>
      </c>
      <c r="BAK3" s="5">
        <f>IFERROR(VLOOKUP(BAK$1,'Renta fija USD Hiper Conservado'!$B$17:$C$25,2,FALSE),0%)</f>
        <v>0</v>
      </c>
      <c r="BAL3" s="5">
        <f>IFERROR(VLOOKUP(BAL$1,'Renta fija USD Hiper Conservado'!$B$17:$C$25,2,FALSE),0%)</f>
        <v>0</v>
      </c>
      <c r="BAM3" s="5">
        <f>IFERROR(VLOOKUP(BAM$1,'Renta fija USD Hiper Conservado'!$B$17:$C$25,2,FALSE),0%)</f>
        <v>0</v>
      </c>
      <c r="BAN3" s="5">
        <f>IFERROR(VLOOKUP(BAN$1,'Renta fija USD Hiper Conservado'!$B$17:$C$25,2,FALSE),0%)</f>
        <v>0</v>
      </c>
      <c r="BAO3" s="5">
        <f>IFERROR(VLOOKUP(BAO$1,'Renta fija USD Hiper Conservado'!$B$17:$C$25,2,FALSE),0%)</f>
        <v>0</v>
      </c>
      <c r="BAP3" s="5">
        <f>IFERROR(VLOOKUP(BAP$1,'Renta fija USD Hiper Conservado'!$B$17:$C$25,2,FALSE),0%)</f>
        <v>0</v>
      </c>
      <c r="BAQ3" s="5">
        <f>IFERROR(VLOOKUP(BAQ$1,'Renta fija USD Hiper Conservado'!$B$17:$C$25,2,FALSE),0%)</f>
        <v>0</v>
      </c>
      <c r="BAR3" s="5">
        <f>IFERROR(VLOOKUP(BAR$1,'Renta fija USD Hiper Conservado'!$B$17:$C$25,2,FALSE),0%)</f>
        <v>0</v>
      </c>
      <c r="BAS3" s="5">
        <f>IFERROR(VLOOKUP(BAS$1,'Renta fija USD Hiper Conservado'!$B$17:$C$25,2,FALSE),0%)</f>
        <v>0</v>
      </c>
      <c r="BAT3" s="5">
        <f>IFERROR(VLOOKUP(BAT$1,'Renta fija USD Hiper Conservado'!$B$17:$C$25,2,FALSE),0%)</f>
        <v>0</v>
      </c>
      <c r="BAU3" s="5">
        <f>IFERROR(VLOOKUP(BAU$1,'Renta fija USD Hiper Conservado'!$B$17:$C$25,2,FALSE),0%)</f>
        <v>0</v>
      </c>
      <c r="BAV3" s="5">
        <f>IFERROR(VLOOKUP(BAV$1,'Renta fija USD Hiper Conservado'!$B$17:$C$25,2,FALSE),0%)</f>
        <v>0</v>
      </c>
      <c r="BAW3" s="5">
        <f>IFERROR(VLOOKUP(BAW$1,'Renta fija USD Hiper Conservado'!$B$17:$C$25,2,FALSE),0%)</f>
        <v>0</v>
      </c>
      <c r="BAX3" s="5">
        <f>IFERROR(VLOOKUP(BAX$1,'Renta fija USD Hiper Conservado'!$B$17:$C$25,2,FALSE),0%)</f>
        <v>0</v>
      </c>
      <c r="BAY3" s="5">
        <f>IFERROR(VLOOKUP(BAY$1,'Renta fija USD Hiper Conservado'!$B$17:$C$25,2,FALSE),0%)</f>
        <v>0</v>
      </c>
      <c r="BAZ3" s="5">
        <f>IFERROR(VLOOKUP(BAZ$1,'Renta fija USD Hiper Conservado'!$B$17:$C$25,2,FALSE),0%)</f>
        <v>0</v>
      </c>
      <c r="BBA3" s="5">
        <f>IFERROR(VLOOKUP(BBA$1,'Renta fija USD Hiper Conservado'!$B$17:$C$25,2,FALSE),0%)</f>
        <v>0</v>
      </c>
      <c r="BBB3" s="5">
        <f>IFERROR(VLOOKUP(BBB$1,'Renta fija USD Hiper Conservado'!$B$17:$C$25,2,FALSE),0%)</f>
        <v>0</v>
      </c>
      <c r="BBC3" s="5">
        <f>IFERROR(VLOOKUP(BBC$1,'Renta fija USD Hiper Conservado'!$B$17:$C$25,2,FALSE),0%)</f>
        <v>0</v>
      </c>
      <c r="BBD3" s="5">
        <f>IFERROR(VLOOKUP(BBD$1,'Renta fija USD Hiper Conservado'!$B$17:$C$25,2,FALSE),0%)</f>
        <v>0</v>
      </c>
      <c r="BBE3" s="5">
        <f>IFERROR(VLOOKUP(BBE$1,'Renta fija USD Hiper Conservado'!$B$17:$C$25,2,FALSE),0%)</f>
        <v>0</v>
      </c>
      <c r="BBF3" s="5">
        <f>IFERROR(VLOOKUP(BBF$1,'Renta fija USD Hiper Conservado'!$B$17:$C$25,2,FALSE),0%)</f>
        <v>0</v>
      </c>
      <c r="BBG3" s="5">
        <f>IFERROR(VLOOKUP(BBG$1,'Renta fija USD Hiper Conservado'!$B$17:$C$25,2,FALSE),0%)</f>
        <v>0</v>
      </c>
      <c r="BBH3" s="5">
        <f>IFERROR(VLOOKUP(BBH$1,'Renta fija USD Hiper Conservado'!$B$17:$C$25,2,FALSE),0%)</f>
        <v>0</v>
      </c>
      <c r="BBI3" s="5">
        <f>IFERROR(VLOOKUP(BBI$1,'Renta fija USD Hiper Conservado'!$B$17:$C$25,2,FALSE),0%)</f>
        <v>0</v>
      </c>
      <c r="BBJ3" s="5">
        <f>IFERROR(VLOOKUP(BBJ$1,'Renta fija USD Hiper Conservado'!$B$17:$C$25,2,FALSE),0%)</f>
        <v>0</v>
      </c>
      <c r="BBK3" s="5">
        <f>IFERROR(VLOOKUP(BBK$1,'Renta fija USD Hiper Conservado'!$B$17:$C$25,2,FALSE),0%)</f>
        <v>0</v>
      </c>
      <c r="BBL3" s="5">
        <f>IFERROR(VLOOKUP(BBL$1,'Renta fija USD Hiper Conservado'!$B$17:$C$25,2,FALSE),0%)</f>
        <v>0</v>
      </c>
      <c r="BBM3" s="5">
        <f>IFERROR(VLOOKUP(BBM$1,'Renta fija USD Hiper Conservado'!$B$17:$C$25,2,FALSE),0%)</f>
        <v>0</v>
      </c>
      <c r="BBN3" s="5">
        <f>IFERROR(VLOOKUP(BBN$1,'Renta fija USD Hiper Conservado'!$B$17:$C$25,2,FALSE),0%)</f>
        <v>0</v>
      </c>
      <c r="BBO3" s="5">
        <f>IFERROR(VLOOKUP(BBO$1,'Renta fija USD Hiper Conservado'!$B$17:$C$25,2,FALSE),0%)</f>
        <v>0</v>
      </c>
      <c r="BBP3" s="5">
        <f>IFERROR(VLOOKUP(BBP$1,'Renta fija USD Hiper Conservado'!$B$17:$C$25,2,FALSE),0%)</f>
        <v>0</v>
      </c>
      <c r="BBQ3" s="5">
        <f>IFERROR(VLOOKUP(BBQ$1,'Renta fija USD Hiper Conservado'!$B$17:$C$25,2,FALSE),0%)</f>
        <v>0</v>
      </c>
      <c r="BBR3" s="5">
        <f>IFERROR(VLOOKUP(BBR$1,'Renta fija USD Hiper Conservado'!$B$17:$C$25,2,FALSE),0%)</f>
        <v>0</v>
      </c>
      <c r="BBS3" s="5">
        <f>IFERROR(VLOOKUP(BBS$1,'Renta fija USD Hiper Conservado'!$B$17:$C$25,2,FALSE),0%)</f>
        <v>0</v>
      </c>
      <c r="BBT3" s="5">
        <f>IFERROR(VLOOKUP(BBT$1,'Renta fija USD Hiper Conservado'!$B$17:$C$25,2,FALSE),0%)</f>
        <v>0</v>
      </c>
      <c r="BBU3" s="5">
        <f>IFERROR(VLOOKUP(BBU$1,'Renta fija USD Hiper Conservado'!$B$17:$C$25,2,FALSE),0%)</f>
        <v>0</v>
      </c>
      <c r="BBV3" s="5">
        <f>IFERROR(VLOOKUP(BBV$1,'Renta fija USD Hiper Conservado'!$B$17:$C$25,2,FALSE),0%)</f>
        <v>0</v>
      </c>
      <c r="BBW3" s="5">
        <f>IFERROR(VLOOKUP(BBW$1,'Renta fija USD Hiper Conservado'!$B$17:$C$25,2,FALSE),0%)</f>
        <v>0</v>
      </c>
      <c r="BBX3" s="5">
        <f>IFERROR(VLOOKUP(BBX$1,'Renta fija USD Hiper Conservado'!$B$17:$C$25,2,FALSE),0%)</f>
        <v>0</v>
      </c>
      <c r="BBY3" s="5">
        <f>IFERROR(VLOOKUP(BBY$1,'Renta fija USD Hiper Conservado'!$B$17:$C$25,2,FALSE),0%)</f>
        <v>0</v>
      </c>
      <c r="BBZ3" s="5">
        <f>IFERROR(VLOOKUP(BBZ$1,'Renta fija USD Hiper Conservado'!$B$17:$C$25,2,FALSE),0%)</f>
        <v>0</v>
      </c>
      <c r="BCA3" s="5">
        <f>IFERROR(VLOOKUP(BCA$1,'Renta fija USD Hiper Conservado'!$B$17:$C$25,2,FALSE),0%)</f>
        <v>0</v>
      </c>
      <c r="BCB3" s="5">
        <f>IFERROR(VLOOKUP(BCB$1,'Renta fija USD Hiper Conservado'!$B$17:$C$25,2,FALSE),0%)</f>
        <v>0</v>
      </c>
      <c r="BCC3" s="5">
        <f>IFERROR(VLOOKUP(BCC$1,'Renta fija USD Hiper Conservado'!$B$17:$C$25,2,FALSE),0%)</f>
        <v>0</v>
      </c>
      <c r="BCD3" s="5">
        <f>IFERROR(VLOOKUP(BCD$1,'Renta fija USD Hiper Conservado'!$B$17:$C$25,2,FALSE),0%)</f>
        <v>0</v>
      </c>
      <c r="BCE3" s="5">
        <f>IFERROR(VLOOKUP(BCE$1,'Renta fija USD Hiper Conservado'!$B$17:$C$25,2,FALSE),0%)</f>
        <v>0</v>
      </c>
      <c r="BCF3" s="5">
        <f>IFERROR(VLOOKUP(BCF$1,'Renta fija USD Hiper Conservado'!$B$17:$C$25,2,FALSE),0%)</f>
        <v>0</v>
      </c>
      <c r="BCG3" s="5">
        <f>IFERROR(VLOOKUP(BCG$1,'Renta fija USD Hiper Conservado'!$B$17:$C$25,2,FALSE),0%)</f>
        <v>0</v>
      </c>
      <c r="BCH3" s="5">
        <f>IFERROR(VLOOKUP(BCH$1,'Renta fija USD Hiper Conservado'!$B$17:$C$25,2,FALSE),0%)</f>
        <v>0</v>
      </c>
      <c r="BCI3" s="5">
        <f>IFERROR(VLOOKUP(BCI$1,'Renta fija USD Hiper Conservado'!$B$17:$C$25,2,FALSE),0%)</f>
        <v>0</v>
      </c>
      <c r="BCJ3" s="5">
        <f>IFERROR(VLOOKUP(BCJ$1,'Renta fija USD Hiper Conservado'!$B$17:$C$25,2,FALSE),0%)</f>
        <v>0</v>
      </c>
      <c r="BCK3" s="5">
        <f>IFERROR(VLOOKUP(BCK$1,'Renta fija USD Hiper Conservado'!$B$17:$C$25,2,FALSE),0%)</f>
        <v>0</v>
      </c>
      <c r="BCL3" s="5">
        <f>IFERROR(VLOOKUP(BCL$1,'Renta fija USD Hiper Conservado'!$B$17:$C$25,2,FALSE),0%)</f>
        <v>0</v>
      </c>
      <c r="BCM3" s="5">
        <f>IFERROR(VLOOKUP(BCM$1,'Renta fija USD Hiper Conservado'!$B$17:$C$25,2,FALSE),0%)</f>
        <v>0</v>
      </c>
      <c r="BCN3" s="5">
        <f>IFERROR(VLOOKUP(BCN$1,'Renta fija USD Hiper Conservado'!$B$17:$C$25,2,FALSE),0%)</f>
        <v>0</v>
      </c>
      <c r="BCO3" s="5">
        <f>IFERROR(VLOOKUP(BCO$1,'Renta fija USD Hiper Conservado'!$B$17:$C$25,2,FALSE),0%)</f>
        <v>0</v>
      </c>
      <c r="BCP3" s="5">
        <f>IFERROR(VLOOKUP(BCP$1,'Renta fija USD Hiper Conservado'!$B$17:$C$25,2,FALSE),0%)</f>
        <v>0</v>
      </c>
      <c r="BCQ3" s="5">
        <f>IFERROR(VLOOKUP(BCQ$1,'Renta fija USD Hiper Conservado'!$B$17:$C$25,2,FALSE),0%)</f>
        <v>0</v>
      </c>
      <c r="BCR3" s="5">
        <f>IFERROR(VLOOKUP(BCR$1,'Renta fija USD Hiper Conservado'!$B$17:$C$25,2,FALSE),0%)</f>
        <v>0</v>
      </c>
      <c r="BCS3" s="5">
        <f>IFERROR(VLOOKUP(BCS$1,'Renta fija USD Hiper Conservado'!$B$17:$C$25,2,FALSE),0%)</f>
        <v>0</v>
      </c>
      <c r="BCT3" s="5">
        <f>IFERROR(VLOOKUP(BCT$1,'Renta fija USD Hiper Conservado'!$B$17:$C$25,2,FALSE),0%)</f>
        <v>0</v>
      </c>
      <c r="BCU3" s="5">
        <f>IFERROR(VLOOKUP(BCU$1,'Renta fija USD Hiper Conservado'!$B$17:$C$25,2,FALSE),0%)</f>
        <v>0</v>
      </c>
      <c r="BCV3" s="5">
        <f>IFERROR(VLOOKUP(BCV$1,'Renta fija USD Hiper Conservado'!$B$17:$C$25,2,FALSE),0%)</f>
        <v>0</v>
      </c>
      <c r="BCW3" s="5">
        <f>IFERROR(VLOOKUP(BCW$1,'Renta fija USD Hiper Conservado'!$B$17:$C$25,2,FALSE),0%)</f>
        <v>0</v>
      </c>
      <c r="BCX3" s="5">
        <f>IFERROR(VLOOKUP(BCX$1,'Renta fija USD Hiper Conservado'!$B$17:$C$25,2,FALSE),0%)</f>
        <v>0</v>
      </c>
      <c r="BCY3" s="5">
        <f>IFERROR(VLOOKUP(BCY$1,'Renta fija USD Hiper Conservado'!$B$17:$C$25,2,FALSE),0%)</f>
        <v>0</v>
      </c>
      <c r="BCZ3" s="5">
        <f>IFERROR(VLOOKUP(BCZ$1,'Renta fija USD Hiper Conservado'!$B$17:$C$25,2,FALSE),0%)</f>
        <v>0</v>
      </c>
      <c r="BDA3" s="5">
        <f>IFERROR(VLOOKUP(BDA$1,'Renta fija USD Hiper Conservado'!$B$17:$C$25,2,FALSE),0%)</f>
        <v>0</v>
      </c>
      <c r="BDB3" s="5">
        <f>IFERROR(VLOOKUP(BDB$1,'Renta fija USD Hiper Conservado'!$B$17:$C$25,2,FALSE),0%)</f>
        <v>0</v>
      </c>
      <c r="BDC3" s="5">
        <f>IFERROR(VLOOKUP(BDC$1,'Renta fija USD Hiper Conservado'!$B$17:$C$25,2,FALSE),0%)</f>
        <v>0</v>
      </c>
      <c r="BDD3" s="5">
        <f>IFERROR(VLOOKUP(BDD$1,'Renta fija USD Hiper Conservado'!$B$17:$C$25,2,FALSE),0%)</f>
        <v>0</v>
      </c>
      <c r="BDE3" s="5">
        <f>IFERROR(VLOOKUP(BDE$1,'Renta fija USD Hiper Conservado'!$B$17:$C$25,2,FALSE),0%)</f>
        <v>0</v>
      </c>
      <c r="BDF3" s="5">
        <f>IFERROR(VLOOKUP(BDF$1,'Renta fija USD Hiper Conservado'!$B$17:$C$25,2,FALSE),0%)</f>
        <v>0</v>
      </c>
      <c r="BDG3" s="5">
        <f>IFERROR(VLOOKUP(BDG$1,'Renta fija USD Hiper Conservado'!$B$17:$C$25,2,FALSE),0%)</f>
        <v>0</v>
      </c>
      <c r="BDH3" s="5">
        <f>IFERROR(VLOOKUP(BDH$1,'Renta fija USD Hiper Conservado'!$B$17:$C$25,2,FALSE),0%)</f>
        <v>0</v>
      </c>
      <c r="BDI3" s="5">
        <f>IFERROR(VLOOKUP(BDI$1,'Renta fija USD Hiper Conservado'!$B$17:$C$25,2,FALSE),0%)</f>
        <v>0</v>
      </c>
      <c r="BDJ3" s="5">
        <f>IFERROR(VLOOKUP(BDJ$1,'Renta fija USD Hiper Conservado'!$B$17:$C$25,2,FALSE),0%)</f>
        <v>0</v>
      </c>
      <c r="BDK3" s="5">
        <f>IFERROR(VLOOKUP(BDK$1,'Renta fija USD Hiper Conservado'!$B$17:$C$25,2,FALSE),0%)</f>
        <v>0</v>
      </c>
      <c r="BDL3" s="5">
        <f>IFERROR(VLOOKUP(BDL$1,'Renta fija USD Hiper Conservado'!$B$17:$C$25,2,FALSE),0%)</f>
        <v>0</v>
      </c>
      <c r="BDM3" s="5">
        <f>IFERROR(VLOOKUP(BDM$1,'Renta fija USD Hiper Conservado'!$B$17:$C$25,2,FALSE),0%)</f>
        <v>0</v>
      </c>
      <c r="BDN3" s="5">
        <f>IFERROR(VLOOKUP(BDN$1,'Renta fija USD Hiper Conservado'!$B$17:$C$25,2,FALSE),0%)</f>
        <v>0</v>
      </c>
      <c r="BDO3" s="5">
        <f>IFERROR(VLOOKUP(BDO$1,'Renta fija USD Hiper Conservado'!$B$17:$C$25,2,FALSE),0%)</f>
        <v>0</v>
      </c>
      <c r="BDP3" s="5">
        <f>IFERROR(VLOOKUP(BDP$1,'Renta fija USD Hiper Conservado'!$B$17:$C$25,2,FALSE),0%)</f>
        <v>0</v>
      </c>
      <c r="BDQ3" s="5">
        <f>IFERROR(VLOOKUP(BDQ$1,'Renta fija USD Hiper Conservado'!$B$17:$C$25,2,FALSE),0%)</f>
        <v>0</v>
      </c>
      <c r="BDR3" s="5">
        <f>IFERROR(VLOOKUP(BDR$1,'Renta fija USD Hiper Conservado'!$B$17:$C$25,2,FALSE),0%)</f>
        <v>0</v>
      </c>
      <c r="BDS3" s="5">
        <f>IFERROR(VLOOKUP(BDS$1,'Renta fija USD Hiper Conservado'!$B$17:$C$25,2,FALSE),0%)</f>
        <v>0</v>
      </c>
      <c r="BDT3" s="5">
        <f>IFERROR(VLOOKUP(BDT$1,'Renta fija USD Hiper Conservado'!$B$17:$C$25,2,FALSE),0%)</f>
        <v>0</v>
      </c>
      <c r="BDU3" s="5">
        <f>IFERROR(VLOOKUP(BDU$1,'Renta fija USD Hiper Conservado'!$B$17:$C$25,2,FALSE),0%)</f>
        <v>0</v>
      </c>
      <c r="BDV3" s="5">
        <f>IFERROR(VLOOKUP(BDV$1,'Renta fija USD Hiper Conservado'!$B$17:$C$25,2,FALSE),0%)</f>
        <v>0</v>
      </c>
      <c r="BDW3" s="5">
        <f>IFERROR(VLOOKUP(BDW$1,'Renta fija USD Hiper Conservado'!$B$17:$C$25,2,FALSE),0%)</f>
        <v>0</v>
      </c>
      <c r="BDX3" s="5">
        <f>IFERROR(VLOOKUP(BDX$1,'Renta fija USD Hiper Conservado'!$B$17:$C$25,2,FALSE),0%)</f>
        <v>0</v>
      </c>
      <c r="BDY3" s="5">
        <f>IFERROR(VLOOKUP(BDY$1,'Renta fija USD Hiper Conservado'!$B$17:$C$25,2,FALSE),0%)</f>
        <v>0</v>
      </c>
      <c r="BDZ3" s="5">
        <f>IFERROR(VLOOKUP(BDZ$1,'Renta fija USD Hiper Conservado'!$B$17:$C$25,2,FALSE),0%)</f>
        <v>0</v>
      </c>
      <c r="BEA3" s="5">
        <f>IFERROR(VLOOKUP(BEA$1,'Renta fija USD Hiper Conservado'!$B$17:$C$25,2,FALSE),0%)</f>
        <v>0</v>
      </c>
      <c r="BEB3" s="5">
        <f>IFERROR(VLOOKUP(BEB$1,'Renta fija USD Hiper Conservado'!$B$17:$C$25,2,FALSE),0%)</f>
        <v>0</v>
      </c>
      <c r="BEC3" s="5">
        <f>IFERROR(VLOOKUP(BEC$1,'Renta fija USD Hiper Conservado'!$B$17:$C$25,2,FALSE),0%)</f>
        <v>0</v>
      </c>
      <c r="BED3" s="5">
        <f>IFERROR(VLOOKUP(BED$1,'Renta fija USD Hiper Conservado'!$B$17:$C$25,2,FALSE),0%)</f>
        <v>0</v>
      </c>
      <c r="BEE3" s="5">
        <f>IFERROR(VLOOKUP(BEE$1,'Renta fija USD Hiper Conservado'!$B$17:$C$25,2,FALSE),0%)</f>
        <v>0</v>
      </c>
      <c r="BEF3" s="5">
        <f>IFERROR(VLOOKUP(BEF$1,'Renta fija USD Hiper Conservado'!$B$17:$C$25,2,FALSE),0%)</f>
        <v>0</v>
      </c>
      <c r="BEG3" s="5">
        <f>IFERROR(VLOOKUP(BEG$1,'Renta fija USD Hiper Conservado'!$B$17:$C$25,2,FALSE),0%)</f>
        <v>0</v>
      </c>
      <c r="BEH3" s="5">
        <f>IFERROR(VLOOKUP(BEH$1,'Renta fija USD Hiper Conservado'!$B$17:$C$25,2,FALSE),0%)</f>
        <v>0</v>
      </c>
      <c r="BEI3" s="5">
        <f>IFERROR(VLOOKUP(BEI$1,'Renta fija USD Hiper Conservado'!$B$17:$C$25,2,FALSE),0%)</f>
        <v>0</v>
      </c>
      <c r="BEJ3" s="5">
        <f>IFERROR(VLOOKUP(BEJ$1,'Renta fija USD Hiper Conservado'!$B$17:$C$25,2,FALSE),0%)</f>
        <v>0</v>
      </c>
      <c r="BEK3" s="5">
        <f>IFERROR(VLOOKUP(BEK$1,'Renta fija USD Hiper Conservado'!$B$17:$C$25,2,FALSE),0%)</f>
        <v>0</v>
      </c>
      <c r="BEL3" s="5">
        <f>IFERROR(VLOOKUP(BEL$1,'Renta fija USD Hiper Conservado'!$B$17:$C$25,2,FALSE),0%)</f>
        <v>0</v>
      </c>
      <c r="BEM3" s="5">
        <f>IFERROR(VLOOKUP(BEM$1,'Renta fija USD Hiper Conservado'!$B$17:$C$25,2,FALSE),0%)</f>
        <v>0</v>
      </c>
      <c r="BEN3" s="5">
        <f>IFERROR(VLOOKUP(BEN$1,'Renta fija USD Hiper Conservado'!$B$17:$C$25,2,FALSE),0%)</f>
        <v>0</v>
      </c>
      <c r="BEO3" s="5">
        <f>IFERROR(VLOOKUP(BEO$1,'Renta fija USD Hiper Conservado'!$B$17:$C$25,2,FALSE),0%)</f>
        <v>0</v>
      </c>
      <c r="BEP3" s="5">
        <f>IFERROR(VLOOKUP(BEP$1,'Renta fija USD Hiper Conservado'!$B$17:$C$25,2,FALSE),0%)</f>
        <v>0</v>
      </c>
      <c r="BEQ3" s="5">
        <f>IFERROR(VLOOKUP(BEQ$1,'Renta fija USD Hiper Conservado'!$B$17:$C$25,2,FALSE),0%)</f>
        <v>0</v>
      </c>
      <c r="BER3" s="5">
        <f>IFERROR(VLOOKUP(BER$1,'Renta fija USD Hiper Conservado'!$B$17:$C$25,2,FALSE),0%)</f>
        <v>0</v>
      </c>
      <c r="BES3" s="5">
        <f>IFERROR(VLOOKUP(BES$1,'Renta fija USD Hiper Conservado'!$B$17:$C$25,2,FALSE),0%)</f>
        <v>0</v>
      </c>
      <c r="BET3" s="5">
        <f>IFERROR(VLOOKUP(BET$1,'Renta fija USD Hiper Conservado'!$B$17:$C$25,2,FALSE),0%)</f>
        <v>0</v>
      </c>
      <c r="BEU3" s="5">
        <f>IFERROR(VLOOKUP(BEU$1,'Renta fija USD Hiper Conservado'!$B$17:$C$25,2,FALSE),0%)</f>
        <v>0</v>
      </c>
      <c r="BEV3" s="5">
        <f>IFERROR(VLOOKUP(BEV$1,'Renta fija USD Hiper Conservado'!$B$17:$C$25,2,FALSE),0%)</f>
        <v>0</v>
      </c>
      <c r="BEW3" s="5">
        <f>IFERROR(VLOOKUP(BEW$1,'Renta fija USD Hiper Conservado'!$B$17:$C$25,2,FALSE),0%)</f>
        <v>0</v>
      </c>
      <c r="BEX3" s="5">
        <f>IFERROR(VLOOKUP(BEX$1,'Renta fija USD Hiper Conservado'!$B$17:$C$25,2,FALSE),0%)</f>
        <v>0</v>
      </c>
      <c r="BEY3" s="5">
        <f>IFERROR(VLOOKUP(BEY$1,'Renta fija USD Hiper Conservado'!$B$17:$C$25,2,FALSE),0%)</f>
        <v>0</v>
      </c>
      <c r="BEZ3" s="5">
        <f>IFERROR(VLOOKUP(BEZ$1,'Renta fija USD Hiper Conservado'!$B$17:$C$25,2,FALSE),0%)</f>
        <v>0</v>
      </c>
      <c r="BFA3" s="5">
        <f>IFERROR(VLOOKUP(BFA$1,'Renta fija USD Hiper Conservado'!$B$17:$C$25,2,FALSE),0%)</f>
        <v>0</v>
      </c>
      <c r="BFB3" s="5">
        <f>IFERROR(VLOOKUP(BFB$1,'Renta fija USD Hiper Conservado'!$B$17:$C$25,2,FALSE),0%)</f>
        <v>0</v>
      </c>
      <c r="BFC3" s="5">
        <f>IFERROR(VLOOKUP(BFC$1,'Renta fija USD Hiper Conservado'!$B$17:$C$25,2,FALSE),0%)</f>
        <v>0</v>
      </c>
      <c r="BFD3" s="5">
        <f>IFERROR(VLOOKUP(BFD$1,'Renta fija USD Hiper Conservado'!$B$17:$C$25,2,FALSE),0%)</f>
        <v>0</v>
      </c>
      <c r="BFE3" s="5">
        <f>IFERROR(VLOOKUP(BFE$1,'Renta fija USD Hiper Conservado'!$B$17:$C$25,2,FALSE),0%)</f>
        <v>0</v>
      </c>
      <c r="BFF3" s="5">
        <f>IFERROR(VLOOKUP(BFF$1,'Renta fija USD Hiper Conservado'!$B$17:$C$25,2,FALSE),0%)</f>
        <v>0</v>
      </c>
      <c r="BFG3" s="5">
        <f>IFERROR(VLOOKUP(BFG$1,'Renta fija USD Hiper Conservado'!$B$17:$C$25,2,FALSE),0%)</f>
        <v>0</v>
      </c>
      <c r="BFH3" s="5">
        <f>IFERROR(VLOOKUP(BFH$1,'Renta fija USD Hiper Conservado'!$B$17:$C$25,2,FALSE),0%)</f>
        <v>0</v>
      </c>
      <c r="BFI3" s="5">
        <f>IFERROR(VLOOKUP(BFI$1,'Renta fija USD Hiper Conservado'!$B$17:$C$25,2,FALSE),0%)</f>
        <v>0</v>
      </c>
      <c r="BFJ3" s="5">
        <f>IFERROR(VLOOKUP(BFJ$1,'Renta fija USD Hiper Conservado'!$B$17:$C$25,2,FALSE),0%)</f>
        <v>0</v>
      </c>
      <c r="BFK3" s="5">
        <f>IFERROR(VLOOKUP(BFK$1,'Renta fija USD Hiper Conservado'!$B$17:$C$25,2,FALSE),0%)</f>
        <v>0</v>
      </c>
      <c r="BFL3" s="5">
        <f>IFERROR(VLOOKUP(BFL$1,'Renta fija USD Hiper Conservado'!$B$17:$C$25,2,FALSE),0%)</f>
        <v>0</v>
      </c>
      <c r="BFM3" s="5">
        <f>IFERROR(VLOOKUP(BFM$1,'Renta fija USD Hiper Conservado'!$B$17:$C$25,2,FALSE),0%)</f>
        <v>0</v>
      </c>
      <c r="BFN3" s="5">
        <f>IFERROR(VLOOKUP(BFN$1,'Renta fija USD Hiper Conservado'!$B$17:$C$25,2,FALSE),0%)</f>
        <v>0</v>
      </c>
      <c r="BFO3" s="5">
        <f>IFERROR(VLOOKUP(BFO$1,'Renta fija USD Hiper Conservado'!$B$17:$C$25,2,FALSE),0%)</f>
        <v>0</v>
      </c>
      <c r="BFP3" s="5">
        <f>IFERROR(VLOOKUP(BFP$1,'Renta fija USD Hiper Conservado'!$B$17:$C$25,2,FALSE),0%)</f>
        <v>0</v>
      </c>
      <c r="BFQ3" s="5">
        <f>IFERROR(VLOOKUP(BFQ$1,'Renta fija USD Hiper Conservado'!$B$17:$C$25,2,FALSE),0%)</f>
        <v>0</v>
      </c>
      <c r="BFR3" s="5">
        <f>IFERROR(VLOOKUP(BFR$1,'Renta fija USD Hiper Conservado'!$B$17:$C$25,2,FALSE),0%)</f>
        <v>0</v>
      </c>
      <c r="BFS3" s="5">
        <f>IFERROR(VLOOKUP(BFS$1,'Renta fija USD Hiper Conservado'!$B$17:$C$25,2,FALSE),0%)</f>
        <v>0</v>
      </c>
      <c r="BFT3" s="5">
        <f>IFERROR(VLOOKUP(BFT$1,'Renta fija USD Hiper Conservado'!$B$17:$C$25,2,FALSE),0%)</f>
        <v>0</v>
      </c>
      <c r="BFU3" s="5">
        <f>IFERROR(VLOOKUP(BFU$1,'Renta fija USD Hiper Conservado'!$B$17:$C$25,2,FALSE),0%)</f>
        <v>0</v>
      </c>
      <c r="BFV3" s="5">
        <f>IFERROR(VLOOKUP(BFV$1,'Renta fija USD Hiper Conservado'!$B$17:$C$25,2,FALSE),0%)</f>
        <v>0</v>
      </c>
      <c r="BFW3" s="5">
        <f>IFERROR(VLOOKUP(BFW$1,'Renta fija USD Hiper Conservado'!$B$17:$C$25,2,FALSE),0%)</f>
        <v>0</v>
      </c>
      <c r="BFX3" s="5">
        <f>IFERROR(VLOOKUP(BFX$1,'Renta fija USD Hiper Conservado'!$B$17:$C$25,2,FALSE),0%)</f>
        <v>0</v>
      </c>
      <c r="BFY3" s="5">
        <f>IFERROR(VLOOKUP(BFY$1,'Renta fija USD Hiper Conservado'!$B$17:$C$25,2,FALSE),0%)</f>
        <v>0</v>
      </c>
      <c r="BFZ3" s="5">
        <f>IFERROR(VLOOKUP(BFZ$1,'Renta fija USD Hiper Conservado'!$B$17:$C$25,2,FALSE),0%)</f>
        <v>0</v>
      </c>
      <c r="BGA3" s="5">
        <f>IFERROR(VLOOKUP(BGA$1,'Renta fija USD Hiper Conservado'!$B$17:$C$25,2,FALSE),0%)</f>
        <v>0</v>
      </c>
      <c r="BGB3" s="5">
        <f>IFERROR(VLOOKUP(BGB$1,'Renta fija USD Hiper Conservado'!$B$17:$C$25,2,FALSE),0%)</f>
        <v>0</v>
      </c>
      <c r="BGC3" s="5">
        <f>IFERROR(VLOOKUP(BGC$1,'Renta fija USD Hiper Conservado'!$B$17:$C$25,2,FALSE),0%)</f>
        <v>0</v>
      </c>
      <c r="BGD3" s="5">
        <f>IFERROR(VLOOKUP(BGD$1,'Renta fija USD Hiper Conservado'!$B$17:$C$25,2,FALSE),0%)</f>
        <v>0</v>
      </c>
      <c r="BGE3" s="5">
        <f>IFERROR(VLOOKUP(BGE$1,'Renta fija USD Hiper Conservado'!$B$17:$C$25,2,FALSE),0%)</f>
        <v>0</v>
      </c>
      <c r="BGF3" s="5">
        <f>IFERROR(VLOOKUP(BGF$1,'Renta fija USD Hiper Conservado'!$B$17:$C$25,2,FALSE),0%)</f>
        <v>0</v>
      </c>
      <c r="BGG3" s="5">
        <f>IFERROR(VLOOKUP(BGG$1,'Renta fija USD Hiper Conservado'!$B$17:$C$25,2,FALSE),0%)</f>
        <v>0</v>
      </c>
      <c r="BGH3" s="5">
        <f>IFERROR(VLOOKUP(BGH$1,'Renta fija USD Hiper Conservado'!$B$17:$C$25,2,FALSE),0%)</f>
        <v>0</v>
      </c>
      <c r="BGI3" s="5">
        <f>IFERROR(VLOOKUP(BGI$1,'Renta fija USD Hiper Conservado'!$B$17:$C$25,2,FALSE),0%)</f>
        <v>0</v>
      </c>
      <c r="BGJ3" s="5">
        <f>IFERROR(VLOOKUP(BGJ$1,'Renta fija USD Hiper Conservado'!$B$17:$C$25,2,FALSE),0%)</f>
        <v>0</v>
      </c>
      <c r="BGK3" s="5">
        <f>IFERROR(VLOOKUP(BGK$1,'Renta fija USD Hiper Conservado'!$B$17:$C$25,2,FALSE),0%)</f>
        <v>0</v>
      </c>
      <c r="BGL3" s="5">
        <f>IFERROR(VLOOKUP(BGL$1,'Renta fija USD Hiper Conservado'!$B$17:$C$25,2,FALSE),0%)</f>
        <v>0</v>
      </c>
      <c r="BGM3" s="5">
        <f>IFERROR(VLOOKUP(BGM$1,'Renta fija USD Hiper Conservado'!$B$17:$C$25,2,FALSE),0%)</f>
        <v>0</v>
      </c>
      <c r="BGN3" s="5">
        <f>IFERROR(VLOOKUP(BGN$1,'Renta fija USD Hiper Conservado'!$B$17:$C$25,2,FALSE),0%)</f>
        <v>0</v>
      </c>
      <c r="BGO3" s="5">
        <f>IFERROR(VLOOKUP(BGO$1,'Renta fija USD Hiper Conservado'!$B$17:$C$25,2,FALSE),0%)</f>
        <v>0</v>
      </c>
      <c r="BGP3" s="5">
        <f>IFERROR(VLOOKUP(BGP$1,'Renta fija USD Hiper Conservado'!$B$17:$C$25,2,FALSE),0%)</f>
        <v>0</v>
      </c>
      <c r="BGQ3" s="5">
        <f>IFERROR(VLOOKUP(BGQ$1,'Renta fija USD Hiper Conservado'!$B$17:$C$25,2,FALSE),0%)</f>
        <v>0</v>
      </c>
      <c r="BGR3" s="5">
        <f>IFERROR(VLOOKUP(BGR$1,'Renta fija USD Hiper Conservado'!$B$17:$C$25,2,FALSE),0%)</f>
        <v>0</v>
      </c>
      <c r="BGS3" s="5">
        <f>IFERROR(VLOOKUP(BGS$1,'Renta fija USD Hiper Conservado'!$B$17:$C$25,2,FALSE),0%)</f>
        <v>0</v>
      </c>
      <c r="BGT3" s="5">
        <f>IFERROR(VLOOKUP(BGT$1,'Renta fija USD Hiper Conservado'!$B$17:$C$25,2,FALSE),0%)</f>
        <v>0</v>
      </c>
      <c r="BGU3" s="5">
        <f>IFERROR(VLOOKUP(BGU$1,'Renta fija USD Hiper Conservado'!$B$17:$C$25,2,FALSE),0%)</f>
        <v>0</v>
      </c>
      <c r="BGV3" s="5">
        <f>IFERROR(VLOOKUP(BGV$1,'Renta fija USD Hiper Conservado'!$B$17:$C$25,2,FALSE),0%)</f>
        <v>0</v>
      </c>
      <c r="BGW3" s="5">
        <f>IFERROR(VLOOKUP(BGW$1,'Renta fija USD Hiper Conservado'!$B$17:$C$25,2,FALSE),0%)</f>
        <v>0</v>
      </c>
      <c r="BGX3" s="5">
        <f>IFERROR(VLOOKUP(BGX$1,'Renta fija USD Hiper Conservado'!$B$17:$C$25,2,FALSE),0%)</f>
        <v>0</v>
      </c>
      <c r="BGY3" s="5">
        <f>IFERROR(VLOOKUP(BGY$1,'Renta fija USD Hiper Conservado'!$B$17:$C$25,2,FALSE),0%)</f>
        <v>0</v>
      </c>
      <c r="BGZ3" s="5">
        <f>IFERROR(VLOOKUP(BGZ$1,'Renta fija USD Hiper Conservado'!$B$17:$C$25,2,FALSE),0%)</f>
        <v>0</v>
      </c>
      <c r="BHA3" s="5">
        <f>IFERROR(VLOOKUP(BHA$1,'Renta fija USD Hiper Conservado'!$B$17:$C$25,2,FALSE),0%)</f>
        <v>0</v>
      </c>
      <c r="BHB3" s="5">
        <f>IFERROR(VLOOKUP(BHB$1,'Renta fija USD Hiper Conservado'!$B$17:$C$25,2,FALSE),0%)</f>
        <v>0</v>
      </c>
      <c r="BHC3" s="5">
        <f>IFERROR(VLOOKUP(BHC$1,'Renta fija USD Hiper Conservado'!$B$17:$C$25,2,FALSE),0%)</f>
        <v>0</v>
      </c>
      <c r="BHD3" s="5">
        <f>IFERROR(VLOOKUP(BHD$1,'Renta fija USD Hiper Conservado'!$B$17:$C$25,2,FALSE),0%)</f>
        <v>0</v>
      </c>
      <c r="BHE3" s="5">
        <f>IFERROR(VLOOKUP(BHE$1,'Renta fija USD Hiper Conservado'!$B$17:$C$25,2,FALSE),0%)</f>
        <v>0</v>
      </c>
      <c r="BHF3" s="5">
        <f>IFERROR(VLOOKUP(BHF$1,'Renta fija USD Hiper Conservado'!$B$17:$C$25,2,FALSE),0%)</f>
        <v>0</v>
      </c>
      <c r="BHG3" s="5">
        <f>IFERROR(VLOOKUP(BHG$1,'Renta fija USD Hiper Conservado'!$B$17:$C$25,2,FALSE),0%)</f>
        <v>0</v>
      </c>
      <c r="BHH3" s="5">
        <f>IFERROR(VLOOKUP(BHH$1,'Renta fija USD Hiper Conservado'!$B$17:$C$25,2,FALSE),0%)</f>
        <v>0</v>
      </c>
      <c r="BHI3" s="5">
        <f>IFERROR(VLOOKUP(BHI$1,'Renta fija USD Hiper Conservado'!$B$17:$C$25,2,FALSE),0%)</f>
        <v>0</v>
      </c>
      <c r="BHJ3" s="5">
        <f>IFERROR(VLOOKUP(BHJ$1,'Renta fija USD Hiper Conservado'!$B$17:$C$25,2,FALSE),0%)</f>
        <v>0</v>
      </c>
      <c r="BHK3" s="5">
        <f>IFERROR(VLOOKUP(BHK$1,'Renta fija USD Hiper Conservado'!$B$17:$C$25,2,FALSE),0%)</f>
        <v>0</v>
      </c>
      <c r="BHL3" s="5">
        <f>IFERROR(VLOOKUP(BHL$1,'Renta fija USD Hiper Conservado'!$B$17:$C$25,2,FALSE),0%)</f>
        <v>0</v>
      </c>
      <c r="BHM3" s="5">
        <f>IFERROR(VLOOKUP(BHM$1,'Renta fija USD Hiper Conservado'!$B$17:$C$25,2,FALSE),0%)</f>
        <v>0</v>
      </c>
      <c r="BHN3" s="5">
        <f>IFERROR(VLOOKUP(BHN$1,'Renta fija USD Hiper Conservado'!$B$17:$C$25,2,FALSE),0%)</f>
        <v>0</v>
      </c>
      <c r="BHO3" s="5">
        <f>IFERROR(VLOOKUP(BHO$1,'Renta fija USD Hiper Conservado'!$B$17:$C$25,2,FALSE),0%)</f>
        <v>0</v>
      </c>
      <c r="BHP3" s="5">
        <f>IFERROR(VLOOKUP(BHP$1,'Renta fija USD Hiper Conservado'!$B$17:$C$25,2,FALSE),0%)</f>
        <v>0</v>
      </c>
      <c r="BHQ3" s="5">
        <f>IFERROR(VLOOKUP(BHQ$1,'Renta fija USD Hiper Conservado'!$B$17:$C$25,2,FALSE),0%)</f>
        <v>0</v>
      </c>
      <c r="BHR3" s="5">
        <f>IFERROR(VLOOKUP(BHR$1,'Renta fija USD Hiper Conservado'!$B$17:$C$25,2,FALSE),0%)</f>
        <v>0</v>
      </c>
      <c r="BHS3" s="5">
        <f>IFERROR(VLOOKUP(BHS$1,'Renta fija USD Hiper Conservado'!$B$17:$C$25,2,FALSE),0%)</f>
        <v>0</v>
      </c>
      <c r="BHT3" s="5">
        <f>IFERROR(VLOOKUP(BHT$1,'Renta fija USD Hiper Conservado'!$B$17:$C$25,2,FALSE),0%)</f>
        <v>0</v>
      </c>
      <c r="BHU3" s="5">
        <f>IFERROR(VLOOKUP(BHU$1,'Renta fija USD Hiper Conservado'!$B$17:$C$25,2,FALSE),0%)</f>
        <v>0</v>
      </c>
      <c r="BHV3" s="5">
        <f>IFERROR(VLOOKUP(BHV$1,'Renta fija USD Hiper Conservado'!$B$17:$C$25,2,FALSE),0%)</f>
        <v>0</v>
      </c>
      <c r="BHW3" s="5">
        <f>IFERROR(VLOOKUP(BHW$1,'Renta fija USD Hiper Conservado'!$B$17:$C$25,2,FALSE),0%)</f>
        <v>0</v>
      </c>
      <c r="BHX3" s="5">
        <f>IFERROR(VLOOKUP(BHX$1,'Renta fija USD Hiper Conservado'!$B$17:$C$25,2,FALSE),0%)</f>
        <v>0</v>
      </c>
      <c r="BHY3" s="5">
        <f>IFERROR(VLOOKUP(BHY$1,'Renta fija USD Hiper Conservado'!$B$17:$C$25,2,FALSE),0%)</f>
        <v>0</v>
      </c>
      <c r="BHZ3" s="5">
        <f>IFERROR(VLOOKUP(BHZ$1,'Renta fija USD Hiper Conservado'!$B$17:$C$25,2,FALSE),0%)</f>
        <v>0</v>
      </c>
      <c r="BIA3" s="5">
        <f>IFERROR(VLOOKUP(BIA$1,'Renta fija USD Hiper Conservado'!$B$17:$C$25,2,FALSE),0%)</f>
        <v>0</v>
      </c>
      <c r="BIB3" s="5">
        <f>IFERROR(VLOOKUP(BIB$1,'Renta fija USD Hiper Conservado'!$B$17:$C$25,2,FALSE),0%)</f>
        <v>0</v>
      </c>
      <c r="BIC3" s="5">
        <f>IFERROR(VLOOKUP(BIC$1,'Renta fija USD Hiper Conservado'!$B$17:$C$25,2,FALSE),0%)</f>
        <v>0</v>
      </c>
      <c r="BID3" s="5">
        <f>IFERROR(VLOOKUP(BID$1,'Renta fija USD Hiper Conservado'!$B$17:$C$25,2,FALSE),0%)</f>
        <v>0</v>
      </c>
      <c r="BIE3" s="5">
        <f>IFERROR(VLOOKUP(BIE$1,'Renta fija USD Hiper Conservado'!$B$17:$C$25,2,FALSE),0%)</f>
        <v>0</v>
      </c>
      <c r="BIF3" s="5">
        <f>IFERROR(VLOOKUP(BIF$1,'Renta fija USD Hiper Conservado'!$B$17:$C$25,2,FALSE),0%)</f>
        <v>0</v>
      </c>
      <c r="BIG3" s="5">
        <f>IFERROR(VLOOKUP(BIG$1,'Renta fija USD Hiper Conservado'!$B$17:$C$25,2,FALSE),0%)</f>
        <v>0</v>
      </c>
      <c r="BIH3" s="5">
        <f>IFERROR(VLOOKUP(BIH$1,'Renta fija USD Hiper Conservado'!$B$17:$C$25,2,FALSE),0%)</f>
        <v>0</v>
      </c>
      <c r="BII3" s="5">
        <f>IFERROR(VLOOKUP(BII$1,'Renta fija USD Hiper Conservado'!$B$17:$C$25,2,FALSE),0%)</f>
        <v>0</v>
      </c>
      <c r="BIJ3" s="5">
        <f>IFERROR(VLOOKUP(BIJ$1,'Renta fija USD Hiper Conservado'!$B$17:$C$25,2,FALSE),0%)</f>
        <v>0</v>
      </c>
      <c r="BIK3" s="5">
        <f>IFERROR(VLOOKUP(BIK$1,'Renta fija USD Hiper Conservado'!$B$17:$C$25,2,FALSE),0%)</f>
        <v>0.350006739</v>
      </c>
      <c r="BIL3" s="5">
        <f>IFERROR(VLOOKUP(BIL$1,'Renta fija USD Hiper Conservado'!$B$17:$C$25,2,FALSE),0%)</f>
        <v>0</v>
      </c>
      <c r="BIM3" s="5">
        <f>IFERROR(VLOOKUP(BIM$1,'Renta fija USD Hiper Conservado'!$B$17:$C$25,2,FALSE),0%)</f>
        <v>0</v>
      </c>
      <c r="BIN3" s="5">
        <f>IFERROR(VLOOKUP(BIN$1,'Renta fija USD Hiper Conservado'!$B$17:$C$25,2,FALSE),0%)</f>
        <v>0</v>
      </c>
      <c r="BIO3" s="5">
        <f>IFERROR(VLOOKUP(BIO$1,'Renta fija USD Hiper Conservado'!$B$17:$C$25,2,FALSE),0%)</f>
        <v>0</v>
      </c>
      <c r="BIP3" s="5">
        <f>IFERROR(VLOOKUP(BIP$1,'Renta fija USD Hiper Conservado'!$B$17:$C$25,2,FALSE),0%)</f>
        <v>0</v>
      </c>
      <c r="BIQ3" s="5">
        <f>IFERROR(VLOOKUP(BIQ$1,'Renta fija USD Hiper Conservado'!$B$17:$C$25,2,FALSE),0%)</f>
        <v>0</v>
      </c>
      <c r="BIR3" s="5">
        <f>IFERROR(VLOOKUP(BIR$1,'Renta fija USD Hiper Conservado'!$B$17:$C$25,2,FALSE),0%)</f>
        <v>0</v>
      </c>
      <c r="BIS3" s="5">
        <f>IFERROR(VLOOKUP(BIS$1,'Renta fija USD Hiper Conservado'!$B$17:$C$25,2,FALSE),0%)</f>
        <v>0</v>
      </c>
      <c r="BIT3" s="5">
        <f>IFERROR(VLOOKUP(BIT$1,'Renta fija USD Hiper Conservado'!$B$17:$C$25,2,FALSE),0%)</f>
        <v>0</v>
      </c>
      <c r="BIU3" s="5">
        <f>IFERROR(VLOOKUP(BIU$1,'Renta fija USD Hiper Conservado'!$B$17:$C$25,2,FALSE),0%)</f>
        <v>0</v>
      </c>
      <c r="BIV3" s="5">
        <f>IFERROR(VLOOKUP(BIV$1,'Renta fija USD Hiper Conservado'!$B$17:$C$25,2,FALSE),0%)</f>
        <v>0</v>
      </c>
      <c r="BIW3" s="5">
        <f>IFERROR(VLOOKUP(BIW$1,'Renta fija USD Hiper Conservado'!$B$17:$C$25,2,FALSE),0%)</f>
        <v>0</v>
      </c>
      <c r="BIX3" s="5">
        <f>IFERROR(VLOOKUP(BIX$1,'Renta fija USD Hiper Conservado'!$B$17:$C$25,2,FALSE),0%)</f>
        <v>0</v>
      </c>
      <c r="BIY3" s="5">
        <f>IFERROR(VLOOKUP(BIY$1,'Renta fija USD Hiper Conservado'!$B$17:$C$25,2,FALSE),0%)</f>
        <v>0</v>
      </c>
      <c r="BIZ3" s="5">
        <f>IFERROR(VLOOKUP(BIZ$1,'Renta fija USD Hiper Conservado'!$B$17:$C$25,2,FALSE),0%)</f>
        <v>0</v>
      </c>
      <c r="BJA3" s="5">
        <f>IFERROR(VLOOKUP(BJA$1,'Renta fija USD Hiper Conservado'!$B$17:$C$25,2,FALSE),0%)</f>
        <v>0</v>
      </c>
      <c r="BJB3" s="5">
        <f>IFERROR(VLOOKUP(BJB$1,'Renta fija USD Hiper Conservado'!$B$17:$C$25,2,FALSE),0%)</f>
        <v>0</v>
      </c>
      <c r="BJC3" s="5">
        <f>IFERROR(VLOOKUP(BJC$1,'Renta fija USD Hiper Conservado'!$B$17:$C$25,2,FALSE),0%)</f>
        <v>0</v>
      </c>
      <c r="BJD3" s="5">
        <f>IFERROR(VLOOKUP(BJD$1,'Renta fija USD Hiper Conservado'!$B$17:$C$25,2,FALSE),0%)</f>
        <v>0</v>
      </c>
      <c r="BJE3" s="5">
        <f>IFERROR(VLOOKUP(BJE$1,'Renta fija USD Hiper Conservado'!$B$17:$C$25,2,FALSE),0%)</f>
        <v>0</v>
      </c>
      <c r="BJF3" s="5">
        <f>IFERROR(VLOOKUP(BJF$1,'Renta fija USD Hiper Conservado'!$B$17:$C$25,2,FALSE),0%)</f>
        <v>0</v>
      </c>
      <c r="BJG3" s="5">
        <f>IFERROR(VLOOKUP(BJG$1,'Renta fija USD Hiper Conservado'!$B$17:$C$25,2,FALSE),0%)</f>
        <v>0</v>
      </c>
      <c r="BJH3" s="5">
        <f>IFERROR(VLOOKUP(BJH$1,'Renta fija USD Hiper Conservado'!$B$17:$C$25,2,FALSE),0%)</f>
        <v>0</v>
      </c>
      <c r="BJI3" s="5">
        <f>IFERROR(VLOOKUP(BJI$1,'Renta fija USD Hiper Conservado'!$B$17:$C$25,2,FALSE),0%)</f>
        <v>0</v>
      </c>
      <c r="BJJ3" s="5">
        <f>IFERROR(VLOOKUP(BJJ$1,'Renta fija USD Hiper Conservado'!$B$17:$C$25,2,FALSE),0%)</f>
        <v>0</v>
      </c>
      <c r="BJK3" s="5">
        <f>IFERROR(VLOOKUP(BJK$1,'Renta fija USD Hiper Conservado'!$B$17:$C$25,2,FALSE),0%)</f>
        <v>0</v>
      </c>
      <c r="BJL3" s="5">
        <f>IFERROR(VLOOKUP(BJL$1,'Renta fija USD Hiper Conservado'!$B$17:$C$25,2,FALSE),0%)</f>
        <v>0</v>
      </c>
      <c r="BJM3" s="5">
        <f>IFERROR(VLOOKUP(BJM$1,'Renta fija USD Hiper Conservado'!$B$17:$C$25,2,FALSE),0%)</f>
        <v>0</v>
      </c>
      <c r="BJN3" s="5">
        <f>IFERROR(VLOOKUP(BJN$1,'Renta fija USD Hiper Conservado'!$B$17:$C$25,2,FALSE),0%)</f>
        <v>0</v>
      </c>
      <c r="BJO3" s="5">
        <f>IFERROR(VLOOKUP(BJO$1,'Renta fija USD Hiper Conservado'!$B$17:$C$25,2,FALSE),0%)</f>
        <v>0</v>
      </c>
      <c r="BJP3" s="5">
        <f>IFERROR(VLOOKUP(BJP$1,'Renta fija USD Hiper Conservado'!$B$17:$C$25,2,FALSE),0%)</f>
        <v>0</v>
      </c>
      <c r="BJQ3" s="5">
        <f>IFERROR(VLOOKUP(BJQ$1,'Renta fija USD Hiper Conservado'!$B$17:$C$25,2,FALSE),0%)</f>
        <v>0</v>
      </c>
      <c r="BJR3" s="5">
        <f>IFERROR(VLOOKUP(BJR$1,'Renta fija USD Hiper Conservado'!$B$17:$C$25,2,FALSE),0%)</f>
        <v>0</v>
      </c>
      <c r="BJS3" s="5">
        <f>IFERROR(VLOOKUP(BJS$1,'Renta fija USD Hiper Conservado'!$B$17:$C$25,2,FALSE),0%)</f>
        <v>0</v>
      </c>
      <c r="BJT3" s="5">
        <f>IFERROR(VLOOKUP(BJT$1,'Renta fija USD Hiper Conservado'!$B$17:$C$25,2,FALSE),0%)</f>
        <v>0</v>
      </c>
      <c r="BJU3" s="5">
        <f>IFERROR(VLOOKUP(BJU$1,'Renta fija USD Hiper Conservado'!$B$17:$C$25,2,FALSE),0%)</f>
        <v>0</v>
      </c>
      <c r="BJV3" s="5">
        <f>IFERROR(VLOOKUP(BJV$1,'Renta fija USD Hiper Conservado'!$B$17:$C$25,2,FALSE),0%)</f>
        <v>0</v>
      </c>
      <c r="BJW3" s="5">
        <f>IFERROR(VLOOKUP(BJW$1,'Renta fija USD Hiper Conservado'!$B$17:$C$25,2,FALSE),0%)</f>
        <v>0</v>
      </c>
      <c r="BJX3" s="5">
        <f>IFERROR(VLOOKUP(BJX$1,'Renta fija USD Hiper Conservado'!$B$17:$C$25,2,FALSE),0%)</f>
        <v>0</v>
      </c>
      <c r="BJY3" s="5">
        <f>IFERROR(VLOOKUP(BJY$1,'Renta fija USD Hiper Conservado'!$B$17:$C$25,2,FALSE),0%)</f>
        <v>0</v>
      </c>
      <c r="BJZ3" s="5">
        <f>IFERROR(VLOOKUP(BJZ$1,'Renta fija USD Hiper Conservado'!$B$17:$C$25,2,FALSE),0%)</f>
        <v>0</v>
      </c>
      <c r="BKA3" s="5">
        <f>IFERROR(VLOOKUP(BKA$1,'Renta fija USD Hiper Conservado'!$B$17:$C$25,2,FALSE),0%)</f>
        <v>0</v>
      </c>
      <c r="BKB3" s="5">
        <f>IFERROR(VLOOKUP(BKB$1,'Renta fija USD Hiper Conservado'!$B$17:$C$25,2,FALSE),0%)</f>
        <v>0</v>
      </c>
      <c r="BKC3" s="5">
        <f>IFERROR(VLOOKUP(BKC$1,'Renta fija USD Hiper Conservado'!$B$17:$C$25,2,FALSE),0%)</f>
        <v>0</v>
      </c>
      <c r="BKD3" s="5">
        <f>IFERROR(VLOOKUP(BKD$1,'Renta fija USD Hiper Conservado'!$B$17:$C$25,2,FALSE),0%)</f>
        <v>0</v>
      </c>
      <c r="BKE3" s="5">
        <f>IFERROR(VLOOKUP(BKE$1,'Renta fija USD Hiper Conservado'!$B$17:$C$25,2,FALSE),0%)</f>
        <v>0</v>
      </c>
      <c r="BKF3" s="5">
        <f>IFERROR(VLOOKUP(BKF$1,'Renta fija USD Hiper Conservado'!$B$17:$C$25,2,FALSE),0%)</f>
        <v>0</v>
      </c>
      <c r="BKG3" s="5">
        <f>IFERROR(VLOOKUP(BKG$1,'Renta fija USD Hiper Conservado'!$B$17:$C$25,2,FALSE),0%)</f>
        <v>0</v>
      </c>
      <c r="BKH3" s="5">
        <f>IFERROR(VLOOKUP(BKH$1,'Renta fija USD Hiper Conservado'!$B$17:$C$25,2,FALSE),0%)</f>
        <v>0</v>
      </c>
      <c r="BKI3" s="5">
        <f>IFERROR(VLOOKUP(BKI$1,'Renta fija USD Hiper Conservado'!$B$17:$C$25,2,FALSE),0%)</f>
        <v>0</v>
      </c>
      <c r="BKJ3" s="5">
        <f>IFERROR(VLOOKUP(BKJ$1,'Renta fija USD Hiper Conservado'!$B$17:$C$25,2,FALSE),0%)</f>
        <v>0</v>
      </c>
      <c r="BKK3" s="5">
        <f>IFERROR(VLOOKUP(BKK$1,'Renta fija USD Hiper Conservado'!$B$17:$C$25,2,FALSE),0%)</f>
        <v>0</v>
      </c>
      <c r="BKL3" s="5">
        <f>IFERROR(VLOOKUP(BKL$1,'Renta fija USD Hiper Conservado'!$B$17:$C$25,2,FALSE),0%)</f>
        <v>0</v>
      </c>
      <c r="BKM3" s="5">
        <f>IFERROR(VLOOKUP(BKM$1,'Renta fija USD Hiper Conservado'!$B$17:$C$25,2,FALSE),0%)</f>
        <v>0</v>
      </c>
      <c r="BKN3" s="5">
        <f>IFERROR(VLOOKUP(BKN$1,'Renta fija USD Hiper Conservado'!$B$17:$C$25,2,FALSE),0%)</f>
        <v>0</v>
      </c>
      <c r="BKO3" s="5">
        <f>IFERROR(VLOOKUP(BKO$1,'Renta fija USD Hiper Conservado'!$B$17:$C$25,2,FALSE),0%)</f>
        <v>0</v>
      </c>
      <c r="BKP3" s="5">
        <f>IFERROR(VLOOKUP(BKP$1,'Renta fija USD Hiper Conservado'!$B$17:$C$25,2,FALSE),0%)</f>
        <v>0</v>
      </c>
      <c r="BKQ3" s="5">
        <f>IFERROR(VLOOKUP(BKQ$1,'Renta fija USD Hiper Conservado'!$B$17:$C$25,2,FALSE),0%)</f>
        <v>0</v>
      </c>
      <c r="BKR3" s="5">
        <f>IFERROR(VLOOKUP(BKR$1,'Renta fija USD Hiper Conservado'!$B$17:$C$25,2,FALSE),0%)</f>
        <v>0</v>
      </c>
      <c r="BKS3" s="5">
        <f>IFERROR(VLOOKUP(BKS$1,'Renta fija USD Hiper Conservado'!$B$17:$C$25,2,FALSE),0%)</f>
        <v>0</v>
      </c>
      <c r="BKT3" s="5">
        <f>IFERROR(VLOOKUP(BKT$1,'Renta fija USD Hiper Conservado'!$B$17:$C$25,2,FALSE),0%)</f>
        <v>0</v>
      </c>
      <c r="BKU3" s="5">
        <f>IFERROR(VLOOKUP(BKU$1,'Renta fija USD Hiper Conservado'!$B$17:$C$25,2,FALSE),0%)</f>
        <v>0</v>
      </c>
      <c r="BKV3" s="5">
        <f>IFERROR(VLOOKUP(BKV$1,'Renta fija USD Hiper Conservado'!$B$17:$C$25,2,FALSE),0%)</f>
        <v>0</v>
      </c>
      <c r="BKW3" s="5">
        <f>IFERROR(VLOOKUP(BKW$1,'Renta fija USD Hiper Conservado'!$B$17:$C$25,2,FALSE),0%)</f>
        <v>0</v>
      </c>
      <c r="BKX3" s="5">
        <f>IFERROR(VLOOKUP(BKX$1,'Renta fija USD Hiper Conservado'!$B$17:$C$25,2,FALSE),0%)</f>
        <v>0</v>
      </c>
      <c r="BKY3" s="5">
        <f>IFERROR(VLOOKUP(BKY$1,'Renta fija USD Hiper Conservado'!$B$17:$C$25,2,FALSE),0%)</f>
        <v>0</v>
      </c>
      <c r="BKZ3" s="5">
        <f>IFERROR(VLOOKUP(BKZ$1,'Renta fija USD Hiper Conservado'!$B$17:$C$25,2,FALSE),0%)</f>
        <v>0</v>
      </c>
      <c r="BLA3" s="5">
        <f>IFERROR(VLOOKUP(BLA$1,'Renta fija USD Hiper Conservado'!$B$17:$C$25,2,FALSE),0%)</f>
        <v>0</v>
      </c>
      <c r="BLB3" s="5">
        <f>IFERROR(VLOOKUP(BLB$1,'Renta fija USD Hiper Conservado'!$B$17:$C$25,2,FALSE),0%)</f>
        <v>0</v>
      </c>
      <c r="BLC3" s="5">
        <f>IFERROR(VLOOKUP(BLC$1,'Renta fija USD Hiper Conservado'!$B$17:$C$25,2,FALSE),0%)</f>
        <v>0</v>
      </c>
      <c r="BLD3" s="5">
        <f>IFERROR(VLOOKUP(BLD$1,'Renta fija USD Hiper Conservado'!$B$17:$C$25,2,FALSE),0%)</f>
        <v>0</v>
      </c>
      <c r="BLE3" s="5">
        <f>IFERROR(VLOOKUP(BLE$1,'Renta fija USD Hiper Conservado'!$B$17:$C$25,2,FALSE),0%)</f>
        <v>0</v>
      </c>
      <c r="BLF3" s="5">
        <f>IFERROR(VLOOKUP(BLF$1,'Renta fija USD Hiper Conservado'!$B$17:$C$25,2,FALSE),0%)</f>
        <v>0</v>
      </c>
      <c r="BLG3" s="5">
        <f>IFERROR(VLOOKUP(BLG$1,'Renta fija USD Hiper Conservado'!$B$17:$C$25,2,FALSE),0%)</f>
        <v>0</v>
      </c>
      <c r="BLH3" s="5">
        <f>IFERROR(VLOOKUP(BLH$1,'Renta fija USD Hiper Conservado'!$B$17:$C$25,2,FALSE),0%)</f>
        <v>0</v>
      </c>
      <c r="BLI3" s="5">
        <f>IFERROR(VLOOKUP(BLI$1,'Renta fija USD Hiper Conservado'!$B$17:$C$25,2,FALSE),0%)</f>
        <v>0</v>
      </c>
      <c r="BLJ3" s="5">
        <f>IFERROR(VLOOKUP(BLJ$1,'Renta fija USD Hiper Conservado'!$B$17:$C$25,2,FALSE),0%)</f>
        <v>0</v>
      </c>
      <c r="BLK3" s="5">
        <f>IFERROR(VLOOKUP(BLK$1,'Renta fija USD Hiper Conservado'!$B$17:$C$25,2,FALSE),0%)</f>
        <v>0</v>
      </c>
      <c r="BLL3" s="5">
        <f>IFERROR(VLOOKUP(BLL$1,'Renta fija USD Hiper Conservado'!$B$17:$C$25,2,FALSE),0%)</f>
        <v>0</v>
      </c>
      <c r="BLM3" s="5">
        <f>IFERROR(VLOOKUP(BLM$1,'Renta fija USD Hiper Conservado'!$B$17:$C$25,2,FALSE),0%)</f>
        <v>0</v>
      </c>
      <c r="BLN3" s="5">
        <f>IFERROR(VLOOKUP(BLN$1,'Renta fija USD Hiper Conservado'!$B$17:$C$25,2,FALSE),0%)</f>
        <v>0</v>
      </c>
      <c r="BLO3" s="5">
        <f>IFERROR(VLOOKUP(BLO$1,'Renta fija USD Hiper Conservado'!$B$17:$C$25,2,FALSE),0%)</f>
        <v>0</v>
      </c>
      <c r="BLP3" s="5">
        <f>IFERROR(VLOOKUP(BLP$1,'Renta fija USD Hiper Conservado'!$B$17:$C$25,2,FALSE),0%)</f>
        <v>0</v>
      </c>
      <c r="BLQ3" s="5">
        <f>IFERROR(VLOOKUP(BLQ$1,'Renta fija USD Hiper Conservado'!$B$17:$C$25,2,FALSE),0%)</f>
        <v>0</v>
      </c>
      <c r="BLR3" s="5">
        <f>IFERROR(VLOOKUP(BLR$1,'Renta fija USD Hiper Conservado'!$B$17:$C$25,2,FALSE),0%)</f>
        <v>0</v>
      </c>
      <c r="BLS3" s="5">
        <f>IFERROR(VLOOKUP(BLS$1,'Renta fija USD Hiper Conservado'!$B$17:$C$25,2,FALSE),0%)</f>
        <v>0</v>
      </c>
      <c r="BLT3" s="5">
        <f>IFERROR(VLOOKUP(BLT$1,'Renta fija USD Hiper Conservado'!$B$17:$C$25,2,FALSE),0%)</f>
        <v>0</v>
      </c>
      <c r="BLU3" s="5">
        <f>IFERROR(VLOOKUP(BLU$1,'Renta fija USD Hiper Conservado'!$B$17:$C$25,2,FALSE),0%)</f>
        <v>0</v>
      </c>
      <c r="BLV3" s="5">
        <f>IFERROR(VLOOKUP(BLV$1,'Renta fija USD Hiper Conservado'!$B$17:$C$25,2,FALSE),0%)</f>
        <v>0</v>
      </c>
      <c r="BLW3" s="5">
        <f>IFERROR(VLOOKUP(BLW$1,'Renta fija USD Hiper Conservado'!$B$17:$C$25,2,FALSE),0%)</f>
        <v>0</v>
      </c>
      <c r="BLX3" s="5">
        <f>IFERROR(VLOOKUP(BLX$1,'Renta fija USD Hiper Conservado'!$B$17:$C$25,2,FALSE),0%)</f>
        <v>0</v>
      </c>
      <c r="BLY3" s="5">
        <f>IFERROR(VLOOKUP(BLY$1,'Renta fija USD Hiper Conservado'!$B$17:$C$25,2,FALSE),0%)</f>
        <v>0</v>
      </c>
      <c r="BLZ3" s="5">
        <f>IFERROR(VLOOKUP(BLZ$1,'Renta fija USD Hiper Conservado'!$B$17:$C$25,2,FALSE),0%)</f>
        <v>0</v>
      </c>
      <c r="BMA3" s="5">
        <f>IFERROR(VLOOKUP(BMA$1,'Renta fija USD Hiper Conservado'!$B$17:$C$25,2,FALSE),0%)</f>
        <v>0</v>
      </c>
      <c r="BMB3" s="5">
        <f>IFERROR(VLOOKUP(BMB$1,'Renta fija USD Hiper Conservado'!$B$17:$C$25,2,FALSE),0%)</f>
        <v>0</v>
      </c>
      <c r="BMC3" s="5">
        <f>IFERROR(VLOOKUP(BMC$1,'Renta fija USD Hiper Conservado'!$B$17:$C$25,2,FALSE),0%)</f>
        <v>0</v>
      </c>
      <c r="BMD3" s="5">
        <f>IFERROR(VLOOKUP(BMD$1,'Renta fija USD Hiper Conservado'!$B$17:$C$25,2,FALSE),0%)</f>
        <v>0</v>
      </c>
      <c r="BME3" s="5">
        <f>IFERROR(VLOOKUP(BME$1,'Renta fija USD Hiper Conservado'!$B$17:$C$25,2,FALSE),0%)</f>
        <v>0</v>
      </c>
      <c r="BMF3" s="5">
        <f>IFERROR(VLOOKUP(BMF$1,'Renta fija USD Hiper Conservado'!$B$17:$C$25,2,FALSE),0%)</f>
        <v>0</v>
      </c>
      <c r="BMG3" s="5">
        <f>IFERROR(VLOOKUP(BMG$1,'Renta fija USD Hiper Conservado'!$B$17:$C$25,2,FALSE),0%)</f>
        <v>0</v>
      </c>
      <c r="BMH3" s="5">
        <f>IFERROR(VLOOKUP(BMH$1,'Renta fija USD Hiper Conservado'!$B$17:$C$25,2,FALSE),0%)</f>
        <v>0</v>
      </c>
      <c r="BMI3" s="5">
        <f>IFERROR(VLOOKUP(BMI$1,'Renta fija USD Hiper Conservado'!$B$17:$C$25,2,FALSE),0%)</f>
        <v>0</v>
      </c>
      <c r="BMJ3" s="5">
        <f>IFERROR(VLOOKUP(BMJ$1,'Renta fija USD Hiper Conservado'!$B$17:$C$25,2,FALSE),0%)</f>
        <v>0</v>
      </c>
      <c r="BMK3" s="5">
        <f>IFERROR(VLOOKUP(BMK$1,'Renta fija USD Hiper Conservado'!$B$17:$C$25,2,FALSE),0%)</f>
        <v>0</v>
      </c>
      <c r="BML3" s="5">
        <f>IFERROR(VLOOKUP(BML$1,'Renta fija USD Hiper Conservado'!$B$17:$C$25,2,FALSE),0%)</f>
        <v>0</v>
      </c>
      <c r="BMM3" s="5">
        <f>IFERROR(VLOOKUP(BMM$1,'Renta fija USD Hiper Conservado'!$B$17:$C$25,2,FALSE),0%)</f>
        <v>0</v>
      </c>
      <c r="BMN3" s="5">
        <f>IFERROR(VLOOKUP(BMN$1,'Renta fija USD Hiper Conservado'!$B$17:$C$25,2,FALSE),0%)</f>
        <v>0</v>
      </c>
      <c r="BMO3" s="5">
        <f>IFERROR(VLOOKUP(BMO$1,'Renta fija USD Hiper Conservado'!$B$17:$C$25,2,FALSE),0%)</f>
        <v>0</v>
      </c>
      <c r="BMP3" s="5">
        <f>IFERROR(VLOOKUP(BMP$1,'Renta fija USD Hiper Conservado'!$B$17:$C$25,2,FALSE),0%)</f>
        <v>0</v>
      </c>
      <c r="BMQ3" s="5">
        <f>IFERROR(VLOOKUP(BMQ$1,'Renta fija USD Hiper Conservado'!$B$17:$C$25,2,FALSE),0%)</f>
        <v>0</v>
      </c>
      <c r="BMR3" s="5">
        <f>IFERROR(VLOOKUP(BMR$1,'Renta fija USD Hiper Conservado'!$B$17:$C$25,2,FALSE),0%)</f>
        <v>0</v>
      </c>
      <c r="BMS3" s="5">
        <f>IFERROR(VLOOKUP(BMS$1,'Renta fija USD Hiper Conservado'!$B$17:$C$25,2,FALSE),0%)</f>
        <v>0</v>
      </c>
      <c r="BMT3" s="5">
        <f>IFERROR(VLOOKUP(BMT$1,'Renta fija USD Hiper Conservado'!$B$17:$C$25,2,FALSE),0%)</f>
        <v>0</v>
      </c>
      <c r="BMU3" s="5">
        <f>IFERROR(VLOOKUP(BMU$1,'Renta fija USD Hiper Conservado'!$B$17:$C$25,2,FALSE),0%)</f>
        <v>0</v>
      </c>
      <c r="BMV3" s="5">
        <f>IFERROR(VLOOKUP(BMV$1,'Renta fija USD Hiper Conservado'!$B$17:$C$25,2,FALSE),0%)</f>
        <v>0</v>
      </c>
      <c r="BMW3" s="5">
        <f>IFERROR(VLOOKUP(BMW$1,'Renta fija USD Hiper Conservado'!$B$17:$C$25,2,FALSE),0%)</f>
        <v>0</v>
      </c>
      <c r="BMX3" s="5">
        <f>IFERROR(VLOOKUP(BMX$1,'Renta fija USD Hiper Conservado'!$B$17:$C$25,2,FALSE),0%)</f>
        <v>0</v>
      </c>
      <c r="BMY3" s="5">
        <f>IFERROR(VLOOKUP(BMY$1,'Renta fija USD Hiper Conservado'!$B$17:$C$25,2,FALSE),0%)</f>
        <v>0</v>
      </c>
      <c r="BMZ3" s="5">
        <f>IFERROR(VLOOKUP(BMZ$1,'Renta fija USD Hiper Conservado'!$B$17:$C$25,2,FALSE),0%)</f>
        <v>0</v>
      </c>
      <c r="BNA3" s="5">
        <f>IFERROR(VLOOKUP(BNA$1,'Renta fija USD Hiper Conservado'!$B$17:$C$25,2,FALSE),0%)</f>
        <v>0</v>
      </c>
      <c r="BNB3" s="5">
        <f>IFERROR(VLOOKUP(BNB$1,'Renta fija USD Hiper Conservado'!$B$17:$C$25,2,FALSE),0%)</f>
        <v>0</v>
      </c>
      <c r="BNC3" s="5">
        <f>IFERROR(VLOOKUP(BNC$1,'Renta fija USD Hiper Conservado'!$B$17:$C$25,2,FALSE),0%)</f>
        <v>0</v>
      </c>
      <c r="BND3" s="5">
        <f>IFERROR(VLOOKUP(BND$1,'Renta fija USD Hiper Conservado'!$B$17:$C$25,2,FALSE),0%)</f>
        <v>0</v>
      </c>
      <c r="BNE3" s="5">
        <f>IFERROR(VLOOKUP(BNE$1,'Renta fija USD Hiper Conservado'!$B$17:$C$25,2,FALSE),0%)</f>
        <v>0</v>
      </c>
      <c r="BNF3" s="5">
        <f>IFERROR(VLOOKUP(BNF$1,'Renta fija USD Hiper Conservado'!$B$17:$C$25,2,FALSE),0%)</f>
        <v>0</v>
      </c>
      <c r="BNG3" s="5">
        <f>IFERROR(VLOOKUP(BNG$1,'Renta fija USD Hiper Conservado'!$B$17:$C$25,2,FALSE),0%)</f>
        <v>0</v>
      </c>
      <c r="BNH3" s="5">
        <f>IFERROR(VLOOKUP(BNH$1,'Renta fija USD Hiper Conservado'!$B$17:$C$25,2,FALSE),0%)</f>
        <v>0</v>
      </c>
      <c r="BNI3" s="5">
        <f>IFERROR(VLOOKUP(BNI$1,'Renta fija USD Hiper Conservado'!$B$17:$C$25,2,FALSE),0%)</f>
        <v>0</v>
      </c>
      <c r="BNJ3" s="5">
        <f>IFERROR(VLOOKUP(BNJ$1,'Renta fija USD Hiper Conservado'!$B$17:$C$25,2,FALSE),0%)</f>
        <v>0</v>
      </c>
      <c r="BNK3" s="5">
        <f>IFERROR(VLOOKUP(BNK$1,'Renta fija USD Hiper Conservado'!$B$17:$C$25,2,FALSE),0%)</f>
        <v>0</v>
      </c>
      <c r="BNL3" s="5">
        <f>IFERROR(VLOOKUP(BNL$1,'Renta fija USD Hiper Conservado'!$B$17:$C$25,2,FALSE),0%)</f>
        <v>0</v>
      </c>
      <c r="BNM3" s="5">
        <f>IFERROR(VLOOKUP(BNM$1,'Renta fija USD Hiper Conservado'!$B$17:$C$25,2,FALSE),0%)</f>
        <v>0</v>
      </c>
      <c r="BNN3" s="5">
        <f>IFERROR(VLOOKUP(BNN$1,'Renta fija USD Hiper Conservado'!$B$17:$C$25,2,FALSE),0%)</f>
        <v>0</v>
      </c>
      <c r="BNO3" s="5">
        <f>IFERROR(VLOOKUP(BNO$1,'Renta fija USD Hiper Conservado'!$B$17:$C$25,2,FALSE),0%)</f>
        <v>0</v>
      </c>
      <c r="BNP3" s="5">
        <f>IFERROR(VLOOKUP(BNP$1,'Renta fija USD Hiper Conservado'!$B$17:$C$25,2,FALSE),0%)</f>
        <v>0</v>
      </c>
      <c r="BNQ3" s="5">
        <f>IFERROR(VLOOKUP(BNQ$1,'Renta fija USD Hiper Conservado'!$B$17:$C$25,2,FALSE),0%)</f>
        <v>0</v>
      </c>
      <c r="BNR3" s="5">
        <f>IFERROR(VLOOKUP(BNR$1,'Renta fija USD Hiper Conservado'!$B$17:$C$25,2,FALSE),0%)</f>
        <v>0</v>
      </c>
      <c r="BNS3" s="5">
        <f>IFERROR(VLOOKUP(BNS$1,'Renta fija USD Hiper Conservado'!$B$17:$C$25,2,FALSE),0%)</f>
        <v>0</v>
      </c>
      <c r="BNT3" s="5">
        <f>IFERROR(VLOOKUP(BNT$1,'Renta fija USD Hiper Conservado'!$B$17:$C$25,2,FALSE),0%)</f>
        <v>0</v>
      </c>
      <c r="BNU3" s="5">
        <f>IFERROR(VLOOKUP(BNU$1,'Renta fija USD Hiper Conservado'!$B$17:$C$25,2,FALSE),0%)</f>
        <v>0</v>
      </c>
      <c r="BNV3" s="5">
        <f>IFERROR(VLOOKUP(BNV$1,'Renta fija USD Hiper Conservado'!$B$17:$C$25,2,FALSE),0%)</f>
        <v>0</v>
      </c>
      <c r="BNW3" s="5">
        <f>IFERROR(VLOOKUP(BNW$1,'Renta fija USD Hiper Conservado'!$B$17:$C$25,2,FALSE),0%)</f>
        <v>0</v>
      </c>
      <c r="BNX3" s="5">
        <f>IFERROR(VLOOKUP(BNX$1,'Renta fija USD Hiper Conservado'!$B$17:$C$25,2,FALSE),0%)</f>
        <v>0</v>
      </c>
      <c r="BNY3" s="5">
        <f>IFERROR(VLOOKUP(BNY$1,'Renta fija USD Hiper Conservado'!$B$17:$C$25,2,FALSE),0%)</f>
        <v>0</v>
      </c>
      <c r="BNZ3" s="5">
        <f>IFERROR(VLOOKUP(BNZ$1,'Renta fija USD Hiper Conservado'!$B$17:$C$25,2,FALSE),0%)</f>
        <v>0</v>
      </c>
      <c r="BOA3" s="5">
        <f>IFERROR(VLOOKUP(BOA$1,'Renta fija USD Hiper Conservado'!$B$17:$C$25,2,FALSE),0%)</f>
        <v>0</v>
      </c>
      <c r="BOB3" s="5">
        <f>IFERROR(VLOOKUP(BOB$1,'Renta fija USD Hiper Conservado'!$B$17:$C$25,2,FALSE),0%)</f>
        <v>0</v>
      </c>
      <c r="BOC3" s="5">
        <f>IFERROR(VLOOKUP(BOC$1,'Renta fija USD Hiper Conservado'!$B$17:$C$25,2,FALSE),0%)</f>
        <v>0</v>
      </c>
      <c r="BOD3" s="5">
        <f>IFERROR(VLOOKUP(BOD$1,'Renta fija USD Hiper Conservado'!$B$17:$C$25,2,FALSE),0%)</f>
        <v>0</v>
      </c>
      <c r="BOE3" s="5">
        <f>IFERROR(VLOOKUP(BOE$1,'Renta fija USD Hiper Conservado'!$B$17:$C$25,2,FALSE),0%)</f>
        <v>0</v>
      </c>
      <c r="BOF3" s="5">
        <f>IFERROR(VLOOKUP(BOF$1,'Renta fija USD Hiper Conservado'!$B$17:$C$25,2,FALSE),0%)</f>
        <v>0</v>
      </c>
      <c r="BOG3" s="5">
        <f>IFERROR(VLOOKUP(BOG$1,'Renta fija USD Hiper Conservado'!$B$17:$C$25,2,FALSE),0%)</f>
        <v>0</v>
      </c>
      <c r="BOH3" s="5">
        <f>IFERROR(VLOOKUP(BOH$1,'Renta fija USD Hiper Conservado'!$B$17:$C$25,2,FALSE),0%)</f>
        <v>0</v>
      </c>
      <c r="BOI3" s="5">
        <f>IFERROR(VLOOKUP(BOI$1,'Renta fija USD Hiper Conservado'!$B$17:$C$25,2,FALSE),0%)</f>
        <v>0</v>
      </c>
      <c r="BOJ3" s="5">
        <f>IFERROR(VLOOKUP(BOJ$1,'Renta fija USD Hiper Conservado'!$B$17:$C$25,2,FALSE),0%)</f>
        <v>0</v>
      </c>
      <c r="BOK3" s="5">
        <f>IFERROR(VLOOKUP(BOK$1,'Renta fija USD Hiper Conservado'!$B$17:$C$25,2,FALSE),0%)</f>
        <v>0</v>
      </c>
      <c r="BOL3" s="5">
        <f>IFERROR(VLOOKUP(BOL$1,'Renta fija USD Hiper Conservado'!$B$17:$C$25,2,FALSE),0%)</f>
        <v>0</v>
      </c>
      <c r="BOM3" s="5">
        <f>IFERROR(VLOOKUP(BOM$1,'Renta fija USD Hiper Conservado'!$B$17:$C$25,2,FALSE),0%)</f>
        <v>0</v>
      </c>
      <c r="BON3" s="5">
        <f>IFERROR(VLOOKUP(BON$1,'Renta fija USD Hiper Conservado'!$B$17:$C$25,2,FALSE),0%)</f>
        <v>0</v>
      </c>
      <c r="BOO3" s="5">
        <f>IFERROR(VLOOKUP(BOO$1,'Renta fija USD Hiper Conservado'!$B$17:$C$25,2,FALSE),0%)</f>
        <v>0</v>
      </c>
      <c r="BOP3" s="5">
        <f>IFERROR(VLOOKUP(BOP$1,'Renta fija USD Hiper Conservado'!$B$17:$C$25,2,FALSE),0%)</f>
        <v>0</v>
      </c>
      <c r="BOQ3" s="5">
        <f>IFERROR(VLOOKUP(BOQ$1,'Renta fija USD Hiper Conservado'!$B$17:$C$25,2,FALSE),0%)</f>
        <v>0</v>
      </c>
      <c r="BOR3" s="5">
        <f>IFERROR(VLOOKUP(BOR$1,'Renta fija USD Hiper Conservado'!$B$17:$C$25,2,FALSE),0%)</f>
        <v>0</v>
      </c>
      <c r="BOS3" s="5">
        <f>IFERROR(VLOOKUP(BOS$1,'Renta fija USD Hiper Conservado'!$B$17:$C$25,2,FALSE),0%)</f>
        <v>0</v>
      </c>
      <c r="BOT3" s="5">
        <f>IFERROR(VLOOKUP(BOT$1,'Renta fija USD Hiper Conservado'!$B$17:$C$25,2,FALSE),0%)</f>
        <v>0</v>
      </c>
      <c r="BOU3" s="5">
        <f>IFERROR(VLOOKUP(BOU$1,'Renta fija USD Hiper Conservado'!$B$17:$C$25,2,FALSE),0%)</f>
        <v>0</v>
      </c>
      <c r="BOV3" s="5">
        <f>IFERROR(VLOOKUP(BOV$1,'Renta fija USD Hiper Conservado'!$B$17:$C$25,2,FALSE),0%)</f>
        <v>0</v>
      </c>
      <c r="BOW3" s="5">
        <f>IFERROR(VLOOKUP(BOW$1,'Renta fija USD Hiper Conservado'!$B$17:$C$25,2,FALSE),0%)</f>
        <v>0</v>
      </c>
      <c r="BOX3" s="5">
        <f>IFERROR(VLOOKUP(BOX$1,'Renta fija USD Hiper Conservado'!$B$17:$C$25,2,FALSE),0%)</f>
        <v>0</v>
      </c>
      <c r="BOY3" s="5">
        <f>IFERROR(VLOOKUP(BOY$1,'Renta fija USD Hiper Conservado'!$B$17:$C$25,2,FALSE),0%)</f>
        <v>0</v>
      </c>
      <c r="BOZ3" s="5">
        <f>IFERROR(VLOOKUP(BOZ$1,'Renta fija USD Hiper Conservado'!$B$17:$C$25,2,FALSE),0%)</f>
        <v>0</v>
      </c>
      <c r="BPA3" s="5">
        <f>IFERROR(VLOOKUP(BPA$1,'Renta fija USD Hiper Conservado'!$B$17:$C$25,2,FALSE),0%)</f>
        <v>0</v>
      </c>
      <c r="BPB3" s="5">
        <f>IFERROR(VLOOKUP(BPB$1,'Renta fija USD Hiper Conservado'!$B$17:$C$25,2,FALSE),0%)</f>
        <v>0</v>
      </c>
      <c r="BPC3" s="5">
        <f>IFERROR(VLOOKUP(BPC$1,'Renta fija USD Hiper Conservado'!$B$17:$C$25,2,FALSE),0%)</f>
        <v>0</v>
      </c>
      <c r="BPD3" s="5">
        <f>IFERROR(VLOOKUP(BPD$1,'Renta fija USD Hiper Conservado'!$B$17:$C$25,2,FALSE),0%)</f>
        <v>0</v>
      </c>
      <c r="BPE3" s="5">
        <f>IFERROR(VLOOKUP(BPE$1,'Renta fija USD Hiper Conservado'!$B$17:$C$25,2,FALSE),0%)</f>
        <v>0</v>
      </c>
      <c r="BPF3" s="5">
        <f>IFERROR(VLOOKUP(BPF$1,'Renta fija USD Hiper Conservado'!$B$17:$C$25,2,FALSE),0%)</f>
        <v>0</v>
      </c>
      <c r="BPG3" s="5">
        <f>IFERROR(VLOOKUP(BPG$1,'Renta fija USD Hiper Conservado'!$B$17:$C$25,2,FALSE),0%)</f>
        <v>0</v>
      </c>
      <c r="BPH3" s="5">
        <f>IFERROR(VLOOKUP(BPH$1,'Renta fija USD Hiper Conservado'!$B$17:$C$25,2,FALSE),0%)</f>
        <v>0</v>
      </c>
      <c r="BPI3" s="5">
        <f>IFERROR(VLOOKUP(BPI$1,'Renta fija USD Hiper Conservado'!$B$17:$C$25,2,FALSE),0%)</f>
        <v>0</v>
      </c>
      <c r="BPJ3" s="5">
        <f>IFERROR(VLOOKUP(BPJ$1,'Renta fija USD Hiper Conservado'!$B$17:$C$25,2,FALSE),0%)</f>
        <v>0</v>
      </c>
      <c r="BPK3" s="5">
        <f>IFERROR(VLOOKUP(BPK$1,'Renta fija USD Hiper Conservado'!$B$17:$C$25,2,FALSE),0%)</f>
        <v>0</v>
      </c>
      <c r="BPL3" s="5">
        <f>IFERROR(VLOOKUP(BPL$1,'Renta fija USD Hiper Conservado'!$B$17:$C$25,2,FALSE),0%)</f>
        <v>0</v>
      </c>
      <c r="BPM3" s="5">
        <f>IFERROR(VLOOKUP(BPM$1,'Renta fija USD Hiper Conservado'!$B$17:$C$25,2,FALSE),0%)</f>
        <v>0</v>
      </c>
      <c r="BPN3" s="5">
        <f>IFERROR(VLOOKUP(BPN$1,'Renta fija USD Hiper Conservado'!$B$17:$C$25,2,FALSE),0%)</f>
        <v>0</v>
      </c>
      <c r="BPO3" s="5">
        <f>IFERROR(VLOOKUP(BPO$1,'Renta fija USD Hiper Conservado'!$B$17:$C$25,2,FALSE),0%)</f>
        <v>0</v>
      </c>
      <c r="BPP3" s="5">
        <f>IFERROR(VLOOKUP(BPP$1,'Renta fija USD Hiper Conservado'!$B$17:$C$25,2,FALSE),0%)</f>
        <v>0</v>
      </c>
      <c r="BPQ3" s="5">
        <f>IFERROR(VLOOKUP(BPQ$1,'Renta fija USD Hiper Conservado'!$B$17:$C$25,2,FALSE),0%)</f>
        <v>0</v>
      </c>
      <c r="BPR3" s="5">
        <f>IFERROR(VLOOKUP(BPR$1,'Renta fija USD Hiper Conservado'!$B$17:$C$25,2,FALSE),0%)</f>
        <v>0</v>
      </c>
      <c r="BPS3" s="5">
        <f>IFERROR(VLOOKUP(BPS$1,'Renta fija USD Hiper Conservado'!$B$17:$C$25,2,FALSE),0%)</f>
        <v>0</v>
      </c>
      <c r="BPT3" s="5">
        <f>IFERROR(VLOOKUP(BPT$1,'Renta fija USD Hiper Conservado'!$B$17:$C$25,2,FALSE),0%)</f>
        <v>0</v>
      </c>
      <c r="BPU3" s="5">
        <f>IFERROR(VLOOKUP(BPU$1,'Renta fija USD Hiper Conservado'!$B$17:$C$25,2,FALSE),0%)</f>
        <v>0</v>
      </c>
      <c r="BPV3" s="5">
        <f>IFERROR(VLOOKUP(BPV$1,'Renta fija USD Hiper Conservado'!$B$17:$C$25,2,FALSE),0%)</f>
        <v>0</v>
      </c>
      <c r="BPW3" s="5">
        <f>IFERROR(VLOOKUP(BPW$1,'Renta fija USD Hiper Conservado'!$B$17:$C$25,2,FALSE),0%)</f>
        <v>0</v>
      </c>
      <c r="BPX3" s="5">
        <f>IFERROR(VLOOKUP(BPX$1,'Renta fija USD Hiper Conservado'!$B$17:$C$25,2,FALSE),0%)</f>
        <v>0</v>
      </c>
      <c r="BPY3" s="5">
        <f>IFERROR(VLOOKUP(BPY$1,'Renta fija USD Hiper Conservado'!$B$17:$C$25,2,FALSE),0%)</f>
        <v>0</v>
      </c>
      <c r="BPZ3" s="5">
        <f>IFERROR(VLOOKUP(BPZ$1,'Renta fija USD Hiper Conservado'!$B$17:$C$25,2,FALSE),0%)</f>
        <v>0</v>
      </c>
      <c r="BQA3" s="5">
        <f>IFERROR(VLOOKUP(BQA$1,'Renta fija USD Hiper Conservado'!$B$17:$C$25,2,FALSE),0%)</f>
        <v>0</v>
      </c>
      <c r="BQB3" s="5">
        <f>IFERROR(VLOOKUP(BQB$1,'Renta fija USD Hiper Conservado'!$B$17:$C$25,2,FALSE),0%)</f>
        <v>0</v>
      </c>
      <c r="BQC3" s="5">
        <f>IFERROR(VLOOKUP(BQC$1,'Renta fija USD Hiper Conservado'!$B$17:$C$25,2,FALSE),0%)</f>
        <v>0</v>
      </c>
      <c r="BQD3" s="5">
        <f>IFERROR(VLOOKUP(BQD$1,'Renta fija USD Hiper Conservado'!$B$17:$C$25,2,FALSE),0%)</f>
        <v>0</v>
      </c>
      <c r="BQE3" s="5">
        <f>IFERROR(VLOOKUP(BQE$1,'Renta fija USD Hiper Conservado'!$B$17:$C$25,2,FALSE),0%)</f>
        <v>0</v>
      </c>
      <c r="BQF3" s="5">
        <f>IFERROR(VLOOKUP(BQF$1,'Renta fija USD Hiper Conservado'!$B$17:$C$25,2,FALSE),0%)</f>
        <v>0</v>
      </c>
      <c r="BQG3" s="5">
        <f>IFERROR(VLOOKUP(BQG$1,'Renta fija USD Hiper Conservado'!$B$17:$C$25,2,FALSE),0%)</f>
        <v>0</v>
      </c>
      <c r="BQH3" s="5">
        <f>IFERROR(VLOOKUP(BQH$1,'Renta fija USD Hiper Conservado'!$B$17:$C$25,2,FALSE),0%)</f>
        <v>0</v>
      </c>
      <c r="BQI3" s="5">
        <f>IFERROR(VLOOKUP(BQI$1,'Renta fija USD Hiper Conservado'!$B$17:$C$25,2,FALSE),0%)</f>
        <v>0</v>
      </c>
      <c r="BQJ3" s="5">
        <f>IFERROR(VLOOKUP(BQJ$1,'Renta fija USD Hiper Conservado'!$B$17:$C$25,2,FALSE),0%)</f>
        <v>0</v>
      </c>
      <c r="BQK3" s="5">
        <f>IFERROR(VLOOKUP(BQK$1,'Renta fija USD Hiper Conservado'!$B$17:$C$25,2,FALSE),0%)</f>
        <v>0</v>
      </c>
      <c r="BQL3" s="5">
        <f>IFERROR(VLOOKUP(BQL$1,'Renta fija USD Hiper Conservado'!$B$17:$C$25,2,FALSE),0%)</f>
        <v>0</v>
      </c>
      <c r="BQM3" s="5">
        <f>IFERROR(VLOOKUP(BQM$1,'Renta fija USD Hiper Conservado'!$B$17:$C$25,2,FALSE),0%)</f>
        <v>0</v>
      </c>
      <c r="BQN3" s="5">
        <f>IFERROR(VLOOKUP(BQN$1,'Renta fija USD Hiper Conservado'!$B$17:$C$25,2,FALSE),0%)</f>
        <v>0</v>
      </c>
      <c r="BQO3" s="5">
        <f>IFERROR(VLOOKUP(BQO$1,'Renta fija USD Hiper Conservado'!$B$17:$C$25,2,FALSE),0%)</f>
        <v>0</v>
      </c>
      <c r="BQP3" s="5">
        <f>IFERROR(VLOOKUP(BQP$1,'Renta fija USD Hiper Conservado'!$B$17:$C$25,2,FALSE),0%)</f>
        <v>0</v>
      </c>
      <c r="BQQ3" s="5">
        <f>IFERROR(VLOOKUP(BQQ$1,'Renta fija USD Hiper Conservado'!$B$17:$C$25,2,FALSE),0%)</f>
        <v>0</v>
      </c>
      <c r="BQR3" s="5">
        <f>IFERROR(VLOOKUP(BQR$1,'Renta fija USD Hiper Conservado'!$B$17:$C$25,2,FALSE),0%)</f>
        <v>0</v>
      </c>
      <c r="BQS3" s="5">
        <f>IFERROR(VLOOKUP(BQS$1,'Renta fija USD Hiper Conservado'!$B$17:$C$25,2,FALSE),0%)</f>
        <v>0</v>
      </c>
      <c r="BQT3" s="5">
        <f>IFERROR(VLOOKUP(BQT$1,'Renta fija USD Hiper Conservado'!$B$17:$C$25,2,FALSE),0%)</f>
        <v>0</v>
      </c>
      <c r="BQU3" s="5">
        <f>IFERROR(VLOOKUP(BQU$1,'Renta fija USD Hiper Conservado'!$B$17:$C$25,2,FALSE),0%)</f>
        <v>0</v>
      </c>
      <c r="BQV3" s="5">
        <f>IFERROR(VLOOKUP(BQV$1,'Renta fija USD Hiper Conservado'!$B$17:$C$25,2,FALSE),0%)</f>
        <v>0</v>
      </c>
      <c r="BQW3" s="5">
        <f>IFERROR(VLOOKUP(BQW$1,'Renta fija USD Hiper Conservado'!$B$17:$C$25,2,FALSE),0%)</f>
        <v>0</v>
      </c>
      <c r="BQX3" s="5">
        <f>IFERROR(VLOOKUP(BQX$1,'Renta fija USD Hiper Conservado'!$B$17:$C$25,2,FALSE),0%)</f>
        <v>0</v>
      </c>
      <c r="BQY3" s="5">
        <f>IFERROR(VLOOKUP(BQY$1,'Renta fija USD Hiper Conservado'!$B$17:$C$25,2,FALSE),0%)</f>
        <v>0</v>
      </c>
      <c r="BQZ3" s="5">
        <f>IFERROR(VLOOKUP(BQZ$1,'Renta fija USD Hiper Conservado'!$B$17:$C$25,2,FALSE),0%)</f>
        <v>0</v>
      </c>
      <c r="BRA3" s="5">
        <f>IFERROR(VLOOKUP(BRA$1,'Renta fija USD Hiper Conservado'!$B$17:$C$25,2,FALSE),0%)</f>
        <v>0</v>
      </c>
      <c r="BRB3" s="5">
        <f>IFERROR(VLOOKUP(BRB$1,'Renta fija USD Hiper Conservado'!$B$17:$C$25,2,FALSE),0%)</f>
        <v>0</v>
      </c>
      <c r="BRC3" s="5">
        <f>IFERROR(VLOOKUP(BRC$1,'Renta fija USD Hiper Conservado'!$B$17:$C$25,2,FALSE),0%)</f>
        <v>0</v>
      </c>
      <c r="BRD3" s="5">
        <f>IFERROR(VLOOKUP(BRD$1,'Renta fija USD Hiper Conservado'!$B$17:$C$25,2,FALSE),0%)</f>
        <v>0</v>
      </c>
      <c r="BRE3" s="5">
        <f>IFERROR(VLOOKUP(BRE$1,'Renta fija USD Hiper Conservado'!$B$17:$C$25,2,FALSE),0%)</f>
        <v>0</v>
      </c>
      <c r="BRF3" s="5">
        <f>IFERROR(VLOOKUP(BRF$1,'Renta fija USD Hiper Conservado'!$B$17:$C$25,2,FALSE),0%)</f>
        <v>0</v>
      </c>
      <c r="BRG3" s="5">
        <f>IFERROR(VLOOKUP(BRG$1,'Renta fija USD Hiper Conservado'!$B$17:$C$25,2,FALSE),0%)</f>
        <v>0</v>
      </c>
      <c r="BRH3" s="5">
        <f>IFERROR(VLOOKUP(BRH$1,'Renta fija USD Hiper Conservado'!$B$17:$C$25,2,FALSE),0%)</f>
        <v>0</v>
      </c>
      <c r="BRI3" s="5">
        <f>IFERROR(VLOOKUP(BRI$1,'Renta fija USD Hiper Conservado'!$B$17:$C$25,2,FALSE),0%)</f>
        <v>0</v>
      </c>
      <c r="BRJ3" s="5">
        <f>IFERROR(VLOOKUP(BRJ$1,'Renta fija USD Hiper Conservado'!$B$17:$C$25,2,FALSE),0%)</f>
        <v>0</v>
      </c>
      <c r="BRK3" s="5">
        <f>IFERROR(VLOOKUP(BRK$1,'Renta fija USD Hiper Conservado'!$B$17:$C$25,2,FALSE),0%)</f>
        <v>0</v>
      </c>
      <c r="BRL3" s="5">
        <f>IFERROR(VLOOKUP(BRL$1,'Renta fija USD Hiper Conservado'!$B$17:$C$25,2,FALSE),0%)</f>
        <v>0</v>
      </c>
      <c r="BRM3" s="5">
        <f>IFERROR(VLOOKUP(BRM$1,'Renta fija USD Hiper Conservado'!$B$17:$C$25,2,FALSE),0%)</f>
        <v>0</v>
      </c>
      <c r="BRN3" s="5">
        <f>IFERROR(VLOOKUP(BRN$1,'Renta fija USD Hiper Conservado'!$B$17:$C$25,2,FALSE),0%)</f>
        <v>0</v>
      </c>
      <c r="BRO3" s="5">
        <f>IFERROR(VLOOKUP(BRO$1,'Renta fija USD Hiper Conservado'!$B$17:$C$25,2,FALSE),0%)</f>
        <v>0</v>
      </c>
      <c r="BRP3" s="5">
        <f>IFERROR(VLOOKUP(BRP$1,'Renta fija USD Hiper Conservado'!$B$17:$C$25,2,FALSE),0%)</f>
        <v>0</v>
      </c>
      <c r="BRQ3" s="5">
        <f>IFERROR(VLOOKUP(BRQ$1,'Renta fija USD Hiper Conservado'!$B$17:$C$25,2,FALSE),0%)</f>
        <v>0</v>
      </c>
      <c r="BRR3" s="5">
        <f>IFERROR(VLOOKUP(BRR$1,'Renta fija USD Hiper Conservado'!$B$17:$C$25,2,FALSE),0%)</f>
        <v>0</v>
      </c>
      <c r="BRS3" s="5">
        <f>IFERROR(VLOOKUP(BRS$1,'Renta fija USD Hiper Conservado'!$B$17:$C$25,2,FALSE),0%)</f>
        <v>0</v>
      </c>
      <c r="BRT3" s="5">
        <f>IFERROR(VLOOKUP(BRT$1,'Renta fija USD Hiper Conservado'!$B$17:$C$25,2,FALSE),0%)</f>
        <v>0</v>
      </c>
      <c r="BRU3" s="5">
        <f>IFERROR(VLOOKUP(BRU$1,'Renta fija USD Hiper Conservado'!$B$17:$C$25,2,FALSE),0%)</f>
        <v>0</v>
      </c>
      <c r="BRV3" s="5">
        <f>IFERROR(VLOOKUP(BRV$1,'Renta fija USD Hiper Conservado'!$B$17:$C$25,2,FALSE),0%)</f>
        <v>0</v>
      </c>
      <c r="BRW3" s="5">
        <f>IFERROR(VLOOKUP(BRW$1,'Renta fija USD Hiper Conservado'!$B$17:$C$25,2,FALSE),0%)</f>
        <v>0</v>
      </c>
      <c r="BRX3" s="5">
        <f>IFERROR(VLOOKUP(BRX$1,'Renta fija USD Hiper Conservado'!$B$17:$C$25,2,FALSE),0%)</f>
        <v>0</v>
      </c>
      <c r="BRY3" s="5">
        <f>IFERROR(VLOOKUP(BRY$1,'Renta fija USD Hiper Conservado'!$B$17:$C$25,2,FALSE),0%)</f>
        <v>0</v>
      </c>
      <c r="BRZ3" s="5">
        <f>IFERROR(VLOOKUP(BRZ$1,'Renta fija USD Hiper Conservado'!$B$17:$C$25,2,FALSE),0%)</f>
        <v>0</v>
      </c>
      <c r="BSA3" s="5">
        <f>IFERROR(VLOOKUP(BSA$1,'Renta fija USD Hiper Conservado'!$B$17:$C$25,2,FALSE),0%)</f>
        <v>0</v>
      </c>
      <c r="BSB3" s="5">
        <f>IFERROR(VLOOKUP(BSB$1,'Renta fija USD Hiper Conservado'!$B$17:$C$25,2,FALSE),0%)</f>
        <v>0</v>
      </c>
      <c r="BSC3" s="5">
        <f>IFERROR(VLOOKUP(BSC$1,'Renta fija USD Hiper Conservado'!$B$17:$C$25,2,FALSE),0%)</f>
        <v>0</v>
      </c>
      <c r="BSD3" s="5">
        <f>IFERROR(VLOOKUP(BSD$1,'Renta fija USD Hiper Conservado'!$B$17:$C$25,2,FALSE),0%)</f>
        <v>0</v>
      </c>
      <c r="BSE3" s="5">
        <f>IFERROR(VLOOKUP(BSE$1,'Renta fija USD Hiper Conservado'!$B$17:$C$25,2,FALSE),0%)</f>
        <v>0</v>
      </c>
      <c r="BSF3" s="5">
        <f>IFERROR(VLOOKUP(BSF$1,'Renta fija USD Hiper Conservado'!$B$17:$C$25,2,FALSE),0%)</f>
        <v>0</v>
      </c>
      <c r="BSG3" s="5">
        <f>IFERROR(VLOOKUP(BSG$1,'Renta fija USD Hiper Conservado'!$B$17:$C$25,2,FALSE),0%)</f>
        <v>0</v>
      </c>
      <c r="BSH3" s="5">
        <f>IFERROR(VLOOKUP(BSH$1,'Renta fija USD Hiper Conservado'!$B$17:$C$25,2,FALSE),0%)</f>
        <v>0</v>
      </c>
      <c r="BSI3" s="5">
        <f>IFERROR(VLOOKUP(BSI$1,'Renta fija USD Hiper Conservado'!$B$17:$C$25,2,FALSE),0%)</f>
        <v>0</v>
      </c>
      <c r="BSJ3" s="5">
        <f>IFERROR(VLOOKUP(BSJ$1,'Renta fija USD Hiper Conservado'!$B$17:$C$25,2,FALSE),0%)</f>
        <v>0</v>
      </c>
      <c r="BSK3" s="5">
        <f>IFERROR(VLOOKUP(BSK$1,'Renta fija USD Hiper Conservado'!$B$17:$C$25,2,FALSE),0%)</f>
        <v>0</v>
      </c>
      <c r="BSL3" s="5">
        <f>IFERROR(VLOOKUP(BSL$1,'Renta fija USD Hiper Conservado'!$B$17:$C$25,2,FALSE),0%)</f>
        <v>0</v>
      </c>
      <c r="BSM3" s="5">
        <f>IFERROR(VLOOKUP(BSM$1,'Renta fija USD Hiper Conservado'!$B$17:$C$25,2,FALSE),0%)</f>
        <v>0</v>
      </c>
      <c r="BSN3" s="5">
        <f>IFERROR(VLOOKUP(BSN$1,'Renta fija USD Hiper Conservado'!$B$17:$C$25,2,FALSE),0%)</f>
        <v>0</v>
      </c>
      <c r="BSO3" s="5">
        <f>IFERROR(VLOOKUP(BSO$1,'Renta fija USD Hiper Conservado'!$B$17:$C$25,2,FALSE),0%)</f>
        <v>0</v>
      </c>
      <c r="BSP3" s="5">
        <f>IFERROR(VLOOKUP(BSP$1,'Renta fija USD Hiper Conservado'!$B$17:$C$25,2,FALSE),0%)</f>
        <v>0</v>
      </c>
      <c r="BSQ3" s="5">
        <f>IFERROR(VLOOKUP(BSQ$1,'Renta fija USD Hiper Conservado'!$B$17:$C$25,2,FALSE),0%)</f>
        <v>0</v>
      </c>
      <c r="BSR3" s="5">
        <f>IFERROR(VLOOKUP(BSR$1,'Renta fija USD Hiper Conservado'!$B$17:$C$25,2,FALSE),0%)</f>
        <v>0</v>
      </c>
      <c r="BSS3" s="5">
        <f>IFERROR(VLOOKUP(BSS$1,'Renta fija USD Hiper Conservado'!$B$17:$C$25,2,FALSE),0%)</f>
        <v>0</v>
      </c>
      <c r="BST3" s="5">
        <f>IFERROR(VLOOKUP(BST$1,'Renta fija USD Hiper Conservado'!$B$17:$C$25,2,FALSE),0%)</f>
        <v>0</v>
      </c>
      <c r="BSU3" s="5">
        <f>IFERROR(VLOOKUP(BSU$1,'Renta fija USD Hiper Conservado'!$B$17:$C$25,2,FALSE),0%)</f>
        <v>0</v>
      </c>
      <c r="BSV3" s="5">
        <f>IFERROR(VLOOKUP(BSV$1,'Renta fija USD Hiper Conservado'!$B$17:$C$25,2,FALSE),0%)</f>
        <v>0</v>
      </c>
      <c r="BSW3" s="5">
        <f>IFERROR(VLOOKUP(BSW$1,'Renta fija USD Hiper Conservado'!$B$17:$C$25,2,FALSE),0%)</f>
        <v>0</v>
      </c>
      <c r="BSX3" s="5">
        <f>IFERROR(VLOOKUP(BSX$1,'Renta fija USD Hiper Conservado'!$B$17:$C$25,2,FALSE),0%)</f>
        <v>0</v>
      </c>
      <c r="BSY3" s="5">
        <f>IFERROR(VLOOKUP(BSY$1,'Renta fija USD Hiper Conservado'!$B$17:$C$25,2,FALSE),0%)</f>
        <v>0</v>
      </c>
      <c r="BSZ3" s="5">
        <f>IFERROR(VLOOKUP(BSZ$1,'Renta fija USD Hiper Conservado'!$B$17:$C$25,2,FALSE),0%)</f>
        <v>0</v>
      </c>
      <c r="BTA3" s="5">
        <f>IFERROR(VLOOKUP(BTA$1,'Renta fija USD Hiper Conservado'!$B$17:$C$25,2,FALSE),0%)</f>
        <v>0</v>
      </c>
      <c r="BTB3" s="5">
        <f>IFERROR(VLOOKUP(BTB$1,'Renta fija USD Hiper Conservado'!$B$17:$C$25,2,FALSE),0%)</f>
        <v>0</v>
      </c>
      <c r="BTC3" s="5">
        <f>IFERROR(VLOOKUP(BTC$1,'Renta fija USD Hiper Conservado'!$B$17:$C$25,2,FALSE),0%)</f>
        <v>0</v>
      </c>
      <c r="BTD3" s="5">
        <f>IFERROR(VLOOKUP(BTD$1,'Renta fija USD Hiper Conservado'!$B$17:$C$25,2,FALSE),0%)</f>
        <v>0</v>
      </c>
      <c r="BTE3" s="5">
        <f>IFERROR(VLOOKUP(BTE$1,'Renta fija USD Hiper Conservado'!$B$17:$C$25,2,FALSE),0%)</f>
        <v>0</v>
      </c>
      <c r="BTF3" s="5">
        <f>IFERROR(VLOOKUP(BTF$1,'Renta fija USD Hiper Conservado'!$B$17:$C$25,2,FALSE),0%)</f>
        <v>0</v>
      </c>
      <c r="BTG3" s="5">
        <f>IFERROR(VLOOKUP(BTG$1,'Renta fija USD Hiper Conservado'!$B$17:$C$25,2,FALSE),0%)</f>
        <v>0</v>
      </c>
      <c r="BTH3" s="5">
        <f>IFERROR(VLOOKUP(BTH$1,'Renta fija USD Hiper Conservado'!$B$17:$C$25,2,FALSE),0%)</f>
        <v>0</v>
      </c>
      <c r="BTI3" s="5">
        <f>IFERROR(VLOOKUP(BTI$1,'Renta fija USD Hiper Conservado'!$B$17:$C$25,2,FALSE),0%)</f>
        <v>0</v>
      </c>
      <c r="BTJ3" s="5">
        <f>IFERROR(VLOOKUP(BTJ$1,'Renta fija USD Hiper Conservado'!$B$17:$C$25,2,FALSE),0%)</f>
        <v>0</v>
      </c>
      <c r="BTK3" s="5">
        <f>IFERROR(VLOOKUP(BTK$1,'Renta fija USD Hiper Conservado'!$B$17:$C$25,2,FALSE),0%)</f>
        <v>0</v>
      </c>
      <c r="BTL3" s="5">
        <f>IFERROR(VLOOKUP(BTL$1,'Renta fija USD Hiper Conservado'!$B$17:$C$25,2,FALSE),0%)</f>
        <v>0</v>
      </c>
      <c r="BTM3" s="5">
        <f>IFERROR(VLOOKUP(BTM$1,'Renta fija USD Hiper Conservado'!$B$17:$C$25,2,FALSE),0%)</f>
        <v>0</v>
      </c>
      <c r="BTN3" s="5">
        <f>IFERROR(VLOOKUP(BTN$1,'Renta fija USD Hiper Conservado'!$B$17:$C$25,2,FALSE),0%)</f>
        <v>0</v>
      </c>
      <c r="BTO3" s="5">
        <f>IFERROR(VLOOKUP(BTO$1,'Renta fija USD Hiper Conservado'!$B$17:$C$25,2,FALSE),0%)</f>
        <v>0</v>
      </c>
      <c r="BTP3" s="5">
        <f>IFERROR(VLOOKUP(BTP$1,'Renta fija USD Hiper Conservado'!$B$17:$C$25,2,FALSE),0%)</f>
        <v>0</v>
      </c>
      <c r="BTQ3" s="5">
        <f>IFERROR(VLOOKUP(BTQ$1,'Renta fija USD Hiper Conservado'!$B$17:$C$25,2,FALSE),0%)</f>
        <v>0</v>
      </c>
      <c r="BTR3" s="5">
        <f>IFERROR(VLOOKUP(BTR$1,'Renta fija USD Hiper Conservado'!$B$17:$C$25,2,FALSE),0%)</f>
        <v>0</v>
      </c>
      <c r="BTS3" s="5">
        <f>IFERROR(VLOOKUP(BTS$1,'Renta fija USD Hiper Conservado'!$B$17:$C$25,2,FALSE),0%)</f>
        <v>0</v>
      </c>
      <c r="BTT3" s="5">
        <f>IFERROR(VLOOKUP(BTT$1,'Renta fija USD Hiper Conservado'!$B$17:$C$25,2,FALSE),0%)</f>
        <v>0</v>
      </c>
      <c r="BTU3" s="5">
        <f>IFERROR(VLOOKUP(BTU$1,'Renta fija USD Hiper Conservado'!$B$17:$C$25,2,FALSE),0%)</f>
        <v>0</v>
      </c>
      <c r="BTV3" s="5">
        <f>IFERROR(VLOOKUP(BTV$1,'Renta fija USD Hiper Conservado'!$B$17:$C$25,2,FALSE),0%)</f>
        <v>0</v>
      </c>
      <c r="BTW3" s="5">
        <f>IFERROR(VLOOKUP(BTW$1,'Renta fija USD Hiper Conservado'!$B$17:$C$25,2,FALSE),0%)</f>
        <v>0</v>
      </c>
      <c r="BTX3" s="5">
        <f>IFERROR(VLOOKUP(BTX$1,'Renta fija USD Hiper Conservado'!$B$17:$C$25,2,FALSE),0%)</f>
        <v>0</v>
      </c>
      <c r="BTY3" s="5">
        <f>IFERROR(VLOOKUP(BTY$1,'Renta fija USD Hiper Conservado'!$B$17:$C$25,2,FALSE),0%)</f>
        <v>0</v>
      </c>
      <c r="BTZ3" s="5">
        <f>IFERROR(VLOOKUP(BTZ$1,'Renta fija USD Hiper Conservado'!$B$17:$C$25,2,FALSE),0%)</f>
        <v>0</v>
      </c>
      <c r="BUA3" s="5">
        <f>IFERROR(VLOOKUP(BUA$1,'Renta fija USD Hiper Conservado'!$B$17:$C$25,2,FALSE),0%)</f>
        <v>0</v>
      </c>
      <c r="BUB3" s="5">
        <f>IFERROR(VLOOKUP(BUB$1,'Renta fija USD Hiper Conservado'!$B$17:$C$25,2,FALSE),0%)</f>
        <v>0</v>
      </c>
      <c r="BUC3" s="5">
        <f>IFERROR(VLOOKUP(BUC$1,'Renta fija USD Hiper Conservado'!$B$17:$C$25,2,FALSE),0%)</f>
        <v>0</v>
      </c>
      <c r="BUD3" s="5">
        <f>IFERROR(VLOOKUP(BUD$1,'Renta fija USD Hiper Conservado'!$B$17:$C$25,2,FALSE),0%)</f>
        <v>0</v>
      </c>
      <c r="BUE3" s="5">
        <f>IFERROR(VLOOKUP(BUE$1,'Renta fija USD Hiper Conservado'!$B$17:$C$25,2,FALSE),0%)</f>
        <v>0</v>
      </c>
      <c r="BUF3" s="5">
        <f>IFERROR(VLOOKUP(BUF$1,'Renta fija USD Hiper Conservado'!$B$17:$C$25,2,FALSE),0%)</f>
        <v>0</v>
      </c>
      <c r="BUG3" s="5">
        <f>IFERROR(VLOOKUP(BUG$1,'Renta fija USD Hiper Conservado'!$B$17:$C$25,2,FALSE),0%)</f>
        <v>0</v>
      </c>
      <c r="BUH3" s="5">
        <f>IFERROR(VLOOKUP(BUH$1,'Renta fija USD Hiper Conservado'!$B$17:$C$25,2,FALSE),0%)</f>
        <v>0</v>
      </c>
      <c r="BUI3" s="5">
        <f>IFERROR(VLOOKUP(BUI$1,'Renta fija USD Hiper Conservado'!$B$17:$C$25,2,FALSE),0%)</f>
        <v>0</v>
      </c>
      <c r="BUJ3" s="5">
        <f>IFERROR(VLOOKUP(BUJ$1,'Renta fija USD Hiper Conservado'!$B$17:$C$25,2,FALSE),0%)</f>
        <v>0</v>
      </c>
      <c r="BUK3" s="5">
        <f>IFERROR(VLOOKUP(BUK$1,'Renta fija USD Hiper Conservado'!$B$17:$C$25,2,FALSE),0%)</f>
        <v>0</v>
      </c>
      <c r="BUL3" s="5">
        <f>IFERROR(VLOOKUP(BUL$1,'Renta fija USD Hiper Conservado'!$B$17:$C$25,2,FALSE),0%)</f>
        <v>0</v>
      </c>
      <c r="BUM3" s="5">
        <f>IFERROR(VLOOKUP(BUM$1,'Renta fija USD Hiper Conservado'!$B$17:$C$25,2,FALSE),0%)</f>
        <v>0</v>
      </c>
      <c r="BUN3" s="5">
        <f>IFERROR(VLOOKUP(BUN$1,'Renta fija USD Hiper Conservado'!$B$17:$C$25,2,FALSE),0%)</f>
        <v>0</v>
      </c>
      <c r="BUO3" s="5">
        <f>IFERROR(VLOOKUP(BUO$1,'Renta fija USD Hiper Conservado'!$B$17:$C$25,2,FALSE),0%)</f>
        <v>0</v>
      </c>
      <c r="BUP3" s="5">
        <f>IFERROR(VLOOKUP(BUP$1,'Renta fija USD Hiper Conservado'!$B$17:$C$25,2,FALSE),0%)</f>
        <v>0</v>
      </c>
      <c r="BUQ3" s="5">
        <f>IFERROR(VLOOKUP(BUQ$1,'Renta fija USD Hiper Conservado'!$B$17:$C$25,2,FALSE),0%)</f>
        <v>0</v>
      </c>
      <c r="BUR3" s="5">
        <f>IFERROR(VLOOKUP(BUR$1,'Renta fija USD Hiper Conservado'!$B$17:$C$25,2,FALSE),0%)</f>
        <v>0</v>
      </c>
      <c r="BUS3" s="5">
        <f>IFERROR(VLOOKUP(BUS$1,'Renta fija USD Hiper Conservado'!$B$17:$C$25,2,FALSE),0%)</f>
        <v>0</v>
      </c>
      <c r="BUT3" s="5">
        <f>IFERROR(VLOOKUP(BUT$1,'Renta fija USD Hiper Conservado'!$B$17:$C$25,2,FALSE),0%)</f>
        <v>0</v>
      </c>
      <c r="BUU3" s="5">
        <f>IFERROR(VLOOKUP(BUU$1,'Renta fija USD Hiper Conservado'!$B$17:$C$25,2,FALSE),0%)</f>
        <v>0</v>
      </c>
      <c r="BUV3" s="5">
        <f>IFERROR(VLOOKUP(BUV$1,'Renta fija USD Hiper Conservado'!$B$17:$C$25,2,FALSE),0%)</f>
        <v>0</v>
      </c>
      <c r="BUW3" s="5">
        <f>IFERROR(VLOOKUP(BUW$1,'Renta fija USD Hiper Conservado'!$B$17:$C$25,2,FALSE),0%)</f>
        <v>0</v>
      </c>
      <c r="BUX3" s="5">
        <f>IFERROR(VLOOKUP(BUX$1,'Renta fija USD Hiper Conservado'!$B$17:$C$25,2,FALSE),0%)</f>
        <v>0</v>
      </c>
      <c r="BUY3" s="5">
        <f>IFERROR(VLOOKUP(BUY$1,'Renta fija USD Hiper Conservado'!$B$17:$C$25,2,FALSE),0%)</f>
        <v>0</v>
      </c>
      <c r="BUZ3" s="5">
        <f>IFERROR(VLOOKUP(BUZ$1,'Renta fija USD Hiper Conservado'!$B$17:$C$25,2,FALSE),0%)</f>
        <v>0</v>
      </c>
      <c r="BVA3" s="5">
        <f>IFERROR(VLOOKUP(BVA$1,'Renta fija USD Hiper Conservado'!$B$17:$C$25,2,FALSE),0%)</f>
        <v>0</v>
      </c>
      <c r="BVB3" s="5">
        <f>IFERROR(VLOOKUP(BVB$1,'Renta fija USD Hiper Conservado'!$B$17:$C$25,2,FALSE),0%)</f>
        <v>0</v>
      </c>
      <c r="BVC3" s="5">
        <f>IFERROR(VLOOKUP(BVC$1,'Renta fija USD Hiper Conservado'!$B$17:$C$25,2,FALSE),0%)</f>
        <v>0</v>
      </c>
      <c r="BVD3" s="5">
        <f>IFERROR(VLOOKUP(BVD$1,'Renta fija USD Hiper Conservado'!$B$17:$C$25,2,FALSE),0%)</f>
        <v>0</v>
      </c>
      <c r="BVE3" s="5">
        <f>IFERROR(VLOOKUP(BVE$1,'Renta fija USD Hiper Conservado'!$B$17:$C$25,2,FALSE),0%)</f>
        <v>0</v>
      </c>
      <c r="BVF3" s="5">
        <f>IFERROR(VLOOKUP(BVF$1,'Renta fija USD Hiper Conservado'!$B$17:$C$25,2,FALSE),0%)</f>
        <v>0</v>
      </c>
      <c r="BVG3" s="5">
        <f>IFERROR(VLOOKUP(BVG$1,'Renta fija USD Hiper Conservado'!$B$17:$C$25,2,FALSE),0%)</f>
        <v>0</v>
      </c>
      <c r="BVH3" s="5">
        <f>IFERROR(VLOOKUP(BVH$1,'Renta fija USD Hiper Conservado'!$B$17:$C$25,2,FALSE),0%)</f>
        <v>0</v>
      </c>
      <c r="BVI3" s="5">
        <f>IFERROR(VLOOKUP(BVI$1,'Renta fija USD Hiper Conservado'!$B$17:$C$25,2,FALSE),0%)</f>
        <v>0</v>
      </c>
      <c r="BVJ3" s="5">
        <f>IFERROR(VLOOKUP(BVJ$1,'Renta fija USD Hiper Conservado'!$B$17:$C$25,2,FALSE),0%)</f>
        <v>0</v>
      </c>
      <c r="BVK3" s="5">
        <f>IFERROR(VLOOKUP(BVK$1,'Renta fija USD Hiper Conservado'!$B$17:$C$25,2,FALSE),0%)</f>
        <v>0</v>
      </c>
      <c r="BVL3" s="5">
        <f>IFERROR(VLOOKUP(BVL$1,'Renta fija USD Hiper Conservado'!$B$17:$C$25,2,FALSE),0%)</f>
        <v>0</v>
      </c>
      <c r="BVM3" s="5">
        <f>IFERROR(VLOOKUP(BVM$1,'Renta fija USD Hiper Conservado'!$B$17:$C$25,2,FALSE),0%)</f>
        <v>0</v>
      </c>
      <c r="BVN3" s="5">
        <f>IFERROR(VLOOKUP(BVN$1,'Renta fija USD Hiper Conservado'!$B$17:$C$25,2,FALSE),0%)</f>
        <v>0</v>
      </c>
      <c r="BVO3" s="5">
        <f>IFERROR(VLOOKUP(BVO$1,'Renta fija USD Hiper Conservado'!$B$17:$C$25,2,FALSE),0%)</f>
        <v>0</v>
      </c>
      <c r="BVP3" s="5">
        <f>IFERROR(VLOOKUP(BVP$1,'Renta fija USD Hiper Conservado'!$B$17:$C$25,2,FALSE),0%)</f>
        <v>0</v>
      </c>
      <c r="BVQ3" s="5">
        <f>IFERROR(VLOOKUP(BVQ$1,'Renta fija USD Hiper Conservado'!$B$17:$C$25,2,FALSE),0%)</f>
        <v>0</v>
      </c>
      <c r="BVR3" s="5">
        <f>IFERROR(VLOOKUP(BVR$1,'Renta fija USD Hiper Conservado'!$B$17:$C$25,2,FALSE),0%)</f>
        <v>0</v>
      </c>
      <c r="BVS3" s="5">
        <f>IFERROR(VLOOKUP(BVS$1,'Renta fija USD Hiper Conservado'!$B$17:$C$25,2,FALSE),0%)</f>
        <v>0</v>
      </c>
      <c r="BVT3" s="5">
        <f>IFERROR(VLOOKUP(BVT$1,'Renta fija USD Hiper Conservado'!$B$17:$C$25,2,FALSE),0%)</f>
        <v>0</v>
      </c>
      <c r="BVU3" s="5">
        <f>IFERROR(VLOOKUP(BVU$1,'Renta fija USD Hiper Conservado'!$B$17:$C$25,2,FALSE),0%)</f>
        <v>0</v>
      </c>
      <c r="BVV3" s="5">
        <f>IFERROR(VLOOKUP(BVV$1,'Renta fija USD Hiper Conservado'!$B$17:$C$25,2,FALSE),0%)</f>
        <v>0</v>
      </c>
      <c r="BVW3" s="5">
        <f>IFERROR(VLOOKUP(BVW$1,'Renta fija USD Hiper Conservado'!$B$17:$C$25,2,FALSE),0%)</f>
        <v>0</v>
      </c>
      <c r="BVX3" s="5">
        <f>IFERROR(VLOOKUP(BVX$1,'Renta fija USD Hiper Conservado'!$B$17:$C$25,2,FALSE),0%)</f>
        <v>0</v>
      </c>
      <c r="BVY3" s="5">
        <f>IFERROR(VLOOKUP(BVY$1,'Renta fija USD Hiper Conservado'!$B$17:$C$25,2,FALSE),0%)</f>
        <v>0</v>
      </c>
      <c r="BVZ3" s="5">
        <f>IFERROR(VLOOKUP(BVZ$1,'Renta fija USD Hiper Conservado'!$B$17:$C$25,2,FALSE),0%)</f>
        <v>0</v>
      </c>
      <c r="BWA3" s="5">
        <f>IFERROR(VLOOKUP(BWA$1,'Renta fija USD Hiper Conservado'!$B$17:$C$25,2,FALSE),0%)</f>
        <v>0</v>
      </c>
      <c r="BWB3" s="5">
        <f>IFERROR(VLOOKUP(BWB$1,'Renta fija USD Hiper Conservado'!$B$17:$C$25,2,FALSE),0%)</f>
        <v>0</v>
      </c>
      <c r="BWC3" s="5">
        <f>IFERROR(VLOOKUP(BWC$1,'Renta fija USD Hiper Conservado'!$B$17:$C$25,2,FALSE),0%)</f>
        <v>0</v>
      </c>
      <c r="BWD3" s="5">
        <f>IFERROR(VLOOKUP(BWD$1,'Renta fija USD Hiper Conservado'!$B$17:$C$25,2,FALSE),0%)</f>
        <v>0</v>
      </c>
      <c r="BWE3" s="5">
        <f>IFERROR(VLOOKUP(BWE$1,'Renta fija USD Hiper Conservado'!$B$17:$C$25,2,FALSE),0%)</f>
        <v>0</v>
      </c>
      <c r="BWF3" s="5">
        <f>IFERROR(VLOOKUP(BWF$1,'Renta fija USD Hiper Conservado'!$B$17:$C$25,2,FALSE),0%)</f>
        <v>0</v>
      </c>
      <c r="BWG3" s="5">
        <f>IFERROR(VLOOKUP(BWG$1,'Renta fija USD Hiper Conservado'!$B$17:$C$25,2,FALSE),0%)</f>
        <v>0</v>
      </c>
      <c r="BWH3" s="5">
        <f>IFERROR(VLOOKUP(BWH$1,'Renta fija USD Hiper Conservado'!$B$17:$C$25,2,FALSE),0%)</f>
        <v>0</v>
      </c>
      <c r="BWI3" s="5">
        <f>IFERROR(VLOOKUP(BWI$1,'Renta fija USD Hiper Conservado'!$B$17:$C$25,2,FALSE),0%)</f>
        <v>0</v>
      </c>
      <c r="BWJ3" s="5">
        <f>IFERROR(VLOOKUP(BWJ$1,'Renta fija USD Hiper Conservado'!$B$17:$C$25,2,FALSE),0%)</f>
        <v>0</v>
      </c>
      <c r="BWK3" s="5">
        <f>IFERROR(VLOOKUP(BWK$1,'Renta fija USD Hiper Conservado'!$B$17:$C$25,2,FALSE),0%)</f>
        <v>0</v>
      </c>
      <c r="BWL3" s="5">
        <f>IFERROR(VLOOKUP(BWL$1,'Renta fija USD Hiper Conservado'!$B$17:$C$25,2,FALSE),0%)</f>
        <v>0</v>
      </c>
      <c r="BWM3" s="5">
        <f>IFERROR(VLOOKUP(BWM$1,'Renta fija USD Hiper Conservado'!$B$17:$C$25,2,FALSE),0%)</f>
        <v>0</v>
      </c>
      <c r="BWN3" s="5">
        <f>IFERROR(VLOOKUP(BWN$1,'Renta fija USD Hiper Conservado'!$B$17:$C$25,2,FALSE),0%)</f>
        <v>0</v>
      </c>
      <c r="BWO3" s="5">
        <f>IFERROR(VLOOKUP(BWO$1,'Renta fija USD Hiper Conservado'!$B$17:$C$25,2,FALSE),0%)</f>
        <v>0</v>
      </c>
      <c r="BWP3" s="5">
        <f>IFERROR(VLOOKUP(BWP$1,'Renta fija USD Hiper Conservado'!$B$17:$C$25,2,FALSE),0%)</f>
        <v>0</v>
      </c>
      <c r="BWQ3" s="5">
        <f>IFERROR(VLOOKUP(BWQ$1,'Renta fija USD Hiper Conservado'!$B$17:$C$25,2,FALSE),0%)</f>
        <v>0</v>
      </c>
      <c r="BWR3" s="5">
        <f>IFERROR(VLOOKUP(BWR$1,'Renta fija USD Hiper Conservado'!$B$17:$C$25,2,FALSE),0%)</f>
        <v>0</v>
      </c>
      <c r="BWS3" s="5">
        <f>IFERROR(VLOOKUP(BWS$1,'Renta fija USD Hiper Conservado'!$B$17:$C$25,2,FALSE),0%)</f>
        <v>0</v>
      </c>
      <c r="BWT3" s="5">
        <f>IFERROR(VLOOKUP(BWT$1,'Renta fija USD Hiper Conservado'!$B$17:$C$25,2,FALSE),0%)</f>
        <v>0</v>
      </c>
      <c r="BWU3" s="5">
        <f>IFERROR(VLOOKUP(BWU$1,'Renta fija USD Hiper Conservado'!$B$17:$C$25,2,FALSE),0%)</f>
        <v>0</v>
      </c>
      <c r="BWV3" s="5">
        <f>IFERROR(VLOOKUP(BWV$1,'Renta fija USD Hiper Conservado'!$B$17:$C$25,2,FALSE),0%)</f>
        <v>0</v>
      </c>
      <c r="BWW3" s="5">
        <f>IFERROR(VLOOKUP(BWW$1,'Renta fija USD Hiper Conservado'!$B$17:$C$25,2,FALSE),0%)</f>
        <v>0</v>
      </c>
      <c r="BWX3" s="5">
        <f>IFERROR(VLOOKUP(BWX$1,'Renta fija USD Hiper Conservado'!$B$17:$C$25,2,FALSE),0%)</f>
        <v>0</v>
      </c>
      <c r="BWY3" s="5">
        <f>IFERROR(VLOOKUP(BWY$1,'Renta fija USD Hiper Conservado'!$B$17:$C$25,2,FALSE),0%)</f>
        <v>0</v>
      </c>
      <c r="BWZ3" s="5">
        <f>IFERROR(VLOOKUP(BWZ$1,'Renta fija USD Hiper Conservado'!$B$17:$C$25,2,FALSE),0%)</f>
        <v>0</v>
      </c>
      <c r="BXA3" s="5">
        <f>IFERROR(VLOOKUP(BXA$1,'Renta fija USD Hiper Conservado'!$B$17:$C$25,2,FALSE),0%)</f>
        <v>0</v>
      </c>
      <c r="BXB3" s="5">
        <f>IFERROR(VLOOKUP(BXB$1,'Renta fija USD Hiper Conservado'!$B$17:$C$25,2,FALSE),0%)</f>
        <v>0</v>
      </c>
      <c r="BXC3" s="5">
        <f>IFERROR(VLOOKUP(BXC$1,'Renta fija USD Hiper Conservado'!$B$17:$C$25,2,FALSE),0%)</f>
        <v>0</v>
      </c>
      <c r="BXD3" s="5">
        <f>IFERROR(VLOOKUP(BXD$1,'Renta fija USD Hiper Conservado'!$B$17:$C$25,2,FALSE),0%)</f>
        <v>0</v>
      </c>
      <c r="BXE3" s="5">
        <f>IFERROR(VLOOKUP(BXE$1,'Renta fija USD Hiper Conservado'!$B$17:$C$25,2,FALSE),0%)</f>
        <v>0</v>
      </c>
      <c r="BXF3" s="5">
        <f>IFERROR(VLOOKUP(BXF$1,'Renta fija USD Hiper Conservado'!$B$17:$C$25,2,FALSE),0%)</f>
        <v>0</v>
      </c>
      <c r="BXG3" s="5">
        <f>IFERROR(VLOOKUP(BXG$1,'Renta fija USD Hiper Conservado'!$B$17:$C$25,2,FALSE),0%)</f>
        <v>0</v>
      </c>
      <c r="BXH3" s="5">
        <f>IFERROR(VLOOKUP(BXH$1,'Renta fija USD Hiper Conservado'!$B$17:$C$25,2,FALSE),0%)</f>
        <v>0</v>
      </c>
      <c r="BXI3" s="5">
        <f>IFERROR(VLOOKUP(BXI$1,'Renta fija USD Hiper Conservado'!$B$17:$C$25,2,FALSE),0%)</f>
        <v>0</v>
      </c>
      <c r="BXJ3" s="5">
        <f>IFERROR(VLOOKUP(BXJ$1,'Renta fija USD Hiper Conservado'!$B$17:$C$25,2,FALSE),0%)</f>
        <v>0</v>
      </c>
      <c r="BXK3" s="5">
        <f>IFERROR(VLOOKUP(BXK$1,'Renta fija USD Hiper Conservado'!$B$17:$C$25,2,FALSE),0%)</f>
        <v>0</v>
      </c>
      <c r="BXL3" s="5">
        <f>IFERROR(VLOOKUP(BXL$1,'Renta fija USD Hiper Conservado'!$B$17:$C$25,2,FALSE),0%)</f>
        <v>0</v>
      </c>
      <c r="BXM3" s="5">
        <f>IFERROR(VLOOKUP(BXM$1,'Renta fija USD Hiper Conservado'!$B$17:$C$25,2,FALSE),0%)</f>
        <v>0</v>
      </c>
      <c r="BXN3" s="5">
        <f>IFERROR(VLOOKUP(BXN$1,'Renta fija USD Hiper Conservado'!$B$17:$C$25,2,FALSE),0%)</f>
        <v>0</v>
      </c>
      <c r="BXO3" s="5">
        <f>IFERROR(VLOOKUP(BXO$1,'Renta fija USD Hiper Conservado'!$B$17:$C$25,2,FALSE),0%)</f>
        <v>0</v>
      </c>
      <c r="BXP3" s="5">
        <f>IFERROR(VLOOKUP(BXP$1,'Renta fija USD Hiper Conservado'!$B$17:$C$25,2,FALSE),0%)</f>
        <v>0</v>
      </c>
      <c r="BXQ3" s="5">
        <f>IFERROR(VLOOKUP(BXQ$1,'Renta fija USD Hiper Conservado'!$B$17:$C$25,2,FALSE),0%)</f>
        <v>0</v>
      </c>
      <c r="BXR3" s="5">
        <f>IFERROR(VLOOKUP(BXR$1,'Renta fija USD Hiper Conservado'!$B$17:$C$25,2,FALSE),0%)</f>
        <v>0</v>
      </c>
      <c r="BXS3" s="5">
        <f>IFERROR(VLOOKUP(BXS$1,'Renta fija USD Hiper Conservado'!$B$17:$C$25,2,FALSE),0%)</f>
        <v>0</v>
      </c>
      <c r="BXT3" s="5">
        <f>IFERROR(VLOOKUP(BXT$1,'Renta fija USD Hiper Conservado'!$B$17:$C$25,2,FALSE),0%)</f>
        <v>0</v>
      </c>
      <c r="BXU3" s="5">
        <f>IFERROR(VLOOKUP(BXU$1,'Renta fija USD Hiper Conservado'!$B$17:$C$25,2,FALSE),0%)</f>
        <v>0</v>
      </c>
      <c r="BXV3" s="5">
        <f>IFERROR(VLOOKUP(BXV$1,'Renta fija USD Hiper Conservado'!$B$17:$C$25,2,FALSE),0%)</f>
        <v>0</v>
      </c>
      <c r="BXW3" s="5">
        <f>IFERROR(VLOOKUP(BXW$1,'Renta fija USD Hiper Conservado'!$B$17:$C$25,2,FALSE),0%)</f>
        <v>0</v>
      </c>
      <c r="BXX3" s="5">
        <f>IFERROR(VLOOKUP(BXX$1,'Renta fija USD Hiper Conservado'!$B$17:$C$25,2,FALSE),0%)</f>
        <v>0</v>
      </c>
      <c r="BXY3" s="5">
        <f>IFERROR(VLOOKUP(BXY$1,'Renta fija USD Hiper Conservado'!$B$17:$C$25,2,FALSE),0%)</f>
        <v>0</v>
      </c>
      <c r="BXZ3" s="5">
        <f>IFERROR(VLOOKUP(BXZ$1,'Renta fija USD Hiper Conservado'!$B$17:$C$25,2,FALSE),0%)</f>
        <v>0</v>
      </c>
      <c r="BYA3" s="5">
        <f>IFERROR(VLOOKUP(BYA$1,'Renta fija USD Hiper Conservado'!$B$17:$C$25,2,FALSE),0%)</f>
        <v>0</v>
      </c>
      <c r="BYB3" s="5">
        <f>IFERROR(VLOOKUP(BYB$1,'Renta fija USD Hiper Conservado'!$B$17:$C$25,2,FALSE),0%)</f>
        <v>0</v>
      </c>
      <c r="BYC3" s="5">
        <f>IFERROR(VLOOKUP(BYC$1,'Renta fija USD Hiper Conservado'!$B$17:$C$25,2,FALSE),0%)</f>
        <v>0</v>
      </c>
      <c r="BYD3" s="5">
        <f>IFERROR(VLOOKUP(BYD$1,'Renta fija USD Hiper Conservado'!$B$17:$C$25,2,FALSE),0%)</f>
        <v>0</v>
      </c>
      <c r="BYE3" s="5">
        <f>IFERROR(VLOOKUP(BYE$1,'Renta fija USD Hiper Conservado'!$B$17:$C$25,2,FALSE),0%)</f>
        <v>0</v>
      </c>
      <c r="BYF3" s="5">
        <f>IFERROR(VLOOKUP(BYF$1,'Renta fija USD Hiper Conservado'!$B$17:$C$25,2,FALSE),0%)</f>
        <v>0</v>
      </c>
      <c r="BYG3" s="5">
        <f>IFERROR(VLOOKUP(BYG$1,'Renta fija USD Hiper Conservado'!$B$17:$C$25,2,FALSE),0%)</f>
        <v>0</v>
      </c>
      <c r="BYH3" s="5">
        <f>IFERROR(VLOOKUP(BYH$1,'Renta fija USD Hiper Conservado'!$B$17:$C$25,2,FALSE),0%)</f>
        <v>0</v>
      </c>
      <c r="BYI3" s="5">
        <f>IFERROR(VLOOKUP(BYI$1,'Renta fija USD Hiper Conservado'!$B$17:$C$25,2,FALSE),0%)</f>
        <v>0</v>
      </c>
      <c r="BYJ3" s="5">
        <f>IFERROR(VLOOKUP(BYJ$1,'Renta fija USD Hiper Conservado'!$B$17:$C$25,2,FALSE),0%)</f>
        <v>0</v>
      </c>
      <c r="BYK3" s="5">
        <f>IFERROR(VLOOKUP(BYK$1,'Renta fija USD Hiper Conservado'!$B$17:$C$25,2,FALSE),0%)</f>
        <v>0</v>
      </c>
      <c r="BYL3" s="5">
        <f>IFERROR(VLOOKUP(BYL$1,'Renta fija USD Hiper Conservado'!$B$17:$C$25,2,FALSE),0%)</f>
        <v>0</v>
      </c>
    </row>
    <row r="4">
      <c r="A4" s="4" t="s">
        <v>2016</v>
      </c>
      <c r="B4" s="5">
        <f>IFERROR(VLOOKUP(B$1,'Renta Fija USD + Oro Conservado'!$B$18:$C$27,2,FALSE),0%)</f>
        <v>0</v>
      </c>
      <c r="C4" s="5">
        <f>IFERROR(VLOOKUP(C$1,'Renta Fija USD + Oro Conservado'!$B$18:$C$27,2,FALSE),0%)</f>
        <v>0</v>
      </c>
      <c r="D4" s="5">
        <f>IFERROR(VLOOKUP(D$1,'Renta Fija USD + Oro Conservado'!$B$18:$C$27,2,FALSE),0%)</f>
        <v>0</v>
      </c>
      <c r="E4" s="5">
        <f>IFERROR(VLOOKUP(E$1,'Renta Fija USD + Oro Conservado'!$B$18:$C$27,2,FALSE),0%)</f>
        <v>0</v>
      </c>
      <c r="F4" s="5">
        <f>IFERROR(VLOOKUP(F$1,'Renta Fija USD + Oro Conservado'!$B$18:$C$27,2,FALSE),0%)</f>
        <v>0</v>
      </c>
      <c r="G4" s="5">
        <f>IFERROR(VLOOKUP(G$1,'Renta Fija USD + Oro Conservado'!$B$18:$C$27,2,FALSE),0%)</f>
        <v>0</v>
      </c>
      <c r="H4" s="5">
        <f>IFERROR(VLOOKUP(H$1,'Renta Fija USD + Oro Conservado'!$B$18:$C$27,2,FALSE),0%)</f>
        <v>0</v>
      </c>
      <c r="I4" s="5">
        <f>IFERROR(VLOOKUP(I$1,'Renta Fija USD + Oro Conservado'!$B$18:$C$27,2,FALSE),0%)</f>
        <v>0</v>
      </c>
      <c r="J4" s="5">
        <f>IFERROR(VLOOKUP(J$1,'Renta Fija USD + Oro Conservado'!$B$18:$C$27,2,FALSE),0%)</f>
        <v>0</v>
      </c>
      <c r="K4" s="5">
        <f>IFERROR(VLOOKUP(K$1,'Renta Fija USD + Oro Conservado'!$B$18:$C$27,2,FALSE),0%)</f>
        <v>0</v>
      </c>
      <c r="L4" s="5">
        <f>IFERROR(VLOOKUP(L$1,'Renta Fija USD + Oro Conservado'!$B$18:$C$27,2,FALSE),0%)</f>
        <v>0</v>
      </c>
      <c r="M4" s="5">
        <f>IFERROR(VLOOKUP(M$1,'Renta Fija USD + Oro Conservado'!$B$18:$C$27,2,FALSE),0%)</f>
        <v>0</v>
      </c>
      <c r="N4" s="5">
        <f>IFERROR(VLOOKUP(N$1,'Renta Fija USD + Oro Conservado'!$B$18:$C$27,2,FALSE),0%)</f>
        <v>0</v>
      </c>
      <c r="O4" s="5">
        <f>IFERROR(VLOOKUP(O$1,'Renta Fija USD + Oro Conservado'!$B$18:$C$27,2,FALSE),0%)</f>
        <v>0</v>
      </c>
      <c r="P4" s="5">
        <f>IFERROR(VLOOKUP(P$1,'Renta Fija USD + Oro Conservado'!$B$18:$C$27,2,FALSE),0%)</f>
        <v>0</v>
      </c>
      <c r="Q4" s="5">
        <f>IFERROR(VLOOKUP(Q$1,'Renta Fija USD + Oro Conservado'!$B$18:$C$27,2,FALSE),0%)</f>
        <v>0</v>
      </c>
      <c r="R4" s="5">
        <f>IFERROR(VLOOKUP(R$1,'Renta Fija USD + Oro Conservado'!$B$18:$C$27,2,FALSE),0%)</f>
        <v>0</v>
      </c>
      <c r="S4" s="5">
        <f>IFERROR(VLOOKUP(S$1,'Renta Fija USD + Oro Conservado'!$B$18:$C$27,2,FALSE),0%)</f>
        <v>0</v>
      </c>
      <c r="T4" s="5">
        <f>IFERROR(VLOOKUP(T$1,'Renta Fija USD + Oro Conservado'!$B$18:$C$27,2,FALSE),0%)</f>
        <v>0</v>
      </c>
      <c r="U4" s="5">
        <f>IFERROR(VLOOKUP(U$1,'Renta Fija USD + Oro Conservado'!$B$18:$C$27,2,FALSE),0%)</f>
        <v>0</v>
      </c>
      <c r="V4" s="5">
        <f>IFERROR(VLOOKUP(V$1,'Renta Fija USD + Oro Conservado'!$B$18:$C$27,2,FALSE),0%)</f>
        <v>0</v>
      </c>
      <c r="W4" s="5">
        <f>IFERROR(VLOOKUP(W$1,'Renta Fija USD + Oro Conservado'!$B$18:$C$27,2,FALSE),0%)</f>
        <v>0</v>
      </c>
      <c r="X4" s="5">
        <f>IFERROR(VLOOKUP(X$1,'Renta Fija USD + Oro Conservado'!$B$18:$C$27,2,FALSE),0%)</f>
        <v>0</v>
      </c>
      <c r="Y4" s="5">
        <f>IFERROR(VLOOKUP(Y$1,'Renta Fija USD + Oro Conservado'!$B$18:$C$27,2,FALSE),0%)</f>
        <v>0</v>
      </c>
      <c r="Z4" s="5">
        <f>IFERROR(VLOOKUP(Z$1,'Renta Fija USD + Oro Conservado'!$B$18:$C$27,2,FALSE),0%)</f>
        <v>0</v>
      </c>
      <c r="AA4" s="5">
        <f>IFERROR(VLOOKUP(AA$1,'Renta Fija USD + Oro Conservado'!$B$18:$C$27,2,FALSE),0%)</f>
        <v>0</v>
      </c>
      <c r="AB4" s="5">
        <f>IFERROR(VLOOKUP(AB$1,'Renta Fija USD + Oro Conservado'!$B$18:$C$27,2,FALSE),0%)</f>
        <v>0</v>
      </c>
      <c r="AC4" s="5">
        <f>IFERROR(VLOOKUP(AC$1,'Renta Fija USD + Oro Conservado'!$B$18:$C$27,2,FALSE),0%)</f>
        <v>0</v>
      </c>
      <c r="AD4" s="5">
        <f>IFERROR(VLOOKUP(AD$1,'Renta Fija USD + Oro Conservado'!$B$18:$C$27,2,FALSE),0%)</f>
        <v>0</v>
      </c>
      <c r="AE4" s="5">
        <f>IFERROR(VLOOKUP(AE$1,'Renta Fija USD + Oro Conservado'!$B$18:$C$27,2,FALSE),0%)</f>
        <v>0</v>
      </c>
      <c r="AF4" s="5">
        <f>IFERROR(VLOOKUP(AF$1,'Renta Fija USD + Oro Conservado'!$B$18:$C$27,2,FALSE),0%)</f>
        <v>0</v>
      </c>
      <c r="AG4" s="5">
        <f>IFERROR(VLOOKUP(AG$1,'Renta Fija USD + Oro Conservado'!$B$18:$C$27,2,FALSE),0%)</f>
        <v>0</v>
      </c>
      <c r="AH4" s="5">
        <f>IFERROR(VLOOKUP(AH$1,'Renta Fija USD + Oro Conservado'!$B$18:$C$27,2,FALSE),0%)</f>
        <v>0</v>
      </c>
      <c r="AI4" s="5">
        <f>IFERROR(VLOOKUP(AI$1,'Renta Fija USD + Oro Conservado'!$B$18:$C$27,2,FALSE),0%)</f>
        <v>0</v>
      </c>
      <c r="AJ4" s="5">
        <f>IFERROR(VLOOKUP(AJ$1,'Renta Fija USD + Oro Conservado'!$B$18:$C$27,2,FALSE),0%)</f>
        <v>0</v>
      </c>
      <c r="AK4" s="5">
        <f>IFERROR(VLOOKUP(AK$1,'Renta Fija USD + Oro Conservado'!$B$18:$C$27,2,FALSE),0%)</f>
        <v>0.02079451461</v>
      </c>
      <c r="AL4" s="5">
        <f>IFERROR(VLOOKUP(AL$1,'Renta Fija USD + Oro Conservado'!$B$18:$C$27,2,FALSE),0%)</f>
        <v>0</v>
      </c>
      <c r="AM4" s="5">
        <f>IFERROR(VLOOKUP(AM$1,'Renta Fija USD + Oro Conservado'!$B$18:$C$27,2,FALSE),0%)</f>
        <v>0</v>
      </c>
      <c r="AN4" s="5">
        <f>IFERROR(VLOOKUP(AN$1,'Renta Fija USD + Oro Conservado'!$B$18:$C$27,2,FALSE),0%)</f>
        <v>0</v>
      </c>
      <c r="AO4" s="5">
        <f>IFERROR(VLOOKUP(AO$1,'Renta Fija USD + Oro Conservado'!$B$18:$C$27,2,FALSE),0%)</f>
        <v>0</v>
      </c>
      <c r="AP4" s="5">
        <f>IFERROR(VLOOKUP(AP$1,'Renta Fija USD + Oro Conservado'!$B$18:$C$27,2,FALSE),0%)</f>
        <v>0</v>
      </c>
      <c r="AQ4" s="5">
        <f>IFERROR(VLOOKUP(AQ$1,'Renta Fija USD + Oro Conservado'!$B$18:$C$27,2,FALSE),0%)</f>
        <v>0</v>
      </c>
      <c r="AR4" s="5">
        <f>IFERROR(VLOOKUP(AR$1,'Renta Fija USD + Oro Conservado'!$B$18:$C$27,2,FALSE),0%)</f>
        <v>0</v>
      </c>
      <c r="AS4" s="5">
        <f>IFERROR(VLOOKUP(AS$1,'Renta Fija USD + Oro Conservado'!$B$18:$C$27,2,FALSE),0%)</f>
        <v>0</v>
      </c>
      <c r="AT4" s="5">
        <f>IFERROR(VLOOKUP(AT$1,'Renta Fija USD + Oro Conservado'!$B$18:$C$27,2,FALSE),0%)</f>
        <v>0</v>
      </c>
      <c r="AU4" s="5">
        <f>IFERROR(VLOOKUP(AU$1,'Renta Fija USD + Oro Conservado'!$B$18:$C$27,2,FALSE),0%)</f>
        <v>0</v>
      </c>
      <c r="AV4" s="5">
        <f>IFERROR(VLOOKUP(AV$1,'Renta Fija USD + Oro Conservado'!$B$18:$C$27,2,FALSE),0%)</f>
        <v>0</v>
      </c>
      <c r="AW4" s="5">
        <f>IFERROR(VLOOKUP(AW$1,'Renta Fija USD + Oro Conservado'!$B$18:$C$27,2,FALSE),0%)</f>
        <v>0</v>
      </c>
      <c r="AX4" s="5">
        <f>IFERROR(VLOOKUP(AX$1,'Renta Fija USD + Oro Conservado'!$B$18:$C$27,2,FALSE),0%)</f>
        <v>0</v>
      </c>
      <c r="AY4" s="5">
        <f>IFERROR(VLOOKUP(AY$1,'Renta Fija USD + Oro Conservado'!$B$18:$C$27,2,FALSE),0%)</f>
        <v>0</v>
      </c>
      <c r="AZ4" s="5">
        <f>IFERROR(VLOOKUP(AZ$1,'Renta Fija USD + Oro Conservado'!$B$18:$C$27,2,FALSE),0%)</f>
        <v>0</v>
      </c>
      <c r="BA4" s="5">
        <f>IFERROR(VLOOKUP(BA$1,'Renta Fija USD + Oro Conservado'!$B$18:$C$27,2,FALSE),0%)</f>
        <v>0</v>
      </c>
      <c r="BB4" s="5">
        <f>IFERROR(VLOOKUP(BB$1,'Renta Fija USD + Oro Conservado'!$B$18:$C$27,2,FALSE),0%)</f>
        <v>0</v>
      </c>
      <c r="BC4" s="5">
        <f>IFERROR(VLOOKUP(BC$1,'Renta Fija USD + Oro Conservado'!$B$18:$C$27,2,FALSE),0%)</f>
        <v>0</v>
      </c>
      <c r="BD4" s="5">
        <f>IFERROR(VLOOKUP(BD$1,'Renta Fija USD + Oro Conservado'!$B$18:$C$27,2,FALSE),0%)</f>
        <v>0</v>
      </c>
      <c r="BE4" s="5">
        <f>IFERROR(VLOOKUP(BE$1,'Renta Fija USD + Oro Conservado'!$B$18:$C$27,2,FALSE),0%)</f>
        <v>0</v>
      </c>
      <c r="BF4" s="5">
        <f>IFERROR(VLOOKUP(BF$1,'Renta Fija USD + Oro Conservado'!$B$18:$C$27,2,FALSE),0%)</f>
        <v>0</v>
      </c>
      <c r="BG4" s="5">
        <f>IFERROR(VLOOKUP(BG$1,'Renta Fija USD + Oro Conservado'!$B$18:$C$27,2,FALSE),0%)</f>
        <v>0</v>
      </c>
      <c r="BH4" s="5">
        <f>IFERROR(VLOOKUP(BH$1,'Renta Fija USD + Oro Conservado'!$B$18:$C$27,2,FALSE),0%)</f>
        <v>0</v>
      </c>
      <c r="BI4" s="5">
        <f>IFERROR(VLOOKUP(BI$1,'Renta Fija USD + Oro Conservado'!$B$18:$C$27,2,FALSE),0%)</f>
        <v>0</v>
      </c>
      <c r="BJ4" s="5">
        <f>IFERROR(VLOOKUP(BJ$1,'Renta Fija USD + Oro Conservado'!$B$18:$C$27,2,FALSE),0%)</f>
        <v>0</v>
      </c>
      <c r="BK4" s="5">
        <f>IFERROR(VLOOKUP(BK$1,'Renta Fija USD + Oro Conservado'!$B$18:$C$27,2,FALSE),0%)</f>
        <v>0</v>
      </c>
      <c r="BL4" s="5">
        <f>IFERROR(VLOOKUP(BL$1,'Renta Fija USD + Oro Conservado'!$B$18:$C$27,2,FALSE),0%)</f>
        <v>0</v>
      </c>
      <c r="BM4" s="5">
        <f>IFERROR(VLOOKUP(BM$1,'Renta Fija USD + Oro Conservado'!$B$18:$C$27,2,FALSE),0%)</f>
        <v>0</v>
      </c>
      <c r="BN4" s="5">
        <f>IFERROR(VLOOKUP(BN$1,'Renta Fija USD + Oro Conservado'!$B$18:$C$27,2,FALSE),0%)</f>
        <v>0</v>
      </c>
      <c r="BO4" s="5">
        <f>IFERROR(VLOOKUP(BO$1,'Renta Fija USD + Oro Conservado'!$B$18:$C$27,2,FALSE),0%)</f>
        <v>0</v>
      </c>
      <c r="BP4" s="5">
        <f>IFERROR(VLOOKUP(BP$1,'Renta Fija USD + Oro Conservado'!$B$18:$C$27,2,FALSE),0%)</f>
        <v>0</v>
      </c>
      <c r="BQ4" s="5">
        <f>IFERROR(VLOOKUP(BQ$1,'Renta Fija USD + Oro Conservado'!$B$18:$C$27,2,FALSE),0%)</f>
        <v>0</v>
      </c>
      <c r="BR4" s="5">
        <f>IFERROR(VLOOKUP(BR$1,'Renta Fija USD + Oro Conservado'!$B$18:$C$27,2,FALSE),0%)</f>
        <v>0.04428424033</v>
      </c>
      <c r="BS4" s="5">
        <f>IFERROR(VLOOKUP(BS$1,'Renta Fija USD + Oro Conservado'!$B$18:$C$27,2,FALSE),0%)</f>
        <v>0</v>
      </c>
      <c r="BT4" s="5">
        <f>IFERROR(VLOOKUP(BT$1,'Renta Fija USD + Oro Conservado'!$B$18:$C$27,2,FALSE),0%)</f>
        <v>0</v>
      </c>
      <c r="BU4" s="5">
        <f>IFERROR(VLOOKUP(BU$1,'Renta Fija USD + Oro Conservado'!$B$18:$C$27,2,FALSE),0%)</f>
        <v>0</v>
      </c>
      <c r="BV4" s="5">
        <f>IFERROR(VLOOKUP(BV$1,'Renta Fija USD + Oro Conservado'!$B$18:$C$27,2,FALSE),0%)</f>
        <v>0</v>
      </c>
      <c r="BW4" s="5">
        <f>IFERROR(VLOOKUP(BW$1,'Renta Fija USD + Oro Conservado'!$B$18:$C$27,2,FALSE),0%)</f>
        <v>0</v>
      </c>
      <c r="BX4" s="5">
        <f>IFERROR(VLOOKUP(BX$1,'Renta Fija USD + Oro Conservado'!$B$18:$C$27,2,FALSE),0%)</f>
        <v>0</v>
      </c>
      <c r="BY4" s="5">
        <f>IFERROR(VLOOKUP(BY$1,'Renta Fija USD + Oro Conservado'!$B$18:$C$27,2,FALSE),0%)</f>
        <v>0</v>
      </c>
      <c r="BZ4" s="5">
        <f>IFERROR(VLOOKUP(BZ$1,'Renta Fija USD + Oro Conservado'!$B$18:$C$27,2,FALSE),0%)</f>
        <v>0</v>
      </c>
      <c r="CA4" s="5">
        <f>IFERROR(VLOOKUP(CA$1,'Renta Fija USD + Oro Conservado'!$B$18:$C$27,2,FALSE),0%)</f>
        <v>0</v>
      </c>
      <c r="CB4" s="5">
        <f>IFERROR(VLOOKUP(CB$1,'Renta Fija USD + Oro Conservado'!$B$18:$C$27,2,FALSE),0%)</f>
        <v>0</v>
      </c>
      <c r="CC4" s="5">
        <f>IFERROR(VLOOKUP(CC$1,'Renta Fija USD + Oro Conservado'!$B$18:$C$27,2,FALSE),0%)</f>
        <v>0</v>
      </c>
      <c r="CD4" s="5">
        <f>IFERROR(VLOOKUP(CD$1,'Renta Fija USD + Oro Conservado'!$B$18:$C$27,2,FALSE),0%)</f>
        <v>0</v>
      </c>
      <c r="CE4" s="5">
        <f>IFERROR(VLOOKUP(CE$1,'Renta Fija USD + Oro Conservado'!$B$18:$C$27,2,FALSE),0%)</f>
        <v>0</v>
      </c>
      <c r="CF4" s="5">
        <f>IFERROR(VLOOKUP(CF$1,'Renta Fija USD + Oro Conservado'!$B$18:$C$27,2,FALSE),0%)</f>
        <v>0</v>
      </c>
      <c r="CG4" s="5">
        <f>IFERROR(VLOOKUP(CG$1,'Renta Fija USD + Oro Conservado'!$B$18:$C$27,2,FALSE),0%)</f>
        <v>0</v>
      </c>
      <c r="CH4" s="5">
        <f>IFERROR(VLOOKUP(CH$1,'Renta Fija USD + Oro Conservado'!$B$18:$C$27,2,FALSE),0%)</f>
        <v>0</v>
      </c>
      <c r="CI4" s="5">
        <f>IFERROR(VLOOKUP(CI$1,'Renta Fija USD + Oro Conservado'!$B$18:$C$27,2,FALSE),0%)</f>
        <v>0</v>
      </c>
      <c r="CJ4" s="5">
        <f>IFERROR(VLOOKUP(CJ$1,'Renta Fija USD + Oro Conservado'!$B$18:$C$27,2,FALSE),0%)</f>
        <v>0</v>
      </c>
      <c r="CK4" s="5">
        <f>IFERROR(VLOOKUP(CK$1,'Renta Fija USD + Oro Conservado'!$B$18:$C$27,2,FALSE),0%)</f>
        <v>0</v>
      </c>
      <c r="CL4" s="5">
        <f>IFERROR(VLOOKUP(CL$1,'Renta Fija USD + Oro Conservado'!$B$18:$C$27,2,FALSE),0%)</f>
        <v>0</v>
      </c>
      <c r="CM4" s="5">
        <f>IFERROR(VLOOKUP(CM$1,'Renta Fija USD + Oro Conservado'!$B$18:$C$27,2,FALSE),0%)</f>
        <v>0</v>
      </c>
      <c r="CN4" s="5">
        <f>IFERROR(VLOOKUP(CN$1,'Renta Fija USD + Oro Conservado'!$B$18:$C$27,2,FALSE),0%)</f>
        <v>0</v>
      </c>
      <c r="CO4" s="5">
        <f>IFERROR(VLOOKUP(CO$1,'Renta Fija USD + Oro Conservado'!$B$18:$C$27,2,FALSE),0%)</f>
        <v>0</v>
      </c>
      <c r="CP4" s="5">
        <f>IFERROR(VLOOKUP(CP$1,'Renta Fija USD + Oro Conservado'!$B$18:$C$27,2,FALSE),0%)</f>
        <v>0</v>
      </c>
      <c r="CQ4" s="5">
        <f>IFERROR(VLOOKUP(CQ$1,'Renta Fija USD + Oro Conservado'!$B$18:$C$27,2,FALSE),0%)</f>
        <v>0</v>
      </c>
      <c r="CR4" s="5">
        <f>IFERROR(VLOOKUP(CR$1,'Renta Fija USD + Oro Conservado'!$B$18:$C$27,2,FALSE),0%)</f>
        <v>0</v>
      </c>
      <c r="CS4" s="5">
        <f>IFERROR(VLOOKUP(CS$1,'Renta Fija USD + Oro Conservado'!$B$18:$C$27,2,FALSE),0%)</f>
        <v>0</v>
      </c>
      <c r="CT4" s="5">
        <f>IFERROR(VLOOKUP(CT$1,'Renta Fija USD + Oro Conservado'!$B$18:$C$27,2,FALSE),0%)</f>
        <v>0</v>
      </c>
      <c r="CU4" s="5">
        <f>IFERROR(VLOOKUP(CU$1,'Renta Fija USD + Oro Conservado'!$B$18:$C$27,2,FALSE),0%)</f>
        <v>0</v>
      </c>
      <c r="CV4" s="5">
        <f>IFERROR(VLOOKUP(CV$1,'Renta Fija USD + Oro Conservado'!$B$18:$C$27,2,FALSE),0%)</f>
        <v>0</v>
      </c>
      <c r="CW4" s="5">
        <f>IFERROR(VLOOKUP(CW$1,'Renta Fija USD + Oro Conservado'!$B$18:$C$27,2,FALSE),0%)</f>
        <v>0</v>
      </c>
      <c r="CX4" s="5">
        <f>IFERROR(VLOOKUP(CX$1,'Renta Fija USD + Oro Conservado'!$B$18:$C$27,2,FALSE),0%)</f>
        <v>0</v>
      </c>
      <c r="CY4" s="5">
        <f>IFERROR(VLOOKUP(CY$1,'Renta Fija USD + Oro Conservado'!$B$18:$C$27,2,FALSE),0%)</f>
        <v>0</v>
      </c>
      <c r="CZ4" s="5">
        <f>IFERROR(VLOOKUP(CZ$1,'Renta Fija USD + Oro Conservado'!$B$18:$C$27,2,FALSE),0%)</f>
        <v>0</v>
      </c>
      <c r="DA4" s="5">
        <f>IFERROR(VLOOKUP(DA$1,'Renta Fija USD + Oro Conservado'!$B$18:$C$27,2,FALSE),0%)</f>
        <v>0</v>
      </c>
      <c r="DB4" s="5">
        <f>IFERROR(VLOOKUP(DB$1,'Renta Fija USD + Oro Conservado'!$B$18:$C$27,2,FALSE),0%)</f>
        <v>0</v>
      </c>
      <c r="DC4" s="5">
        <f>IFERROR(VLOOKUP(DC$1,'Renta Fija USD + Oro Conservado'!$B$18:$C$27,2,FALSE),0%)</f>
        <v>0</v>
      </c>
      <c r="DD4" s="5">
        <f>IFERROR(VLOOKUP(DD$1,'Renta Fija USD + Oro Conservado'!$B$18:$C$27,2,FALSE),0%)</f>
        <v>0</v>
      </c>
      <c r="DE4" s="5">
        <f>IFERROR(VLOOKUP(DE$1,'Renta Fija USD + Oro Conservado'!$B$18:$C$27,2,FALSE),0%)</f>
        <v>0</v>
      </c>
      <c r="DF4" s="5">
        <f>IFERROR(VLOOKUP(DF$1,'Renta Fija USD + Oro Conservado'!$B$18:$C$27,2,FALSE),0%)</f>
        <v>0</v>
      </c>
      <c r="DG4" s="5">
        <f>IFERROR(VLOOKUP(DG$1,'Renta Fija USD + Oro Conservado'!$B$18:$C$27,2,FALSE),0%)</f>
        <v>0</v>
      </c>
      <c r="DH4" s="5">
        <f>IFERROR(VLOOKUP(DH$1,'Renta Fija USD + Oro Conservado'!$B$18:$C$27,2,FALSE),0%)</f>
        <v>0</v>
      </c>
      <c r="DI4" s="5">
        <f>IFERROR(VLOOKUP(DI$1,'Renta Fija USD + Oro Conservado'!$B$18:$C$27,2,FALSE),0%)</f>
        <v>0</v>
      </c>
      <c r="DJ4" s="5">
        <f>IFERROR(VLOOKUP(DJ$1,'Renta Fija USD + Oro Conservado'!$B$18:$C$27,2,FALSE),0%)</f>
        <v>0</v>
      </c>
      <c r="DK4" s="5">
        <f>IFERROR(VLOOKUP(DK$1,'Renta Fija USD + Oro Conservado'!$B$18:$C$27,2,FALSE),0%)</f>
        <v>0</v>
      </c>
      <c r="DL4" s="5">
        <f>IFERROR(VLOOKUP(DL$1,'Renta Fija USD + Oro Conservado'!$B$18:$C$27,2,FALSE),0%)</f>
        <v>0</v>
      </c>
      <c r="DM4" s="5">
        <f>IFERROR(VLOOKUP(DM$1,'Renta Fija USD + Oro Conservado'!$B$18:$C$27,2,FALSE),0%)</f>
        <v>0</v>
      </c>
      <c r="DN4" s="5">
        <f>IFERROR(VLOOKUP(DN$1,'Renta Fija USD + Oro Conservado'!$B$18:$C$27,2,FALSE),0%)</f>
        <v>0</v>
      </c>
      <c r="DO4" s="5">
        <f>IFERROR(VLOOKUP(DO$1,'Renta Fija USD + Oro Conservado'!$B$18:$C$27,2,FALSE),0%)</f>
        <v>0</v>
      </c>
      <c r="DP4" s="5">
        <f>IFERROR(VLOOKUP(DP$1,'Renta Fija USD + Oro Conservado'!$B$18:$C$27,2,FALSE),0%)</f>
        <v>0</v>
      </c>
      <c r="DQ4" s="5">
        <f>IFERROR(VLOOKUP(DQ$1,'Renta Fija USD + Oro Conservado'!$B$18:$C$27,2,FALSE),0%)</f>
        <v>0</v>
      </c>
      <c r="DR4" s="5">
        <f>IFERROR(VLOOKUP(DR$1,'Renta Fija USD + Oro Conservado'!$B$18:$C$27,2,FALSE),0%)</f>
        <v>0</v>
      </c>
      <c r="DS4" s="5">
        <f>IFERROR(VLOOKUP(DS$1,'Renta Fija USD + Oro Conservado'!$B$18:$C$27,2,FALSE),0%)</f>
        <v>0</v>
      </c>
      <c r="DT4" s="5">
        <f>IFERROR(VLOOKUP(DT$1,'Renta Fija USD + Oro Conservado'!$B$18:$C$27,2,FALSE),0%)</f>
        <v>0</v>
      </c>
      <c r="DU4" s="5">
        <f>IFERROR(VLOOKUP(DU$1,'Renta Fija USD + Oro Conservado'!$B$18:$C$27,2,FALSE),0%)</f>
        <v>0</v>
      </c>
      <c r="DV4" s="5">
        <f>IFERROR(VLOOKUP(DV$1,'Renta Fija USD + Oro Conservado'!$B$18:$C$27,2,FALSE),0%)</f>
        <v>0</v>
      </c>
      <c r="DW4" s="5">
        <f>IFERROR(VLOOKUP(DW$1,'Renta Fija USD + Oro Conservado'!$B$18:$C$27,2,FALSE),0%)</f>
        <v>0</v>
      </c>
      <c r="DX4" s="5">
        <f>IFERROR(VLOOKUP(DX$1,'Renta Fija USD + Oro Conservado'!$B$18:$C$27,2,FALSE),0%)</f>
        <v>0</v>
      </c>
      <c r="DY4" s="5">
        <f>IFERROR(VLOOKUP(DY$1,'Renta Fija USD + Oro Conservado'!$B$18:$C$27,2,FALSE),0%)</f>
        <v>0</v>
      </c>
      <c r="DZ4" s="5">
        <f>IFERROR(VLOOKUP(DZ$1,'Renta Fija USD + Oro Conservado'!$B$18:$C$27,2,FALSE),0%)</f>
        <v>0</v>
      </c>
      <c r="EA4" s="5">
        <f>IFERROR(VLOOKUP(EA$1,'Renta Fija USD + Oro Conservado'!$B$18:$C$27,2,FALSE),0%)</f>
        <v>0</v>
      </c>
      <c r="EB4" s="5">
        <f>IFERROR(VLOOKUP(EB$1,'Renta Fija USD + Oro Conservado'!$B$18:$C$27,2,FALSE),0%)</f>
        <v>0</v>
      </c>
      <c r="EC4" s="5">
        <f>IFERROR(VLOOKUP(EC$1,'Renta Fija USD + Oro Conservado'!$B$18:$C$27,2,FALSE),0%)</f>
        <v>0</v>
      </c>
      <c r="ED4" s="5">
        <f>IFERROR(VLOOKUP(ED$1,'Renta Fija USD + Oro Conservado'!$B$18:$C$27,2,FALSE),0%)</f>
        <v>0</v>
      </c>
      <c r="EE4" s="5">
        <f>IFERROR(VLOOKUP(EE$1,'Renta Fija USD + Oro Conservado'!$B$18:$C$27,2,FALSE),0%)</f>
        <v>0</v>
      </c>
      <c r="EF4" s="5">
        <f>IFERROR(VLOOKUP(EF$1,'Renta Fija USD + Oro Conservado'!$B$18:$C$27,2,FALSE),0%)</f>
        <v>0</v>
      </c>
      <c r="EG4" s="5">
        <f>IFERROR(VLOOKUP(EG$1,'Renta Fija USD + Oro Conservado'!$B$18:$C$27,2,FALSE),0%)</f>
        <v>0</v>
      </c>
      <c r="EH4" s="5">
        <f>IFERROR(VLOOKUP(EH$1,'Renta Fija USD + Oro Conservado'!$B$18:$C$27,2,FALSE),0%)</f>
        <v>0</v>
      </c>
      <c r="EI4" s="5">
        <f>IFERROR(VLOOKUP(EI$1,'Renta Fija USD + Oro Conservado'!$B$18:$C$27,2,FALSE),0%)</f>
        <v>0</v>
      </c>
      <c r="EJ4" s="5">
        <f>IFERROR(VLOOKUP(EJ$1,'Renta Fija USD + Oro Conservado'!$B$18:$C$27,2,FALSE),0%)</f>
        <v>0</v>
      </c>
      <c r="EK4" s="5">
        <f>IFERROR(VLOOKUP(EK$1,'Renta Fija USD + Oro Conservado'!$B$18:$C$27,2,FALSE),0%)</f>
        <v>0</v>
      </c>
      <c r="EL4" s="5">
        <f>IFERROR(VLOOKUP(EL$1,'Renta Fija USD + Oro Conservado'!$B$18:$C$27,2,FALSE),0%)</f>
        <v>0</v>
      </c>
      <c r="EM4" s="5">
        <f>IFERROR(VLOOKUP(EM$1,'Renta Fija USD + Oro Conservado'!$B$18:$C$27,2,FALSE),0%)</f>
        <v>0</v>
      </c>
      <c r="EN4" s="5">
        <f>IFERROR(VLOOKUP(EN$1,'Renta Fija USD + Oro Conservado'!$B$18:$C$27,2,FALSE),0%)</f>
        <v>0</v>
      </c>
      <c r="EO4" s="5">
        <f>IFERROR(VLOOKUP(EO$1,'Renta Fija USD + Oro Conservado'!$B$18:$C$27,2,FALSE),0%)</f>
        <v>0</v>
      </c>
      <c r="EP4" s="5">
        <f>IFERROR(VLOOKUP(EP$1,'Renta Fija USD + Oro Conservado'!$B$18:$C$27,2,FALSE),0%)</f>
        <v>0</v>
      </c>
      <c r="EQ4" s="5">
        <f>IFERROR(VLOOKUP(EQ$1,'Renta Fija USD + Oro Conservado'!$B$18:$C$27,2,FALSE),0%)</f>
        <v>0</v>
      </c>
      <c r="ER4" s="5">
        <f>IFERROR(VLOOKUP(ER$1,'Renta Fija USD + Oro Conservado'!$B$18:$C$27,2,FALSE),0%)</f>
        <v>0</v>
      </c>
      <c r="ES4" s="5">
        <f>IFERROR(VLOOKUP(ES$1,'Renta Fija USD + Oro Conservado'!$B$18:$C$27,2,FALSE),0%)</f>
        <v>0</v>
      </c>
      <c r="ET4" s="5">
        <f>IFERROR(VLOOKUP(ET$1,'Renta Fija USD + Oro Conservado'!$B$18:$C$27,2,FALSE),0%)</f>
        <v>0</v>
      </c>
      <c r="EU4" s="5">
        <f>IFERROR(VLOOKUP(EU$1,'Renta Fija USD + Oro Conservado'!$B$18:$C$27,2,FALSE),0%)</f>
        <v>0.5040993789</v>
      </c>
      <c r="EV4" s="5">
        <f>IFERROR(VLOOKUP(EV$1,'Renta Fija USD + Oro Conservado'!$B$18:$C$27,2,FALSE),0%)</f>
        <v>0</v>
      </c>
      <c r="EW4" s="5">
        <f>IFERROR(VLOOKUP(EW$1,'Renta Fija USD + Oro Conservado'!$B$18:$C$27,2,FALSE),0%)</f>
        <v>0</v>
      </c>
      <c r="EX4" s="5">
        <f>IFERROR(VLOOKUP(EX$1,'Renta Fija USD + Oro Conservado'!$B$18:$C$27,2,FALSE),0%)</f>
        <v>0</v>
      </c>
      <c r="EY4" s="5">
        <f>IFERROR(VLOOKUP(EY$1,'Renta Fija USD + Oro Conservado'!$B$18:$C$27,2,FALSE),0%)</f>
        <v>0</v>
      </c>
      <c r="EZ4" s="5">
        <f>IFERROR(VLOOKUP(EZ$1,'Renta Fija USD + Oro Conservado'!$B$18:$C$27,2,FALSE),0%)</f>
        <v>0</v>
      </c>
      <c r="FA4" s="5">
        <f>IFERROR(VLOOKUP(FA$1,'Renta Fija USD + Oro Conservado'!$B$18:$C$27,2,FALSE),0%)</f>
        <v>0</v>
      </c>
      <c r="FB4" s="5">
        <f>IFERROR(VLOOKUP(FB$1,'Renta Fija USD + Oro Conservado'!$B$18:$C$27,2,FALSE),0%)</f>
        <v>0</v>
      </c>
      <c r="FC4" s="5">
        <f>IFERROR(VLOOKUP(FC$1,'Renta Fija USD + Oro Conservado'!$B$18:$C$27,2,FALSE),0%)</f>
        <v>0</v>
      </c>
      <c r="FD4" s="5">
        <f>IFERROR(VLOOKUP(FD$1,'Renta Fija USD + Oro Conservado'!$B$18:$C$27,2,FALSE),0%)</f>
        <v>0</v>
      </c>
      <c r="FE4" s="5">
        <f>IFERROR(VLOOKUP(FE$1,'Renta Fija USD + Oro Conservado'!$B$18:$C$27,2,FALSE),0%)</f>
        <v>0</v>
      </c>
      <c r="FF4" s="5">
        <f>IFERROR(VLOOKUP(FF$1,'Renta Fija USD + Oro Conservado'!$B$18:$C$27,2,FALSE),0%)</f>
        <v>0</v>
      </c>
      <c r="FG4" s="5">
        <f>IFERROR(VLOOKUP(FG$1,'Renta Fija USD + Oro Conservado'!$B$18:$C$27,2,FALSE),0%)</f>
        <v>0</v>
      </c>
      <c r="FH4" s="5">
        <f>IFERROR(VLOOKUP(FH$1,'Renta Fija USD + Oro Conservado'!$B$18:$C$27,2,FALSE),0%)</f>
        <v>0</v>
      </c>
      <c r="FI4" s="5">
        <f>IFERROR(VLOOKUP(FI$1,'Renta Fija USD + Oro Conservado'!$B$18:$C$27,2,FALSE),0%)</f>
        <v>0</v>
      </c>
      <c r="FJ4" s="5">
        <f>IFERROR(VLOOKUP(FJ$1,'Renta Fija USD + Oro Conservado'!$B$18:$C$27,2,FALSE),0%)</f>
        <v>0</v>
      </c>
      <c r="FK4" s="5">
        <f>IFERROR(VLOOKUP(FK$1,'Renta Fija USD + Oro Conservado'!$B$18:$C$27,2,FALSE),0%)</f>
        <v>0</v>
      </c>
      <c r="FL4" s="5">
        <f>IFERROR(VLOOKUP(FL$1,'Renta Fija USD + Oro Conservado'!$B$18:$C$27,2,FALSE),0%)</f>
        <v>0</v>
      </c>
      <c r="FM4" s="5">
        <f>IFERROR(VLOOKUP(FM$1,'Renta Fija USD + Oro Conservado'!$B$18:$C$27,2,FALSE),0%)</f>
        <v>0</v>
      </c>
      <c r="FN4" s="5">
        <f>IFERROR(VLOOKUP(FN$1,'Renta Fija USD + Oro Conservado'!$B$18:$C$27,2,FALSE),0%)</f>
        <v>0</v>
      </c>
      <c r="FO4" s="5">
        <f>IFERROR(VLOOKUP(FO$1,'Renta Fija USD + Oro Conservado'!$B$18:$C$27,2,FALSE),0%)</f>
        <v>0</v>
      </c>
      <c r="FP4" s="5">
        <f>IFERROR(VLOOKUP(FP$1,'Renta Fija USD + Oro Conservado'!$B$18:$C$27,2,FALSE),0%)</f>
        <v>0</v>
      </c>
      <c r="FQ4" s="5">
        <f>IFERROR(VLOOKUP(FQ$1,'Renta Fija USD + Oro Conservado'!$B$18:$C$27,2,FALSE),0%)</f>
        <v>0</v>
      </c>
      <c r="FR4" s="5">
        <f>IFERROR(VLOOKUP(FR$1,'Renta Fija USD + Oro Conservado'!$B$18:$C$27,2,FALSE),0%)</f>
        <v>0</v>
      </c>
      <c r="FS4" s="5">
        <f>IFERROR(VLOOKUP(FS$1,'Renta Fija USD + Oro Conservado'!$B$18:$C$27,2,FALSE),0%)</f>
        <v>0</v>
      </c>
      <c r="FT4" s="5">
        <f>IFERROR(VLOOKUP(FT$1,'Renta Fija USD + Oro Conservado'!$B$18:$C$27,2,FALSE),0%)</f>
        <v>0</v>
      </c>
      <c r="FU4" s="5">
        <f>IFERROR(VLOOKUP(FU$1,'Renta Fija USD + Oro Conservado'!$B$18:$C$27,2,FALSE),0%)</f>
        <v>0</v>
      </c>
      <c r="FV4" s="5">
        <f>IFERROR(VLOOKUP(FV$1,'Renta Fija USD + Oro Conservado'!$B$18:$C$27,2,FALSE),0%)</f>
        <v>0</v>
      </c>
      <c r="FW4" s="5">
        <f>IFERROR(VLOOKUP(FW$1,'Renta Fija USD + Oro Conservado'!$B$18:$C$27,2,FALSE),0%)</f>
        <v>0</v>
      </c>
      <c r="FX4" s="5">
        <f>IFERROR(VLOOKUP(FX$1,'Renta Fija USD + Oro Conservado'!$B$18:$C$27,2,FALSE),0%)</f>
        <v>0</v>
      </c>
      <c r="FY4" s="5">
        <f>IFERROR(VLOOKUP(FY$1,'Renta Fija USD + Oro Conservado'!$B$18:$C$27,2,FALSE),0%)</f>
        <v>0</v>
      </c>
      <c r="FZ4" s="5">
        <f>IFERROR(VLOOKUP(FZ$1,'Renta Fija USD + Oro Conservado'!$B$18:$C$27,2,FALSE),0%)</f>
        <v>0</v>
      </c>
      <c r="GA4" s="5">
        <f>IFERROR(VLOOKUP(GA$1,'Renta Fija USD + Oro Conservado'!$B$18:$C$27,2,FALSE),0%)</f>
        <v>0</v>
      </c>
      <c r="GB4" s="5">
        <f>IFERROR(VLOOKUP(GB$1,'Renta Fija USD + Oro Conservado'!$B$18:$C$27,2,FALSE),0%)</f>
        <v>0</v>
      </c>
      <c r="GC4" s="5">
        <f>IFERROR(VLOOKUP(GC$1,'Renta Fija USD + Oro Conservado'!$B$18:$C$27,2,FALSE),0%)</f>
        <v>0</v>
      </c>
      <c r="GD4" s="5">
        <f>IFERROR(VLOOKUP(GD$1,'Renta Fija USD + Oro Conservado'!$B$18:$C$27,2,FALSE),0%)</f>
        <v>0</v>
      </c>
      <c r="GE4" s="5">
        <f>IFERROR(VLOOKUP(GE$1,'Renta Fija USD + Oro Conservado'!$B$18:$C$27,2,FALSE),0%)</f>
        <v>0</v>
      </c>
      <c r="GF4" s="5">
        <f>IFERROR(VLOOKUP(GF$1,'Renta Fija USD + Oro Conservado'!$B$18:$C$27,2,FALSE),0%)</f>
        <v>0</v>
      </c>
      <c r="GG4" s="5">
        <f>IFERROR(VLOOKUP(GG$1,'Renta Fija USD + Oro Conservado'!$B$18:$C$27,2,FALSE),0%)</f>
        <v>0</v>
      </c>
      <c r="GH4" s="5">
        <f>IFERROR(VLOOKUP(GH$1,'Renta Fija USD + Oro Conservado'!$B$18:$C$27,2,FALSE),0%)</f>
        <v>0</v>
      </c>
      <c r="GI4" s="5">
        <f>IFERROR(VLOOKUP(GI$1,'Renta Fija USD + Oro Conservado'!$B$18:$C$27,2,FALSE),0%)</f>
        <v>0</v>
      </c>
      <c r="GJ4" s="5">
        <f>IFERROR(VLOOKUP(GJ$1,'Renta Fija USD + Oro Conservado'!$B$18:$C$27,2,FALSE),0%)</f>
        <v>0</v>
      </c>
      <c r="GK4" s="5">
        <f>IFERROR(VLOOKUP(GK$1,'Renta Fija USD + Oro Conservado'!$B$18:$C$27,2,FALSE),0%)</f>
        <v>0</v>
      </c>
      <c r="GL4" s="5">
        <f>IFERROR(VLOOKUP(GL$1,'Renta Fija USD + Oro Conservado'!$B$18:$C$27,2,FALSE),0%)</f>
        <v>0</v>
      </c>
      <c r="GM4" s="5">
        <f>IFERROR(VLOOKUP(GM$1,'Renta Fija USD + Oro Conservado'!$B$18:$C$27,2,FALSE),0%)</f>
        <v>0</v>
      </c>
      <c r="GN4" s="5">
        <f>IFERROR(VLOOKUP(GN$1,'Renta Fija USD + Oro Conservado'!$B$18:$C$27,2,FALSE),0%)</f>
        <v>0</v>
      </c>
      <c r="GO4" s="5">
        <f>IFERROR(VLOOKUP(GO$1,'Renta Fija USD + Oro Conservado'!$B$18:$C$27,2,FALSE),0%)</f>
        <v>0</v>
      </c>
      <c r="GP4" s="5">
        <f>IFERROR(VLOOKUP(GP$1,'Renta Fija USD + Oro Conservado'!$B$18:$C$27,2,FALSE),0%)</f>
        <v>0</v>
      </c>
      <c r="GQ4" s="5">
        <f>IFERROR(VLOOKUP(GQ$1,'Renta Fija USD + Oro Conservado'!$B$18:$C$27,2,FALSE),0%)</f>
        <v>0</v>
      </c>
      <c r="GR4" s="5">
        <f>IFERROR(VLOOKUP(GR$1,'Renta Fija USD + Oro Conservado'!$B$18:$C$27,2,FALSE),0%)</f>
        <v>0</v>
      </c>
      <c r="GS4" s="5">
        <f>IFERROR(VLOOKUP(GS$1,'Renta Fija USD + Oro Conservado'!$B$18:$C$27,2,FALSE),0%)</f>
        <v>0</v>
      </c>
      <c r="GT4" s="5">
        <f>IFERROR(VLOOKUP(GT$1,'Renta Fija USD + Oro Conservado'!$B$18:$C$27,2,FALSE),0%)</f>
        <v>0</v>
      </c>
      <c r="GU4" s="5">
        <f>IFERROR(VLOOKUP(GU$1,'Renta Fija USD + Oro Conservado'!$B$18:$C$27,2,FALSE),0%)</f>
        <v>0</v>
      </c>
      <c r="GV4" s="5">
        <f>IFERROR(VLOOKUP(GV$1,'Renta Fija USD + Oro Conservado'!$B$18:$C$27,2,FALSE),0%)</f>
        <v>0</v>
      </c>
      <c r="GW4" s="5">
        <f>IFERROR(VLOOKUP(GW$1,'Renta Fija USD + Oro Conservado'!$B$18:$C$27,2,FALSE),0%)</f>
        <v>0</v>
      </c>
      <c r="GX4" s="5">
        <f>IFERROR(VLOOKUP(GX$1,'Renta Fija USD + Oro Conservado'!$B$18:$C$27,2,FALSE),0%)</f>
        <v>0</v>
      </c>
      <c r="GY4" s="5">
        <f>IFERROR(VLOOKUP(GY$1,'Renta Fija USD + Oro Conservado'!$B$18:$C$27,2,FALSE),0%)</f>
        <v>0</v>
      </c>
      <c r="GZ4" s="5">
        <f>IFERROR(VLOOKUP(GZ$1,'Renta Fija USD + Oro Conservado'!$B$18:$C$27,2,FALSE),0%)</f>
        <v>0</v>
      </c>
      <c r="HA4" s="5">
        <f>IFERROR(VLOOKUP(HA$1,'Renta Fija USD + Oro Conservado'!$B$18:$C$27,2,FALSE),0%)</f>
        <v>0</v>
      </c>
      <c r="HB4" s="5">
        <f>IFERROR(VLOOKUP(HB$1,'Renta Fija USD + Oro Conservado'!$B$18:$C$27,2,FALSE),0%)</f>
        <v>0</v>
      </c>
      <c r="HC4" s="5">
        <f>IFERROR(VLOOKUP(HC$1,'Renta Fija USD + Oro Conservado'!$B$18:$C$27,2,FALSE),0%)</f>
        <v>0</v>
      </c>
      <c r="HD4" s="5">
        <f>IFERROR(VLOOKUP(HD$1,'Renta Fija USD + Oro Conservado'!$B$18:$C$27,2,FALSE),0%)</f>
        <v>0</v>
      </c>
      <c r="HE4" s="5">
        <f>IFERROR(VLOOKUP(HE$1,'Renta Fija USD + Oro Conservado'!$B$18:$C$27,2,FALSE),0%)</f>
        <v>0</v>
      </c>
      <c r="HF4" s="5">
        <f>IFERROR(VLOOKUP(HF$1,'Renta Fija USD + Oro Conservado'!$B$18:$C$27,2,FALSE),0%)</f>
        <v>0</v>
      </c>
      <c r="HG4" s="5">
        <f>IFERROR(VLOOKUP(HG$1,'Renta Fija USD + Oro Conservado'!$B$18:$C$27,2,FALSE),0%)</f>
        <v>0</v>
      </c>
      <c r="HH4" s="5">
        <f>IFERROR(VLOOKUP(HH$1,'Renta Fija USD + Oro Conservado'!$B$18:$C$27,2,FALSE),0%)</f>
        <v>0</v>
      </c>
      <c r="HI4" s="5">
        <f>IFERROR(VLOOKUP(HI$1,'Renta Fija USD + Oro Conservado'!$B$18:$C$27,2,FALSE),0%)</f>
        <v>0</v>
      </c>
      <c r="HJ4" s="5">
        <f>IFERROR(VLOOKUP(HJ$1,'Renta Fija USD + Oro Conservado'!$B$18:$C$27,2,FALSE),0%)</f>
        <v>0</v>
      </c>
      <c r="HK4" s="5">
        <f>IFERROR(VLOOKUP(HK$1,'Renta Fija USD + Oro Conservado'!$B$18:$C$27,2,FALSE),0%)</f>
        <v>0</v>
      </c>
      <c r="HL4" s="5">
        <f>IFERROR(VLOOKUP(HL$1,'Renta Fija USD + Oro Conservado'!$B$18:$C$27,2,FALSE),0%)</f>
        <v>0</v>
      </c>
      <c r="HM4" s="5">
        <f>IFERROR(VLOOKUP(HM$1,'Renta Fija USD + Oro Conservado'!$B$18:$C$27,2,FALSE),0%)</f>
        <v>0</v>
      </c>
      <c r="HN4" s="5">
        <f>IFERROR(VLOOKUP(HN$1,'Renta Fija USD + Oro Conservado'!$B$18:$C$27,2,FALSE),0%)</f>
        <v>0</v>
      </c>
      <c r="HO4" s="5">
        <f>IFERROR(VLOOKUP(HO$1,'Renta Fija USD + Oro Conservado'!$B$18:$C$27,2,FALSE),0%)</f>
        <v>0</v>
      </c>
      <c r="HP4" s="5">
        <f>IFERROR(VLOOKUP(HP$1,'Renta Fija USD + Oro Conservado'!$B$18:$C$27,2,FALSE),0%)</f>
        <v>0</v>
      </c>
      <c r="HQ4" s="5">
        <f>IFERROR(VLOOKUP(HQ$1,'Renta Fija USD + Oro Conservado'!$B$18:$C$27,2,FALSE),0%)</f>
        <v>0</v>
      </c>
      <c r="HR4" s="5">
        <f>IFERROR(VLOOKUP(HR$1,'Renta Fija USD + Oro Conservado'!$B$18:$C$27,2,FALSE),0%)</f>
        <v>0</v>
      </c>
      <c r="HS4" s="5">
        <f>IFERROR(VLOOKUP(HS$1,'Renta Fija USD + Oro Conservado'!$B$18:$C$27,2,FALSE),0%)</f>
        <v>0</v>
      </c>
      <c r="HT4" s="5">
        <f>IFERROR(VLOOKUP(HT$1,'Renta Fija USD + Oro Conservado'!$B$18:$C$27,2,FALSE),0%)</f>
        <v>0</v>
      </c>
      <c r="HU4" s="5">
        <f>IFERROR(VLOOKUP(HU$1,'Renta Fija USD + Oro Conservado'!$B$18:$C$27,2,FALSE),0%)</f>
        <v>0</v>
      </c>
      <c r="HV4" s="5">
        <f>IFERROR(VLOOKUP(HV$1,'Renta Fija USD + Oro Conservado'!$B$18:$C$27,2,FALSE),0%)</f>
        <v>0</v>
      </c>
      <c r="HW4" s="5">
        <f>IFERROR(VLOOKUP(HW$1,'Renta Fija USD + Oro Conservado'!$B$18:$C$27,2,FALSE),0%)</f>
        <v>0</v>
      </c>
      <c r="HX4" s="5">
        <f>IFERROR(VLOOKUP(HX$1,'Renta Fija USD + Oro Conservado'!$B$18:$C$27,2,FALSE),0%)</f>
        <v>0</v>
      </c>
      <c r="HY4" s="5">
        <f>IFERROR(VLOOKUP(HY$1,'Renta Fija USD + Oro Conservado'!$B$18:$C$27,2,FALSE),0%)</f>
        <v>0</v>
      </c>
      <c r="HZ4" s="5">
        <f>IFERROR(VLOOKUP(HZ$1,'Renta Fija USD + Oro Conservado'!$B$18:$C$27,2,FALSE),0%)</f>
        <v>0</v>
      </c>
      <c r="IA4" s="5">
        <f>IFERROR(VLOOKUP(IA$1,'Renta Fija USD + Oro Conservado'!$B$18:$C$27,2,FALSE),0%)</f>
        <v>0</v>
      </c>
      <c r="IB4" s="5">
        <f>IFERROR(VLOOKUP(IB$1,'Renta Fija USD + Oro Conservado'!$B$18:$C$27,2,FALSE),0%)</f>
        <v>0</v>
      </c>
      <c r="IC4" s="5">
        <f>IFERROR(VLOOKUP(IC$1,'Renta Fija USD + Oro Conservado'!$B$18:$C$27,2,FALSE),0%)</f>
        <v>0</v>
      </c>
      <c r="ID4" s="5">
        <f>IFERROR(VLOOKUP(ID$1,'Renta Fija USD + Oro Conservado'!$B$18:$C$27,2,FALSE),0%)</f>
        <v>0</v>
      </c>
      <c r="IE4" s="5">
        <f>IFERROR(VLOOKUP(IE$1,'Renta Fija USD + Oro Conservado'!$B$18:$C$27,2,FALSE),0%)</f>
        <v>0</v>
      </c>
      <c r="IF4" s="5">
        <f>IFERROR(VLOOKUP(IF$1,'Renta Fija USD + Oro Conservado'!$B$18:$C$27,2,FALSE),0%)</f>
        <v>0</v>
      </c>
      <c r="IG4" s="5">
        <f>IFERROR(VLOOKUP(IG$1,'Renta Fija USD + Oro Conservado'!$B$18:$C$27,2,FALSE),0%)</f>
        <v>0</v>
      </c>
      <c r="IH4" s="5">
        <f>IFERROR(VLOOKUP(IH$1,'Renta Fija USD + Oro Conservado'!$B$18:$C$27,2,FALSE),0%)</f>
        <v>0</v>
      </c>
      <c r="II4" s="5">
        <f>IFERROR(VLOOKUP(II$1,'Renta Fija USD + Oro Conservado'!$B$18:$C$27,2,FALSE),0%)</f>
        <v>0</v>
      </c>
      <c r="IJ4" s="5">
        <f>IFERROR(VLOOKUP(IJ$1,'Renta Fija USD + Oro Conservado'!$B$18:$C$27,2,FALSE),0%)</f>
        <v>0</v>
      </c>
      <c r="IK4" s="5">
        <f>IFERROR(VLOOKUP(IK$1,'Renta Fija USD + Oro Conservado'!$B$18:$C$27,2,FALSE),0%)</f>
        <v>0</v>
      </c>
      <c r="IL4" s="5">
        <f>IFERROR(VLOOKUP(IL$1,'Renta Fija USD + Oro Conservado'!$B$18:$C$27,2,FALSE),0%)</f>
        <v>0</v>
      </c>
      <c r="IM4" s="5">
        <f>IFERROR(VLOOKUP(IM$1,'Renta Fija USD + Oro Conservado'!$B$18:$C$27,2,FALSE),0%)</f>
        <v>0</v>
      </c>
      <c r="IN4" s="5">
        <f>IFERROR(VLOOKUP(IN$1,'Renta Fija USD + Oro Conservado'!$B$18:$C$27,2,FALSE),0%)</f>
        <v>0</v>
      </c>
      <c r="IO4" s="5">
        <f>IFERROR(VLOOKUP(IO$1,'Renta Fija USD + Oro Conservado'!$B$18:$C$27,2,FALSE),0%)</f>
        <v>0</v>
      </c>
      <c r="IP4" s="5">
        <f>IFERROR(VLOOKUP(IP$1,'Renta Fija USD + Oro Conservado'!$B$18:$C$27,2,FALSE),0%)</f>
        <v>0</v>
      </c>
      <c r="IQ4" s="5">
        <f>IFERROR(VLOOKUP(IQ$1,'Renta Fija USD + Oro Conservado'!$B$18:$C$27,2,FALSE),0%)</f>
        <v>0</v>
      </c>
      <c r="IR4" s="5">
        <f>IFERROR(VLOOKUP(IR$1,'Renta Fija USD + Oro Conservado'!$B$18:$C$27,2,FALSE),0%)</f>
        <v>0</v>
      </c>
      <c r="IS4" s="5">
        <f>IFERROR(VLOOKUP(IS$1,'Renta Fija USD + Oro Conservado'!$B$18:$C$27,2,FALSE),0%)</f>
        <v>0</v>
      </c>
      <c r="IT4" s="5">
        <f>IFERROR(VLOOKUP(IT$1,'Renta Fija USD + Oro Conservado'!$B$18:$C$27,2,FALSE),0%)</f>
        <v>0</v>
      </c>
      <c r="IU4" s="5">
        <f>IFERROR(VLOOKUP(IU$1,'Renta Fija USD + Oro Conservado'!$B$18:$C$27,2,FALSE),0%)</f>
        <v>0</v>
      </c>
      <c r="IV4" s="5">
        <f>IFERROR(VLOOKUP(IV$1,'Renta Fija USD + Oro Conservado'!$B$18:$C$27,2,FALSE),0%)</f>
        <v>0</v>
      </c>
      <c r="IW4" s="5">
        <f>IFERROR(VLOOKUP(IW$1,'Renta Fija USD + Oro Conservado'!$B$18:$C$27,2,FALSE),0%)</f>
        <v>0</v>
      </c>
      <c r="IX4" s="5">
        <f>IFERROR(VLOOKUP(IX$1,'Renta Fija USD + Oro Conservado'!$B$18:$C$27,2,FALSE),0%)</f>
        <v>0</v>
      </c>
      <c r="IY4" s="5">
        <f>IFERROR(VLOOKUP(IY$1,'Renta Fija USD + Oro Conservado'!$B$18:$C$27,2,FALSE),0%)</f>
        <v>0</v>
      </c>
      <c r="IZ4" s="5">
        <f>IFERROR(VLOOKUP(IZ$1,'Renta Fija USD + Oro Conservado'!$B$18:$C$27,2,FALSE),0%)</f>
        <v>0</v>
      </c>
      <c r="JA4" s="5">
        <f>IFERROR(VLOOKUP(JA$1,'Renta Fija USD + Oro Conservado'!$B$18:$C$27,2,FALSE),0%)</f>
        <v>0</v>
      </c>
      <c r="JB4" s="5">
        <f>IFERROR(VLOOKUP(JB$1,'Renta Fija USD + Oro Conservado'!$B$18:$C$27,2,FALSE),0%)</f>
        <v>0</v>
      </c>
      <c r="JC4" s="5">
        <f>IFERROR(VLOOKUP(JC$1,'Renta Fija USD + Oro Conservado'!$B$18:$C$27,2,FALSE),0%)</f>
        <v>0</v>
      </c>
      <c r="JD4" s="5">
        <f>IFERROR(VLOOKUP(JD$1,'Renta Fija USD + Oro Conservado'!$B$18:$C$27,2,FALSE),0%)</f>
        <v>0</v>
      </c>
      <c r="JE4" s="5">
        <f>IFERROR(VLOOKUP(JE$1,'Renta Fija USD + Oro Conservado'!$B$18:$C$27,2,FALSE),0%)</f>
        <v>0</v>
      </c>
      <c r="JF4" s="5">
        <f>IFERROR(VLOOKUP(JF$1,'Renta Fija USD + Oro Conservado'!$B$18:$C$27,2,FALSE),0%)</f>
        <v>0</v>
      </c>
      <c r="JG4" s="5">
        <f>IFERROR(VLOOKUP(JG$1,'Renta Fija USD + Oro Conservado'!$B$18:$C$27,2,FALSE),0%)</f>
        <v>0</v>
      </c>
      <c r="JH4" s="5">
        <f>IFERROR(VLOOKUP(JH$1,'Renta Fija USD + Oro Conservado'!$B$18:$C$27,2,FALSE),0%)</f>
        <v>0.03492124506</v>
      </c>
      <c r="JI4" s="5">
        <f>IFERROR(VLOOKUP(JI$1,'Renta Fija USD + Oro Conservado'!$B$18:$C$27,2,FALSE),0%)</f>
        <v>0</v>
      </c>
      <c r="JJ4" s="5">
        <f>IFERROR(VLOOKUP(JJ$1,'Renta Fija USD + Oro Conservado'!$B$18:$C$27,2,FALSE),0%)</f>
        <v>0</v>
      </c>
      <c r="JK4" s="5">
        <f>IFERROR(VLOOKUP(JK$1,'Renta Fija USD + Oro Conservado'!$B$18:$C$27,2,FALSE),0%)</f>
        <v>0</v>
      </c>
      <c r="JL4" s="5">
        <f>IFERROR(VLOOKUP(JL$1,'Renta Fija USD + Oro Conservado'!$B$18:$C$27,2,FALSE),0%)</f>
        <v>0</v>
      </c>
      <c r="JM4" s="5">
        <f>IFERROR(VLOOKUP(JM$1,'Renta Fija USD + Oro Conservado'!$B$18:$C$27,2,FALSE),0%)</f>
        <v>0</v>
      </c>
      <c r="JN4" s="5">
        <f>IFERROR(VLOOKUP(JN$1,'Renta Fija USD + Oro Conservado'!$B$18:$C$27,2,FALSE),0%)</f>
        <v>0</v>
      </c>
      <c r="JO4" s="5">
        <f>IFERROR(VLOOKUP(JO$1,'Renta Fija USD + Oro Conservado'!$B$18:$C$27,2,FALSE),0%)</f>
        <v>0</v>
      </c>
      <c r="JP4" s="5">
        <f>IFERROR(VLOOKUP(JP$1,'Renta Fija USD + Oro Conservado'!$B$18:$C$27,2,FALSE),0%)</f>
        <v>0</v>
      </c>
      <c r="JQ4" s="5">
        <f>IFERROR(VLOOKUP(JQ$1,'Renta Fija USD + Oro Conservado'!$B$18:$C$27,2,FALSE),0%)</f>
        <v>0</v>
      </c>
      <c r="JR4" s="5">
        <f>IFERROR(VLOOKUP(JR$1,'Renta Fija USD + Oro Conservado'!$B$18:$C$27,2,FALSE),0%)</f>
        <v>0</v>
      </c>
      <c r="JS4" s="5">
        <f>IFERROR(VLOOKUP(JS$1,'Renta Fija USD + Oro Conservado'!$B$18:$C$27,2,FALSE),0%)</f>
        <v>0</v>
      </c>
      <c r="JT4" s="5">
        <f>IFERROR(VLOOKUP(JT$1,'Renta Fija USD + Oro Conservado'!$B$18:$C$27,2,FALSE),0%)</f>
        <v>0</v>
      </c>
      <c r="JU4" s="5">
        <f>IFERROR(VLOOKUP(JU$1,'Renta Fija USD + Oro Conservado'!$B$18:$C$27,2,FALSE),0%)</f>
        <v>0</v>
      </c>
      <c r="JV4" s="5">
        <f>IFERROR(VLOOKUP(JV$1,'Renta Fija USD + Oro Conservado'!$B$18:$C$27,2,FALSE),0%)</f>
        <v>0</v>
      </c>
      <c r="JW4" s="5">
        <f>IFERROR(VLOOKUP(JW$1,'Renta Fija USD + Oro Conservado'!$B$18:$C$27,2,FALSE),0%)</f>
        <v>0</v>
      </c>
      <c r="JX4" s="5">
        <f>IFERROR(VLOOKUP(JX$1,'Renta Fija USD + Oro Conservado'!$B$18:$C$27,2,FALSE),0%)</f>
        <v>0</v>
      </c>
      <c r="JY4" s="5">
        <f>IFERROR(VLOOKUP(JY$1,'Renta Fija USD + Oro Conservado'!$B$18:$C$27,2,FALSE),0%)</f>
        <v>0</v>
      </c>
      <c r="JZ4" s="5">
        <f>IFERROR(VLOOKUP(JZ$1,'Renta Fija USD + Oro Conservado'!$B$18:$C$27,2,FALSE),0%)</f>
        <v>0</v>
      </c>
      <c r="KA4" s="5">
        <f>IFERROR(VLOOKUP(KA$1,'Renta Fija USD + Oro Conservado'!$B$18:$C$27,2,FALSE),0%)</f>
        <v>0</v>
      </c>
      <c r="KB4" s="5">
        <f>IFERROR(VLOOKUP(KB$1,'Renta Fija USD + Oro Conservado'!$B$18:$C$27,2,FALSE),0%)</f>
        <v>0</v>
      </c>
      <c r="KC4" s="5">
        <f>IFERROR(VLOOKUP(KC$1,'Renta Fija USD + Oro Conservado'!$B$18:$C$27,2,FALSE),0%)</f>
        <v>0</v>
      </c>
      <c r="KD4" s="5">
        <f>IFERROR(VLOOKUP(KD$1,'Renta Fija USD + Oro Conservado'!$B$18:$C$27,2,FALSE),0%)</f>
        <v>0</v>
      </c>
      <c r="KE4" s="5">
        <f>IFERROR(VLOOKUP(KE$1,'Renta Fija USD + Oro Conservado'!$B$18:$C$27,2,FALSE),0%)</f>
        <v>0</v>
      </c>
      <c r="KF4" s="5">
        <f>IFERROR(VLOOKUP(KF$1,'Renta Fija USD + Oro Conservado'!$B$18:$C$27,2,FALSE),0%)</f>
        <v>0</v>
      </c>
      <c r="KG4" s="5">
        <f>IFERROR(VLOOKUP(KG$1,'Renta Fija USD + Oro Conservado'!$B$18:$C$27,2,FALSE),0%)</f>
        <v>0</v>
      </c>
      <c r="KH4" s="5">
        <f>IFERROR(VLOOKUP(KH$1,'Renta Fija USD + Oro Conservado'!$B$18:$C$27,2,FALSE),0%)</f>
        <v>0</v>
      </c>
      <c r="KI4" s="5">
        <f>IFERROR(VLOOKUP(KI$1,'Renta Fija USD + Oro Conservado'!$B$18:$C$27,2,FALSE),0%)</f>
        <v>0</v>
      </c>
      <c r="KJ4" s="5">
        <f>IFERROR(VLOOKUP(KJ$1,'Renta Fija USD + Oro Conservado'!$B$18:$C$27,2,FALSE),0%)</f>
        <v>0</v>
      </c>
      <c r="KK4" s="5">
        <f>IFERROR(VLOOKUP(KK$1,'Renta Fija USD + Oro Conservado'!$B$18:$C$27,2,FALSE),0%)</f>
        <v>0</v>
      </c>
      <c r="KL4" s="5">
        <f>IFERROR(VLOOKUP(KL$1,'Renta Fija USD + Oro Conservado'!$B$18:$C$27,2,FALSE),0%)</f>
        <v>0</v>
      </c>
      <c r="KM4" s="5">
        <f>IFERROR(VLOOKUP(KM$1,'Renta Fija USD + Oro Conservado'!$B$18:$C$27,2,FALSE),0%)</f>
        <v>0</v>
      </c>
      <c r="KN4" s="5">
        <f>IFERROR(VLOOKUP(KN$1,'Renta Fija USD + Oro Conservado'!$B$18:$C$27,2,FALSE),0%)</f>
        <v>0</v>
      </c>
      <c r="KO4" s="5">
        <f>IFERROR(VLOOKUP(KO$1,'Renta Fija USD + Oro Conservado'!$B$18:$C$27,2,FALSE),0%)</f>
        <v>0</v>
      </c>
      <c r="KP4" s="5">
        <f>IFERROR(VLOOKUP(KP$1,'Renta Fija USD + Oro Conservado'!$B$18:$C$27,2,FALSE),0%)</f>
        <v>0</v>
      </c>
      <c r="KQ4" s="5">
        <f>IFERROR(VLOOKUP(KQ$1,'Renta Fija USD + Oro Conservado'!$B$18:$C$27,2,FALSE),0%)</f>
        <v>0</v>
      </c>
      <c r="KR4" s="5">
        <f>IFERROR(VLOOKUP(KR$1,'Renta Fija USD + Oro Conservado'!$B$18:$C$27,2,FALSE),0%)</f>
        <v>0</v>
      </c>
      <c r="KS4" s="5">
        <f>IFERROR(VLOOKUP(KS$1,'Renta Fija USD + Oro Conservado'!$B$18:$C$27,2,FALSE),0%)</f>
        <v>0</v>
      </c>
      <c r="KT4" s="5">
        <f>IFERROR(VLOOKUP(KT$1,'Renta Fija USD + Oro Conservado'!$B$18:$C$27,2,FALSE),0%)</f>
        <v>0</v>
      </c>
      <c r="KU4" s="5">
        <f>IFERROR(VLOOKUP(KU$1,'Renta Fija USD + Oro Conservado'!$B$18:$C$27,2,FALSE),0%)</f>
        <v>0</v>
      </c>
      <c r="KV4" s="5">
        <f>IFERROR(VLOOKUP(KV$1,'Renta Fija USD + Oro Conservado'!$B$18:$C$27,2,FALSE),0%)</f>
        <v>0</v>
      </c>
      <c r="KW4" s="5">
        <f>IFERROR(VLOOKUP(KW$1,'Renta Fija USD + Oro Conservado'!$B$18:$C$27,2,FALSE),0%)</f>
        <v>0</v>
      </c>
      <c r="KX4" s="5">
        <f>IFERROR(VLOOKUP(KX$1,'Renta Fija USD + Oro Conservado'!$B$18:$C$27,2,FALSE),0%)</f>
        <v>0</v>
      </c>
      <c r="KY4" s="5">
        <f>IFERROR(VLOOKUP(KY$1,'Renta Fija USD + Oro Conservado'!$B$18:$C$27,2,FALSE),0%)</f>
        <v>0</v>
      </c>
      <c r="KZ4" s="5">
        <f>IFERROR(VLOOKUP(KZ$1,'Renta Fija USD + Oro Conservado'!$B$18:$C$27,2,FALSE),0%)</f>
        <v>0</v>
      </c>
      <c r="LA4" s="5">
        <f>IFERROR(VLOOKUP(LA$1,'Renta Fija USD + Oro Conservado'!$B$18:$C$27,2,FALSE),0%)</f>
        <v>0</v>
      </c>
      <c r="LB4" s="5">
        <f>IFERROR(VLOOKUP(LB$1,'Renta Fija USD + Oro Conservado'!$B$18:$C$27,2,FALSE),0%)</f>
        <v>0</v>
      </c>
      <c r="LC4" s="5">
        <f>IFERROR(VLOOKUP(LC$1,'Renta Fija USD + Oro Conservado'!$B$18:$C$27,2,FALSE),0%)</f>
        <v>0</v>
      </c>
      <c r="LD4" s="5">
        <f>IFERROR(VLOOKUP(LD$1,'Renta Fija USD + Oro Conservado'!$B$18:$C$27,2,FALSE),0%)</f>
        <v>0</v>
      </c>
      <c r="LE4" s="5">
        <f>IFERROR(VLOOKUP(LE$1,'Renta Fija USD + Oro Conservado'!$B$18:$C$27,2,FALSE),0%)</f>
        <v>0</v>
      </c>
      <c r="LF4" s="5">
        <f>IFERROR(VLOOKUP(LF$1,'Renta Fija USD + Oro Conservado'!$B$18:$C$27,2,FALSE),0%)</f>
        <v>0</v>
      </c>
      <c r="LG4" s="5">
        <f>IFERROR(VLOOKUP(LG$1,'Renta Fija USD + Oro Conservado'!$B$18:$C$27,2,FALSE),0%)</f>
        <v>0</v>
      </c>
      <c r="LH4" s="5">
        <f>IFERROR(VLOOKUP(LH$1,'Renta Fija USD + Oro Conservado'!$B$18:$C$27,2,FALSE),0%)</f>
        <v>0</v>
      </c>
      <c r="LI4" s="5">
        <f>IFERROR(VLOOKUP(LI$1,'Renta Fija USD + Oro Conservado'!$B$18:$C$27,2,FALSE),0%)</f>
        <v>0</v>
      </c>
      <c r="LJ4" s="5">
        <f>IFERROR(VLOOKUP(LJ$1,'Renta Fija USD + Oro Conservado'!$B$18:$C$27,2,FALSE),0%)</f>
        <v>0</v>
      </c>
      <c r="LK4" s="5">
        <f>IFERROR(VLOOKUP(LK$1,'Renta Fija USD + Oro Conservado'!$B$18:$C$27,2,FALSE),0%)</f>
        <v>0</v>
      </c>
      <c r="LL4" s="5">
        <f>IFERROR(VLOOKUP(LL$1,'Renta Fija USD + Oro Conservado'!$B$18:$C$27,2,FALSE),0%)</f>
        <v>0</v>
      </c>
      <c r="LM4" s="5">
        <f>IFERROR(VLOOKUP(LM$1,'Renta Fija USD + Oro Conservado'!$B$18:$C$27,2,FALSE),0%)</f>
        <v>0</v>
      </c>
      <c r="LN4" s="5">
        <f>IFERROR(VLOOKUP(LN$1,'Renta Fija USD + Oro Conservado'!$B$18:$C$27,2,FALSE),0%)</f>
        <v>0</v>
      </c>
      <c r="LO4" s="5">
        <f>IFERROR(VLOOKUP(LO$1,'Renta Fija USD + Oro Conservado'!$B$18:$C$27,2,FALSE),0%)</f>
        <v>0</v>
      </c>
      <c r="LP4" s="5">
        <f>IFERROR(VLOOKUP(LP$1,'Renta Fija USD + Oro Conservado'!$B$18:$C$27,2,FALSE),0%)</f>
        <v>0</v>
      </c>
      <c r="LQ4" s="5">
        <f>IFERROR(VLOOKUP(LQ$1,'Renta Fija USD + Oro Conservado'!$B$18:$C$27,2,FALSE),0%)</f>
        <v>0</v>
      </c>
      <c r="LR4" s="5">
        <f>IFERROR(VLOOKUP(LR$1,'Renta Fija USD + Oro Conservado'!$B$18:$C$27,2,FALSE),0%)</f>
        <v>0</v>
      </c>
      <c r="LS4" s="5">
        <f>IFERROR(VLOOKUP(LS$1,'Renta Fija USD + Oro Conservado'!$B$18:$C$27,2,FALSE),0%)</f>
        <v>0</v>
      </c>
      <c r="LT4" s="5">
        <f>IFERROR(VLOOKUP(LT$1,'Renta Fija USD + Oro Conservado'!$B$18:$C$27,2,FALSE),0%)</f>
        <v>0</v>
      </c>
      <c r="LU4" s="5">
        <f>IFERROR(VLOOKUP(LU$1,'Renta Fija USD + Oro Conservado'!$B$18:$C$27,2,FALSE),0%)</f>
        <v>0</v>
      </c>
      <c r="LV4" s="5">
        <f>IFERROR(VLOOKUP(LV$1,'Renta Fija USD + Oro Conservado'!$B$18:$C$27,2,FALSE),0%)</f>
        <v>0</v>
      </c>
      <c r="LW4" s="5">
        <f>IFERROR(VLOOKUP(LW$1,'Renta Fija USD + Oro Conservado'!$B$18:$C$27,2,FALSE),0%)</f>
        <v>0</v>
      </c>
      <c r="LX4" s="5">
        <f>IFERROR(VLOOKUP(LX$1,'Renta Fija USD + Oro Conservado'!$B$18:$C$27,2,FALSE),0%)</f>
        <v>0</v>
      </c>
      <c r="LY4" s="5">
        <f>IFERROR(VLOOKUP(LY$1,'Renta Fija USD + Oro Conservado'!$B$18:$C$27,2,FALSE),0%)</f>
        <v>0</v>
      </c>
      <c r="LZ4" s="5">
        <f>IFERROR(VLOOKUP(LZ$1,'Renta Fija USD + Oro Conservado'!$B$18:$C$27,2,FALSE),0%)</f>
        <v>0</v>
      </c>
      <c r="MA4" s="5">
        <f>IFERROR(VLOOKUP(MA$1,'Renta Fija USD + Oro Conservado'!$B$18:$C$27,2,FALSE),0%)</f>
        <v>0</v>
      </c>
      <c r="MB4" s="5">
        <f>IFERROR(VLOOKUP(MB$1,'Renta Fija USD + Oro Conservado'!$B$18:$C$27,2,FALSE),0%)</f>
        <v>0</v>
      </c>
      <c r="MC4" s="5">
        <f>IFERROR(VLOOKUP(MC$1,'Renta Fija USD + Oro Conservado'!$B$18:$C$27,2,FALSE),0%)</f>
        <v>0</v>
      </c>
      <c r="MD4" s="5">
        <f>IFERROR(VLOOKUP(MD$1,'Renta Fija USD + Oro Conservado'!$B$18:$C$27,2,FALSE),0%)</f>
        <v>0</v>
      </c>
      <c r="ME4" s="5">
        <f>IFERROR(VLOOKUP(ME$1,'Renta Fija USD + Oro Conservado'!$B$18:$C$27,2,FALSE),0%)</f>
        <v>0</v>
      </c>
      <c r="MF4" s="5">
        <f>IFERROR(VLOOKUP(MF$1,'Renta Fija USD + Oro Conservado'!$B$18:$C$27,2,FALSE),0%)</f>
        <v>0</v>
      </c>
      <c r="MG4" s="5">
        <f>IFERROR(VLOOKUP(MG$1,'Renta Fija USD + Oro Conservado'!$B$18:$C$27,2,FALSE),0%)</f>
        <v>0</v>
      </c>
      <c r="MH4" s="5">
        <f>IFERROR(VLOOKUP(MH$1,'Renta Fija USD + Oro Conservado'!$B$18:$C$27,2,FALSE),0%)</f>
        <v>0</v>
      </c>
      <c r="MI4" s="5">
        <f>IFERROR(VLOOKUP(MI$1,'Renta Fija USD + Oro Conservado'!$B$18:$C$27,2,FALSE),0%)</f>
        <v>0</v>
      </c>
      <c r="MJ4" s="5">
        <f>IFERROR(VLOOKUP(MJ$1,'Renta Fija USD + Oro Conservado'!$B$18:$C$27,2,FALSE),0%)</f>
        <v>0</v>
      </c>
      <c r="MK4" s="5">
        <f>IFERROR(VLOOKUP(MK$1,'Renta Fija USD + Oro Conservado'!$B$18:$C$27,2,FALSE),0%)</f>
        <v>0</v>
      </c>
      <c r="ML4" s="5">
        <f>IFERROR(VLOOKUP(ML$1,'Renta Fija USD + Oro Conservado'!$B$18:$C$27,2,FALSE),0%)</f>
        <v>0</v>
      </c>
      <c r="MM4" s="5">
        <f>IFERROR(VLOOKUP(MM$1,'Renta Fija USD + Oro Conservado'!$B$18:$C$27,2,FALSE),0%)</f>
        <v>0</v>
      </c>
      <c r="MN4" s="5">
        <f>IFERROR(VLOOKUP(MN$1,'Renta Fija USD + Oro Conservado'!$B$18:$C$27,2,FALSE),0%)</f>
        <v>0</v>
      </c>
      <c r="MO4" s="5">
        <f>IFERROR(VLOOKUP(MO$1,'Renta Fija USD + Oro Conservado'!$B$18:$C$27,2,FALSE),0%)</f>
        <v>0</v>
      </c>
      <c r="MP4" s="5">
        <f>IFERROR(VLOOKUP(MP$1,'Renta Fija USD + Oro Conservado'!$B$18:$C$27,2,FALSE),0%)</f>
        <v>0</v>
      </c>
      <c r="MQ4" s="5">
        <f>IFERROR(VLOOKUP(MQ$1,'Renta Fija USD + Oro Conservado'!$B$18:$C$27,2,FALSE),0%)</f>
        <v>0</v>
      </c>
      <c r="MR4" s="5">
        <f>IFERROR(VLOOKUP(MR$1,'Renta Fija USD + Oro Conservado'!$B$18:$C$27,2,FALSE),0%)</f>
        <v>0</v>
      </c>
      <c r="MS4" s="5">
        <f>IFERROR(VLOOKUP(MS$1,'Renta Fija USD + Oro Conservado'!$B$18:$C$27,2,FALSE),0%)</f>
        <v>0</v>
      </c>
      <c r="MT4" s="5">
        <f>IFERROR(VLOOKUP(MT$1,'Renta Fija USD + Oro Conservado'!$B$18:$C$27,2,FALSE),0%)</f>
        <v>0</v>
      </c>
      <c r="MU4" s="5">
        <f>IFERROR(VLOOKUP(MU$1,'Renta Fija USD + Oro Conservado'!$B$18:$C$27,2,FALSE),0%)</f>
        <v>0</v>
      </c>
      <c r="MV4" s="5">
        <f>IFERROR(VLOOKUP(MV$1,'Renta Fija USD + Oro Conservado'!$B$18:$C$27,2,FALSE),0%)</f>
        <v>0</v>
      </c>
      <c r="MW4" s="5">
        <f>IFERROR(VLOOKUP(MW$1,'Renta Fija USD + Oro Conservado'!$B$18:$C$27,2,FALSE),0%)</f>
        <v>0</v>
      </c>
      <c r="MX4" s="5">
        <f>IFERROR(VLOOKUP(MX$1,'Renta Fija USD + Oro Conservado'!$B$18:$C$27,2,FALSE),0%)</f>
        <v>0</v>
      </c>
      <c r="MY4" s="5">
        <f>IFERROR(VLOOKUP(MY$1,'Renta Fija USD + Oro Conservado'!$B$18:$C$27,2,FALSE),0%)</f>
        <v>0</v>
      </c>
      <c r="MZ4" s="5">
        <f>IFERROR(VLOOKUP(MZ$1,'Renta Fija USD + Oro Conservado'!$B$18:$C$27,2,FALSE),0%)</f>
        <v>0</v>
      </c>
      <c r="NA4" s="5">
        <f>IFERROR(VLOOKUP(NA$1,'Renta Fija USD + Oro Conservado'!$B$18:$C$27,2,FALSE),0%)</f>
        <v>0</v>
      </c>
      <c r="NB4" s="5">
        <f>IFERROR(VLOOKUP(NB$1,'Renta Fija USD + Oro Conservado'!$B$18:$C$27,2,FALSE),0%)</f>
        <v>0</v>
      </c>
      <c r="NC4" s="5">
        <f>IFERROR(VLOOKUP(NC$1,'Renta Fija USD + Oro Conservado'!$B$18:$C$27,2,FALSE),0%)</f>
        <v>0</v>
      </c>
      <c r="ND4" s="5">
        <f>IFERROR(VLOOKUP(ND$1,'Renta Fija USD + Oro Conservado'!$B$18:$C$27,2,FALSE),0%)</f>
        <v>0</v>
      </c>
      <c r="NE4" s="5">
        <f>IFERROR(VLOOKUP(NE$1,'Renta Fija USD + Oro Conservado'!$B$18:$C$27,2,FALSE),0%)</f>
        <v>0</v>
      </c>
      <c r="NF4" s="5">
        <f>IFERROR(VLOOKUP(NF$1,'Renta Fija USD + Oro Conservado'!$B$18:$C$27,2,FALSE),0%)</f>
        <v>0</v>
      </c>
      <c r="NG4" s="5">
        <f>IFERROR(VLOOKUP(NG$1,'Renta Fija USD + Oro Conservado'!$B$18:$C$27,2,FALSE),0%)</f>
        <v>0</v>
      </c>
      <c r="NH4" s="5">
        <f>IFERROR(VLOOKUP(NH$1,'Renta Fija USD + Oro Conservado'!$B$18:$C$27,2,FALSE),0%)</f>
        <v>0</v>
      </c>
      <c r="NI4" s="5">
        <f>IFERROR(VLOOKUP(NI$1,'Renta Fija USD + Oro Conservado'!$B$18:$C$27,2,FALSE),0%)</f>
        <v>0</v>
      </c>
      <c r="NJ4" s="5">
        <f>IFERROR(VLOOKUP(NJ$1,'Renta Fija USD + Oro Conservado'!$B$18:$C$27,2,FALSE),0%)</f>
        <v>0</v>
      </c>
      <c r="NK4" s="5">
        <f>IFERROR(VLOOKUP(NK$1,'Renta Fija USD + Oro Conservado'!$B$18:$C$27,2,FALSE),0%)</f>
        <v>0</v>
      </c>
      <c r="NL4" s="5">
        <f>IFERROR(VLOOKUP(NL$1,'Renta Fija USD + Oro Conservado'!$B$18:$C$27,2,FALSE),0%)</f>
        <v>0</v>
      </c>
      <c r="NM4" s="5">
        <f>IFERROR(VLOOKUP(NM$1,'Renta Fija USD + Oro Conservado'!$B$18:$C$27,2,FALSE),0%)</f>
        <v>0</v>
      </c>
      <c r="NN4" s="5">
        <f>IFERROR(VLOOKUP(NN$1,'Renta Fija USD + Oro Conservado'!$B$18:$C$27,2,FALSE),0%)</f>
        <v>0</v>
      </c>
      <c r="NO4" s="5">
        <f>IFERROR(VLOOKUP(NO$1,'Renta Fija USD + Oro Conservado'!$B$18:$C$27,2,FALSE),0%)</f>
        <v>0</v>
      </c>
      <c r="NP4" s="5">
        <f>IFERROR(VLOOKUP(NP$1,'Renta Fija USD + Oro Conservado'!$B$18:$C$27,2,FALSE),0%)</f>
        <v>0</v>
      </c>
      <c r="NQ4" s="5">
        <f>IFERROR(VLOOKUP(NQ$1,'Renta Fija USD + Oro Conservado'!$B$18:$C$27,2,FALSE),0%)</f>
        <v>0</v>
      </c>
      <c r="NR4" s="5">
        <f>IFERROR(VLOOKUP(NR$1,'Renta Fija USD + Oro Conservado'!$B$18:$C$27,2,FALSE),0%)</f>
        <v>0</v>
      </c>
      <c r="NS4" s="5">
        <f>IFERROR(VLOOKUP(NS$1,'Renta Fija USD + Oro Conservado'!$B$18:$C$27,2,FALSE),0%)</f>
        <v>0</v>
      </c>
      <c r="NT4" s="5">
        <f>IFERROR(VLOOKUP(NT$1,'Renta Fija USD + Oro Conservado'!$B$18:$C$27,2,FALSE),0%)</f>
        <v>0</v>
      </c>
      <c r="NU4" s="5">
        <f>IFERROR(VLOOKUP(NU$1,'Renta Fija USD + Oro Conservado'!$B$18:$C$27,2,FALSE),0%)</f>
        <v>0</v>
      </c>
      <c r="NV4" s="5">
        <f>IFERROR(VLOOKUP(NV$1,'Renta Fija USD + Oro Conservado'!$B$18:$C$27,2,FALSE),0%)</f>
        <v>0</v>
      </c>
      <c r="NW4" s="5">
        <f>IFERROR(VLOOKUP(NW$1,'Renta Fija USD + Oro Conservado'!$B$18:$C$27,2,FALSE),0%)</f>
        <v>0</v>
      </c>
      <c r="NX4" s="5">
        <f>IFERROR(VLOOKUP(NX$1,'Renta Fija USD + Oro Conservado'!$B$18:$C$27,2,FALSE),0%)</f>
        <v>0</v>
      </c>
      <c r="NY4" s="5">
        <f>IFERROR(VLOOKUP(NY$1,'Renta Fija USD + Oro Conservado'!$B$18:$C$27,2,FALSE),0%)</f>
        <v>0</v>
      </c>
      <c r="NZ4" s="5">
        <f>IFERROR(VLOOKUP(NZ$1,'Renta Fija USD + Oro Conservado'!$B$18:$C$27,2,FALSE),0%)</f>
        <v>0</v>
      </c>
      <c r="OA4" s="5">
        <f>IFERROR(VLOOKUP(OA$1,'Renta Fija USD + Oro Conservado'!$B$18:$C$27,2,FALSE),0%)</f>
        <v>0</v>
      </c>
      <c r="OB4" s="5">
        <f>IFERROR(VLOOKUP(OB$1,'Renta Fija USD + Oro Conservado'!$B$18:$C$27,2,FALSE),0%)</f>
        <v>0</v>
      </c>
      <c r="OC4" s="5">
        <f>IFERROR(VLOOKUP(OC$1,'Renta Fija USD + Oro Conservado'!$B$18:$C$27,2,FALSE),0%)</f>
        <v>0</v>
      </c>
      <c r="OD4" s="5">
        <f>IFERROR(VLOOKUP(OD$1,'Renta Fija USD + Oro Conservado'!$B$18:$C$27,2,FALSE),0%)</f>
        <v>0</v>
      </c>
      <c r="OE4" s="5">
        <f>IFERROR(VLOOKUP(OE$1,'Renta Fija USD + Oro Conservado'!$B$18:$C$27,2,FALSE),0%)</f>
        <v>0</v>
      </c>
      <c r="OF4" s="5">
        <f>IFERROR(VLOOKUP(OF$1,'Renta Fija USD + Oro Conservado'!$B$18:$C$27,2,FALSE),0%)</f>
        <v>0</v>
      </c>
      <c r="OG4" s="5">
        <f>IFERROR(VLOOKUP(OG$1,'Renta Fija USD + Oro Conservado'!$B$18:$C$27,2,FALSE),0%)</f>
        <v>0</v>
      </c>
      <c r="OH4" s="5">
        <f>IFERROR(VLOOKUP(OH$1,'Renta Fija USD + Oro Conservado'!$B$18:$C$27,2,FALSE),0%)</f>
        <v>0</v>
      </c>
      <c r="OI4" s="5">
        <f>IFERROR(VLOOKUP(OI$1,'Renta Fija USD + Oro Conservado'!$B$18:$C$27,2,FALSE),0%)</f>
        <v>0</v>
      </c>
      <c r="OJ4" s="5">
        <f>IFERROR(VLOOKUP(OJ$1,'Renta Fija USD + Oro Conservado'!$B$18:$C$27,2,FALSE),0%)</f>
        <v>0</v>
      </c>
      <c r="OK4" s="5">
        <f>IFERROR(VLOOKUP(OK$1,'Renta Fija USD + Oro Conservado'!$B$18:$C$27,2,FALSE),0%)</f>
        <v>0</v>
      </c>
      <c r="OL4" s="5">
        <f>IFERROR(VLOOKUP(OL$1,'Renta Fija USD + Oro Conservado'!$B$18:$C$27,2,FALSE),0%)</f>
        <v>0</v>
      </c>
      <c r="OM4" s="5">
        <f>IFERROR(VLOOKUP(OM$1,'Renta Fija USD + Oro Conservado'!$B$18:$C$27,2,FALSE),0%)</f>
        <v>0</v>
      </c>
      <c r="ON4" s="5">
        <f>IFERROR(VLOOKUP(ON$1,'Renta Fija USD + Oro Conservado'!$B$18:$C$27,2,FALSE),0%)</f>
        <v>0</v>
      </c>
      <c r="OO4" s="5">
        <f>IFERROR(VLOOKUP(OO$1,'Renta Fija USD + Oro Conservado'!$B$18:$C$27,2,FALSE),0%)</f>
        <v>0</v>
      </c>
      <c r="OP4" s="5">
        <f>IFERROR(VLOOKUP(OP$1,'Renta Fija USD + Oro Conservado'!$B$18:$C$27,2,FALSE),0%)</f>
        <v>0</v>
      </c>
      <c r="OQ4" s="5">
        <f>IFERROR(VLOOKUP(OQ$1,'Renta Fija USD + Oro Conservado'!$B$18:$C$27,2,FALSE),0%)</f>
        <v>0</v>
      </c>
      <c r="OR4" s="5">
        <f>IFERROR(VLOOKUP(OR$1,'Renta Fija USD + Oro Conservado'!$B$18:$C$27,2,FALSE),0%)</f>
        <v>0</v>
      </c>
      <c r="OS4" s="5">
        <f>IFERROR(VLOOKUP(OS$1,'Renta Fija USD + Oro Conservado'!$B$18:$C$27,2,FALSE),0%)</f>
        <v>0</v>
      </c>
      <c r="OT4" s="5">
        <f>IFERROR(VLOOKUP(OT$1,'Renta Fija USD + Oro Conservado'!$B$18:$C$27,2,FALSE),0%)</f>
        <v>0</v>
      </c>
      <c r="OU4" s="5">
        <f>IFERROR(VLOOKUP(OU$1,'Renta Fija USD + Oro Conservado'!$B$18:$C$27,2,FALSE),0%)</f>
        <v>0</v>
      </c>
      <c r="OV4" s="5">
        <f>IFERROR(VLOOKUP(OV$1,'Renta Fija USD + Oro Conservado'!$B$18:$C$27,2,FALSE),0%)</f>
        <v>0</v>
      </c>
      <c r="OW4" s="5">
        <f>IFERROR(VLOOKUP(OW$1,'Renta Fija USD + Oro Conservado'!$B$18:$C$27,2,FALSE),0%)</f>
        <v>0</v>
      </c>
      <c r="OX4" s="5">
        <f>IFERROR(VLOOKUP(OX$1,'Renta Fija USD + Oro Conservado'!$B$18:$C$27,2,FALSE),0%)</f>
        <v>0</v>
      </c>
      <c r="OY4" s="5">
        <f>IFERROR(VLOOKUP(OY$1,'Renta Fija USD + Oro Conservado'!$B$18:$C$27,2,FALSE),0%)</f>
        <v>0</v>
      </c>
      <c r="OZ4" s="5">
        <f>IFERROR(VLOOKUP(OZ$1,'Renta Fija USD + Oro Conservado'!$B$18:$C$27,2,FALSE),0%)</f>
        <v>0</v>
      </c>
      <c r="PA4" s="5">
        <f>IFERROR(VLOOKUP(PA$1,'Renta Fija USD + Oro Conservado'!$B$18:$C$27,2,FALSE),0%)</f>
        <v>0</v>
      </c>
      <c r="PB4" s="5">
        <f>IFERROR(VLOOKUP(PB$1,'Renta Fija USD + Oro Conservado'!$B$18:$C$27,2,FALSE),0%)</f>
        <v>0</v>
      </c>
      <c r="PC4" s="5">
        <f>IFERROR(VLOOKUP(PC$1,'Renta Fija USD + Oro Conservado'!$B$18:$C$27,2,FALSE),0%)</f>
        <v>0</v>
      </c>
      <c r="PD4" s="5">
        <f>IFERROR(VLOOKUP(PD$1,'Renta Fija USD + Oro Conservado'!$B$18:$C$27,2,FALSE),0%)</f>
        <v>0</v>
      </c>
      <c r="PE4" s="5">
        <f>IFERROR(VLOOKUP(PE$1,'Renta Fija USD + Oro Conservado'!$B$18:$C$27,2,FALSE),0%)</f>
        <v>0</v>
      </c>
      <c r="PF4" s="5">
        <f>IFERROR(VLOOKUP(PF$1,'Renta Fija USD + Oro Conservado'!$B$18:$C$27,2,FALSE),0%)</f>
        <v>0</v>
      </c>
      <c r="PG4" s="5">
        <f>IFERROR(VLOOKUP(PG$1,'Renta Fija USD + Oro Conservado'!$B$18:$C$27,2,FALSE),0%)</f>
        <v>0</v>
      </c>
      <c r="PH4" s="5">
        <f>IFERROR(VLOOKUP(PH$1,'Renta Fija USD + Oro Conservado'!$B$18:$C$27,2,FALSE),0%)</f>
        <v>0</v>
      </c>
      <c r="PI4" s="5">
        <f>IFERROR(VLOOKUP(PI$1,'Renta Fija USD + Oro Conservado'!$B$18:$C$27,2,FALSE),0%)</f>
        <v>0</v>
      </c>
      <c r="PJ4" s="5">
        <f>IFERROR(VLOOKUP(PJ$1,'Renta Fija USD + Oro Conservado'!$B$18:$C$27,2,FALSE),0%)</f>
        <v>0</v>
      </c>
      <c r="PK4" s="5">
        <f>IFERROR(VLOOKUP(PK$1,'Renta Fija USD + Oro Conservado'!$B$18:$C$27,2,FALSE),0%)</f>
        <v>0</v>
      </c>
      <c r="PL4" s="5">
        <f>IFERROR(VLOOKUP(PL$1,'Renta Fija USD + Oro Conservado'!$B$18:$C$27,2,FALSE),0%)</f>
        <v>0</v>
      </c>
      <c r="PM4" s="5">
        <f>IFERROR(VLOOKUP(PM$1,'Renta Fija USD + Oro Conservado'!$B$18:$C$27,2,FALSE),0%)</f>
        <v>0</v>
      </c>
      <c r="PN4" s="5">
        <f>IFERROR(VLOOKUP(PN$1,'Renta Fija USD + Oro Conservado'!$B$18:$C$27,2,FALSE),0%)</f>
        <v>0</v>
      </c>
      <c r="PO4" s="5">
        <f>IFERROR(VLOOKUP(PO$1,'Renta Fija USD + Oro Conservado'!$B$18:$C$27,2,FALSE),0%)</f>
        <v>0</v>
      </c>
      <c r="PP4" s="5">
        <f>IFERROR(VLOOKUP(PP$1,'Renta Fija USD + Oro Conservado'!$B$18:$C$27,2,FALSE),0%)</f>
        <v>0</v>
      </c>
      <c r="PQ4" s="5">
        <f>IFERROR(VLOOKUP(PQ$1,'Renta Fija USD + Oro Conservado'!$B$18:$C$27,2,FALSE),0%)</f>
        <v>0</v>
      </c>
      <c r="PR4" s="5">
        <f>IFERROR(VLOOKUP(PR$1,'Renta Fija USD + Oro Conservado'!$B$18:$C$27,2,FALSE),0%)</f>
        <v>0</v>
      </c>
      <c r="PS4" s="5">
        <f>IFERROR(VLOOKUP(PS$1,'Renta Fija USD + Oro Conservado'!$B$18:$C$27,2,FALSE),0%)</f>
        <v>0</v>
      </c>
      <c r="PT4" s="5">
        <f>IFERROR(VLOOKUP(PT$1,'Renta Fija USD + Oro Conservado'!$B$18:$C$27,2,FALSE),0%)</f>
        <v>0</v>
      </c>
      <c r="PU4" s="5">
        <f>IFERROR(VLOOKUP(PU$1,'Renta Fija USD + Oro Conservado'!$B$18:$C$27,2,FALSE),0%)</f>
        <v>0</v>
      </c>
      <c r="PV4" s="5">
        <f>IFERROR(VLOOKUP(PV$1,'Renta Fija USD + Oro Conservado'!$B$18:$C$27,2,FALSE),0%)</f>
        <v>0</v>
      </c>
      <c r="PW4" s="5">
        <f>IFERROR(VLOOKUP(PW$1,'Renta Fija USD + Oro Conservado'!$B$18:$C$27,2,FALSE),0%)</f>
        <v>0</v>
      </c>
      <c r="PX4" s="5">
        <f>IFERROR(VLOOKUP(PX$1,'Renta Fija USD + Oro Conservado'!$B$18:$C$27,2,FALSE),0%)</f>
        <v>0</v>
      </c>
      <c r="PY4" s="5">
        <f>IFERROR(VLOOKUP(PY$1,'Renta Fija USD + Oro Conservado'!$B$18:$C$27,2,FALSE),0%)</f>
        <v>0</v>
      </c>
      <c r="PZ4" s="5">
        <f>IFERROR(VLOOKUP(PZ$1,'Renta Fija USD + Oro Conservado'!$B$18:$C$27,2,FALSE),0%)</f>
        <v>0</v>
      </c>
      <c r="QA4" s="5">
        <f>IFERROR(VLOOKUP(QA$1,'Renta Fija USD + Oro Conservado'!$B$18:$C$27,2,FALSE),0%)</f>
        <v>0</v>
      </c>
      <c r="QB4" s="5">
        <f>IFERROR(VLOOKUP(QB$1,'Renta Fija USD + Oro Conservado'!$B$18:$C$27,2,FALSE),0%)</f>
        <v>0</v>
      </c>
      <c r="QC4" s="5">
        <f>IFERROR(VLOOKUP(QC$1,'Renta Fija USD + Oro Conservado'!$B$18:$C$27,2,FALSE),0%)</f>
        <v>0</v>
      </c>
      <c r="QD4" s="5">
        <f>IFERROR(VLOOKUP(QD$1,'Renta Fija USD + Oro Conservado'!$B$18:$C$27,2,FALSE),0%)</f>
        <v>0</v>
      </c>
      <c r="QE4" s="5">
        <f>IFERROR(VLOOKUP(QE$1,'Renta Fija USD + Oro Conservado'!$B$18:$C$27,2,FALSE),0%)</f>
        <v>0</v>
      </c>
      <c r="QF4" s="5">
        <f>IFERROR(VLOOKUP(QF$1,'Renta Fija USD + Oro Conservado'!$B$18:$C$27,2,FALSE),0%)</f>
        <v>0</v>
      </c>
      <c r="QG4" s="5">
        <f>IFERROR(VLOOKUP(QG$1,'Renta Fija USD + Oro Conservado'!$B$18:$C$27,2,FALSE),0%)</f>
        <v>0</v>
      </c>
      <c r="QH4" s="5">
        <f>IFERROR(VLOOKUP(QH$1,'Renta Fija USD + Oro Conservado'!$B$18:$C$27,2,FALSE),0%)</f>
        <v>0</v>
      </c>
      <c r="QI4" s="5">
        <f>IFERROR(VLOOKUP(QI$1,'Renta Fija USD + Oro Conservado'!$B$18:$C$27,2,FALSE),0%)</f>
        <v>0</v>
      </c>
      <c r="QJ4" s="5">
        <f>IFERROR(VLOOKUP(QJ$1,'Renta Fija USD + Oro Conservado'!$B$18:$C$27,2,FALSE),0%)</f>
        <v>0</v>
      </c>
      <c r="QK4" s="5">
        <f>IFERROR(VLOOKUP(QK$1,'Renta Fija USD + Oro Conservado'!$B$18:$C$27,2,FALSE),0%)</f>
        <v>0</v>
      </c>
      <c r="QL4" s="5">
        <f>IFERROR(VLOOKUP(QL$1,'Renta Fija USD + Oro Conservado'!$B$18:$C$27,2,FALSE),0%)</f>
        <v>0</v>
      </c>
      <c r="QM4" s="5">
        <f>IFERROR(VLOOKUP(QM$1,'Renta Fija USD + Oro Conservado'!$B$18:$C$27,2,FALSE),0%)</f>
        <v>0</v>
      </c>
      <c r="QN4" s="5">
        <f>IFERROR(VLOOKUP(QN$1,'Renta Fija USD + Oro Conservado'!$B$18:$C$27,2,FALSE),0%)</f>
        <v>0</v>
      </c>
      <c r="QO4" s="5">
        <f>IFERROR(VLOOKUP(QO$1,'Renta Fija USD + Oro Conservado'!$B$18:$C$27,2,FALSE),0%)</f>
        <v>0</v>
      </c>
      <c r="QP4" s="5">
        <f>IFERROR(VLOOKUP(QP$1,'Renta Fija USD + Oro Conservado'!$B$18:$C$27,2,FALSE),0%)</f>
        <v>0</v>
      </c>
      <c r="QQ4" s="5">
        <f>IFERROR(VLOOKUP(QQ$1,'Renta Fija USD + Oro Conservado'!$B$18:$C$27,2,FALSE),0%)</f>
        <v>0</v>
      </c>
      <c r="QR4" s="5">
        <f>IFERROR(VLOOKUP(QR$1,'Renta Fija USD + Oro Conservado'!$B$18:$C$27,2,FALSE),0%)</f>
        <v>0</v>
      </c>
      <c r="QS4" s="5">
        <f>IFERROR(VLOOKUP(QS$1,'Renta Fija USD + Oro Conservado'!$B$18:$C$27,2,FALSE),0%)</f>
        <v>0</v>
      </c>
      <c r="QT4" s="5">
        <f>IFERROR(VLOOKUP(QT$1,'Renta Fija USD + Oro Conservado'!$B$18:$C$27,2,FALSE),0%)</f>
        <v>0</v>
      </c>
      <c r="QU4" s="5">
        <f>IFERROR(VLOOKUP(QU$1,'Renta Fija USD + Oro Conservado'!$B$18:$C$27,2,FALSE),0%)</f>
        <v>0</v>
      </c>
      <c r="QV4" s="5">
        <f>IFERROR(VLOOKUP(QV$1,'Renta Fija USD + Oro Conservado'!$B$18:$C$27,2,FALSE),0%)</f>
        <v>0</v>
      </c>
      <c r="QW4" s="5">
        <f>IFERROR(VLOOKUP(QW$1,'Renta Fija USD + Oro Conservado'!$B$18:$C$27,2,FALSE),0%)</f>
        <v>0</v>
      </c>
      <c r="QX4" s="5">
        <f>IFERROR(VLOOKUP(QX$1,'Renta Fija USD + Oro Conservado'!$B$18:$C$27,2,FALSE),0%)</f>
        <v>0</v>
      </c>
      <c r="QY4" s="5">
        <f>IFERROR(VLOOKUP(QY$1,'Renta Fija USD + Oro Conservado'!$B$18:$C$27,2,FALSE),0%)</f>
        <v>0</v>
      </c>
      <c r="QZ4" s="5">
        <f>IFERROR(VLOOKUP(QZ$1,'Renta Fija USD + Oro Conservado'!$B$18:$C$27,2,FALSE),0%)</f>
        <v>0</v>
      </c>
      <c r="RA4" s="5">
        <f>IFERROR(VLOOKUP(RA$1,'Renta Fija USD + Oro Conservado'!$B$18:$C$27,2,FALSE),0%)</f>
        <v>0</v>
      </c>
      <c r="RB4" s="5">
        <f>IFERROR(VLOOKUP(RB$1,'Renta Fija USD + Oro Conservado'!$B$18:$C$27,2,FALSE),0%)</f>
        <v>0</v>
      </c>
      <c r="RC4" s="5">
        <f>IFERROR(VLOOKUP(RC$1,'Renta Fija USD + Oro Conservado'!$B$18:$C$27,2,FALSE),0%)</f>
        <v>0</v>
      </c>
      <c r="RD4" s="5">
        <f>IFERROR(VLOOKUP(RD$1,'Renta Fija USD + Oro Conservado'!$B$18:$C$27,2,FALSE),0%)</f>
        <v>0</v>
      </c>
      <c r="RE4" s="5">
        <f>IFERROR(VLOOKUP(RE$1,'Renta Fija USD + Oro Conservado'!$B$18:$C$27,2,FALSE),0%)</f>
        <v>0</v>
      </c>
      <c r="RF4" s="5">
        <f>IFERROR(VLOOKUP(RF$1,'Renta Fija USD + Oro Conservado'!$B$18:$C$27,2,FALSE),0%)</f>
        <v>0</v>
      </c>
      <c r="RG4" s="5">
        <f>IFERROR(VLOOKUP(RG$1,'Renta Fija USD + Oro Conservado'!$B$18:$C$27,2,FALSE),0%)</f>
        <v>0</v>
      </c>
      <c r="RH4" s="5">
        <f>IFERROR(VLOOKUP(RH$1,'Renta Fija USD + Oro Conservado'!$B$18:$C$27,2,FALSE),0%)</f>
        <v>0</v>
      </c>
      <c r="RI4" s="5">
        <f>IFERROR(VLOOKUP(RI$1,'Renta Fija USD + Oro Conservado'!$B$18:$C$27,2,FALSE),0%)</f>
        <v>0</v>
      </c>
      <c r="RJ4" s="5">
        <f>IFERROR(VLOOKUP(RJ$1,'Renta Fija USD + Oro Conservado'!$B$18:$C$27,2,FALSE),0%)</f>
        <v>0</v>
      </c>
      <c r="RK4" s="5">
        <f>IFERROR(VLOOKUP(RK$1,'Renta Fija USD + Oro Conservado'!$B$18:$C$27,2,FALSE),0%)</f>
        <v>0</v>
      </c>
      <c r="RL4" s="5">
        <f>IFERROR(VLOOKUP(RL$1,'Renta Fija USD + Oro Conservado'!$B$18:$C$27,2,FALSE),0%)</f>
        <v>0</v>
      </c>
      <c r="RM4" s="5">
        <f>IFERROR(VLOOKUP(RM$1,'Renta Fija USD + Oro Conservado'!$B$18:$C$27,2,FALSE),0%)</f>
        <v>0</v>
      </c>
      <c r="RN4" s="5">
        <f>IFERROR(VLOOKUP(RN$1,'Renta Fija USD + Oro Conservado'!$B$18:$C$27,2,FALSE),0%)</f>
        <v>0</v>
      </c>
      <c r="RO4" s="5">
        <f>IFERROR(VLOOKUP(RO$1,'Renta Fija USD + Oro Conservado'!$B$18:$C$27,2,FALSE),0%)</f>
        <v>0</v>
      </c>
      <c r="RP4" s="5">
        <f>IFERROR(VLOOKUP(RP$1,'Renta Fija USD + Oro Conservado'!$B$18:$C$27,2,FALSE),0%)</f>
        <v>0</v>
      </c>
      <c r="RQ4" s="5">
        <f>IFERROR(VLOOKUP(RQ$1,'Renta Fija USD + Oro Conservado'!$B$18:$C$27,2,FALSE),0%)</f>
        <v>0</v>
      </c>
      <c r="RR4" s="5">
        <f>IFERROR(VLOOKUP(RR$1,'Renta Fija USD + Oro Conservado'!$B$18:$C$27,2,FALSE),0%)</f>
        <v>0</v>
      </c>
      <c r="RS4" s="5">
        <f>IFERROR(VLOOKUP(RS$1,'Renta Fija USD + Oro Conservado'!$B$18:$C$27,2,FALSE),0%)</f>
        <v>0</v>
      </c>
      <c r="RT4" s="5">
        <f>IFERROR(VLOOKUP(RT$1,'Renta Fija USD + Oro Conservado'!$B$18:$C$27,2,FALSE),0%)</f>
        <v>0</v>
      </c>
      <c r="RU4" s="5">
        <f>IFERROR(VLOOKUP(RU$1,'Renta Fija USD + Oro Conservado'!$B$18:$C$27,2,FALSE),0%)</f>
        <v>0</v>
      </c>
      <c r="RV4" s="5">
        <f>IFERROR(VLOOKUP(RV$1,'Renta Fija USD + Oro Conservado'!$B$18:$C$27,2,FALSE),0%)</f>
        <v>0</v>
      </c>
      <c r="RW4" s="5">
        <f>IFERROR(VLOOKUP(RW$1,'Renta Fija USD + Oro Conservado'!$B$18:$C$27,2,FALSE),0%)</f>
        <v>0</v>
      </c>
      <c r="RX4" s="5">
        <f>IFERROR(VLOOKUP(RX$1,'Renta Fija USD + Oro Conservado'!$B$18:$C$27,2,FALSE),0%)</f>
        <v>0</v>
      </c>
      <c r="RY4" s="5">
        <f>IFERROR(VLOOKUP(RY$1,'Renta Fija USD + Oro Conservado'!$B$18:$C$27,2,FALSE),0%)</f>
        <v>0</v>
      </c>
      <c r="RZ4" s="5">
        <f>IFERROR(VLOOKUP(RZ$1,'Renta Fija USD + Oro Conservado'!$B$18:$C$27,2,FALSE),0%)</f>
        <v>0</v>
      </c>
      <c r="SA4" s="5">
        <f>IFERROR(VLOOKUP(SA$1,'Renta Fija USD + Oro Conservado'!$B$18:$C$27,2,FALSE),0%)</f>
        <v>0</v>
      </c>
      <c r="SB4" s="5">
        <f>IFERROR(VLOOKUP(SB$1,'Renta Fija USD + Oro Conservado'!$B$18:$C$27,2,FALSE),0%)</f>
        <v>0</v>
      </c>
      <c r="SC4" s="5">
        <f>IFERROR(VLOOKUP(SC$1,'Renta Fija USD + Oro Conservado'!$B$18:$C$27,2,FALSE),0%)</f>
        <v>0</v>
      </c>
      <c r="SD4" s="5">
        <f>IFERROR(VLOOKUP(SD$1,'Renta Fija USD + Oro Conservado'!$B$18:$C$27,2,FALSE),0%)</f>
        <v>0</v>
      </c>
      <c r="SE4" s="5">
        <f>IFERROR(VLOOKUP(SE$1,'Renta Fija USD + Oro Conservado'!$B$18:$C$27,2,FALSE),0%)</f>
        <v>0</v>
      </c>
      <c r="SF4" s="5">
        <f>IFERROR(VLOOKUP(SF$1,'Renta Fija USD + Oro Conservado'!$B$18:$C$27,2,FALSE),0%)</f>
        <v>0</v>
      </c>
      <c r="SG4" s="5">
        <f>IFERROR(VLOOKUP(SG$1,'Renta Fija USD + Oro Conservado'!$B$18:$C$27,2,FALSE),0%)</f>
        <v>0</v>
      </c>
      <c r="SH4" s="5">
        <f>IFERROR(VLOOKUP(SH$1,'Renta Fija USD + Oro Conservado'!$B$18:$C$27,2,FALSE),0%)</f>
        <v>0</v>
      </c>
      <c r="SI4" s="5">
        <f>IFERROR(VLOOKUP(SI$1,'Renta Fija USD + Oro Conservado'!$B$18:$C$27,2,FALSE),0%)</f>
        <v>0</v>
      </c>
      <c r="SJ4" s="5">
        <f>IFERROR(VLOOKUP(SJ$1,'Renta Fija USD + Oro Conservado'!$B$18:$C$27,2,FALSE),0%)</f>
        <v>0</v>
      </c>
      <c r="SK4" s="5">
        <f>IFERROR(VLOOKUP(SK$1,'Renta Fija USD + Oro Conservado'!$B$18:$C$27,2,FALSE),0%)</f>
        <v>0</v>
      </c>
      <c r="SL4" s="5">
        <f>IFERROR(VLOOKUP(SL$1,'Renta Fija USD + Oro Conservado'!$B$18:$C$27,2,FALSE),0%)</f>
        <v>0</v>
      </c>
      <c r="SM4" s="5">
        <f>IFERROR(VLOOKUP(SM$1,'Renta Fija USD + Oro Conservado'!$B$18:$C$27,2,FALSE),0%)</f>
        <v>0</v>
      </c>
      <c r="SN4" s="5">
        <f>IFERROR(VLOOKUP(SN$1,'Renta Fija USD + Oro Conservado'!$B$18:$C$27,2,FALSE),0%)</f>
        <v>0</v>
      </c>
      <c r="SO4" s="5">
        <f>IFERROR(VLOOKUP(SO$1,'Renta Fija USD + Oro Conservado'!$B$18:$C$27,2,FALSE),0%)</f>
        <v>0</v>
      </c>
      <c r="SP4" s="5">
        <f>IFERROR(VLOOKUP(SP$1,'Renta Fija USD + Oro Conservado'!$B$18:$C$27,2,FALSE),0%)</f>
        <v>0</v>
      </c>
      <c r="SQ4" s="5">
        <f>IFERROR(VLOOKUP(SQ$1,'Renta Fija USD + Oro Conservado'!$B$18:$C$27,2,FALSE),0%)</f>
        <v>0</v>
      </c>
      <c r="SR4" s="5">
        <f>IFERROR(VLOOKUP(SR$1,'Renta Fija USD + Oro Conservado'!$B$18:$C$27,2,FALSE),0%)</f>
        <v>0</v>
      </c>
      <c r="SS4" s="5">
        <f>IFERROR(VLOOKUP(SS$1,'Renta Fija USD + Oro Conservado'!$B$18:$C$27,2,FALSE),0%)</f>
        <v>0</v>
      </c>
      <c r="ST4" s="5">
        <f>IFERROR(VLOOKUP(ST$1,'Renta Fija USD + Oro Conservado'!$B$18:$C$27,2,FALSE),0%)</f>
        <v>0</v>
      </c>
      <c r="SU4" s="5">
        <f>IFERROR(VLOOKUP(SU$1,'Renta Fija USD + Oro Conservado'!$B$18:$C$27,2,FALSE),0%)</f>
        <v>0</v>
      </c>
      <c r="SV4" s="5">
        <f>IFERROR(VLOOKUP(SV$1,'Renta Fija USD + Oro Conservado'!$B$18:$C$27,2,FALSE),0%)</f>
        <v>0</v>
      </c>
      <c r="SW4" s="5">
        <f>IFERROR(VLOOKUP(SW$1,'Renta Fija USD + Oro Conservado'!$B$18:$C$27,2,FALSE),0%)</f>
        <v>0</v>
      </c>
      <c r="SX4" s="5">
        <f>IFERROR(VLOOKUP(SX$1,'Renta Fija USD + Oro Conservado'!$B$18:$C$27,2,FALSE),0%)</f>
        <v>0</v>
      </c>
      <c r="SY4" s="5">
        <f>IFERROR(VLOOKUP(SY$1,'Renta Fija USD + Oro Conservado'!$B$18:$C$27,2,FALSE),0%)</f>
        <v>0</v>
      </c>
      <c r="SZ4" s="5">
        <f>IFERROR(VLOOKUP(SZ$1,'Renta Fija USD + Oro Conservado'!$B$18:$C$27,2,FALSE),0%)</f>
        <v>0</v>
      </c>
      <c r="TA4" s="5">
        <f>IFERROR(VLOOKUP(TA$1,'Renta Fija USD + Oro Conservado'!$B$18:$C$27,2,FALSE),0%)</f>
        <v>0</v>
      </c>
      <c r="TB4" s="5">
        <f>IFERROR(VLOOKUP(TB$1,'Renta Fija USD + Oro Conservado'!$B$18:$C$27,2,FALSE),0%)</f>
        <v>0</v>
      </c>
      <c r="TC4" s="5">
        <f>IFERROR(VLOOKUP(TC$1,'Renta Fija USD + Oro Conservado'!$B$18:$C$27,2,FALSE),0%)</f>
        <v>0</v>
      </c>
      <c r="TD4" s="5">
        <f>IFERROR(VLOOKUP(TD$1,'Renta Fija USD + Oro Conservado'!$B$18:$C$27,2,FALSE),0%)</f>
        <v>0</v>
      </c>
      <c r="TE4" s="5">
        <f>IFERROR(VLOOKUP(TE$1,'Renta Fija USD + Oro Conservado'!$B$18:$C$27,2,FALSE),0%)</f>
        <v>0</v>
      </c>
      <c r="TF4" s="5">
        <f>IFERROR(VLOOKUP(TF$1,'Renta Fija USD + Oro Conservado'!$B$18:$C$27,2,FALSE),0%)</f>
        <v>0</v>
      </c>
      <c r="TG4" s="5">
        <f>IFERROR(VLOOKUP(TG$1,'Renta Fija USD + Oro Conservado'!$B$18:$C$27,2,FALSE),0%)</f>
        <v>0</v>
      </c>
      <c r="TH4" s="5">
        <f>IFERROR(VLOOKUP(TH$1,'Renta Fija USD + Oro Conservado'!$B$18:$C$27,2,FALSE),0%)</f>
        <v>0</v>
      </c>
      <c r="TI4" s="5">
        <f>IFERROR(VLOOKUP(TI$1,'Renta Fija USD + Oro Conservado'!$B$18:$C$27,2,FALSE),0%)</f>
        <v>0</v>
      </c>
      <c r="TJ4" s="5">
        <f>IFERROR(VLOOKUP(TJ$1,'Renta Fija USD + Oro Conservado'!$B$18:$C$27,2,FALSE),0%)</f>
        <v>0</v>
      </c>
      <c r="TK4" s="5">
        <f>IFERROR(VLOOKUP(TK$1,'Renta Fija USD + Oro Conservado'!$B$18:$C$27,2,FALSE),0%)</f>
        <v>0</v>
      </c>
      <c r="TL4" s="5">
        <f>IFERROR(VLOOKUP(TL$1,'Renta Fija USD + Oro Conservado'!$B$18:$C$27,2,FALSE),0%)</f>
        <v>0</v>
      </c>
      <c r="TM4" s="5">
        <f>IFERROR(VLOOKUP(TM$1,'Renta Fija USD + Oro Conservado'!$B$18:$C$27,2,FALSE),0%)</f>
        <v>0</v>
      </c>
      <c r="TN4" s="5">
        <f>IFERROR(VLOOKUP(TN$1,'Renta Fija USD + Oro Conservado'!$B$18:$C$27,2,FALSE),0%)</f>
        <v>0</v>
      </c>
      <c r="TO4" s="5">
        <f>IFERROR(VLOOKUP(TO$1,'Renta Fija USD + Oro Conservado'!$B$18:$C$27,2,FALSE),0%)</f>
        <v>0</v>
      </c>
      <c r="TP4" s="5">
        <f>IFERROR(VLOOKUP(TP$1,'Renta Fija USD + Oro Conservado'!$B$18:$C$27,2,FALSE),0%)</f>
        <v>0</v>
      </c>
      <c r="TQ4" s="5">
        <f>IFERROR(VLOOKUP(TQ$1,'Renta Fija USD + Oro Conservado'!$B$18:$C$27,2,FALSE),0%)</f>
        <v>0</v>
      </c>
      <c r="TR4" s="5">
        <f>IFERROR(VLOOKUP(TR$1,'Renta Fija USD + Oro Conservado'!$B$18:$C$27,2,FALSE),0%)</f>
        <v>0</v>
      </c>
      <c r="TS4" s="5">
        <f>IFERROR(VLOOKUP(TS$1,'Renta Fija USD + Oro Conservado'!$B$18:$C$27,2,FALSE),0%)</f>
        <v>0</v>
      </c>
      <c r="TT4" s="5">
        <f>IFERROR(VLOOKUP(TT$1,'Renta Fija USD + Oro Conservado'!$B$18:$C$27,2,FALSE),0%)</f>
        <v>0</v>
      </c>
      <c r="TU4" s="5">
        <f>IFERROR(VLOOKUP(TU$1,'Renta Fija USD + Oro Conservado'!$B$18:$C$27,2,FALSE),0%)</f>
        <v>0</v>
      </c>
      <c r="TV4" s="5">
        <f>IFERROR(VLOOKUP(TV$1,'Renta Fija USD + Oro Conservado'!$B$18:$C$27,2,FALSE),0%)</f>
        <v>0</v>
      </c>
      <c r="TW4" s="5">
        <f>IFERROR(VLOOKUP(TW$1,'Renta Fija USD + Oro Conservado'!$B$18:$C$27,2,FALSE),0%)</f>
        <v>0</v>
      </c>
      <c r="TX4" s="5">
        <f>IFERROR(VLOOKUP(TX$1,'Renta Fija USD + Oro Conservado'!$B$18:$C$27,2,FALSE),0%)</f>
        <v>0</v>
      </c>
      <c r="TY4" s="5">
        <f>IFERROR(VLOOKUP(TY$1,'Renta Fija USD + Oro Conservado'!$B$18:$C$27,2,FALSE),0%)</f>
        <v>0</v>
      </c>
      <c r="TZ4" s="5">
        <f>IFERROR(VLOOKUP(TZ$1,'Renta Fija USD + Oro Conservado'!$B$18:$C$27,2,FALSE),0%)</f>
        <v>0</v>
      </c>
      <c r="UA4" s="5">
        <f>IFERROR(VLOOKUP(UA$1,'Renta Fija USD + Oro Conservado'!$B$18:$C$27,2,FALSE),0%)</f>
        <v>0</v>
      </c>
      <c r="UB4" s="5">
        <f>IFERROR(VLOOKUP(UB$1,'Renta Fija USD + Oro Conservado'!$B$18:$C$27,2,FALSE),0%)</f>
        <v>0</v>
      </c>
      <c r="UC4" s="5">
        <f>IFERROR(VLOOKUP(UC$1,'Renta Fija USD + Oro Conservado'!$B$18:$C$27,2,FALSE),0%)</f>
        <v>0</v>
      </c>
      <c r="UD4" s="5">
        <f>IFERROR(VLOOKUP(UD$1,'Renta Fija USD + Oro Conservado'!$B$18:$C$27,2,FALSE),0%)</f>
        <v>0</v>
      </c>
      <c r="UE4" s="5">
        <f>IFERROR(VLOOKUP(UE$1,'Renta Fija USD + Oro Conservado'!$B$18:$C$27,2,FALSE),0%)</f>
        <v>0</v>
      </c>
      <c r="UF4" s="5">
        <f>IFERROR(VLOOKUP(UF$1,'Renta Fija USD + Oro Conservado'!$B$18:$C$27,2,FALSE),0%)</f>
        <v>0</v>
      </c>
      <c r="UG4" s="5">
        <f>IFERROR(VLOOKUP(UG$1,'Renta Fija USD + Oro Conservado'!$B$18:$C$27,2,FALSE),0%)</f>
        <v>0</v>
      </c>
      <c r="UH4" s="5">
        <f>IFERROR(VLOOKUP(UH$1,'Renta Fija USD + Oro Conservado'!$B$18:$C$27,2,FALSE),0%)</f>
        <v>0</v>
      </c>
      <c r="UI4" s="5">
        <f>IFERROR(VLOOKUP(UI$1,'Renta Fija USD + Oro Conservado'!$B$18:$C$27,2,FALSE),0%)</f>
        <v>0</v>
      </c>
      <c r="UJ4" s="5">
        <f>IFERROR(VLOOKUP(UJ$1,'Renta Fija USD + Oro Conservado'!$B$18:$C$27,2,FALSE),0%)</f>
        <v>0</v>
      </c>
      <c r="UK4" s="5">
        <f>IFERROR(VLOOKUP(UK$1,'Renta Fija USD + Oro Conservado'!$B$18:$C$27,2,FALSE),0%)</f>
        <v>0</v>
      </c>
      <c r="UL4" s="5">
        <f>IFERROR(VLOOKUP(UL$1,'Renta Fija USD + Oro Conservado'!$B$18:$C$27,2,FALSE),0%)</f>
        <v>0</v>
      </c>
      <c r="UM4" s="5">
        <f>IFERROR(VLOOKUP(UM$1,'Renta Fija USD + Oro Conservado'!$B$18:$C$27,2,FALSE),0%)</f>
        <v>0</v>
      </c>
      <c r="UN4" s="5">
        <f>IFERROR(VLOOKUP(UN$1,'Renta Fija USD + Oro Conservado'!$B$18:$C$27,2,FALSE),0%)</f>
        <v>0</v>
      </c>
      <c r="UO4" s="5">
        <f>IFERROR(VLOOKUP(UO$1,'Renta Fija USD + Oro Conservado'!$B$18:$C$27,2,FALSE),0%)</f>
        <v>0</v>
      </c>
      <c r="UP4" s="5">
        <f>IFERROR(VLOOKUP(UP$1,'Renta Fija USD + Oro Conservado'!$B$18:$C$27,2,FALSE),0%)</f>
        <v>0</v>
      </c>
      <c r="UQ4" s="5">
        <f>IFERROR(VLOOKUP(UQ$1,'Renta Fija USD + Oro Conservado'!$B$18:$C$27,2,FALSE),0%)</f>
        <v>0</v>
      </c>
      <c r="UR4" s="5">
        <f>IFERROR(VLOOKUP(UR$1,'Renta Fija USD + Oro Conservado'!$B$18:$C$27,2,FALSE),0%)</f>
        <v>0</v>
      </c>
      <c r="US4" s="5">
        <f>IFERROR(VLOOKUP(US$1,'Renta Fija USD + Oro Conservado'!$B$18:$C$27,2,FALSE),0%)</f>
        <v>0</v>
      </c>
      <c r="UT4" s="5">
        <f>IFERROR(VLOOKUP(UT$1,'Renta Fija USD + Oro Conservado'!$B$18:$C$27,2,FALSE),0%)</f>
        <v>0</v>
      </c>
      <c r="UU4" s="5">
        <f>IFERROR(VLOOKUP(UU$1,'Renta Fija USD + Oro Conservado'!$B$18:$C$27,2,FALSE),0%)</f>
        <v>0</v>
      </c>
      <c r="UV4" s="5">
        <f>IFERROR(VLOOKUP(UV$1,'Renta Fija USD + Oro Conservado'!$B$18:$C$27,2,FALSE),0%)</f>
        <v>0</v>
      </c>
      <c r="UW4" s="5">
        <f>IFERROR(VLOOKUP(UW$1,'Renta Fija USD + Oro Conservado'!$B$18:$C$27,2,FALSE),0%)</f>
        <v>0</v>
      </c>
      <c r="UX4" s="5">
        <f>IFERROR(VLOOKUP(UX$1,'Renta Fija USD + Oro Conservado'!$B$18:$C$27,2,FALSE),0%)</f>
        <v>0</v>
      </c>
      <c r="UY4" s="5">
        <f>IFERROR(VLOOKUP(UY$1,'Renta Fija USD + Oro Conservado'!$B$18:$C$27,2,FALSE),0%)</f>
        <v>0</v>
      </c>
      <c r="UZ4" s="5">
        <f>IFERROR(VLOOKUP(UZ$1,'Renta Fija USD + Oro Conservado'!$B$18:$C$27,2,FALSE),0%)</f>
        <v>0</v>
      </c>
      <c r="VA4" s="5">
        <f>IFERROR(VLOOKUP(VA$1,'Renta Fija USD + Oro Conservado'!$B$18:$C$27,2,FALSE),0%)</f>
        <v>0</v>
      </c>
      <c r="VB4" s="5">
        <f>IFERROR(VLOOKUP(VB$1,'Renta Fija USD + Oro Conservado'!$B$18:$C$27,2,FALSE),0%)</f>
        <v>0</v>
      </c>
      <c r="VC4" s="5">
        <f>IFERROR(VLOOKUP(VC$1,'Renta Fija USD + Oro Conservado'!$B$18:$C$27,2,FALSE),0%)</f>
        <v>0</v>
      </c>
      <c r="VD4" s="5">
        <f>IFERROR(VLOOKUP(VD$1,'Renta Fija USD + Oro Conservado'!$B$18:$C$27,2,FALSE),0%)</f>
        <v>0</v>
      </c>
      <c r="VE4" s="5">
        <f>IFERROR(VLOOKUP(VE$1,'Renta Fija USD + Oro Conservado'!$B$18:$C$27,2,FALSE),0%)</f>
        <v>0</v>
      </c>
      <c r="VF4" s="5">
        <f>IFERROR(VLOOKUP(VF$1,'Renta Fija USD + Oro Conservado'!$B$18:$C$27,2,FALSE),0%)</f>
        <v>0</v>
      </c>
      <c r="VG4" s="5">
        <f>IFERROR(VLOOKUP(VG$1,'Renta Fija USD + Oro Conservado'!$B$18:$C$27,2,FALSE),0%)</f>
        <v>0</v>
      </c>
      <c r="VH4" s="5">
        <f>IFERROR(VLOOKUP(VH$1,'Renta Fija USD + Oro Conservado'!$B$18:$C$27,2,FALSE),0%)</f>
        <v>0</v>
      </c>
      <c r="VI4" s="5">
        <f>IFERROR(VLOOKUP(VI$1,'Renta Fija USD + Oro Conservado'!$B$18:$C$27,2,FALSE),0%)</f>
        <v>0</v>
      </c>
      <c r="VJ4" s="5">
        <f>IFERROR(VLOOKUP(VJ$1,'Renta Fija USD + Oro Conservado'!$B$18:$C$27,2,FALSE),0%)</f>
        <v>0</v>
      </c>
      <c r="VK4" s="5">
        <f>IFERROR(VLOOKUP(VK$1,'Renta Fija USD + Oro Conservado'!$B$18:$C$27,2,FALSE),0%)</f>
        <v>0</v>
      </c>
      <c r="VL4" s="5">
        <f>IFERROR(VLOOKUP(VL$1,'Renta Fija USD + Oro Conservado'!$B$18:$C$27,2,FALSE),0%)</f>
        <v>0</v>
      </c>
      <c r="VM4" s="5">
        <f>IFERROR(VLOOKUP(VM$1,'Renta Fija USD + Oro Conservado'!$B$18:$C$27,2,FALSE),0%)</f>
        <v>0</v>
      </c>
      <c r="VN4" s="5">
        <f>IFERROR(VLOOKUP(VN$1,'Renta Fija USD + Oro Conservado'!$B$18:$C$27,2,FALSE),0%)</f>
        <v>0</v>
      </c>
      <c r="VO4" s="5">
        <f>IFERROR(VLOOKUP(VO$1,'Renta Fija USD + Oro Conservado'!$B$18:$C$27,2,FALSE),0%)</f>
        <v>0</v>
      </c>
      <c r="VP4" s="5">
        <f>IFERROR(VLOOKUP(VP$1,'Renta Fija USD + Oro Conservado'!$B$18:$C$27,2,FALSE),0%)</f>
        <v>0</v>
      </c>
      <c r="VQ4" s="5">
        <f>IFERROR(VLOOKUP(VQ$1,'Renta Fija USD + Oro Conservado'!$B$18:$C$27,2,FALSE),0%)</f>
        <v>0</v>
      </c>
      <c r="VR4" s="5">
        <f>IFERROR(VLOOKUP(VR$1,'Renta Fija USD + Oro Conservado'!$B$18:$C$27,2,FALSE),0%)</f>
        <v>0</v>
      </c>
      <c r="VS4" s="5">
        <f>IFERROR(VLOOKUP(VS$1,'Renta Fija USD + Oro Conservado'!$B$18:$C$27,2,FALSE),0%)</f>
        <v>0</v>
      </c>
      <c r="VT4" s="5">
        <f>IFERROR(VLOOKUP(VT$1,'Renta Fija USD + Oro Conservado'!$B$18:$C$27,2,FALSE),0%)</f>
        <v>0</v>
      </c>
      <c r="VU4" s="5">
        <f>IFERROR(VLOOKUP(VU$1,'Renta Fija USD + Oro Conservado'!$B$18:$C$27,2,FALSE),0%)</f>
        <v>0</v>
      </c>
      <c r="VV4" s="5">
        <f>IFERROR(VLOOKUP(VV$1,'Renta Fija USD + Oro Conservado'!$B$18:$C$27,2,FALSE),0%)</f>
        <v>0</v>
      </c>
      <c r="VW4" s="5">
        <f>IFERROR(VLOOKUP(VW$1,'Renta Fija USD + Oro Conservado'!$B$18:$C$27,2,FALSE),0%)</f>
        <v>0</v>
      </c>
      <c r="VX4" s="5">
        <f>IFERROR(VLOOKUP(VX$1,'Renta Fija USD + Oro Conservado'!$B$18:$C$27,2,FALSE),0%)</f>
        <v>0</v>
      </c>
      <c r="VY4" s="5">
        <f>IFERROR(VLOOKUP(VY$1,'Renta Fija USD + Oro Conservado'!$B$18:$C$27,2,FALSE),0%)</f>
        <v>0</v>
      </c>
      <c r="VZ4" s="5">
        <f>IFERROR(VLOOKUP(VZ$1,'Renta Fija USD + Oro Conservado'!$B$18:$C$27,2,FALSE),0%)</f>
        <v>0</v>
      </c>
      <c r="WA4" s="5">
        <f>IFERROR(VLOOKUP(WA$1,'Renta Fija USD + Oro Conservado'!$B$18:$C$27,2,FALSE),0%)</f>
        <v>0</v>
      </c>
      <c r="WB4" s="5">
        <f>IFERROR(VLOOKUP(WB$1,'Renta Fija USD + Oro Conservado'!$B$18:$C$27,2,FALSE),0%)</f>
        <v>0</v>
      </c>
      <c r="WC4" s="5">
        <f>IFERROR(VLOOKUP(WC$1,'Renta Fija USD + Oro Conservado'!$B$18:$C$27,2,FALSE),0%)</f>
        <v>0</v>
      </c>
      <c r="WD4" s="5">
        <f>IFERROR(VLOOKUP(WD$1,'Renta Fija USD + Oro Conservado'!$B$18:$C$27,2,FALSE),0%)</f>
        <v>0</v>
      </c>
      <c r="WE4" s="5">
        <f>IFERROR(VLOOKUP(WE$1,'Renta Fija USD + Oro Conservado'!$B$18:$C$27,2,FALSE),0%)</f>
        <v>0</v>
      </c>
      <c r="WF4" s="5">
        <f>IFERROR(VLOOKUP(WF$1,'Renta Fija USD + Oro Conservado'!$B$18:$C$27,2,FALSE),0%)</f>
        <v>0</v>
      </c>
      <c r="WG4" s="5">
        <f>IFERROR(VLOOKUP(WG$1,'Renta Fija USD + Oro Conservado'!$B$18:$C$27,2,FALSE),0%)</f>
        <v>0</v>
      </c>
      <c r="WH4" s="5">
        <f>IFERROR(VLOOKUP(WH$1,'Renta Fija USD + Oro Conservado'!$B$18:$C$27,2,FALSE),0%)</f>
        <v>0</v>
      </c>
      <c r="WI4" s="5">
        <f>IFERROR(VLOOKUP(WI$1,'Renta Fija USD + Oro Conservado'!$B$18:$C$27,2,FALSE),0%)</f>
        <v>0</v>
      </c>
      <c r="WJ4" s="5">
        <f>IFERROR(VLOOKUP(WJ$1,'Renta Fija USD + Oro Conservado'!$B$18:$C$27,2,FALSE),0%)</f>
        <v>0</v>
      </c>
      <c r="WK4" s="5">
        <f>IFERROR(VLOOKUP(WK$1,'Renta Fija USD + Oro Conservado'!$B$18:$C$27,2,FALSE),0%)</f>
        <v>0</v>
      </c>
      <c r="WL4" s="5">
        <f>IFERROR(VLOOKUP(WL$1,'Renta Fija USD + Oro Conservado'!$B$18:$C$27,2,FALSE),0%)</f>
        <v>0</v>
      </c>
      <c r="WM4" s="5">
        <f>IFERROR(VLOOKUP(WM$1,'Renta Fija USD + Oro Conservado'!$B$18:$C$27,2,FALSE),0%)</f>
        <v>0</v>
      </c>
      <c r="WN4" s="5">
        <f>IFERROR(VLOOKUP(WN$1,'Renta Fija USD + Oro Conservado'!$B$18:$C$27,2,FALSE),0%)</f>
        <v>0</v>
      </c>
      <c r="WO4" s="5">
        <f>IFERROR(VLOOKUP(WO$1,'Renta Fija USD + Oro Conservado'!$B$18:$C$27,2,FALSE),0%)</f>
        <v>0</v>
      </c>
      <c r="WP4" s="5">
        <f>IFERROR(VLOOKUP(WP$1,'Renta Fija USD + Oro Conservado'!$B$18:$C$27,2,FALSE),0%)</f>
        <v>0</v>
      </c>
      <c r="WQ4" s="5">
        <f>IFERROR(VLOOKUP(WQ$1,'Renta Fija USD + Oro Conservado'!$B$18:$C$27,2,FALSE),0%)</f>
        <v>0</v>
      </c>
      <c r="WR4" s="5">
        <f>IFERROR(VLOOKUP(WR$1,'Renta Fija USD + Oro Conservado'!$B$18:$C$27,2,FALSE),0%)</f>
        <v>0</v>
      </c>
      <c r="WS4" s="5">
        <f>IFERROR(VLOOKUP(WS$1,'Renta Fija USD + Oro Conservado'!$B$18:$C$27,2,FALSE),0%)</f>
        <v>0</v>
      </c>
      <c r="WT4" s="5">
        <f>IFERROR(VLOOKUP(WT$1,'Renta Fija USD + Oro Conservado'!$B$18:$C$27,2,FALSE),0%)</f>
        <v>0</v>
      </c>
      <c r="WU4" s="5">
        <f>IFERROR(VLOOKUP(WU$1,'Renta Fija USD + Oro Conservado'!$B$18:$C$27,2,FALSE),0%)</f>
        <v>0</v>
      </c>
      <c r="WV4" s="5">
        <f>IFERROR(VLOOKUP(WV$1,'Renta Fija USD + Oro Conservado'!$B$18:$C$27,2,FALSE),0%)</f>
        <v>0</v>
      </c>
      <c r="WW4" s="5">
        <f>IFERROR(VLOOKUP(WW$1,'Renta Fija USD + Oro Conservado'!$B$18:$C$27,2,FALSE),0%)</f>
        <v>0</v>
      </c>
      <c r="WX4" s="5">
        <f>IFERROR(VLOOKUP(WX$1,'Renta Fija USD + Oro Conservado'!$B$18:$C$27,2,FALSE),0%)</f>
        <v>0</v>
      </c>
      <c r="WY4" s="5">
        <f>IFERROR(VLOOKUP(WY$1,'Renta Fija USD + Oro Conservado'!$B$18:$C$27,2,FALSE),0%)</f>
        <v>0</v>
      </c>
      <c r="WZ4" s="5">
        <f>IFERROR(VLOOKUP(WZ$1,'Renta Fija USD + Oro Conservado'!$B$18:$C$27,2,FALSE),0%)</f>
        <v>0</v>
      </c>
      <c r="XA4" s="5">
        <f>IFERROR(VLOOKUP(XA$1,'Renta Fija USD + Oro Conservado'!$B$18:$C$27,2,FALSE),0%)</f>
        <v>0</v>
      </c>
      <c r="XB4" s="5">
        <f>IFERROR(VLOOKUP(XB$1,'Renta Fija USD + Oro Conservado'!$B$18:$C$27,2,FALSE),0%)</f>
        <v>0</v>
      </c>
      <c r="XC4" s="5">
        <f>IFERROR(VLOOKUP(XC$1,'Renta Fija USD + Oro Conservado'!$B$18:$C$27,2,FALSE),0%)</f>
        <v>0</v>
      </c>
      <c r="XD4" s="5">
        <f>IFERROR(VLOOKUP(XD$1,'Renta Fija USD + Oro Conservado'!$B$18:$C$27,2,FALSE),0%)</f>
        <v>0</v>
      </c>
      <c r="XE4" s="5">
        <f>IFERROR(VLOOKUP(XE$1,'Renta Fija USD + Oro Conservado'!$B$18:$C$27,2,FALSE),0%)</f>
        <v>0</v>
      </c>
      <c r="XF4" s="5">
        <f>IFERROR(VLOOKUP(XF$1,'Renta Fija USD + Oro Conservado'!$B$18:$C$27,2,FALSE),0%)</f>
        <v>0</v>
      </c>
      <c r="XG4" s="5">
        <f>IFERROR(VLOOKUP(XG$1,'Renta Fija USD + Oro Conservado'!$B$18:$C$27,2,FALSE),0%)</f>
        <v>0</v>
      </c>
      <c r="XH4" s="5">
        <f>IFERROR(VLOOKUP(XH$1,'Renta Fija USD + Oro Conservado'!$B$18:$C$27,2,FALSE),0%)</f>
        <v>0</v>
      </c>
      <c r="XI4" s="5">
        <f>IFERROR(VLOOKUP(XI$1,'Renta Fija USD + Oro Conservado'!$B$18:$C$27,2,FALSE),0%)</f>
        <v>0</v>
      </c>
      <c r="XJ4" s="5">
        <f>IFERROR(VLOOKUP(XJ$1,'Renta Fija USD + Oro Conservado'!$B$18:$C$27,2,FALSE),0%)</f>
        <v>0</v>
      </c>
      <c r="XK4" s="5">
        <f>IFERROR(VLOOKUP(XK$1,'Renta Fija USD + Oro Conservado'!$B$18:$C$27,2,FALSE),0%)</f>
        <v>0</v>
      </c>
      <c r="XL4" s="5">
        <f>IFERROR(VLOOKUP(XL$1,'Renta Fija USD + Oro Conservado'!$B$18:$C$27,2,FALSE),0%)</f>
        <v>0</v>
      </c>
      <c r="XM4" s="5">
        <f>IFERROR(VLOOKUP(XM$1,'Renta Fija USD + Oro Conservado'!$B$18:$C$27,2,FALSE),0%)</f>
        <v>0</v>
      </c>
      <c r="XN4" s="5">
        <f>IFERROR(VLOOKUP(XN$1,'Renta Fija USD + Oro Conservado'!$B$18:$C$27,2,FALSE),0%)</f>
        <v>0</v>
      </c>
      <c r="XO4" s="5">
        <f>IFERROR(VLOOKUP(XO$1,'Renta Fija USD + Oro Conservado'!$B$18:$C$27,2,FALSE),0%)</f>
        <v>0</v>
      </c>
      <c r="XP4" s="5">
        <f>IFERROR(VLOOKUP(XP$1,'Renta Fija USD + Oro Conservado'!$B$18:$C$27,2,FALSE),0%)</f>
        <v>0</v>
      </c>
      <c r="XQ4" s="5">
        <f>IFERROR(VLOOKUP(XQ$1,'Renta Fija USD + Oro Conservado'!$B$18:$C$27,2,FALSE),0%)</f>
        <v>0</v>
      </c>
      <c r="XR4" s="5">
        <f>IFERROR(VLOOKUP(XR$1,'Renta Fija USD + Oro Conservado'!$B$18:$C$27,2,FALSE),0%)</f>
        <v>0</v>
      </c>
      <c r="XS4" s="5">
        <f>IFERROR(VLOOKUP(XS$1,'Renta Fija USD + Oro Conservado'!$B$18:$C$27,2,FALSE),0%)</f>
        <v>0</v>
      </c>
      <c r="XT4" s="5">
        <f>IFERROR(VLOOKUP(XT$1,'Renta Fija USD + Oro Conservado'!$B$18:$C$27,2,FALSE),0%)</f>
        <v>0</v>
      </c>
      <c r="XU4" s="5">
        <f>IFERROR(VLOOKUP(XU$1,'Renta Fija USD + Oro Conservado'!$B$18:$C$27,2,FALSE),0%)</f>
        <v>0</v>
      </c>
      <c r="XV4" s="5">
        <f>IFERROR(VLOOKUP(XV$1,'Renta Fija USD + Oro Conservado'!$B$18:$C$27,2,FALSE),0%)</f>
        <v>0</v>
      </c>
      <c r="XW4" s="5">
        <f>IFERROR(VLOOKUP(XW$1,'Renta Fija USD + Oro Conservado'!$B$18:$C$27,2,FALSE),0%)</f>
        <v>0</v>
      </c>
      <c r="XX4" s="5">
        <f>IFERROR(VLOOKUP(XX$1,'Renta Fija USD + Oro Conservado'!$B$18:$C$27,2,FALSE),0%)</f>
        <v>0</v>
      </c>
      <c r="XY4" s="5">
        <f>IFERROR(VLOOKUP(XY$1,'Renta Fija USD + Oro Conservado'!$B$18:$C$27,2,FALSE),0%)</f>
        <v>0</v>
      </c>
      <c r="XZ4" s="5">
        <f>IFERROR(VLOOKUP(XZ$1,'Renta Fija USD + Oro Conservado'!$B$18:$C$27,2,FALSE),0%)</f>
        <v>0</v>
      </c>
      <c r="YA4" s="5">
        <f>IFERROR(VLOOKUP(YA$1,'Renta Fija USD + Oro Conservado'!$B$18:$C$27,2,FALSE),0%)</f>
        <v>0</v>
      </c>
      <c r="YB4" s="5">
        <f>IFERROR(VLOOKUP(YB$1,'Renta Fija USD + Oro Conservado'!$B$18:$C$27,2,FALSE),0%)</f>
        <v>0</v>
      </c>
      <c r="YC4" s="5">
        <f>IFERROR(VLOOKUP(YC$1,'Renta Fija USD + Oro Conservado'!$B$18:$C$27,2,FALSE),0%)</f>
        <v>0</v>
      </c>
      <c r="YD4" s="5">
        <f>IFERROR(VLOOKUP(YD$1,'Renta Fija USD + Oro Conservado'!$B$18:$C$27,2,FALSE),0%)</f>
        <v>0</v>
      </c>
      <c r="YE4" s="5">
        <f>IFERROR(VLOOKUP(YE$1,'Renta Fija USD + Oro Conservado'!$B$18:$C$27,2,FALSE),0%)</f>
        <v>0.0751</v>
      </c>
      <c r="YF4" s="5">
        <f>IFERROR(VLOOKUP(YF$1,'Renta Fija USD + Oro Conservado'!$B$18:$C$27,2,FALSE),0%)</f>
        <v>0</v>
      </c>
      <c r="YG4" s="5">
        <f>IFERROR(VLOOKUP(YG$1,'Renta Fija USD + Oro Conservado'!$B$18:$C$27,2,FALSE),0%)</f>
        <v>0</v>
      </c>
      <c r="YH4" s="5">
        <f>IFERROR(VLOOKUP(YH$1,'Renta Fija USD + Oro Conservado'!$B$18:$C$27,2,FALSE),0%)</f>
        <v>0</v>
      </c>
      <c r="YI4" s="5">
        <f>IFERROR(VLOOKUP(YI$1,'Renta Fija USD + Oro Conservado'!$B$18:$C$27,2,FALSE),0%)</f>
        <v>0</v>
      </c>
      <c r="YJ4" s="5">
        <f>IFERROR(VLOOKUP(YJ$1,'Renta Fija USD + Oro Conservado'!$B$18:$C$27,2,FALSE),0%)</f>
        <v>0</v>
      </c>
      <c r="YK4" s="5">
        <f>IFERROR(VLOOKUP(YK$1,'Renta Fija USD + Oro Conservado'!$B$18:$C$27,2,FALSE),0%)</f>
        <v>0</v>
      </c>
      <c r="YL4" s="5">
        <f>IFERROR(VLOOKUP(YL$1,'Renta Fija USD + Oro Conservado'!$B$18:$C$27,2,FALSE),0%)</f>
        <v>0</v>
      </c>
      <c r="YM4" s="5">
        <f>IFERROR(VLOOKUP(YM$1,'Renta Fija USD + Oro Conservado'!$B$18:$C$27,2,FALSE),0%)</f>
        <v>0</v>
      </c>
      <c r="YN4" s="5">
        <f>IFERROR(VLOOKUP(YN$1,'Renta Fija USD + Oro Conservado'!$B$18:$C$27,2,FALSE),0%)</f>
        <v>0</v>
      </c>
      <c r="YO4" s="5">
        <f>IFERROR(VLOOKUP(YO$1,'Renta Fija USD + Oro Conservado'!$B$18:$C$27,2,FALSE),0%)</f>
        <v>0</v>
      </c>
      <c r="YP4" s="5">
        <f>IFERROR(VLOOKUP(YP$1,'Renta Fija USD + Oro Conservado'!$B$18:$C$27,2,FALSE),0%)</f>
        <v>0</v>
      </c>
      <c r="YQ4" s="5">
        <f>IFERROR(VLOOKUP(YQ$1,'Renta Fija USD + Oro Conservado'!$B$18:$C$27,2,FALSE),0%)</f>
        <v>0</v>
      </c>
      <c r="YR4" s="5">
        <f>IFERROR(VLOOKUP(YR$1,'Renta Fija USD + Oro Conservado'!$B$18:$C$27,2,FALSE),0%)</f>
        <v>0</v>
      </c>
      <c r="YS4" s="5">
        <f>IFERROR(VLOOKUP(YS$1,'Renta Fija USD + Oro Conservado'!$B$18:$C$27,2,FALSE),0%)</f>
        <v>0</v>
      </c>
      <c r="YT4" s="5">
        <f>IFERROR(VLOOKUP(YT$1,'Renta Fija USD + Oro Conservado'!$B$18:$C$27,2,FALSE),0%)</f>
        <v>0</v>
      </c>
      <c r="YU4" s="5">
        <f>IFERROR(VLOOKUP(YU$1,'Renta Fija USD + Oro Conservado'!$B$18:$C$27,2,FALSE),0%)</f>
        <v>0</v>
      </c>
      <c r="YV4" s="5">
        <f>IFERROR(VLOOKUP(YV$1,'Renta Fija USD + Oro Conservado'!$B$18:$C$27,2,FALSE),0%)</f>
        <v>0</v>
      </c>
      <c r="YW4" s="5">
        <f>IFERROR(VLOOKUP(YW$1,'Renta Fija USD + Oro Conservado'!$B$18:$C$27,2,FALSE),0%)</f>
        <v>0</v>
      </c>
      <c r="YX4" s="5">
        <f>IFERROR(VLOOKUP(YX$1,'Renta Fija USD + Oro Conservado'!$B$18:$C$27,2,FALSE),0%)</f>
        <v>0</v>
      </c>
      <c r="YY4" s="5">
        <f>IFERROR(VLOOKUP(YY$1,'Renta Fija USD + Oro Conservado'!$B$18:$C$27,2,FALSE),0%)</f>
        <v>0</v>
      </c>
      <c r="YZ4" s="5">
        <f>IFERROR(VLOOKUP(YZ$1,'Renta Fija USD + Oro Conservado'!$B$18:$C$27,2,FALSE),0%)</f>
        <v>0</v>
      </c>
      <c r="ZA4" s="5">
        <f>IFERROR(VLOOKUP(ZA$1,'Renta Fija USD + Oro Conservado'!$B$18:$C$27,2,FALSE),0%)</f>
        <v>0</v>
      </c>
      <c r="ZB4" s="5">
        <f>IFERROR(VLOOKUP(ZB$1,'Renta Fija USD + Oro Conservado'!$B$18:$C$27,2,FALSE),0%)</f>
        <v>0</v>
      </c>
      <c r="ZC4" s="5">
        <f>IFERROR(VLOOKUP(ZC$1,'Renta Fija USD + Oro Conservado'!$B$18:$C$27,2,FALSE),0%)</f>
        <v>0</v>
      </c>
      <c r="ZD4" s="5">
        <f>IFERROR(VLOOKUP(ZD$1,'Renta Fija USD + Oro Conservado'!$B$18:$C$27,2,FALSE),0%)</f>
        <v>0</v>
      </c>
      <c r="ZE4" s="5">
        <f>IFERROR(VLOOKUP(ZE$1,'Renta Fija USD + Oro Conservado'!$B$18:$C$27,2,FALSE),0%)</f>
        <v>0</v>
      </c>
      <c r="ZF4" s="5">
        <f>IFERROR(VLOOKUP(ZF$1,'Renta Fija USD + Oro Conservado'!$B$18:$C$27,2,FALSE),0%)</f>
        <v>0</v>
      </c>
      <c r="ZG4" s="5">
        <f>IFERROR(VLOOKUP(ZG$1,'Renta Fija USD + Oro Conservado'!$B$18:$C$27,2,FALSE),0%)</f>
        <v>0</v>
      </c>
      <c r="ZH4" s="5">
        <f>IFERROR(VLOOKUP(ZH$1,'Renta Fija USD + Oro Conservado'!$B$18:$C$27,2,FALSE),0%)</f>
        <v>0</v>
      </c>
      <c r="ZI4" s="5">
        <f>IFERROR(VLOOKUP(ZI$1,'Renta Fija USD + Oro Conservado'!$B$18:$C$27,2,FALSE),0%)</f>
        <v>0</v>
      </c>
      <c r="ZJ4" s="5">
        <f>IFERROR(VLOOKUP(ZJ$1,'Renta Fija USD + Oro Conservado'!$B$18:$C$27,2,FALSE),0%)</f>
        <v>0</v>
      </c>
      <c r="ZK4" s="5">
        <f>IFERROR(VLOOKUP(ZK$1,'Renta Fija USD + Oro Conservado'!$B$18:$C$27,2,FALSE),0%)</f>
        <v>0</v>
      </c>
      <c r="ZL4" s="5">
        <f>IFERROR(VLOOKUP(ZL$1,'Renta Fija USD + Oro Conservado'!$B$18:$C$27,2,FALSE),0%)</f>
        <v>0</v>
      </c>
      <c r="ZM4" s="5">
        <f>IFERROR(VLOOKUP(ZM$1,'Renta Fija USD + Oro Conservado'!$B$18:$C$27,2,FALSE),0%)</f>
        <v>0</v>
      </c>
      <c r="ZN4" s="5">
        <f>IFERROR(VLOOKUP(ZN$1,'Renta Fija USD + Oro Conservado'!$B$18:$C$27,2,FALSE),0%)</f>
        <v>0</v>
      </c>
      <c r="ZO4" s="5">
        <f>IFERROR(VLOOKUP(ZO$1,'Renta Fija USD + Oro Conservado'!$B$18:$C$27,2,FALSE),0%)</f>
        <v>0</v>
      </c>
      <c r="ZP4" s="5">
        <f>IFERROR(VLOOKUP(ZP$1,'Renta Fija USD + Oro Conservado'!$B$18:$C$27,2,FALSE),0%)</f>
        <v>0</v>
      </c>
      <c r="ZQ4" s="5">
        <f>IFERROR(VLOOKUP(ZQ$1,'Renta Fija USD + Oro Conservado'!$B$18:$C$27,2,FALSE),0%)</f>
        <v>0</v>
      </c>
      <c r="ZR4" s="5">
        <f>IFERROR(VLOOKUP(ZR$1,'Renta Fija USD + Oro Conservado'!$B$18:$C$27,2,FALSE),0%)</f>
        <v>0</v>
      </c>
      <c r="ZS4" s="5">
        <f>IFERROR(VLOOKUP(ZS$1,'Renta Fija USD + Oro Conservado'!$B$18:$C$27,2,FALSE),0%)</f>
        <v>0</v>
      </c>
      <c r="ZT4" s="5">
        <f>IFERROR(VLOOKUP(ZT$1,'Renta Fija USD + Oro Conservado'!$B$18:$C$27,2,FALSE),0%)</f>
        <v>0</v>
      </c>
      <c r="ZU4" s="5">
        <f>IFERROR(VLOOKUP(ZU$1,'Renta Fija USD + Oro Conservado'!$B$18:$C$27,2,FALSE),0%)</f>
        <v>0</v>
      </c>
      <c r="ZV4" s="5">
        <f>IFERROR(VLOOKUP(ZV$1,'Renta Fija USD + Oro Conservado'!$B$18:$C$27,2,FALSE),0%)</f>
        <v>0</v>
      </c>
      <c r="ZW4" s="5">
        <f>IFERROR(VLOOKUP(ZW$1,'Renta Fija USD + Oro Conservado'!$B$18:$C$27,2,FALSE),0%)</f>
        <v>0</v>
      </c>
      <c r="ZX4" s="5">
        <f>IFERROR(VLOOKUP(ZX$1,'Renta Fija USD + Oro Conservado'!$B$18:$C$27,2,FALSE),0%)</f>
        <v>0</v>
      </c>
      <c r="ZY4" s="5">
        <f>IFERROR(VLOOKUP(ZY$1,'Renta Fija USD + Oro Conservado'!$B$18:$C$27,2,FALSE),0%)</f>
        <v>0</v>
      </c>
      <c r="ZZ4" s="5">
        <f>IFERROR(VLOOKUP(ZZ$1,'Renta Fija USD + Oro Conservado'!$B$18:$C$27,2,FALSE),0%)</f>
        <v>0</v>
      </c>
      <c r="AAA4" s="5">
        <f>IFERROR(VLOOKUP(AAA$1,'Renta Fija USD + Oro Conservado'!$B$18:$C$27,2,FALSE),0%)</f>
        <v>0</v>
      </c>
      <c r="AAB4" s="5">
        <f>IFERROR(VLOOKUP(AAB$1,'Renta Fija USD + Oro Conservado'!$B$18:$C$27,2,FALSE),0%)</f>
        <v>0</v>
      </c>
      <c r="AAC4" s="5">
        <f>IFERROR(VLOOKUP(AAC$1,'Renta Fija USD + Oro Conservado'!$B$18:$C$27,2,FALSE),0%)</f>
        <v>0</v>
      </c>
      <c r="AAD4" s="5">
        <f>IFERROR(VLOOKUP(AAD$1,'Renta Fija USD + Oro Conservado'!$B$18:$C$27,2,FALSE),0%)</f>
        <v>0</v>
      </c>
      <c r="AAE4" s="5">
        <f>IFERROR(VLOOKUP(AAE$1,'Renta Fija USD + Oro Conservado'!$B$18:$C$27,2,FALSE),0%)</f>
        <v>0</v>
      </c>
      <c r="AAF4" s="5">
        <f>IFERROR(VLOOKUP(AAF$1,'Renta Fija USD + Oro Conservado'!$B$18:$C$27,2,FALSE),0%)</f>
        <v>0</v>
      </c>
      <c r="AAG4" s="5">
        <f>IFERROR(VLOOKUP(AAG$1,'Renta Fija USD + Oro Conservado'!$B$18:$C$27,2,FALSE),0%)</f>
        <v>0</v>
      </c>
      <c r="AAH4" s="5">
        <f>IFERROR(VLOOKUP(AAH$1,'Renta Fija USD + Oro Conservado'!$B$18:$C$27,2,FALSE),0%)</f>
        <v>0</v>
      </c>
      <c r="AAI4" s="5">
        <f>IFERROR(VLOOKUP(AAI$1,'Renta Fija USD + Oro Conservado'!$B$18:$C$27,2,FALSE),0%)</f>
        <v>0</v>
      </c>
      <c r="AAJ4" s="5">
        <f>IFERROR(VLOOKUP(AAJ$1,'Renta Fija USD + Oro Conservado'!$B$18:$C$27,2,FALSE),0%)</f>
        <v>0</v>
      </c>
      <c r="AAK4" s="5">
        <f>IFERROR(VLOOKUP(AAK$1,'Renta Fija USD + Oro Conservado'!$B$18:$C$27,2,FALSE),0%)</f>
        <v>0</v>
      </c>
      <c r="AAL4" s="5">
        <f>IFERROR(VLOOKUP(AAL$1,'Renta Fija USD + Oro Conservado'!$B$18:$C$27,2,FALSE),0%)</f>
        <v>0</v>
      </c>
      <c r="AAM4" s="5">
        <f>IFERROR(VLOOKUP(AAM$1,'Renta Fija USD + Oro Conservado'!$B$18:$C$27,2,FALSE),0%)</f>
        <v>0</v>
      </c>
      <c r="AAN4" s="5">
        <f>IFERROR(VLOOKUP(AAN$1,'Renta Fija USD + Oro Conservado'!$B$18:$C$27,2,FALSE),0%)</f>
        <v>0</v>
      </c>
      <c r="AAO4" s="5">
        <f>IFERROR(VLOOKUP(AAO$1,'Renta Fija USD + Oro Conservado'!$B$18:$C$27,2,FALSE),0%)</f>
        <v>0</v>
      </c>
      <c r="AAP4" s="5">
        <f>IFERROR(VLOOKUP(AAP$1,'Renta Fija USD + Oro Conservado'!$B$18:$C$27,2,FALSE),0%)</f>
        <v>0</v>
      </c>
      <c r="AAQ4" s="5">
        <f>IFERROR(VLOOKUP(AAQ$1,'Renta Fija USD + Oro Conservado'!$B$18:$C$27,2,FALSE),0%)</f>
        <v>0</v>
      </c>
      <c r="AAR4" s="5">
        <f>IFERROR(VLOOKUP(AAR$1,'Renta Fija USD + Oro Conservado'!$B$18:$C$27,2,FALSE),0%)</f>
        <v>0</v>
      </c>
      <c r="AAS4" s="5">
        <f>IFERROR(VLOOKUP(AAS$1,'Renta Fija USD + Oro Conservado'!$B$18:$C$27,2,FALSE),0%)</f>
        <v>0</v>
      </c>
      <c r="AAT4" s="5">
        <f>IFERROR(VLOOKUP(AAT$1,'Renta Fija USD + Oro Conservado'!$B$18:$C$27,2,FALSE),0%)</f>
        <v>0</v>
      </c>
      <c r="AAU4" s="5">
        <f>IFERROR(VLOOKUP(AAU$1,'Renta Fija USD + Oro Conservado'!$B$18:$C$27,2,FALSE),0%)</f>
        <v>0</v>
      </c>
      <c r="AAV4" s="5">
        <f>IFERROR(VLOOKUP(AAV$1,'Renta Fija USD + Oro Conservado'!$B$18:$C$27,2,FALSE),0%)</f>
        <v>0</v>
      </c>
      <c r="AAW4" s="5">
        <f>IFERROR(VLOOKUP(AAW$1,'Renta Fija USD + Oro Conservado'!$B$18:$C$27,2,FALSE),0%)</f>
        <v>0</v>
      </c>
      <c r="AAX4" s="5">
        <f>IFERROR(VLOOKUP(AAX$1,'Renta Fija USD + Oro Conservado'!$B$18:$C$27,2,FALSE),0%)</f>
        <v>0</v>
      </c>
      <c r="AAY4" s="5">
        <f>IFERROR(VLOOKUP(AAY$1,'Renta Fija USD + Oro Conservado'!$B$18:$C$27,2,FALSE),0%)</f>
        <v>0</v>
      </c>
      <c r="AAZ4" s="5">
        <f>IFERROR(VLOOKUP(AAZ$1,'Renta Fija USD + Oro Conservado'!$B$18:$C$27,2,FALSE),0%)</f>
        <v>0</v>
      </c>
      <c r="ABA4" s="5">
        <f>IFERROR(VLOOKUP(ABA$1,'Renta Fija USD + Oro Conservado'!$B$18:$C$27,2,FALSE),0%)</f>
        <v>0</v>
      </c>
      <c r="ABB4" s="5">
        <f>IFERROR(VLOOKUP(ABB$1,'Renta Fija USD + Oro Conservado'!$B$18:$C$27,2,FALSE),0%)</f>
        <v>0</v>
      </c>
      <c r="ABC4" s="5">
        <f>IFERROR(VLOOKUP(ABC$1,'Renta Fija USD + Oro Conservado'!$B$18:$C$27,2,FALSE),0%)</f>
        <v>0</v>
      </c>
      <c r="ABD4" s="5">
        <f>IFERROR(VLOOKUP(ABD$1,'Renta Fija USD + Oro Conservado'!$B$18:$C$27,2,FALSE),0%)</f>
        <v>0</v>
      </c>
      <c r="ABE4" s="5">
        <f>IFERROR(VLOOKUP(ABE$1,'Renta Fija USD + Oro Conservado'!$B$18:$C$27,2,FALSE),0%)</f>
        <v>0</v>
      </c>
      <c r="ABF4" s="5">
        <f>IFERROR(VLOOKUP(ABF$1,'Renta Fija USD + Oro Conservado'!$B$18:$C$27,2,FALSE),0%)</f>
        <v>0</v>
      </c>
      <c r="ABG4" s="5">
        <f>IFERROR(VLOOKUP(ABG$1,'Renta Fija USD + Oro Conservado'!$B$18:$C$27,2,FALSE),0%)</f>
        <v>0</v>
      </c>
      <c r="ABH4" s="5">
        <f>IFERROR(VLOOKUP(ABH$1,'Renta Fija USD + Oro Conservado'!$B$18:$C$27,2,FALSE),0%)</f>
        <v>0</v>
      </c>
      <c r="ABI4" s="5">
        <f>IFERROR(VLOOKUP(ABI$1,'Renta Fija USD + Oro Conservado'!$B$18:$C$27,2,FALSE),0%)</f>
        <v>0</v>
      </c>
      <c r="ABJ4" s="5">
        <f>IFERROR(VLOOKUP(ABJ$1,'Renta Fija USD + Oro Conservado'!$B$18:$C$27,2,FALSE),0%)</f>
        <v>0</v>
      </c>
      <c r="ABK4" s="5">
        <f>IFERROR(VLOOKUP(ABK$1,'Renta Fija USD + Oro Conservado'!$B$18:$C$27,2,FALSE),0%)</f>
        <v>0</v>
      </c>
      <c r="ABL4" s="5">
        <f>IFERROR(VLOOKUP(ABL$1,'Renta Fija USD + Oro Conservado'!$B$18:$C$27,2,FALSE),0%)</f>
        <v>0</v>
      </c>
      <c r="ABM4" s="5">
        <f>IFERROR(VLOOKUP(ABM$1,'Renta Fija USD + Oro Conservado'!$B$18:$C$27,2,FALSE),0%)</f>
        <v>0</v>
      </c>
      <c r="ABN4" s="5">
        <f>IFERROR(VLOOKUP(ABN$1,'Renta Fija USD + Oro Conservado'!$B$18:$C$27,2,FALSE),0%)</f>
        <v>0</v>
      </c>
      <c r="ABO4" s="5">
        <f>IFERROR(VLOOKUP(ABO$1,'Renta Fija USD + Oro Conservado'!$B$18:$C$27,2,FALSE),0%)</f>
        <v>0</v>
      </c>
      <c r="ABP4" s="5">
        <f>IFERROR(VLOOKUP(ABP$1,'Renta Fija USD + Oro Conservado'!$B$18:$C$27,2,FALSE),0%)</f>
        <v>0</v>
      </c>
      <c r="ABQ4" s="5">
        <f>IFERROR(VLOOKUP(ABQ$1,'Renta Fija USD + Oro Conservado'!$B$18:$C$27,2,FALSE),0%)</f>
        <v>0</v>
      </c>
      <c r="ABR4" s="5">
        <f>IFERROR(VLOOKUP(ABR$1,'Renta Fija USD + Oro Conservado'!$B$18:$C$27,2,FALSE),0%)</f>
        <v>0</v>
      </c>
      <c r="ABS4" s="5">
        <f>IFERROR(VLOOKUP(ABS$1,'Renta Fija USD + Oro Conservado'!$B$18:$C$27,2,FALSE),0%)</f>
        <v>0</v>
      </c>
      <c r="ABT4" s="5">
        <f>IFERROR(VLOOKUP(ABT$1,'Renta Fija USD + Oro Conservado'!$B$18:$C$27,2,FALSE),0%)</f>
        <v>0</v>
      </c>
      <c r="ABU4" s="5">
        <f>IFERROR(VLOOKUP(ABU$1,'Renta Fija USD + Oro Conservado'!$B$18:$C$27,2,FALSE),0%)</f>
        <v>0</v>
      </c>
      <c r="ABV4" s="5">
        <f>IFERROR(VLOOKUP(ABV$1,'Renta Fija USD + Oro Conservado'!$B$18:$C$27,2,FALSE),0%)</f>
        <v>0</v>
      </c>
      <c r="ABW4" s="5">
        <f>IFERROR(VLOOKUP(ABW$1,'Renta Fija USD + Oro Conservado'!$B$18:$C$27,2,FALSE),0%)</f>
        <v>0</v>
      </c>
      <c r="ABX4" s="5">
        <f>IFERROR(VLOOKUP(ABX$1,'Renta Fija USD + Oro Conservado'!$B$18:$C$27,2,FALSE),0%)</f>
        <v>0</v>
      </c>
      <c r="ABY4" s="5">
        <f>IFERROR(VLOOKUP(ABY$1,'Renta Fija USD + Oro Conservado'!$B$18:$C$27,2,FALSE),0%)</f>
        <v>0</v>
      </c>
      <c r="ABZ4" s="5">
        <f>IFERROR(VLOOKUP(ABZ$1,'Renta Fija USD + Oro Conservado'!$B$18:$C$27,2,FALSE),0%)</f>
        <v>0</v>
      </c>
      <c r="ACA4" s="5">
        <f>IFERROR(VLOOKUP(ACA$1,'Renta Fija USD + Oro Conservado'!$B$18:$C$27,2,FALSE),0%)</f>
        <v>0</v>
      </c>
      <c r="ACB4" s="5">
        <f>IFERROR(VLOOKUP(ACB$1,'Renta Fija USD + Oro Conservado'!$B$18:$C$27,2,FALSE),0%)</f>
        <v>0</v>
      </c>
      <c r="ACC4" s="5">
        <f>IFERROR(VLOOKUP(ACC$1,'Renta Fija USD + Oro Conservado'!$B$18:$C$27,2,FALSE),0%)</f>
        <v>0</v>
      </c>
      <c r="ACD4" s="5">
        <f>IFERROR(VLOOKUP(ACD$1,'Renta Fija USD + Oro Conservado'!$B$18:$C$27,2,FALSE),0%)</f>
        <v>0</v>
      </c>
      <c r="ACE4" s="5">
        <f>IFERROR(VLOOKUP(ACE$1,'Renta Fija USD + Oro Conservado'!$B$18:$C$27,2,FALSE),0%)</f>
        <v>0</v>
      </c>
      <c r="ACF4" s="5">
        <f>IFERROR(VLOOKUP(ACF$1,'Renta Fija USD + Oro Conservado'!$B$18:$C$27,2,FALSE),0%)</f>
        <v>0</v>
      </c>
      <c r="ACG4" s="5">
        <f>IFERROR(VLOOKUP(ACG$1,'Renta Fija USD + Oro Conservado'!$B$18:$C$27,2,FALSE),0%)</f>
        <v>0</v>
      </c>
      <c r="ACH4" s="5">
        <f>IFERROR(VLOOKUP(ACH$1,'Renta Fija USD + Oro Conservado'!$B$18:$C$27,2,FALSE),0%)</f>
        <v>0</v>
      </c>
      <c r="ACI4" s="5">
        <f>IFERROR(VLOOKUP(ACI$1,'Renta Fija USD + Oro Conservado'!$B$18:$C$27,2,FALSE),0%)</f>
        <v>0</v>
      </c>
      <c r="ACJ4" s="5">
        <f>IFERROR(VLOOKUP(ACJ$1,'Renta Fija USD + Oro Conservado'!$B$18:$C$27,2,FALSE),0%)</f>
        <v>0</v>
      </c>
      <c r="ACK4" s="5">
        <f>IFERROR(VLOOKUP(ACK$1,'Renta Fija USD + Oro Conservado'!$B$18:$C$27,2,FALSE),0%)</f>
        <v>0</v>
      </c>
      <c r="ACL4" s="5">
        <f>IFERROR(VLOOKUP(ACL$1,'Renta Fija USD + Oro Conservado'!$B$18:$C$27,2,FALSE),0%)</f>
        <v>0</v>
      </c>
      <c r="ACM4" s="5">
        <f>IFERROR(VLOOKUP(ACM$1,'Renta Fija USD + Oro Conservado'!$B$18:$C$27,2,FALSE),0%)</f>
        <v>0</v>
      </c>
      <c r="ACN4" s="5">
        <f>IFERROR(VLOOKUP(ACN$1,'Renta Fija USD + Oro Conservado'!$B$18:$C$27,2,FALSE),0%)</f>
        <v>0</v>
      </c>
      <c r="ACO4" s="5">
        <f>IFERROR(VLOOKUP(ACO$1,'Renta Fija USD + Oro Conservado'!$B$18:$C$27,2,FALSE),0%)</f>
        <v>0</v>
      </c>
      <c r="ACP4" s="5">
        <f>IFERROR(VLOOKUP(ACP$1,'Renta Fija USD + Oro Conservado'!$B$18:$C$27,2,FALSE),0%)</f>
        <v>0</v>
      </c>
      <c r="ACQ4" s="5">
        <f>IFERROR(VLOOKUP(ACQ$1,'Renta Fija USD + Oro Conservado'!$B$18:$C$27,2,FALSE),0%)</f>
        <v>0</v>
      </c>
      <c r="ACR4" s="5">
        <f>IFERROR(VLOOKUP(ACR$1,'Renta Fija USD + Oro Conservado'!$B$18:$C$27,2,FALSE),0%)</f>
        <v>0</v>
      </c>
      <c r="ACS4" s="5">
        <f>IFERROR(VLOOKUP(ACS$1,'Renta Fija USD + Oro Conservado'!$B$18:$C$27,2,FALSE),0%)</f>
        <v>0</v>
      </c>
      <c r="ACT4" s="5">
        <f>IFERROR(VLOOKUP(ACT$1,'Renta Fija USD + Oro Conservado'!$B$18:$C$27,2,FALSE),0%)</f>
        <v>0</v>
      </c>
      <c r="ACU4" s="5">
        <f>IFERROR(VLOOKUP(ACU$1,'Renta Fija USD + Oro Conservado'!$B$18:$C$27,2,FALSE),0%)</f>
        <v>0</v>
      </c>
      <c r="ACV4" s="5">
        <f>IFERROR(VLOOKUP(ACV$1,'Renta Fija USD + Oro Conservado'!$B$18:$C$27,2,FALSE),0%)</f>
        <v>0</v>
      </c>
      <c r="ACW4" s="5">
        <f>IFERROR(VLOOKUP(ACW$1,'Renta Fija USD + Oro Conservado'!$B$18:$C$27,2,FALSE),0%)</f>
        <v>0</v>
      </c>
      <c r="ACX4" s="5">
        <f>IFERROR(VLOOKUP(ACX$1,'Renta Fija USD + Oro Conservado'!$B$18:$C$27,2,FALSE),0%)</f>
        <v>0</v>
      </c>
      <c r="ACY4" s="5">
        <f>IFERROR(VLOOKUP(ACY$1,'Renta Fija USD + Oro Conservado'!$B$18:$C$27,2,FALSE),0%)</f>
        <v>0</v>
      </c>
      <c r="ACZ4" s="5">
        <f>IFERROR(VLOOKUP(ACZ$1,'Renta Fija USD + Oro Conservado'!$B$18:$C$27,2,FALSE),0%)</f>
        <v>0</v>
      </c>
      <c r="ADA4" s="5">
        <f>IFERROR(VLOOKUP(ADA$1,'Renta Fija USD + Oro Conservado'!$B$18:$C$27,2,FALSE),0%)</f>
        <v>0</v>
      </c>
      <c r="ADB4" s="5">
        <f>IFERROR(VLOOKUP(ADB$1,'Renta Fija USD + Oro Conservado'!$B$18:$C$27,2,FALSE),0%)</f>
        <v>0</v>
      </c>
      <c r="ADC4" s="5">
        <f>IFERROR(VLOOKUP(ADC$1,'Renta Fija USD + Oro Conservado'!$B$18:$C$27,2,FALSE),0%)</f>
        <v>0</v>
      </c>
      <c r="ADD4" s="5">
        <f>IFERROR(VLOOKUP(ADD$1,'Renta Fija USD + Oro Conservado'!$B$18:$C$27,2,FALSE),0%)</f>
        <v>0</v>
      </c>
      <c r="ADE4" s="5">
        <f>IFERROR(VLOOKUP(ADE$1,'Renta Fija USD + Oro Conservado'!$B$18:$C$27,2,FALSE),0%)</f>
        <v>0</v>
      </c>
      <c r="ADF4" s="5">
        <f>IFERROR(VLOOKUP(ADF$1,'Renta Fija USD + Oro Conservado'!$B$18:$C$27,2,FALSE),0%)</f>
        <v>0</v>
      </c>
      <c r="ADG4" s="5">
        <f>IFERROR(VLOOKUP(ADG$1,'Renta Fija USD + Oro Conservado'!$B$18:$C$27,2,FALSE),0%)</f>
        <v>0</v>
      </c>
      <c r="ADH4" s="5">
        <f>IFERROR(VLOOKUP(ADH$1,'Renta Fija USD + Oro Conservado'!$B$18:$C$27,2,FALSE),0%)</f>
        <v>0</v>
      </c>
      <c r="ADI4" s="5">
        <f>IFERROR(VLOOKUP(ADI$1,'Renta Fija USD + Oro Conservado'!$B$18:$C$27,2,FALSE),0%)</f>
        <v>0</v>
      </c>
      <c r="ADJ4" s="5">
        <f>IFERROR(VLOOKUP(ADJ$1,'Renta Fija USD + Oro Conservado'!$B$18:$C$27,2,FALSE),0%)</f>
        <v>0</v>
      </c>
      <c r="ADK4" s="5">
        <f>IFERROR(VLOOKUP(ADK$1,'Renta Fija USD + Oro Conservado'!$B$18:$C$27,2,FALSE),0%)</f>
        <v>0</v>
      </c>
      <c r="ADL4" s="5">
        <f>IFERROR(VLOOKUP(ADL$1,'Renta Fija USD + Oro Conservado'!$B$18:$C$27,2,FALSE),0%)</f>
        <v>0</v>
      </c>
      <c r="ADM4" s="5">
        <f>IFERROR(VLOOKUP(ADM$1,'Renta Fija USD + Oro Conservado'!$B$18:$C$27,2,FALSE),0%)</f>
        <v>0</v>
      </c>
      <c r="ADN4" s="5">
        <f>IFERROR(VLOOKUP(ADN$1,'Renta Fija USD + Oro Conservado'!$B$18:$C$27,2,FALSE),0%)</f>
        <v>0</v>
      </c>
      <c r="ADO4" s="5">
        <f>IFERROR(VLOOKUP(ADO$1,'Renta Fija USD + Oro Conservado'!$B$18:$C$27,2,FALSE),0%)</f>
        <v>0</v>
      </c>
      <c r="ADP4" s="5">
        <f>IFERROR(VLOOKUP(ADP$1,'Renta Fija USD + Oro Conservado'!$B$18:$C$27,2,FALSE),0%)</f>
        <v>0</v>
      </c>
      <c r="ADQ4" s="5">
        <f>IFERROR(VLOOKUP(ADQ$1,'Renta Fija USD + Oro Conservado'!$B$18:$C$27,2,FALSE),0%)</f>
        <v>0</v>
      </c>
      <c r="ADR4" s="5">
        <f>IFERROR(VLOOKUP(ADR$1,'Renta Fija USD + Oro Conservado'!$B$18:$C$27,2,FALSE),0%)</f>
        <v>0</v>
      </c>
      <c r="ADS4" s="5">
        <f>IFERROR(VLOOKUP(ADS$1,'Renta Fija USD + Oro Conservado'!$B$18:$C$27,2,FALSE),0%)</f>
        <v>0</v>
      </c>
      <c r="ADT4" s="5">
        <f>IFERROR(VLOOKUP(ADT$1,'Renta Fija USD + Oro Conservado'!$B$18:$C$27,2,FALSE),0%)</f>
        <v>0</v>
      </c>
      <c r="ADU4" s="5">
        <f>IFERROR(VLOOKUP(ADU$1,'Renta Fija USD + Oro Conservado'!$B$18:$C$27,2,FALSE),0%)</f>
        <v>0</v>
      </c>
      <c r="ADV4" s="5">
        <f>IFERROR(VLOOKUP(ADV$1,'Renta Fija USD + Oro Conservado'!$B$18:$C$27,2,FALSE),0%)</f>
        <v>0</v>
      </c>
      <c r="ADW4" s="5">
        <f>IFERROR(VLOOKUP(ADW$1,'Renta Fija USD + Oro Conservado'!$B$18:$C$27,2,FALSE),0%)</f>
        <v>0</v>
      </c>
      <c r="ADX4" s="5">
        <f>IFERROR(VLOOKUP(ADX$1,'Renta Fija USD + Oro Conservado'!$B$18:$C$27,2,FALSE),0%)</f>
        <v>0</v>
      </c>
      <c r="ADY4" s="5">
        <f>IFERROR(VLOOKUP(ADY$1,'Renta Fija USD + Oro Conservado'!$B$18:$C$27,2,FALSE),0%)</f>
        <v>0</v>
      </c>
      <c r="ADZ4" s="5">
        <f>IFERROR(VLOOKUP(ADZ$1,'Renta Fija USD + Oro Conservado'!$B$18:$C$27,2,FALSE),0%)</f>
        <v>0</v>
      </c>
      <c r="AEA4" s="5">
        <f>IFERROR(VLOOKUP(AEA$1,'Renta Fija USD + Oro Conservado'!$B$18:$C$27,2,FALSE),0%)</f>
        <v>0</v>
      </c>
      <c r="AEB4" s="5">
        <f>IFERROR(VLOOKUP(AEB$1,'Renta Fija USD + Oro Conservado'!$B$18:$C$27,2,FALSE),0%)</f>
        <v>0</v>
      </c>
      <c r="AEC4" s="5">
        <f>IFERROR(VLOOKUP(AEC$1,'Renta Fija USD + Oro Conservado'!$B$18:$C$27,2,FALSE),0%)</f>
        <v>0</v>
      </c>
      <c r="AED4" s="5">
        <f>IFERROR(VLOOKUP(AED$1,'Renta Fija USD + Oro Conservado'!$B$18:$C$27,2,FALSE),0%)</f>
        <v>0</v>
      </c>
      <c r="AEE4" s="5">
        <f>IFERROR(VLOOKUP(AEE$1,'Renta Fija USD + Oro Conservado'!$B$18:$C$27,2,FALSE),0%)</f>
        <v>0</v>
      </c>
      <c r="AEF4" s="5">
        <f>IFERROR(VLOOKUP(AEF$1,'Renta Fija USD + Oro Conservado'!$B$18:$C$27,2,FALSE),0%)</f>
        <v>0</v>
      </c>
      <c r="AEG4" s="5">
        <f>IFERROR(VLOOKUP(AEG$1,'Renta Fija USD + Oro Conservado'!$B$18:$C$27,2,FALSE),0%)</f>
        <v>0</v>
      </c>
      <c r="AEH4" s="5">
        <f>IFERROR(VLOOKUP(AEH$1,'Renta Fija USD + Oro Conservado'!$B$18:$C$27,2,FALSE),0%)</f>
        <v>0</v>
      </c>
      <c r="AEI4" s="5">
        <f>IFERROR(VLOOKUP(AEI$1,'Renta Fija USD + Oro Conservado'!$B$18:$C$27,2,FALSE),0%)</f>
        <v>0</v>
      </c>
      <c r="AEJ4" s="5">
        <f>IFERROR(VLOOKUP(AEJ$1,'Renta Fija USD + Oro Conservado'!$B$18:$C$27,2,FALSE),0%)</f>
        <v>0</v>
      </c>
      <c r="AEK4" s="5">
        <f>IFERROR(VLOOKUP(AEK$1,'Renta Fija USD + Oro Conservado'!$B$18:$C$27,2,FALSE),0%)</f>
        <v>0</v>
      </c>
      <c r="AEL4" s="5">
        <f>IFERROR(VLOOKUP(AEL$1,'Renta Fija USD + Oro Conservado'!$B$18:$C$27,2,FALSE),0%)</f>
        <v>0</v>
      </c>
      <c r="AEM4" s="5">
        <f>IFERROR(VLOOKUP(AEM$1,'Renta Fija USD + Oro Conservado'!$B$18:$C$27,2,FALSE),0%)</f>
        <v>0</v>
      </c>
      <c r="AEN4" s="5">
        <f>IFERROR(VLOOKUP(AEN$1,'Renta Fija USD + Oro Conservado'!$B$18:$C$27,2,FALSE),0%)</f>
        <v>0</v>
      </c>
      <c r="AEO4" s="5">
        <f>IFERROR(VLOOKUP(AEO$1,'Renta Fija USD + Oro Conservado'!$B$18:$C$27,2,FALSE),0%)</f>
        <v>0</v>
      </c>
      <c r="AEP4" s="5">
        <f>IFERROR(VLOOKUP(AEP$1,'Renta Fija USD + Oro Conservado'!$B$18:$C$27,2,FALSE),0%)</f>
        <v>0</v>
      </c>
      <c r="AEQ4" s="5">
        <f>IFERROR(VLOOKUP(AEQ$1,'Renta Fija USD + Oro Conservado'!$B$18:$C$27,2,FALSE),0%)</f>
        <v>0</v>
      </c>
      <c r="AER4" s="5">
        <f>IFERROR(VLOOKUP(AER$1,'Renta Fija USD + Oro Conservado'!$B$18:$C$27,2,FALSE),0%)</f>
        <v>0</v>
      </c>
      <c r="AES4" s="5">
        <f>IFERROR(VLOOKUP(AES$1,'Renta Fija USD + Oro Conservado'!$B$18:$C$27,2,FALSE),0%)</f>
        <v>0</v>
      </c>
      <c r="AET4" s="5">
        <f>IFERROR(VLOOKUP(AET$1,'Renta Fija USD + Oro Conservado'!$B$18:$C$27,2,FALSE),0%)</f>
        <v>0</v>
      </c>
      <c r="AEU4" s="5">
        <f>IFERROR(VLOOKUP(AEU$1,'Renta Fija USD + Oro Conservado'!$B$18:$C$27,2,FALSE),0%)</f>
        <v>0</v>
      </c>
      <c r="AEV4" s="5">
        <f>IFERROR(VLOOKUP(AEV$1,'Renta Fija USD + Oro Conservado'!$B$18:$C$27,2,FALSE),0%)</f>
        <v>0</v>
      </c>
      <c r="AEW4" s="5">
        <f>IFERROR(VLOOKUP(AEW$1,'Renta Fija USD + Oro Conservado'!$B$18:$C$27,2,FALSE),0%)</f>
        <v>0</v>
      </c>
      <c r="AEX4" s="5">
        <f>IFERROR(VLOOKUP(AEX$1,'Renta Fija USD + Oro Conservado'!$B$18:$C$27,2,FALSE),0%)</f>
        <v>0</v>
      </c>
      <c r="AEY4" s="5">
        <f>IFERROR(VLOOKUP(AEY$1,'Renta Fija USD + Oro Conservado'!$B$18:$C$27,2,FALSE),0%)</f>
        <v>0</v>
      </c>
      <c r="AEZ4" s="5">
        <f>IFERROR(VLOOKUP(AEZ$1,'Renta Fija USD + Oro Conservado'!$B$18:$C$27,2,FALSE),0%)</f>
        <v>0</v>
      </c>
      <c r="AFA4" s="5">
        <f>IFERROR(VLOOKUP(AFA$1,'Renta Fija USD + Oro Conservado'!$B$18:$C$27,2,FALSE),0%)</f>
        <v>0</v>
      </c>
      <c r="AFB4" s="5">
        <f>IFERROR(VLOOKUP(AFB$1,'Renta Fija USD + Oro Conservado'!$B$18:$C$27,2,FALSE),0%)</f>
        <v>0</v>
      </c>
      <c r="AFC4" s="5">
        <f>IFERROR(VLOOKUP(AFC$1,'Renta Fija USD + Oro Conservado'!$B$18:$C$27,2,FALSE),0%)</f>
        <v>0</v>
      </c>
      <c r="AFD4" s="5">
        <f>IFERROR(VLOOKUP(AFD$1,'Renta Fija USD + Oro Conservado'!$B$18:$C$27,2,FALSE),0%)</f>
        <v>0</v>
      </c>
      <c r="AFE4" s="5">
        <f>IFERROR(VLOOKUP(AFE$1,'Renta Fija USD + Oro Conservado'!$B$18:$C$27,2,FALSE),0%)</f>
        <v>0</v>
      </c>
      <c r="AFF4" s="5">
        <f>IFERROR(VLOOKUP(AFF$1,'Renta Fija USD + Oro Conservado'!$B$18:$C$27,2,FALSE),0%)</f>
        <v>0</v>
      </c>
      <c r="AFG4" s="5">
        <f>IFERROR(VLOOKUP(AFG$1,'Renta Fija USD + Oro Conservado'!$B$18:$C$27,2,FALSE),0%)</f>
        <v>0</v>
      </c>
      <c r="AFH4" s="5">
        <f>IFERROR(VLOOKUP(AFH$1,'Renta Fija USD + Oro Conservado'!$B$18:$C$27,2,FALSE),0%)</f>
        <v>0</v>
      </c>
      <c r="AFI4" s="5">
        <f>IFERROR(VLOOKUP(AFI$1,'Renta Fija USD + Oro Conservado'!$B$18:$C$27,2,FALSE),0%)</f>
        <v>0</v>
      </c>
      <c r="AFJ4" s="5">
        <f>IFERROR(VLOOKUP(AFJ$1,'Renta Fija USD + Oro Conservado'!$B$18:$C$27,2,FALSE),0%)</f>
        <v>0</v>
      </c>
      <c r="AFK4" s="5">
        <f>IFERROR(VLOOKUP(AFK$1,'Renta Fija USD + Oro Conservado'!$B$18:$C$27,2,FALSE),0%)</f>
        <v>0</v>
      </c>
      <c r="AFL4" s="5">
        <f>IFERROR(VLOOKUP(AFL$1,'Renta Fija USD + Oro Conservado'!$B$18:$C$27,2,FALSE),0%)</f>
        <v>0</v>
      </c>
      <c r="AFM4" s="5">
        <f>IFERROR(VLOOKUP(AFM$1,'Renta Fija USD + Oro Conservado'!$B$18:$C$27,2,FALSE),0%)</f>
        <v>0</v>
      </c>
      <c r="AFN4" s="5">
        <f>IFERROR(VLOOKUP(AFN$1,'Renta Fija USD + Oro Conservado'!$B$18:$C$27,2,FALSE),0%)</f>
        <v>0</v>
      </c>
      <c r="AFO4" s="5">
        <f>IFERROR(VLOOKUP(AFO$1,'Renta Fija USD + Oro Conservado'!$B$18:$C$27,2,FALSE),0%)</f>
        <v>0</v>
      </c>
      <c r="AFP4" s="5">
        <f>IFERROR(VLOOKUP(AFP$1,'Renta Fija USD + Oro Conservado'!$B$18:$C$27,2,FALSE),0%)</f>
        <v>0</v>
      </c>
      <c r="AFQ4" s="5">
        <f>IFERROR(VLOOKUP(AFQ$1,'Renta Fija USD + Oro Conservado'!$B$18:$C$27,2,FALSE),0%)</f>
        <v>0</v>
      </c>
      <c r="AFR4" s="5">
        <f>IFERROR(VLOOKUP(AFR$1,'Renta Fija USD + Oro Conservado'!$B$18:$C$27,2,FALSE),0%)</f>
        <v>0</v>
      </c>
      <c r="AFS4" s="5">
        <f>IFERROR(VLOOKUP(AFS$1,'Renta Fija USD + Oro Conservado'!$B$18:$C$27,2,FALSE),0%)</f>
        <v>0</v>
      </c>
      <c r="AFT4" s="5">
        <f>IFERROR(VLOOKUP(AFT$1,'Renta Fija USD + Oro Conservado'!$B$18:$C$27,2,FALSE),0%)</f>
        <v>0</v>
      </c>
      <c r="AFU4" s="5">
        <f>IFERROR(VLOOKUP(AFU$1,'Renta Fija USD + Oro Conservado'!$B$18:$C$27,2,FALSE),0%)</f>
        <v>0</v>
      </c>
      <c r="AFV4" s="5">
        <f>IFERROR(VLOOKUP(AFV$1,'Renta Fija USD + Oro Conservado'!$B$18:$C$27,2,FALSE),0%)</f>
        <v>0</v>
      </c>
      <c r="AFW4" s="5">
        <f>IFERROR(VLOOKUP(AFW$1,'Renta Fija USD + Oro Conservado'!$B$18:$C$27,2,FALSE),0%)</f>
        <v>0</v>
      </c>
      <c r="AFX4" s="5">
        <f>IFERROR(VLOOKUP(AFX$1,'Renta Fija USD + Oro Conservado'!$B$18:$C$27,2,FALSE),0%)</f>
        <v>0</v>
      </c>
      <c r="AFY4" s="5">
        <f>IFERROR(VLOOKUP(AFY$1,'Renta Fija USD + Oro Conservado'!$B$18:$C$27,2,FALSE),0%)</f>
        <v>0</v>
      </c>
      <c r="AFZ4" s="5">
        <f>IFERROR(VLOOKUP(AFZ$1,'Renta Fija USD + Oro Conservado'!$B$18:$C$27,2,FALSE),0%)</f>
        <v>0</v>
      </c>
      <c r="AGA4" s="5">
        <f>IFERROR(VLOOKUP(AGA$1,'Renta Fija USD + Oro Conservado'!$B$18:$C$27,2,FALSE),0%)</f>
        <v>0</v>
      </c>
      <c r="AGB4" s="5">
        <f>IFERROR(VLOOKUP(AGB$1,'Renta Fija USD + Oro Conservado'!$B$18:$C$27,2,FALSE),0%)</f>
        <v>0</v>
      </c>
      <c r="AGC4" s="5">
        <f>IFERROR(VLOOKUP(AGC$1,'Renta Fija USD + Oro Conservado'!$B$18:$C$27,2,FALSE),0%)</f>
        <v>0</v>
      </c>
      <c r="AGD4" s="5">
        <f>IFERROR(VLOOKUP(AGD$1,'Renta Fija USD + Oro Conservado'!$B$18:$C$27,2,FALSE),0%)</f>
        <v>0</v>
      </c>
      <c r="AGE4" s="5">
        <f>IFERROR(VLOOKUP(AGE$1,'Renta Fija USD + Oro Conservado'!$B$18:$C$27,2,FALSE),0%)</f>
        <v>0</v>
      </c>
      <c r="AGF4" s="5">
        <f>IFERROR(VLOOKUP(AGF$1,'Renta Fija USD + Oro Conservado'!$B$18:$C$27,2,FALSE),0%)</f>
        <v>0</v>
      </c>
      <c r="AGG4" s="5">
        <f>IFERROR(VLOOKUP(AGG$1,'Renta Fija USD + Oro Conservado'!$B$18:$C$27,2,FALSE),0%)</f>
        <v>0</v>
      </c>
      <c r="AGH4" s="5">
        <f>IFERROR(VLOOKUP(AGH$1,'Renta Fija USD + Oro Conservado'!$B$18:$C$27,2,FALSE),0%)</f>
        <v>0</v>
      </c>
      <c r="AGI4" s="5">
        <f>IFERROR(VLOOKUP(AGI$1,'Renta Fija USD + Oro Conservado'!$B$18:$C$27,2,FALSE),0%)</f>
        <v>0</v>
      </c>
      <c r="AGJ4" s="5">
        <f>IFERROR(VLOOKUP(AGJ$1,'Renta Fija USD + Oro Conservado'!$B$18:$C$27,2,FALSE),0%)</f>
        <v>0</v>
      </c>
      <c r="AGK4" s="5">
        <f>IFERROR(VLOOKUP(AGK$1,'Renta Fija USD + Oro Conservado'!$B$18:$C$27,2,FALSE),0%)</f>
        <v>0</v>
      </c>
      <c r="AGL4" s="5">
        <f>IFERROR(VLOOKUP(AGL$1,'Renta Fija USD + Oro Conservado'!$B$18:$C$27,2,FALSE),0%)</f>
        <v>0</v>
      </c>
      <c r="AGM4" s="5">
        <f>IFERROR(VLOOKUP(AGM$1,'Renta Fija USD + Oro Conservado'!$B$18:$C$27,2,FALSE),0%)</f>
        <v>0</v>
      </c>
      <c r="AGN4" s="5">
        <f>IFERROR(VLOOKUP(AGN$1,'Renta Fija USD + Oro Conservado'!$B$18:$C$27,2,FALSE),0%)</f>
        <v>0</v>
      </c>
      <c r="AGO4" s="5">
        <f>IFERROR(VLOOKUP(AGO$1,'Renta Fija USD + Oro Conservado'!$B$18:$C$27,2,FALSE),0%)</f>
        <v>0</v>
      </c>
      <c r="AGP4" s="5">
        <f>IFERROR(VLOOKUP(AGP$1,'Renta Fija USD + Oro Conservado'!$B$18:$C$27,2,FALSE),0%)</f>
        <v>0</v>
      </c>
      <c r="AGQ4" s="5">
        <f>IFERROR(VLOOKUP(AGQ$1,'Renta Fija USD + Oro Conservado'!$B$18:$C$27,2,FALSE),0%)</f>
        <v>0</v>
      </c>
      <c r="AGR4" s="5">
        <f>IFERROR(VLOOKUP(AGR$1,'Renta Fija USD + Oro Conservado'!$B$18:$C$27,2,FALSE),0%)</f>
        <v>0</v>
      </c>
      <c r="AGS4" s="5">
        <f>IFERROR(VLOOKUP(AGS$1,'Renta Fija USD + Oro Conservado'!$B$18:$C$27,2,FALSE),0%)</f>
        <v>0</v>
      </c>
      <c r="AGT4" s="5">
        <f>IFERROR(VLOOKUP(AGT$1,'Renta Fija USD + Oro Conservado'!$B$18:$C$27,2,FALSE),0%)</f>
        <v>0</v>
      </c>
      <c r="AGU4" s="5">
        <f>IFERROR(VLOOKUP(AGU$1,'Renta Fija USD + Oro Conservado'!$B$18:$C$27,2,FALSE),0%)</f>
        <v>0</v>
      </c>
      <c r="AGV4" s="5">
        <f>IFERROR(VLOOKUP(AGV$1,'Renta Fija USD + Oro Conservado'!$B$18:$C$27,2,FALSE),0%)</f>
        <v>0</v>
      </c>
      <c r="AGW4" s="5">
        <f>IFERROR(VLOOKUP(AGW$1,'Renta Fija USD + Oro Conservado'!$B$18:$C$27,2,FALSE),0%)</f>
        <v>0</v>
      </c>
      <c r="AGX4" s="5">
        <f>IFERROR(VLOOKUP(AGX$1,'Renta Fija USD + Oro Conservado'!$B$18:$C$27,2,FALSE),0%)</f>
        <v>0</v>
      </c>
      <c r="AGY4" s="5">
        <f>IFERROR(VLOOKUP(AGY$1,'Renta Fija USD + Oro Conservado'!$B$18:$C$27,2,FALSE),0%)</f>
        <v>0</v>
      </c>
      <c r="AGZ4" s="5">
        <f>IFERROR(VLOOKUP(AGZ$1,'Renta Fija USD + Oro Conservado'!$B$18:$C$27,2,FALSE),0%)</f>
        <v>0</v>
      </c>
      <c r="AHA4" s="5">
        <f>IFERROR(VLOOKUP(AHA$1,'Renta Fija USD + Oro Conservado'!$B$18:$C$27,2,FALSE),0%)</f>
        <v>0</v>
      </c>
      <c r="AHB4" s="5">
        <f>IFERROR(VLOOKUP(AHB$1,'Renta Fija USD + Oro Conservado'!$B$18:$C$27,2,FALSE),0%)</f>
        <v>0</v>
      </c>
      <c r="AHC4" s="5">
        <f>IFERROR(VLOOKUP(AHC$1,'Renta Fija USD + Oro Conservado'!$B$18:$C$27,2,FALSE),0%)</f>
        <v>0</v>
      </c>
      <c r="AHD4" s="5">
        <f>IFERROR(VLOOKUP(AHD$1,'Renta Fija USD + Oro Conservado'!$B$18:$C$27,2,FALSE),0%)</f>
        <v>0</v>
      </c>
      <c r="AHE4" s="5">
        <f>IFERROR(VLOOKUP(AHE$1,'Renta Fija USD + Oro Conservado'!$B$18:$C$27,2,FALSE),0%)</f>
        <v>0</v>
      </c>
      <c r="AHF4" s="5">
        <f>IFERROR(VLOOKUP(AHF$1,'Renta Fija USD + Oro Conservado'!$B$18:$C$27,2,FALSE),0%)</f>
        <v>0</v>
      </c>
      <c r="AHG4" s="5">
        <f>IFERROR(VLOOKUP(AHG$1,'Renta Fija USD + Oro Conservado'!$B$18:$C$27,2,FALSE),0%)</f>
        <v>0</v>
      </c>
      <c r="AHH4" s="5">
        <f>IFERROR(VLOOKUP(AHH$1,'Renta Fija USD + Oro Conservado'!$B$18:$C$27,2,FALSE),0%)</f>
        <v>0</v>
      </c>
      <c r="AHI4" s="5">
        <f>IFERROR(VLOOKUP(AHI$1,'Renta Fija USD + Oro Conservado'!$B$18:$C$27,2,FALSE),0%)</f>
        <v>0</v>
      </c>
      <c r="AHJ4" s="5">
        <f>IFERROR(VLOOKUP(AHJ$1,'Renta Fija USD + Oro Conservado'!$B$18:$C$27,2,FALSE),0%)</f>
        <v>0</v>
      </c>
      <c r="AHK4" s="5">
        <f>IFERROR(VLOOKUP(AHK$1,'Renta Fija USD + Oro Conservado'!$B$18:$C$27,2,FALSE),0%)</f>
        <v>0</v>
      </c>
      <c r="AHL4" s="5">
        <f>IFERROR(VLOOKUP(AHL$1,'Renta Fija USD + Oro Conservado'!$B$18:$C$27,2,FALSE),0%)</f>
        <v>0</v>
      </c>
      <c r="AHM4" s="5">
        <f>IFERROR(VLOOKUP(AHM$1,'Renta Fija USD + Oro Conservado'!$B$18:$C$27,2,FALSE),0%)</f>
        <v>0</v>
      </c>
      <c r="AHN4" s="5">
        <f>IFERROR(VLOOKUP(AHN$1,'Renta Fija USD + Oro Conservado'!$B$18:$C$27,2,FALSE),0%)</f>
        <v>0</v>
      </c>
      <c r="AHO4" s="5">
        <f>IFERROR(VLOOKUP(AHO$1,'Renta Fija USD + Oro Conservado'!$B$18:$C$27,2,FALSE),0%)</f>
        <v>0</v>
      </c>
      <c r="AHP4" s="5">
        <f>IFERROR(VLOOKUP(AHP$1,'Renta Fija USD + Oro Conservado'!$B$18:$C$27,2,FALSE),0%)</f>
        <v>0</v>
      </c>
      <c r="AHQ4" s="5">
        <f>IFERROR(VLOOKUP(AHQ$1,'Renta Fija USD + Oro Conservado'!$B$18:$C$27,2,FALSE),0%)</f>
        <v>0</v>
      </c>
      <c r="AHR4" s="5">
        <f>IFERROR(VLOOKUP(AHR$1,'Renta Fija USD + Oro Conservado'!$B$18:$C$27,2,FALSE),0%)</f>
        <v>0</v>
      </c>
      <c r="AHS4" s="5">
        <f>IFERROR(VLOOKUP(AHS$1,'Renta Fija USD + Oro Conservado'!$B$18:$C$27,2,FALSE),0%)</f>
        <v>0</v>
      </c>
      <c r="AHT4" s="5">
        <f>IFERROR(VLOOKUP(AHT$1,'Renta Fija USD + Oro Conservado'!$B$18:$C$27,2,FALSE),0%)</f>
        <v>0</v>
      </c>
      <c r="AHU4" s="5">
        <f>IFERROR(VLOOKUP(AHU$1,'Renta Fija USD + Oro Conservado'!$B$18:$C$27,2,FALSE),0%)</f>
        <v>0</v>
      </c>
      <c r="AHV4" s="5">
        <f>IFERROR(VLOOKUP(AHV$1,'Renta Fija USD + Oro Conservado'!$B$18:$C$27,2,FALSE),0%)</f>
        <v>0</v>
      </c>
      <c r="AHW4" s="5">
        <f>IFERROR(VLOOKUP(AHW$1,'Renta Fija USD + Oro Conservado'!$B$18:$C$27,2,FALSE),0%)</f>
        <v>0</v>
      </c>
      <c r="AHX4" s="5">
        <f>IFERROR(VLOOKUP(AHX$1,'Renta Fija USD + Oro Conservado'!$B$18:$C$27,2,FALSE),0%)</f>
        <v>0</v>
      </c>
      <c r="AHY4" s="5">
        <f>IFERROR(VLOOKUP(AHY$1,'Renta Fija USD + Oro Conservado'!$B$18:$C$27,2,FALSE),0%)</f>
        <v>0</v>
      </c>
      <c r="AHZ4" s="5">
        <f>IFERROR(VLOOKUP(AHZ$1,'Renta Fija USD + Oro Conservado'!$B$18:$C$27,2,FALSE),0%)</f>
        <v>0</v>
      </c>
      <c r="AIA4" s="5">
        <f>IFERROR(VLOOKUP(AIA$1,'Renta Fija USD + Oro Conservado'!$B$18:$C$27,2,FALSE),0%)</f>
        <v>0</v>
      </c>
      <c r="AIB4" s="5">
        <f>IFERROR(VLOOKUP(AIB$1,'Renta Fija USD + Oro Conservado'!$B$18:$C$27,2,FALSE),0%)</f>
        <v>0</v>
      </c>
      <c r="AIC4" s="5">
        <f>IFERROR(VLOOKUP(AIC$1,'Renta Fija USD + Oro Conservado'!$B$18:$C$27,2,FALSE),0%)</f>
        <v>0</v>
      </c>
      <c r="AID4" s="5">
        <f>IFERROR(VLOOKUP(AID$1,'Renta Fija USD + Oro Conservado'!$B$18:$C$27,2,FALSE),0%)</f>
        <v>0</v>
      </c>
      <c r="AIE4" s="5">
        <f>IFERROR(VLOOKUP(AIE$1,'Renta Fija USD + Oro Conservado'!$B$18:$C$27,2,FALSE),0%)</f>
        <v>0</v>
      </c>
      <c r="AIF4" s="5">
        <f>IFERROR(VLOOKUP(AIF$1,'Renta Fija USD + Oro Conservado'!$B$18:$C$27,2,FALSE),0%)</f>
        <v>0</v>
      </c>
      <c r="AIG4" s="5">
        <f>IFERROR(VLOOKUP(AIG$1,'Renta Fija USD + Oro Conservado'!$B$18:$C$27,2,FALSE),0%)</f>
        <v>0</v>
      </c>
      <c r="AIH4" s="5">
        <f>IFERROR(VLOOKUP(AIH$1,'Renta Fija USD + Oro Conservado'!$B$18:$C$27,2,FALSE),0%)</f>
        <v>0</v>
      </c>
      <c r="AII4" s="5">
        <f>IFERROR(VLOOKUP(AII$1,'Renta Fija USD + Oro Conservado'!$B$18:$C$27,2,FALSE),0%)</f>
        <v>0</v>
      </c>
      <c r="AIJ4" s="5">
        <f>IFERROR(VLOOKUP(AIJ$1,'Renta Fija USD + Oro Conservado'!$B$18:$C$27,2,FALSE),0%)</f>
        <v>0</v>
      </c>
      <c r="AIK4" s="5">
        <f>IFERROR(VLOOKUP(AIK$1,'Renta Fija USD + Oro Conservado'!$B$18:$C$27,2,FALSE),0%)</f>
        <v>0</v>
      </c>
      <c r="AIL4" s="5">
        <f>IFERROR(VLOOKUP(AIL$1,'Renta Fija USD + Oro Conservado'!$B$18:$C$27,2,FALSE),0%)</f>
        <v>0</v>
      </c>
      <c r="AIM4" s="5">
        <f>IFERROR(VLOOKUP(AIM$1,'Renta Fija USD + Oro Conservado'!$B$18:$C$27,2,FALSE),0%)</f>
        <v>0</v>
      </c>
      <c r="AIN4" s="5">
        <f>IFERROR(VLOOKUP(AIN$1,'Renta Fija USD + Oro Conservado'!$B$18:$C$27,2,FALSE),0%)</f>
        <v>0</v>
      </c>
      <c r="AIO4" s="5">
        <f>IFERROR(VLOOKUP(AIO$1,'Renta Fija USD + Oro Conservado'!$B$18:$C$27,2,FALSE),0%)</f>
        <v>0</v>
      </c>
      <c r="AIP4" s="5">
        <f>IFERROR(VLOOKUP(AIP$1,'Renta Fija USD + Oro Conservado'!$B$18:$C$27,2,FALSE),0%)</f>
        <v>0</v>
      </c>
      <c r="AIQ4" s="5">
        <f>IFERROR(VLOOKUP(AIQ$1,'Renta Fija USD + Oro Conservado'!$B$18:$C$27,2,FALSE),0%)</f>
        <v>0</v>
      </c>
      <c r="AIR4" s="5">
        <f>IFERROR(VLOOKUP(AIR$1,'Renta Fija USD + Oro Conservado'!$B$18:$C$27,2,FALSE),0%)</f>
        <v>0</v>
      </c>
      <c r="AIS4" s="5">
        <f>IFERROR(VLOOKUP(AIS$1,'Renta Fija USD + Oro Conservado'!$B$18:$C$27,2,FALSE),0%)</f>
        <v>0</v>
      </c>
      <c r="AIT4" s="5">
        <f>IFERROR(VLOOKUP(AIT$1,'Renta Fija USD + Oro Conservado'!$B$18:$C$27,2,FALSE),0%)</f>
        <v>0</v>
      </c>
      <c r="AIU4" s="5">
        <f>IFERROR(VLOOKUP(AIU$1,'Renta Fija USD + Oro Conservado'!$B$18:$C$27,2,FALSE),0%)</f>
        <v>0</v>
      </c>
      <c r="AIV4" s="5">
        <f>IFERROR(VLOOKUP(AIV$1,'Renta Fija USD + Oro Conservado'!$B$18:$C$27,2,FALSE),0%)</f>
        <v>0</v>
      </c>
      <c r="AIW4" s="5">
        <f>IFERROR(VLOOKUP(AIW$1,'Renta Fija USD + Oro Conservado'!$B$18:$C$27,2,FALSE),0%)</f>
        <v>0</v>
      </c>
      <c r="AIX4" s="5">
        <f>IFERROR(VLOOKUP(AIX$1,'Renta Fija USD + Oro Conservado'!$B$18:$C$27,2,FALSE),0%)</f>
        <v>0</v>
      </c>
      <c r="AIY4" s="5">
        <f>IFERROR(VLOOKUP(AIY$1,'Renta Fija USD + Oro Conservado'!$B$18:$C$27,2,FALSE),0%)</f>
        <v>0</v>
      </c>
      <c r="AIZ4" s="5">
        <f>IFERROR(VLOOKUP(AIZ$1,'Renta Fija USD + Oro Conservado'!$B$18:$C$27,2,FALSE),0%)</f>
        <v>0</v>
      </c>
      <c r="AJA4" s="5">
        <f>IFERROR(VLOOKUP(AJA$1,'Renta Fija USD + Oro Conservado'!$B$18:$C$27,2,FALSE),0%)</f>
        <v>0</v>
      </c>
      <c r="AJB4" s="5">
        <f>IFERROR(VLOOKUP(AJB$1,'Renta Fija USD + Oro Conservado'!$B$18:$C$27,2,FALSE),0%)</f>
        <v>0</v>
      </c>
      <c r="AJC4" s="5">
        <f>IFERROR(VLOOKUP(AJC$1,'Renta Fija USD + Oro Conservado'!$B$18:$C$27,2,FALSE),0%)</f>
        <v>0</v>
      </c>
      <c r="AJD4" s="5">
        <f>IFERROR(VLOOKUP(AJD$1,'Renta Fija USD + Oro Conservado'!$B$18:$C$27,2,FALSE),0%)</f>
        <v>0</v>
      </c>
      <c r="AJE4" s="5">
        <f>IFERROR(VLOOKUP(AJE$1,'Renta Fija USD + Oro Conservado'!$B$18:$C$27,2,FALSE),0%)</f>
        <v>0</v>
      </c>
      <c r="AJF4" s="5">
        <f>IFERROR(VLOOKUP(AJF$1,'Renta Fija USD + Oro Conservado'!$B$18:$C$27,2,FALSE),0%)</f>
        <v>0</v>
      </c>
      <c r="AJG4" s="5">
        <f>IFERROR(VLOOKUP(AJG$1,'Renta Fija USD + Oro Conservado'!$B$18:$C$27,2,FALSE),0%)</f>
        <v>0</v>
      </c>
      <c r="AJH4" s="5">
        <f>IFERROR(VLOOKUP(AJH$1,'Renta Fija USD + Oro Conservado'!$B$18:$C$27,2,FALSE),0%)</f>
        <v>0</v>
      </c>
      <c r="AJI4" s="5">
        <f>IFERROR(VLOOKUP(AJI$1,'Renta Fija USD + Oro Conservado'!$B$18:$C$27,2,FALSE),0%)</f>
        <v>0</v>
      </c>
      <c r="AJJ4" s="5">
        <f>IFERROR(VLOOKUP(AJJ$1,'Renta Fija USD + Oro Conservado'!$B$18:$C$27,2,FALSE),0%)</f>
        <v>0</v>
      </c>
      <c r="AJK4" s="5">
        <f>IFERROR(VLOOKUP(AJK$1,'Renta Fija USD + Oro Conservado'!$B$18:$C$27,2,FALSE),0%)</f>
        <v>0</v>
      </c>
      <c r="AJL4" s="5">
        <f>IFERROR(VLOOKUP(AJL$1,'Renta Fija USD + Oro Conservado'!$B$18:$C$27,2,FALSE),0%)</f>
        <v>0</v>
      </c>
      <c r="AJM4" s="5">
        <f>IFERROR(VLOOKUP(AJM$1,'Renta Fija USD + Oro Conservado'!$B$18:$C$27,2,FALSE),0%)</f>
        <v>0</v>
      </c>
      <c r="AJN4" s="5">
        <f>IFERROR(VLOOKUP(AJN$1,'Renta Fija USD + Oro Conservado'!$B$18:$C$27,2,FALSE),0%)</f>
        <v>0</v>
      </c>
      <c r="AJO4" s="5">
        <f>IFERROR(VLOOKUP(AJO$1,'Renta Fija USD + Oro Conservado'!$B$18:$C$27,2,FALSE),0%)</f>
        <v>0</v>
      </c>
      <c r="AJP4" s="5">
        <f>IFERROR(VLOOKUP(AJP$1,'Renta Fija USD + Oro Conservado'!$B$18:$C$27,2,FALSE),0%)</f>
        <v>0</v>
      </c>
      <c r="AJQ4" s="5">
        <f>IFERROR(VLOOKUP(AJQ$1,'Renta Fija USD + Oro Conservado'!$B$18:$C$27,2,FALSE),0%)</f>
        <v>0</v>
      </c>
      <c r="AJR4" s="5">
        <f>IFERROR(VLOOKUP(AJR$1,'Renta Fija USD + Oro Conservado'!$B$18:$C$27,2,FALSE),0%)</f>
        <v>0</v>
      </c>
      <c r="AJS4" s="5">
        <f>IFERROR(VLOOKUP(AJS$1,'Renta Fija USD + Oro Conservado'!$B$18:$C$27,2,FALSE),0%)</f>
        <v>0</v>
      </c>
      <c r="AJT4" s="5">
        <f>IFERROR(VLOOKUP(AJT$1,'Renta Fija USD + Oro Conservado'!$B$18:$C$27,2,FALSE),0%)</f>
        <v>0</v>
      </c>
      <c r="AJU4" s="5">
        <f>IFERROR(VLOOKUP(AJU$1,'Renta Fija USD + Oro Conservado'!$B$18:$C$27,2,FALSE),0%)</f>
        <v>0</v>
      </c>
      <c r="AJV4" s="5">
        <f>IFERROR(VLOOKUP(AJV$1,'Renta Fija USD + Oro Conservado'!$B$18:$C$27,2,FALSE),0%)</f>
        <v>0</v>
      </c>
      <c r="AJW4" s="5">
        <f>IFERROR(VLOOKUP(AJW$1,'Renta Fija USD + Oro Conservado'!$B$18:$C$27,2,FALSE),0%)</f>
        <v>0</v>
      </c>
      <c r="AJX4" s="5">
        <f>IFERROR(VLOOKUP(AJX$1,'Renta Fija USD + Oro Conservado'!$B$18:$C$27,2,FALSE),0%)</f>
        <v>0</v>
      </c>
      <c r="AJY4" s="5">
        <f>IFERROR(VLOOKUP(AJY$1,'Renta Fija USD + Oro Conservado'!$B$18:$C$27,2,FALSE),0%)</f>
        <v>0</v>
      </c>
      <c r="AJZ4" s="5">
        <f>IFERROR(VLOOKUP(AJZ$1,'Renta Fija USD + Oro Conservado'!$B$18:$C$27,2,FALSE),0%)</f>
        <v>0</v>
      </c>
      <c r="AKA4" s="5">
        <f>IFERROR(VLOOKUP(AKA$1,'Renta Fija USD + Oro Conservado'!$B$18:$C$27,2,FALSE),0%)</f>
        <v>0</v>
      </c>
      <c r="AKB4" s="5">
        <f>IFERROR(VLOOKUP(AKB$1,'Renta Fija USD + Oro Conservado'!$B$18:$C$27,2,FALSE),0%)</f>
        <v>0</v>
      </c>
      <c r="AKC4" s="5">
        <f>IFERROR(VLOOKUP(AKC$1,'Renta Fija USD + Oro Conservado'!$B$18:$C$27,2,FALSE),0%)</f>
        <v>0</v>
      </c>
      <c r="AKD4" s="5">
        <f>IFERROR(VLOOKUP(AKD$1,'Renta Fija USD + Oro Conservado'!$B$18:$C$27,2,FALSE),0%)</f>
        <v>0</v>
      </c>
      <c r="AKE4" s="5">
        <f>IFERROR(VLOOKUP(AKE$1,'Renta Fija USD + Oro Conservado'!$B$18:$C$27,2,FALSE),0%)</f>
        <v>0</v>
      </c>
      <c r="AKF4" s="5">
        <f>IFERROR(VLOOKUP(AKF$1,'Renta Fija USD + Oro Conservado'!$B$18:$C$27,2,FALSE),0%)</f>
        <v>0</v>
      </c>
      <c r="AKG4" s="5">
        <f>IFERROR(VLOOKUP(AKG$1,'Renta Fija USD + Oro Conservado'!$B$18:$C$27,2,FALSE),0%)</f>
        <v>0</v>
      </c>
      <c r="AKH4" s="5">
        <f>IFERROR(VLOOKUP(AKH$1,'Renta Fija USD + Oro Conservado'!$B$18:$C$27,2,FALSE),0%)</f>
        <v>0</v>
      </c>
      <c r="AKI4" s="5">
        <f>IFERROR(VLOOKUP(AKI$1,'Renta Fija USD + Oro Conservado'!$B$18:$C$27,2,FALSE),0%)</f>
        <v>0</v>
      </c>
      <c r="AKJ4" s="5">
        <f>IFERROR(VLOOKUP(AKJ$1,'Renta Fija USD + Oro Conservado'!$B$18:$C$27,2,FALSE),0%)</f>
        <v>0</v>
      </c>
      <c r="AKK4" s="5">
        <f>IFERROR(VLOOKUP(AKK$1,'Renta Fija USD + Oro Conservado'!$B$18:$C$27,2,FALSE),0%)</f>
        <v>0</v>
      </c>
      <c r="AKL4" s="5">
        <f>IFERROR(VLOOKUP(AKL$1,'Renta Fija USD + Oro Conservado'!$B$18:$C$27,2,FALSE),0%)</f>
        <v>0</v>
      </c>
      <c r="AKM4" s="5">
        <f>IFERROR(VLOOKUP(AKM$1,'Renta Fija USD + Oro Conservado'!$B$18:$C$27,2,FALSE),0%)</f>
        <v>0</v>
      </c>
      <c r="AKN4" s="5">
        <f>IFERROR(VLOOKUP(AKN$1,'Renta Fija USD + Oro Conservado'!$B$18:$C$27,2,FALSE),0%)</f>
        <v>0</v>
      </c>
      <c r="AKO4" s="5">
        <f>IFERROR(VLOOKUP(AKO$1,'Renta Fija USD + Oro Conservado'!$B$18:$C$27,2,FALSE),0%)</f>
        <v>0</v>
      </c>
      <c r="AKP4" s="5">
        <f>IFERROR(VLOOKUP(AKP$1,'Renta Fija USD + Oro Conservado'!$B$18:$C$27,2,FALSE),0%)</f>
        <v>0</v>
      </c>
      <c r="AKQ4" s="5">
        <f>IFERROR(VLOOKUP(AKQ$1,'Renta Fija USD + Oro Conservado'!$B$18:$C$27,2,FALSE),0%)</f>
        <v>0</v>
      </c>
      <c r="AKR4" s="5">
        <f>IFERROR(VLOOKUP(AKR$1,'Renta Fija USD + Oro Conservado'!$B$18:$C$27,2,FALSE),0%)</f>
        <v>0</v>
      </c>
      <c r="AKS4" s="5">
        <f>IFERROR(VLOOKUP(AKS$1,'Renta Fija USD + Oro Conservado'!$B$18:$C$27,2,FALSE),0%)</f>
        <v>0</v>
      </c>
      <c r="AKT4" s="5">
        <f>IFERROR(VLOOKUP(AKT$1,'Renta Fija USD + Oro Conservado'!$B$18:$C$27,2,FALSE),0%)</f>
        <v>0</v>
      </c>
      <c r="AKU4" s="5">
        <f>IFERROR(VLOOKUP(AKU$1,'Renta Fija USD + Oro Conservado'!$B$18:$C$27,2,FALSE),0%)</f>
        <v>0</v>
      </c>
      <c r="AKV4" s="5">
        <f>IFERROR(VLOOKUP(AKV$1,'Renta Fija USD + Oro Conservado'!$B$18:$C$27,2,FALSE),0%)</f>
        <v>0</v>
      </c>
      <c r="AKW4" s="5">
        <f>IFERROR(VLOOKUP(AKW$1,'Renta Fija USD + Oro Conservado'!$B$18:$C$27,2,FALSE),0%)</f>
        <v>0</v>
      </c>
      <c r="AKX4" s="5">
        <f>IFERROR(VLOOKUP(AKX$1,'Renta Fija USD + Oro Conservado'!$B$18:$C$27,2,FALSE),0%)</f>
        <v>0</v>
      </c>
      <c r="AKY4" s="5">
        <f>IFERROR(VLOOKUP(AKY$1,'Renta Fija USD + Oro Conservado'!$B$18:$C$27,2,FALSE),0%)</f>
        <v>0</v>
      </c>
      <c r="AKZ4" s="5">
        <f>IFERROR(VLOOKUP(AKZ$1,'Renta Fija USD + Oro Conservado'!$B$18:$C$27,2,FALSE),0%)</f>
        <v>0</v>
      </c>
      <c r="ALA4" s="5">
        <f>IFERROR(VLOOKUP(ALA$1,'Renta Fija USD + Oro Conservado'!$B$18:$C$27,2,FALSE),0%)</f>
        <v>0</v>
      </c>
      <c r="ALB4" s="5">
        <f>IFERROR(VLOOKUP(ALB$1,'Renta Fija USD + Oro Conservado'!$B$18:$C$27,2,FALSE),0%)</f>
        <v>0</v>
      </c>
      <c r="ALC4" s="5">
        <f>IFERROR(VLOOKUP(ALC$1,'Renta Fija USD + Oro Conservado'!$B$18:$C$27,2,FALSE),0%)</f>
        <v>0</v>
      </c>
      <c r="ALD4" s="5">
        <f>IFERROR(VLOOKUP(ALD$1,'Renta Fija USD + Oro Conservado'!$B$18:$C$27,2,FALSE),0%)</f>
        <v>0</v>
      </c>
      <c r="ALE4" s="5">
        <f>IFERROR(VLOOKUP(ALE$1,'Renta Fija USD + Oro Conservado'!$B$18:$C$27,2,FALSE),0%)</f>
        <v>0</v>
      </c>
      <c r="ALF4" s="5">
        <f>IFERROR(VLOOKUP(ALF$1,'Renta Fija USD + Oro Conservado'!$B$18:$C$27,2,FALSE),0%)</f>
        <v>0</v>
      </c>
      <c r="ALG4" s="5">
        <f>IFERROR(VLOOKUP(ALG$1,'Renta Fija USD + Oro Conservado'!$B$18:$C$27,2,FALSE),0%)</f>
        <v>0</v>
      </c>
      <c r="ALH4" s="5">
        <f>IFERROR(VLOOKUP(ALH$1,'Renta Fija USD + Oro Conservado'!$B$18:$C$27,2,FALSE),0%)</f>
        <v>0</v>
      </c>
      <c r="ALI4" s="5">
        <f>IFERROR(VLOOKUP(ALI$1,'Renta Fija USD + Oro Conservado'!$B$18:$C$27,2,FALSE),0%)</f>
        <v>0</v>
      </c>
      <c r="ALJ4" s="5">
        <f>IFERROR(VLOOKUP(ALJ$1,'Renta Fija USD + Oro Conservado'!$B$18:$C$27,2,FALSE),0%)</f>
        <v>0</v>
      </c>
      <c r="ALK4" s="5">
        <f>IFERROR(VLOOKUP(ALK$1,'Renta Fija USD + Oro Conservado'!$B$18:$C$27,2,FALSE),0%)</f>
        <v>0</v>
      </c>
      <c r="ALL4" s="5">
        <f>IFERROR(VLOOKUP(ALL$1,'Renta Fija USD + Oro Conservado'!$B$18:$C$27,2,FALSE),0%)</f>
        <v>0</v>
      </c>
      <c r="ALM4" s="5">
        <f>IFERROR(VLOOKUP(ALM$1,'Renta Fija USD + Oro Conservado'!$B$18:$C$27,2,FALSE),0%)</f>
        <v>0</v>
      </c>
      <c r="ALN4" s="5">
        <f>IFERROR(VLOOKUP(ALN$1,'Renta Fija USD + Oro Conservado'!$B$18:$C$27,2,FALSE),0%)</f>
        <v>0</v>
      </c>
      <c r="ALO4" s="5">
        <f>IFERROR(VLOOKUP(ALO$1,'Renta Fija USD + Oro Conservado'!$B$18:$C$27,2,FALSE),0%)</f>
        <v>0</v>
      </c>
      <c r="ALP4" s="5">
        <f>IFERROR(VLOOKUP(ALP$1,'Renta Fija USD + Oro Conservado'!$B$18:$C$27,2,FALSE),0%)</f>
        <v>0</v>
      </c>
      <c r="ALQ4" s="5">
        <f>IFERROR(VLOOKUP(ALQ$1,'Renta Fija USD + Oro Conservado'!$B$18:$C$27,2,FALSE),0%)</f>
        <v>0</v>
      </c>
      <c r="ALR4" s="5">
        <f>IFERROR(VLOOKUP(ALR$1,'Renta Fija USD + Oro Conservado'!$B$18:$C$27,2,FALSE),0%)</f>
        <v>0</v>
      </c>
      <c r="ALS4" s="5">
        <f>IFERROR(VLOOKUP(ALS$1,'Renta Fija USD + Oro Conservado'!$B$18:$C$27,2,FALSE),0%)</f>
        <v>0</v>
      </c>
      <c r="ALT4" s="5">
        <f>IFERROR(VLOOKUP(ALT$1,'Renta Fija USD + Oro Conservado'!$B$18:$C$27,2,FALSE),0%)</f>
        <v>0</v>
      </c>
      <c r="ALU4" s="5">
        <f>IFERROR(VLOOKUP(ALU$1,'Renta Fija USD + Oro Conservado'!$B$18:$C$27,2,FALSE),0%)</f>
        <v>0</v>
      </c>
      <c r="ALV4" s="5">
        <f>IFERROR(VLOOKUP(ALV$1,'Renta Fija USD + Oro Conservado'!$B$18:$C$27,2,FALSE),0%)</f>
        <v>0</v>
      </c>
      <c r="ALW4" s="5">
        <f>IFERROR(VLOOKUP(ALW$1,'Renta Fija USD + Oro Conservado'!$B$18:$C$27,2,FALSE),0%)</f>
        <v>0</v>
      </c>
      <c r="ALX4" s="5">
        <f>IFERROR(VLOOKUP(ALX$1,'Renta Fija USD + Oro Conservado'!$B$18:$C$27,2,FALSE),0%)</f>
        <v>0</v>
      </c>
      <c r="ALY4" s="5">
        <f>IFERROR(VLOOKUP(ALY$1,'Renta Fija USD + Oro Conservado'!$B$18:$C$27,2,FALSE),0%)</f>
        <v>0</v>
      </c>
      <c r="ALZ4" s="5">
        <f>IFERROR(VLOOKUP(ALZ$1,'Renta Fija USD + Oro Conservado'!$B$18:$C$27,2,FALSE),0%)</f>
        <v>0</v>
      </c>
      <c r="AMA4" s="5">
        <f>IFERROR(VLOOKUP(AMA$1,'Renta Fija USD + Oro Conservado'!$B$18:$C$27,2,FALSE),0%)</f>
        <v>0</v>
      </c>
      <c r="AMB4" s="5">
        <f>IFERROR(VLOOKUP(AMB$1,'Renta Fija USD + Oro Conservado'!$B$18:$C$27,2,FALSE),0%)</f>
        <v>0</v>
      </c>
      <c r="AMC4" s="5">
        <f>IFERROR(VLOOKUP(AMC$1,'Renta Fija USD + Oro Conservado'!$B$18:$C$27,2,FALSE),0%)</f>
        <v>0</v>
      </c>
      <c r="AMD4" s="5">
        <f>IFERROR(VLOOKUP(AMD$1,'Renta Fija USD + Oro Conservado'!$B$18:$C$27,2,FALSE),0%)</f>
        <v>0</v>
      </c>
      <c r="AME4" s="5">
        <f>IFERROR(VLOOKUP(AME$1,'Renta Fija USD + Oro Conservado'!$B$18:$C$27,2,FALSE),0%)</f>
        <v>0</v>
      </c>
      <c r="AMF4" s="5">
        <f>IFERROR(VLOOKUP(AMF$1,'Renta Fija USD + Oro Conservado'!$B$18:$C$27,2,FALSE),0%)</f>
        <v>0</v>
      </c>
      <c r="AMG4" s="5">
        <f>IFERROR(VLOOKUP(AMG$1,'Renta Fija USD + Oro Conservado'!$B$18:$C$27,2,FALSE),0%)</f>
        <v>0</v>
      </c>
      <c r="AMH4" s="5">
        <f>IFERROR(VLOOKUP(AMH$1,'Renta Fija USD + Oro Conservado'!$B$18:$C$27,2,FALSE),0%)</f>
        <v>0</v>
      </c>
      <c r="AMI4" s="5">
        <f>IFERROR(VLOOKUP(AMI$1,'Renta Fija USD + Oro Conservado'!$B$18:$C$27,2,FALSE),0%)</f>
        <v>0</v>
      </c>
      <c r="AMJ4" s="5">
        <f>IFERROR(VLOOKUP(AMJ$1,'Renta Fija USD + Oro Conservado'!$B$18:$C$27,2,FALSE),0%)</f>
        <v>0</v>
      </c>
      <c r="AMK4" s="5">
        <f>IFERROR(VLOOKUP(AMK$1,'Renta Fija USD + Oro Conservado'!$B$18:$C$27,2,FALSE),0%)</f>
        <v>0</v>
      </c>
      <c r="AML4" s="5">
        <f>IFERROR(VLOOKUP(AML$1,'Renta Fija USD + Oro Conservado'!$B$18:$C$27,2,FALSE),0%)</f>
        <v>0</v>
      </c>
      <c r="AMM4" s="5">
        <f>IFERROR(VLOOKUP(AMM$1,'Renta Fija USD + Oro Conservado'!$B$18:$C$27,2,FALSE),0%)</f>
        <v>0</v>
      </c>
      <c r="AMN4" s="5">
        <f>IFERROR(VLOOKUP(AMN$1,'Renta Fija USD + Oro Conservado'!$B$18:$C$27,2,FALSE),0%)</f>
        <v>0</v>
      </c>
      <c r="AMO4" s="5">
        <f>IFERROR(VLOOKUP(AMO$1,'Renta Fija USD + Oro Conservado'!$B$18:$C$27,2,FALSE),0%)</f>
        <v>0</v>
      </c>
      <c r="AMP4" s="5">
        <f>IFERROR(VLOOKUP(AMP$1,'Renta Fija USD + Oro Conservado'!$B$18:$C$27,2,FALSE),0%)</f>
        <v>0</v>
      </c>
      <c r="AMQ4" s="5">
        <f>IFERROR(VLOOKUP(AMQ$1,'Renta Fija USD + Oro Conservado'!$B$18:$C$27,2,FALSE),0%)</f>
        <v>0</v>
      </c>
      <c r="AMR4" s="5">
        <f>IFERROR(VLOOKUP(AMR$1,'Renta Fija USD + Oro Conservado'!$B$18:$C$27,2,FALSE),0%)</f>
        <v>0</v>
      </c>
      <c r="AMS4" s="5">
        <f>IFERROR(VLOOKUP(AMS$1,'Renta Fija USD + Oro Conservado'!$B$18:$C$27,2,FALSE),0%)</f>
        <v>0</v>
      </c>
      <c r="AMT4" s="5">
        <f>IFERROR(VLOOKUP(AMT$1,'Renta Fija USD + Oro Conservado'!$B$18:$C$27,2,FALSE),0%)</f>
        <v>0</v>
      </c>
      <c r="AMU4" s="5">
        <f>IFERROR(VLOOKUP(AMU$1,'Renta Fija USD + Oro Conservado'!$B$18:$C$27,2,FALSE),0%)</f>
        <v>0</v>
      </c>
      <c r="AMV4" s="5">
        <f>IFERROR(VLOOKUP(AMV$1,'Renta Fija USD + Oro Conservado'!$B$18:$C$27,2,FALSE),0%)</f>
        <v>0</v>
      </c>
      <c r="AMW4" s="5">
        <f>IFERROR(VLOOKUP(AMW$1,'Renta Fija USD + Oro Conservado'!$B$18:$C$27,2,FALSE),0%)</f>
        <v>0</v>
      </c>
      <c r="AMX4" s="5">
        <f>IFERROR(VLOOKUP(AMX$1,'Renta Fija USD + Oro Conservado'!$B$18:$C$27,2,FALSE),0%)</f>
        <v>0</v>
      </c>
      <c r="AMY4" s="5">
        <f>IFERROR(VLOOKUP(AMY$1,'Renta Fija USD + Oro Conservado'!$B$18:$C$27,2,FALSE),0%)</f>
        <v>0</v>
      </c>
      <c r="AMZ4" s="5">
        <f>IFERROR(VLOOKUP(AMZ$1,'Renta Fija USD + Oro Conservado'!$B$18:$C$27,2,FALSE),0%)</f>
        <v>0</v>
      </c>
      <c r="ANA4" s="5">
        <f>IFERROR(VLOOKUP(ANA$1,'Renta Fija USD + Oro Conservado'!$B$18:$C$27,2,FALSE),0%)</f>
        <v>0</v>
      </c>
      <c r="ANB4" s="5">
        <f>IFERROR(VLOOKUP(ANB$1,'Renta Fija USD + Oro Conservado'!$B$18:$C$27,2,FALSE),0%)</f>
        <v>0</v>
      </c>
      <c r="ANC4" s="5">
        <f>IFERROR(VLOOKUP(ANC$1,'Renta Fija USD + Oro Conservado'!$B$18:$C$27,2,FALSE),0%)</f>
        <v>0</v>
      </c>
      <c r="AND4" s="5">
        <f>IFERROR(VLOOKUP(AND$1,'Renta Fija USD + Oro Conservado'!$B$18:$C$27,2,FALSE),0%)</f>
        <v>0</v>
      </c>
      <c r="ANE4" s="5">
        <f>IFERROR(VLOOKUP(ANE$1,'Renta Fija USD + Oro Conservado'!$B$18:$C$27,2,FALSE),0%)</f>
        <v>0</v>
      </c>
      <c r="ANF4" s="5">
        <f>IFERROR(VLOOKUP(ANF$1,'Renta Fija USD + Oro Conservado'!$B$18:$C$27,2,FALSE),0%)</f>
        <v>0</v>
      </c>
      <c r="ANG4" s="5">
        <f>IFERROR(VLOOKUP(ANG$1,'Renta Fija USD + Oro Conservado'!$B$18:$C$27,2,FALSE),0%)</f>
        <v>0</v>
      </c>
      <c r="ANH4" s="5">
        <f>IFERROR(VLOOKUP(ANH$1,'Renta Fija USD + Oro Conservado'!$B$18:$C$27,2,FALSE),0%)</f>
        <v>0</v>
      </c>
      <c r="ANI4" s="5">
        <f>IFERROR(VLOOKUP(ANI$1,'Renta Fija USD + Oro Conservado'!$B$18:$C$27,2,FALSE),0%)</f>
        <v>0</v>
      </c>
      <c r="ANJ4" s="5">
        <f>IFERROR(VLOOKUP(ANJ$1,'Renta Fija USD + Oro Conservado'!$B$18:$C$27,2,FALSE),0%)</f>
        <v>0</v>
      </c>
      <c r="ANK4" s="5">
        <f>IFERROR(VLOOKUP(ANK$1,'Renta Fija USD + Oro Conservado'!$B$18:$C$27,2,FALSE),0%)</f>
        <v>0</v>
      </c>
      <c r="ANL4" s="5">
        <f>IFERROR(VLOOKUP(ANL$1,'Renta Fija USD + Oro Conservado'!$B$18:$C$27,2,FALSE),0%)</f>
        <v>0</v>
      </c>
      <c r="ANM4" s="5">
        <f>IFERROR(VLOOKUP(ANM$1,'Renta Fija USD + Oro Conservado'!$B$18:$C$27,2,FALSE),0%)</f>
        <v>0</v>
      </c>
      <c r="ANN4" s="5">
        <f>IFERROR(VLOOKUP(ANN$1,'Renta Fija USD + Oro Conservado'!$B$18:$C$27,2,FALSE),0%)</f>
        <v>0</v>
      </c>
      <c r="ANO4" s="5">
        <f>IFERROR(VLOOKUP(ANO$1,'Renta Fija USD + Oro Conservado'!$B$18:$C$27,2,FALSE),0%)</f>
        <v>0</v>
      </c>
      <c r="ANP4" s="5">
        <f>IFERROR(VLOOKUP(ANP$1,'Renta Fija USD + Oro Conservado'!$B$18:$C$27,2,FALSE),0%)</f>
        <v>0</v>
      </c>
      <c r="ANQ4" s="5">
        <f>IFERROR(VLOOKUP(ANQ$1,'Renta Fija USD + Oro Conservado'!$B$18:$C$27,2,FALSE),0%)</f>
        <v>0</v>
      </c>
      <c r="ANR4" s="5">
        <f>IFERROR(VLOOKUP(ANR$1,'Renta Fija USD + Oro Conservado'!$B$18:$C$27,2,FALSE),0%)</f>
        <v>0</v>
      </c>
      <c r="ANS4" s="5">
        <f>IFERROR(VLOOKUP(ANS$1,'Renta Fija USD + Oro Conservado'!$B$18:$C$27,2,FALSE),0%)</f>
        <v>0</v>
      </c>
      <c r="ANT4" s="5">
        <f>IFERROR(VLOOKUP(ANT$1,'Renta Fija USD + Oro Conservado'!$B$18:$C$27,2,FALSE),0%)</f>
        <v>0</v>
      </c>
      <c r="ANU4" s="5">
        <f>IFERROR(VLOOKUP(ANU$1,'Renta Fija USD + Oro Conservado'!$B$18:$C$27,2,FALSE),0%)</f>
        <v>0</v>
      </c>
      <c r="ANV4" s="5">
        <f>IFERROR(VLOOKUP(ANV$1,'Renta Fija USD + Oro Conservado'!$B$18:$C$27,2,FALSE),0%)</f>
        <v>0</v>
      </c>
      <c r="ANW4" s="5">
        <f>IFERROR(VLOOKUP(ANW$1,'Renta Fija USD + Oro Conservado'!$B$18:$C$27,2,FALSE),0%)</f>
        <v>0</v>
      </c>
      <c r="ANX4" s="5">
        <f>IFERROR(VLOOKUP(ANX$1,'Renta Fija USD + Oro Conservado'!$B$18:$C$27,2,FALSE),0%)</f>
        <v>0</v>
      </c>
      <c r="ANY4" s="5">
        <f>IFERROR(VLOOKUP(ANY$1,'Renta Fija USD + Oro Conservado'!$B$18:$C$27,2,FALSE),0%)</f>
        <v>0</v>
      </c>
      <c r="ANZ4" s="5">
        <f>IFERROR(VLOOKUP(ANZ$1,'Renta Fija USD + Oro Conservado'!$B$18:$C$27,2,FALSE),0%)</f>
        <v>0</v>
      </c>
      <c r="AOA4" s="5">
        <f>IFERROR(VLOOKUP(AOA$1,'Renta Fija USD + Oro Conservado'!$B$18:$C$27,2,FALSE),0%)</f>
        <v>0</v>
      </c>
      <c r="AOB4" s="5">
        <f>IFERROR(VLOOKUP(AOB$1,'Renta Fija USD + Oro Conservado'!$B$18:$C$27,2,FALSE),0%)</f>
        <v>0</v>
      </c>
      <c r="AOC4" s="5">
        <f>IFERROR(VLOOKUP(AOC$1,'Renta Fija USD + Oro Conservado'!$B$18:$C$27,2,FALSE),0%)</f>
        <v>0</v>
      </c>
      <c r="AOD4" s="5">
        <f>IFERROR(VLOOKUP(AOD$1,'Renta Fija USD + Oro Conservado'!$B$18:$C$27,2,FALSE),0%)</f>
        <v>0</v>
      </c>
      <c r="AOE4" s="5">
        <f>IFERROR(VLOOKUP(AOE$1,'Renta Fija USD + Oro Conservado'!$B$18:$C$27,2,FALSE),0%)</f>
        <v>0</v>
      </c>
      <c r="AOF4" s="5">
        <f>IFERROR(VLOOKUP(AOF$1,'Renta Fija USD + Oro Conservado'!$B$18:$C$27,2,FALSE),0%)</f>
        <v>0</v>
      </c>
      <c r="AOG4" s="5">
        <f>IFERROR(VLOOKUP(AOG$1,'Renta Fija USD + Oro Conservado'!$B$18:$C$27,2,FALSE),0%)</f>
        <v>0</v>
      </c>
      <c r="AOH4" s="5">
        <f>IFERROR(VLOOKUP(AOH$1,'Renta Fija USD + Oro Conservado'!$B$18:$C$27,2,FALSE),0%)</f>
        <v>0</v>
      </c>
      <c r="AOI4" s="5">
        <f>IFERROR(VLOOKUP(AOI$1,'Renta Fija USD + Oro Conservado'!$B$18:$C$27,2,FALSE),0%)</f>
        <v>0</v>
      </c>
      <c r="AOJ4" s="5">
        <f>IFERROR(VLOOKUP(AOJ$1,'Renta Fija USD + Oro Conservado'!$B$18:$C$27,2,FALSE),0%)</f>
        <v>0</v>
      </c>
      <c r="AOK4" s="5">
        <f>IFERROR(VLOOKUP(AOK$1,'Renta Fija USD + Oro Conservado'!$B$18:$C$27,2,FALSE),0%)</f>
        <v>0</v>
      </c>
      <c r="AOL4" s="5">
        <f>IFERROR(VLOOKUP(AOL$1,'Renta Fija USD + Oro Conservado'!$B$18:$C$27,2,FALSE),0%)</f>
        <v>0</v>
      </c>
      <c r="AOM4" s="5">
        <f>IFERROR(VLOOKUP(AOM$1,'Renta Fija USD + Oro Conservado'!$B$18:$C$27,2,FALSE),0%)</f>
        <v>0</v>
      </c>
      <c r="AON4" s="5">
        <f>IFERROR(VLOOKUP(AON$1,'Renta Fija USD + Oro Conservado'!$B$18:$C$27,2,FALSE),0%)</f>
        <v>0</v>
      </c>
      <c r="AOO4" s="5">
        <f>IFERROR(VLOOKUP(AOO$1,'Renta Fija USD + Oro Conservado'!$B$18:$C$27,2,FALSE),0%)</f>
        <v>0</v>
      </c>
      <c r="AOP4" s="5">
        <f>IFERROR(VLOOKUP(AOP$1,'Renta Fija USD + Oro Conservado'!$B$18:$C$27,2,FALSE),0%)</f>
        <v>0</v>
      </c>
      <c r="AOQ4" s="5">
        <f>IFERROR(VLOOKUP(AOQ$1,'Renta Fija USD + Oro Conservado'!$B$18:$C$27,2,FALSE),0%)</f>
        <v>0</v>
      </c>
      <c r="AOR4" s="5">
        <f>IFERROR(VLOOKUP(AOR$1,'Renta Fija USD + Oro Conservado'!$B$18:$C$27,2,FALSE),0%)</f>
        <v>0</v>
      </c>
      <c r="AOS4" s="5">
        <f>IFERROR(VLOOKUP(AOS$1,'Renta Fija USD + Oro Conservado'!$B$18:$C$27,2,FALSE),0%)</f>
        <v>0</v>
      </c>
      <c r="AOT4" s="5">
        <f>IFERROR(VLOOKUP(AOT$1,'Renta Fija USD + Oro Conservado'!$B$18:$C$27,2,FALSE),0%)</f>
        <v>0</v>
      </c>
      <c r="AOU4" s="5">
        <f>IFERROR(VLOOKUP(AOU$1,'Renta Fija USD + Oro Conservado'!$B$18:$C$27,2,FALSE),0%)</f>
        <v>0</v>
      </c>
      <c r="AOV4" s="5">
        <f>IFERROR(VLOOKUP(AOV$1,'Renta Fija USD + Oro Conservado'!$B$18:$C$27,2,FALSE),0%)</f>
        <v>0</v>
      </c>
      <c r="AOW4" s="5">
        <f>IFERROR(VLOOKUP(AOW$1,'Renta Fija USD + Oro Conservado'!$B$18:$C$27,2,FALSE),0%)</f>
        <v>0</v>
      </c>
      <c r="AOX4" s="5">
        <f>IFERROR(VLOOKUP(AOX$1,'Renta Fija USD + Oro Conservado'!$B$18:$C$27,2,FALSE),0%)</f>
        <v>0</v>
      </c>
      <c r="AOY4" s="5">
        <f>IFERROR(VLOOKUP(AOY$1,'Renta Fija USD + Oro Conservado'!$B$18:$C$27,2,FALSE),0%)</f>
        <v>0</v>
      </c>
      <c r="AOZ4" s="5">
        <f>IFERROR(VLOOKUP(AOZ$1,'Renta Fija USD + Oro Conservado'!$B$18:$C$27,2,FALSE),0%)</f>
        <v>0</v>
      </c>
      <c r="APA4" s="5">
        <f>IFERROR(VLOOKUP(APA$1,'Renta Fija USD + Oro Conservado'!$B$18:$C$27,2,FALSE),0%)</f>
        <v>0</v>
      </c>
      <c r="APB4" s="5">
        <f>IFERROR(VLOOKUP(APB$1,'Renta Fija USD + Oro Conservado'!$B$18:$C$27,2,FALSE),0%)</f>
        <v>0</v>
      </c>
      <c r="APC4" s="5">
        <f>IFERROR(VLOOKUP(APC$1,'Renta Fija USD + Oro Conservado'!$B$18:$C$27,2,FALSE),0%)</f>
        <v>0</v>
      </c>
      <c r="APD4" s="5">
        <f>IFERROR(VLOOKUP(APD$1,'Renta Fija USD + Oro Conservado'!$B$18:$C$27,2,FALSE),0%)</f>
        <v>0</v>
      </c>
      <c r="APE4" s="5">
        <f>IFERROR(VLOOKUP(APE$1,'Renta Fija USD + Oro Conservado'!$B$18:$C$27,2,FALSE),0%)</f>
        <v>0</v>
      </c>
      <c r="APF4" s="5">
        <f>IFERROR(VLOOKUP(APF$1,'Renta Fija USD + Oro Conservado'!$B$18:$C$27,2,FALSE),0%)</f>
        <v>0</v>
      </c>
      <c r="APG4" s="5">
        <f>IFERROR(VLOOKUP(APG$1,'Renta Fija USD + Oro Conservado'!$B$18:$C$27,2,FALSE),0%)</f>
        <v>0</v>
      </c>
      <c r="APH4" s="5">
        <f>IFERROR(VLOOKUP(APH$1,'Renta Fija USD + Oro Conservado'!$B$18:$C$27,2,FALSE),0%)</f>
        <v>0</v>
      </c>
      <c r="API4" s="5">
        <f>IFERROR(VLOOKUP(API$1,'Renta Fija USD + Oro Conservado'!$B$18:$C$27,2,FALSE),0%)</f>
        <v>0</v>
      </c>
      <c r="APJ4" s="5">
        <f>IFERROR(VLOOKUP(APJ$1,'Renta Fija USD + Oro Conservado'!$B$18:$C$27,2,FALSE),0%)</f>
        <v>0</v>
      </c>
      <c r="APK4" s="5">
        <f>IFERROR(VLOOKUP(APK$1,'Renta Fija USD + Oro Conservado'!$B$18:$C$27,2,FALSE),0%)</f>
        <v>0</v>
      </c>
      <c r="APL4" s="5">
        <f>IFERROR(VLOOKUP(APL$1,'Renta Fija USD + Oro Conservado'!$B$18:$C$27,2,FALSE),0%)</f>
        <v>0</v>
      </c>
      <c r="APM4" s="5">
        <f>IFERROR(VLOOKUP(APM$1,'Renta Fija USD + Oro Conservado'!$B$18:$C$27,2,FALSE),0%)</f>
        <v>0</v>
      </c>
      <c r="APN4" s="5">
        <f>IFERROR(VLOOKUP(APN$1,'Renta Fija USD + Oro Conservado'!$B$18:$C$27,2,FALSE),0%)</f>
        <v>0</v>
      </c>
      <c r="APO4" s="5">
        <f>IFERROR(VLOOKUP(APO$1,'Renta Fija USD + Oro Conservado'!$B$18:$C$27,2,FALSE),0%)</f>
        <v>0</v>
      </c>
      <c r="APP4" s="5">
        <f>IFERROR(VLOOKUP(APP$1,'Renta Fija USD + Oro Conservado'!$B$18:$C$27,2,FALSE),0%)</f>
        <v>0</v>
      </c>
      <c r="APQ4" s="5">
        <f>IFERROR(VLOOKUP(APQ$1,'Renta Fija USD + Oro Conservado'!$B$18:$C$27,2,FALSE),0%)</f>
        <v>0</v>
      </c>
      <c r="APR4" s="5">
        <f>IFERROR(VLOOKUP(APR$1,'Renta Fija USD + Oro Conservado'!$B$18:$C$27,2,FALSE),0%)</f>
        <v>0</v>
      </c>
      <c r="APS4" s="5">
        <f>IFERROR(VLOOKUP(APS$1,'Renta Fija USD + Oro Conservado'!$B$18:$C$27,2,FALSE),0%)</f>
        <v>0</v>
      </c>
      <c r="APT4" s="5">
        <f>IFERROR(VLOOKUP(APT$1,'Renta Fija USD + Oro Conservado'!$B$18:$C$27,2,FALSE),0%)</f>
        <v>0</v>
      </c>
      <c r="APU4" s="5">
        <f>IFERROR(VLOOKUP(APU$1,'Renta Fija USD + Oro Conservado'!$B$18:$C$27,2,FALSE),0%)</f>
        <v>0</v>
      </c>
      <c r="APV4" s="5">
        <f>IFERROR(VLOOKUP(APV$1,'Renta Fija USD + Oro Conservado'!$B$18:$C$27,2,FALSE),0%)</f>
        <v>0</v>
      </c>
      <c r="APW4" s="5">
        <f>IFERROR(VLOOKUP(APW$1,'Renta Fija USD + Oro Conservado'!$B$18:$C$27,2,FALSE),0%)</f>
        <v>0</v>
      </c>
      <c r="APX4" s="5">
        <f>IFERROR(VLOOKUP(APX$1,'Renta Fija USD + Oro Conservado'!$B$18:$C$27,2,FALSE),0%)</f>
        <v>0</v>
      </c>
      <c r="APY4" s="5">
        <f>IFERROR(VLOOKUP(APY$1,'Renta Fija USD + Oro Conservado'!$B$18:$C$27,2,FALSE),0%)</f>
        <v>0</v>
      </c>
      <c r="APZ4" s="5">
        <f>IFERROR(VLOOKUP(APZ$1,'Renta Fija USD + Oro Conservado'!$B$18:$C$27,2,FALSE),0%)</f>
        <v>0</v>
      </c>
      <c r="AQA4" s="5">
        <f>IFERROR(VLOOKUP(AQA$1,'Renta Fija USD + Oro Conservado'!$B$18:$C$27,2,FALSE),0%)</f>
        <v>0</v>
      </c>
      <c r="AQB4" s="5">
        <f>IFERROR(VLOOKUP(AQB$1,'Renta Fija USD + Oro Conservado'!$B$18:$C$27,2,FALSE),0%)</f>
        <v>0</v>
      </c>
      <c r="AQC4" s="5">
        <f>IFERROR(VLOOKUP(AQC$1,'Renta Fija USD + Oro Conservado'!$B$18:$C$27,2,FALSE),0%)</f>
        <v>0</v>
      </c>
      <c r="AQD4" s="5">
        <f>IFERROR(VLOOKUP(AQD$1,'Renta Fija USD + Oro Conservado'!$B$18:$C$27,2,FALSE),0%)</f>
        <v>0</v>
      </c>
      <c r="AQE4" s="5">
        <f>IFERROR(VLOOKUP(AQE$1,'Renta Fija USD + Oro Conservado'!$B$18:$C$27,2,FALSE),0%)</f>
        <v>0</v>
      </c>
      <c r="AQF4" s="5">
        <f>IFERROR(VLOOKUP(AQF$1,'Renta Fija USD + Oro Conservado'!$B$18:$C$27,2,FALSE),0%)</f>
        <v>0</v>
      </c>
      <c r="AQG4" s="5">
        <f>IFERROR(VLOOKUP(AQG$1,'Renta Fija USD + Oro Conservado'!$B$18:$C$27,2,FALSE),0%)</f>
        <v>0</v>
      </c>
      <c r="AQH4" s="5">
        <f>IFERROR(VLOOKUP(AQH$1,'Renta Fija USD + Oro Conservado'!$B$18:$C$27,2,FALSE),0%)</f>
        <v>0</v>
      </c>
      <c r="AQI4" s="5">
        <f>IFERROR(VLOOKUP(AQI$1,'Renta Fija USD + Oro Conservado'!$B$18:$C$27,2,FALSE),0%)</f>
        <v>0</v>
      </c>
      <c r="AQJ4" s="5">
        <f>IFERROR(VLOOKUP(AQJ$1,'Renta Fija USD + Oro Conservado'!$B$18:$C$27,2,FALSE),0%)</f>
        <v>0</v>
      </c>
      <c r="AQK4" s="5">
        <f>IFERROR(VLOOKUP(AQK$1,'Renta Fija USD + Oro Conservado'!$B$18:$C$27,2,FALSE),0%)</f>
        <v>0</v>
      </c>
      <c r="AQL4" s="5">
        <f>IFERROR(VLOOKUP(AQL$1,'Renta Fija USD + Oro Conservado'!$B$18:$C$27,2,FALSE),0%)</f>
        <v>0</v>
      </c>
      <c r="AQM4" s="5">
        <f>IFERROR(VLOOKUP(AQM$1,'Renta Fija USD + Oro Conservado'!$B$18:$C$27,2,FALSE),0%)</f>
        <v>0</v>
      </c>
      <c r="AQN4" s="5">
        <f>IFERROR(VLOOKUP(AQN$1,'Renta Fija USD + Oro Conservado'!$B$18:$C$27,2,FALSE),0%)</f>
        <v>0</v>
      </c>
      <c r="AQO4" s="5">
        <f>IFERROR(VLOOKUP(AQO$1,'Renta Fija USD + Oro Conservado'!$B$18:$C$27,2,FALSE),0%)</f>
        <v>0</v>
      </c>
      <c r="AQP4" s="5">
        <f>IFERROR(VLOOKUP(AQP$1,'Renta Fija USD + Oro Conservado'!$B$18:$C$27,2,FALSE),0%)</f>
        <v>0</v>
      </c>
      <c r="AQQ4" s="5">
        <f>IFERROR(VLOOKUP(AQQ$1,'Renta Fija USD + Oro Conservado'!$B$18:$C$27,2,FALSE),0%)</f>
        <v>0</v>
      </c>
      <c r="AQR4" s="5">
        <f>IFERROR(VLOOKUP(AQR$1,'Renta Fija USD + Oro Conservado'!$B$18:$C$27,2,FALSE),0%)</f>
        <v>0</v>
      </c>
      <c r="AQS4" s="5">
        <f>IFERROR(VLOOKUP(AQS$1,'Renta Fija USD + Oro Conservado'!$B$18:$C$27,2,FALSE),0%)</f>
        <v>0</v>
      </c>
      <c r="AQT4" s="5">
        <f>IFERROR(VLOOKUP(AQT$1,'Renta Fija USD + Oro Conservado'!$B$18:$C$27,2,FALSE),0%)</f>
        <v>0</v>
      </c>
      <c r="AQU4" s="5">
        <f>IFERROR(VLOOKUP(AQU$1,'Renta Fija USD + Oro Conservado'!$B$18:$C$27,2,FALSE),0%)</f>
        <v>0</v>
      </c>
      <c r="AQV4" s="5">
        <f>IFERROR(VLOOKUP(AQV$1,'Renta Fija USD + Oro Conservado'!$B$18:$C$27,2,FALSE),0%)</f>
        <v>0</v>
      </c>
      <c r="AQW4" s="5">
        <f>IFERROR(VLOOKUP(AQW$1,'Renta Fija USD + Oro Conservado'!$B$18:$C$27,2,FALSE),0%)</f>
        <v>0</v>
      </c>
      <c r="AQX4" s="5">
        <f>IFERROR(VLOOKUP(AQX$1,'Renta Fija USD + Oro Conservado'!$B$18:$C$27,2,FALSE),0%)</f>
        <v>0</v>
      </c>
      <c r="AQY4" s="5">
        <f>IFERROR(VLOOKUP(AQY$1,'Renta Fija USD + Oro Conservado'!$B$18:$C$27,2,FALSE),0%)</f>
        <v>0</v>
      </c>
      <c r="AQZ4" s="5">
        <f>IFERROR(VLOOKUP(AQZ$1,'Renta Fija USD + Oro Conservado'!$B$18:$C$27,2,FALSE),0%)</f>
        <v>0</v>
      </c>
      <c r="ARA4" s="5">
        <f>IFERROR(VLOOKUP(ARA$1,'Renta Fija USD + Oro Conservado'!$B$18:$C$27,2,FALSE),0%)</f>
        <v>0</v>
      </c>
      <c r="ARB4" s="5">
        <f>IFERROR(VLOOKUP(ARB$1,'Renta Fija USD + Oro Conservado'!$B$18:$C$27,2,FALSE),0%)</f>
        <v>0</v>
      </c>
      <c r="ARC4" s="5">
        <f>IFERROR(VLOOKUP(ARC$1,'Renta Fija USD + Oro Conservado'!$B$18:$C$27,2,FALSE),0%)</f>
        <v>0</v>
      </c>
      <c r="ARD4" s="5">
        <f>IFERROR(VLOOKUP(ARD$1,'Renta Fija USD + Oro Conservado'!$B$18:$C$27,2,FALSE),0%)</f>
        <v>0</v>
      </c>
      <c r="ARE4" s="5">
        <f>IFERROR(VLOOKUP(ARE$1,'Renta Fija USD + Oro Conservado'!$B$18:$C$27,2,FALSE),0%)</f>
        <v>0</v>
      </c>
      <c r="ARF4" s="5">
        <f>IFERROR(VLOOKUP(ARF$1,'Renta Fija USD + Oro Conservado'!$B$18:$C$27,2,FALSE),0%)</f>
        <v>0</v>
      </c>
      <c r="ARG4" s="5">
        <f>IFERROR(VLOOKUP(ARG$1,'Renta Fija USD + Oro Conservado'!$B$18:$C$27,2,FALSE),0%)</f>
        <v>0</v>
      </c>
      <c r="ARH4" s="5">
        <f>IFERROR(VLOOKUP(ARH$1,'Renta Fija USD + Oro Conservado'!$B$18:$C$27,2,FALSE),0%)</f>
        <v>0</v>
      </c>
      <c r="ARI4" s="5">
        <f>IFERROR(VLOOKUP(ARI$1,'Renta Fija USD + Oro Conservado'!$B$18:$C$27,2,FALSE),0%)</f>
        <v>0</v>
      </c>
      <c r="ARJ4" s="5">
        <f>IFERROR(VLOOKUP(ARJ$1,'Renta Fija USD + Oro Conservado'!$B$18:$C$27,2,FALSE),0%)</f>
        <v>0</v>
      </c>
      <c r="ARK4" s="5">
        <f>IFERROR(VLOOKUP(ARK$1,'Renta Fija USD + Oro Conservado'!$B$18:$C$27,2,FALSE),0%)</f>
        <v>0</v>
      </c>
      <c r="ARL4" s="5">
        <f>IFERROR(VLOOKUP(ARL$1,'Renta Fija USD + Oro Conservado'!$B$18:$C$27,2,FALSE),0%)</f>
        <v>0</v>
      </c>
      <c r="ARM4" s="5">
        <f>IFERROR(VLOOKUP(ARM$1,'Renta Fija USD + Oro Conservado'!$B$18:$C$27,2,FALSE),0%)</f>
        <v>0</v>
      </c>
      <c r="ARN4" s="5">
        <f>IFERROR(VLOOKUP(ARN$1,'Renta Fija USD + Oro Conservado'!$B$18:$C$27,2,FALSE),0%)</f>
        <v>0</v>
      </c>
      <c r="ARO4" s="5">
        <f>IFERROR(VLOOKUP(ARO$1,'Renta Fija USD + Oro Conservado'!$B$18:$C$27,2,FALSE),0%)</f>
        <v>0</v>
      </c>
      <c r="ARP4" s="5">
        <f>IFERROR(VLOOKUP(ARP$1,'Renta Fija USD + Oro Conservado'!$B$18:$C$27,2,FALSE),0%)</f>
        <v>0</v>
      </c>
      <c r="ARQ4" s="5">
        <f>IFERROR(VLOOKUP(ARQ$1,'Renta Fija USD + Oro Conservado'!$B$18:$C$27,2,FALSE),0%)</f>
        <v>0</v>
      </c>
      <c r="ARR4" s="5">
        <f>IFERROR(VLOOKUP(ARR$1,'Renta Fija USD + Oro Conservado'!$B$18:$C$27,2,FALSE),0%)</f>
        <v>0</v>
      </c>
      <c r="ARS4" s="5">
        <f>IFERROR(VLOOKUP(ARS$1,'Renta Fija USD + Oro Conservado'!$B$18:$C$27,2,FALSE),0%)</f>
        <v>0</v>
      </c>
      <c r="ART4" s="5">
        <f>IFERROR(VLOOKUP(ART$1,'Renta Fija USD + Oro Conservado'!$B$18:$C$27,2,FALSE),0%)</f>
        <v>0</v>
      </c>
      <c r="ARU4" s="5">
        <f>IFERROR(VLOOKUP(ARU$1,'Renta Fija USD + Oro Conservado'!$B$18:$C$27,2,FALSE),0%)</f>
        <v>0</v>
      </c>
      <c r="ARV4" s="5">
        <f>IFERROR(VLOOKUP(ARV$1,'Renta Fija USD + Oro Conservado'!$B$18:$C$27,2,FALSE),0%)</f>
        <v>0</v>
      </c>
      <c r="ARW4" s="5">
        <f>IFERROR(VLOOKUP(ARW$1,'Renta Fija USD + Oro Conservado'!$B$18:$C$27,2,FALSE),0%)</f>
        <v>0</v>
      </c>
      <c r="ARX4" s="5">
        <f>IFERROR(VLOOKUP(ARX$1,'Renta Fija USD + Oro Conservado'!$B$18:$C$27,2,FALSE),0%)</f>
        <v>0</v>
      </c>
      <c r="ARY4" s="5">
        <f>IFERROR(VLOOKUP(ARY$1,'Renta Fija USD + Oro Conservado'!$B$18:$C$27,2,FALSE),0%)</f>
        <v>0</v>
      </c>
      <c r="ARZ4" s="5">
        <f>IFERROR(VLOOKUP(ARZ$1,'Renta Fija USD + Oro Conservado'!$B$18:$C$27,2,FALSE),0%)</f>
        <v>0</v>
      </c>
      <c r="ASA4" s="5">
        <f>IFERROR(VLOOKUP(ASA$1,'Renta Fija USD + Oro Conservado'!$B$18:$C$27,2,FALSE),0%)</f>
        <v>0</v>
      </c>
      <c r="ASB4" s="5">
        <f>IFERROR(VLOOKUP(ASB$1,'Renta Fija USD + Oro Conservado'!$B$18:$C$27,2,FALSE),0%)</f>
        <v>0</v>
      </c>
      <c r="ASC4" s="5">
        <f>IFERROR(VLOOKUP(ASC$1,'Renta Fija USD + Oro Conservado'!$B$18:$C$27,2,FALSE),0%)</f>
        <v>0</v>
      </c>
      <c r="ASD4" s="5">
        <f>IFERROR(VLOOKUP(ASD$1,'Renta Fija USD + Oro Conservado'!$B$18:$C$27,2,FALSE),0%)</f>
        <v>0</v>
      </c>
      <c r="ASE4" s="5">
        <f>IFERROR(VLOOKUP(ASE$1,'Renta Fija USD + Oro Conservado'!$B$18:$C$27,2,FALSE),0%)</f>
        <v>0</v>
      </c>
      <c r="ASF4" s="5">
        <f>IFERROR(VLOOKUP(ASF$1,'Renta Fija USD + Oro Conservado'!$B$18:$C$27,2,FALSE),0%)</f>
        <v>0</v>
      </c>
      <c r="ASG4" s="5">
        <f>IFERROR(VLOOKUP(ASG$1,'Renta Fija USD + Oro Conservado'!$B$18:$C$27,2,FALSE),0%)</f>
        <v>0</v>
      </c>
      <c r="ASH4" s="5">
        <f>IFERROR(VLOOKUP(ASH$1,'Renta Fija USD + Oro Conservado'!$B$18:$C$27,2,FALSE),0%)</f>
        <v>0</v>
      </c>
      <c r="ASI4" s="5">
        <f>IFERROR(VLOOKUP(ASI$1,'Renta Fija USD + Oro Conservado'!$B$18:$C$27,2,FALSE),0%)</f>
        <v>0</v>
      </c>
      <c r="ASJ4" s="5">
        <f>IFERROR(VLOOKUP(ASJ$1,'Renta Fija USD + Oro Conservado'!$B$18:$C$27,2,FALSE),0%)</f>
        <v>0</v>
      </c>
      <c r="ASK4" s="5">
        <f>IFERROR(VLOOKUP(ASK$1,'Renta Fija USD + Oro Conservado'!$B$18:$C$27,2,FALSE),0%)</f>
        <v>0</v>
      </c>
      <c r="ASL4" s="5">
        <f>IFERROR(VLOOKUP(ASL$1,'Renta Fija USD + Oro Conservado'!$B$18:$C$27,2,FALSE),0%)</f>
        <v>0</v>
      </c>
      <c r="ASM4" s="5">
        <f>IFERROR(VLOOKUP(ASM$1,'Renta Fija USD + Oro Conservado'!$B$18:$C$27,2,FALSE),0%)</f>
        <v>0</v>
      </c>
      <c r="ASN4" s="5">
        <f>IFERROR(VLOOKUP(ASN$1,'Renta Fija USD + Oro Conservado'!$B$18:$C$27,2,FALSE),0%)</f>
        <v>0</v>
      </c>
      <c r="ASO4" s="5">
        <f>IFERROR(VLOOKUP(ASO$1,'Renta Fija USD + Oro Conservado'!$B$18:$C$27,2,FALSE),0%)</f>
        <v>0</v>
      </c>
      <c r="ASP4" s="5">
        <f>IFERROR(VLOOKUP(ASP$1,'Renta Fija USD + Oro Conservado'!$B$18:$C$27,2,FALSE),0%)</f>
        <v>0</v>
      </c>
      <c r="ASQ4" s="5">
        <f>IFERROR(VLOOKUP(ASQ$1,'Renta Fija USD + Oro Conservado'!$B$18:$C$27,2,FALSE),0%)</f>
        <v>0</v>
      </c>
      <c r="ASR4" s="5">
        <f>IFERROR(VLOOKUP(ASR$1,'Renta Fija USD + Oro Conservado'!$B$18:$C$27,2,FALSE),0%)</f>
        <v>0</v>
      </c>
      <c r="ASS4" s="5">
        <f>IFERROR(VLOOKUP(ASS$1,'Renta Fija USD + Oro Conservado'!$B$18:$C$27,2,FALSE),0%)</f>
        <v>0</v>
      </c>
      <c r="AST4" s="5">
        <f>IFERROR(VLOOKUP(AST$1,'Renta Fija USD + Oro Conservado'!$B$18:$C$27,2,FALSE),0%)</f>
        <v>0</v>
      </c>
      <c r="ASU4" s="5">
        <f>IFERROR(VLOOKUP(ASU$1,'Renta Fija USD + Oro Conservado'!$B$18:$C$27,2,FALSE),0%)</f>
        <v>0</v>
      </c>
      <c r="ASV4" s="5">
        <f>IFERROR(VLOOKUP(ASV$1,'Renta Fija USD + Oro Conservado'!$B$18:$C$27,2,FALSE),0%)</f>
        <v>0</v>
      </c>
      <c r="ASW4" s="5">
        <f>IFERROR(VLOOKUP(ASW$1,'Renta Fija USD + Oro Conservado'!$B$18:$C$27,2,FALSE),0%)</f>
        <v>0</v>
      </c>
      <c r="ASX4" s="5">
        <f>IFERROR(VLOOKUP(ASX$1,'Renta Fija USD + Oro Conservado'!$B$18:$C$27,2,FALSE),0%)</f>
        <v>0</v>
      </c>
      <c r="ASY4" s="5">
        <f>IFERROR(VLOOKUP(ASY$1,'Renta Fija USD + Oro Conservado'!$B$18:$C$27,2,FALSE),0%)</f>
        <v>0</v>
      </c>
      <c r="ASZ4" s="5">
        <f>IFERROR(VLOOKUP(ASZ$1,'Renta Fija USD + Oro Conservado'!$B$18:$C$27,2,FALSE),0%)</f>
        <v>0</v>
      </c>
      <c r="ATA4" s="5">
        <f>IFERROR(VLOOKUP(ATA$1,'Renta Fija USD + Oro Conservado'!$B$18:$C$27,2,FALSE),0%)</f>
        <v>0</v>
      </c>
      <c r="ATB4" s="5">
        <f>IFERROR(VLOOKUP(ATB$1,'Renta Fija USD + Oro Conservado'!$B$18:$C$27,2,FALSE),0%)</f>
        <v>0</v>
      </c>
      <c r="ATC4" s="5">
        <f>IFERROR(VLOOKUP(ATC$1,'Renta Fija USD + Oro Conservado'!$B$18:$C$27,2,FALSE),0%)</f>
        <v>0</v>
      </c>
      <c r="ATD4" s="5">
        <f>IFERROR(VLOOKUP(ATD$1,'Renta Fija USD + Oro Conservado'!$B$18:$C$27,2,FALSE),0%)</f>
        <v>0</v>
      </c>
      <c r="ATE4" s="5">
        <f>IFERROR(VLOOKUP(ATE$1,'Renta Fija USD + Oro Conservado'!$B$18:$C$27,2,FALSE),0%)</f>
        <v>0</v>
      </c>
      <c r="ATF4" s="5">
        <f>IFERROR(VLOOKUP(ATF$1,'Renta Fija USD + Oro Conservado'!$B$18:$C$27,2,FALSE),0%)</f>
        <v>0</v>
      </c>
      <c r="ATG4" s="5">
        <f>IFERROR(VLOOKUP(ATG$1,'Renta Fija USD + Oro Conservado'!$B$18:$C$27,2,FALSE),0%)</f>
        <v>0</v>
      </c>
      <c r="ATH4" s="5">
        <f>IFERROR(VLOOKUP(ATH$1,'Renta Fija USD + Oro Conservado'!$B$18:$C$27,2,FALSE),0%)</f>
        <v>0</v>
      </c>
      <c r="ATI4" s="5">
        <f>IFERROR(VLOOKUP(ATI$1,'Renta Fija USD + Oro Conservado'!$B$18:$C$27,2,FALSE),0%)</f>
        <v>0</v>
      </c>
      <c r="ATJ4" s="5">
        <f>IFERROR(VLOOKUP(ATJ$1,'Renta Fija USD + Oro Conservado'!$B$18:$C$27,2,FALSE),0%)</f>
        <v>0</v>
      </c>
      <c r="ATK4" s="5">
        <f>IFERROR(VLOOKUP(ATK$1,'Renta Fija USD + Oro Conservado'!$B$18:$C$27,2,FALSE),0%)</f>
        <v>0</v>
      </c>
      <c r="ATL4" s="5">
        <f>IFERROR(VLOOKUP(ATL$1,'Renta Fija USD + Oro Conservado'!$B$18:$C$27,2,FALSE),0%)</f>
        <v>0</v>
      </c>
      <c r="ATM4" s="5">
        <f>IFERROR(VLOOKUP(ATM$1,'Renta Fija USD + Oro Conservado'!$B$18:$C$27,2,FALSE),0%)</f>
        <v>0</v>
      </c>
      <c r="ATN4" s="5">
        <f>IFERROR(VLOOKUP(ATN$1,'Renta Fija USD + Oro Conservado'!$B$18:$C$27,2,FALSE),0%)</f>
        <v>0</v>
      </c>
      <c r="ATO4" s="5">
        <f>IFERROR(VLOOKUP(ATO$1,'Renta Fija USD + Oro Conservado'!$B$18:$C$27,2,FALSE),0%)</f>
        <v>0</v>
      </c>
      <c r="ATP4" s="5">
        <f>IFERROR(VLOOKUP(ATP$1,'Renta Fija USD + Oro Conservado'!$B$18:$C$27,2,FALSE),0%)</f>
        <v>0</v>
      </c>
      <c r="ATQ4" s="5">
        <f>IFERROR(VLOOKUP(ATQ$1,'Renta Fija USD + Oro Conservado'!$B$18:$C$27,2,FALSE),0%)</f>
        <v>0</v>
      </c>
      <c r="ATR4" s="5">
        <f>IFERROR(VLOOKUP(ATR$1,'Renta Fija USD + Oro Conservado'!$B$18:$C$27,2,FALSE),0%)</f>
        <v>0</v>
      </c>
      <c r="ATS4" s="5">
        <f>IFERROR(VLOOKUP(ATS$1,'Renta Fija USD + Oro Conservado'!$B$18:$C$27,2,FALSE),0%)</f>
        <v>0</v>
      </c>
      <c r="ATT4" s="5">
        <f>IFERROR(VLOOKUP(ATT$1,'Renta Fija USD + Oro Conservado'!$B$18:$C$27,2,FALSE),0%)</f>
        <v>0</v>
      </c>
      <c r="ATU4" s="5">
        <f>IFERROR(VLOOKUP(ATU$1,'Renta Fija USD + Oro Conservado'!$B$18:$C$27,2,FALSE),0%)</f>
        <v>0</v>
      </c>
      <c r="ATV4" s="5">
        <f>IFERROR(VLOOKUP(ATV$1,'Renta Fija USD + Oro Conservado'!$B$18:$C$27,2,FALSE),0%)</f>
        <v>0</v>
      </c>
      <c r="ATW4" s="5">
        <f>IFERROR(VLOOKUP(ATW$1,'Renta Fija USD + Oro Conservado'!$B$18:$C$27,2,FALSE),0%)</f>
        <v>0</v>
      </c>
      <c r="ATX4" s="5">
        <f>IFERROR(VLOOKUP(ATX$1,'Renta Fija USD + Oro Conservado'!$B$18:$C$27,2,FALSE),0%)</f>
        <v>0</v>
      </c>
      <c r="ATY4" s="5">
        <f>IFERROR(VLOOKUP(ATY$1,'Renta Fija USD + Oro Conservado'!$B$18:$C$27,2,FALSE),0%)</f>
        <v>0</v>
      </c>
      <c r="ATZ4" s="5">
        <f>IFERROR(VLOOKUP(ATZ$1,'Renta Fija USD + Oro Conservado'!$B$18:$C$27,2,FALSE),0%)</f>
        <v>0</v>
      </c>
      <c r="AUA4" s="5">
        <f>IFERROR(VLOOKUP(AUA$1,'Renta Fija USD + Oro Conservado'!$B$18:$C$27,2,FALSE),0%)</f>
        <v>0</v>
      </c>
      <c r="AUB4" s="5">
        <f>IFERROR(VLOOKUP(AUB$1,'Renta Fija USD + Oro Conservado'!$B$18:$C$27,2,FALSE),0%)</f>
        <v>0</v>
      </c>
      <c r="AUC4" s="5">
        <f>IFERROR(VLOOKUP(AUC$1,'Renta Fija USD + Oro Conservado'!$B$18:$C$27,2,FALSE),0%)</f>
        <v>0</v>
      </c>
      <c r="AUD4" s="5">
        <f>IFERROR(VLOOKUP(AUD$1,'Renta Fija USD + Oro Conservado'!$B$18:$C$27,2,FALSE),0%)</f>
        <v>0</v>
      </c>
      <c r="AUE4" s="5">
        <f>IFERROR(VLOOKUP(AUE$1,'Renta Fija USD + Oro Conservado'!$B$18:$C$27,2,FALSE),0%)</f>
        <v>0</v>
      </c>
      <c r="AUF4" s="5">
        <f>IFERROR(VLOOKUP(AUF$1,'Renta Fija USD + Oro Conservado'!$B$18:$C$27,2,FALSE),0%)</f>
        <v>0</v>
      </c>
      <c r="AUG4" s="5">
        <f>IFERROR(VLOOKUP(AUG$1,'Renta Fija USD + Oro Conservado'!$B$18:$C$27,2,FALSE),0%)</f>
        <v>0</v>
      </c>
      <c r="AUH4" s="5">
        <f>IFERROR(VLOOKUP(AUH$1,'Renta Fija USD + Oro Conservado'!$B$18:$C$27,2,FALSE),0%)</f>
        <v>0</v>
      </c>
      <c r="AUI4" s="5">
        <f>IFERROR(VLOOKUP(AUI$1,'Renta Fija USD + Oro Conservado'!$B$18:$C$27,2,FALSE),0%)</f>
        <v>0</v>
      </c>
      <c r="AUJ4" s="5">
        <f>IFERROR(VLOOKUP(AUJ$1,'Renta Fija USD + Oro Conservado'!$B$18:$C$27,2,FALSE),0%)</f>
        <v>0</v>
      </c>
      <c r="AUK4" s="5">
        <f>IFERROR(VLOOKUP(AUK$1,'Renta Fija USD + Oro Conservado'!$B$18:$C$27,2,FALSE),0%)</f>
        <v>0</v>
      </c>
      <c r="AUL4" s="5">
        <f>IFERROR(VLOOKUP(AUL$1,'Renta Fija USD + Oro Conservado'!$B$18:$C$27,2,FALSE),0%)</f>
        <v>0</v>
      </c>
      <c r="AUM4" s="5">
        <f>IFERROR(VLOOKUP(AUM$1,'Renta Fija USD + Oro Conservado'!$B$18:$C$27,2,FALSE),0%)</f>
        <v>0</v>
      </c>
      <c r="AUN4" s="5">
        <f>IFERROR(VLOOKUP(AUN$1,'Renta Fija USD + Oro Conservado'!$B$18:$C$27,2,FALSE),0%)</f>
        <v>0</v>
      </c>
      <c r="AUO4" s="5">
        <f>IFERROR(VLOOKUP(AUO$1,'Renta Fija USD + Oro Conservado'!$B$18:$C$27,2,FALSE),0%)</f>
        <v>0</v>
      </c>
      <c r="AUP4" s="5">
        <f>IFERROR(VLOOKUP(AUP$1,'Renta Fija USD + Oro Conservado'!$B$18:$C$27,2,FALSE),0%)</f>
        <v>0</v>
      </c>
      <c r="AUQ4" s="5">
        <f>IFERROR(VLOOKUP(AUQ$1,'Renta Fija USD + Oro Conservado'!$B$18:$C$27,2,FALSE),0%)</f>
        <v>0</v>
      </c>
      <c r="AUR4" s="5">
        <f>IFERROR(VLOOKUP(AUR$1,'Renta Fija USD + Oro Conservado'!$B$18:$C$27,2,FALSE),0%)</f>
        <v>0</v>
      </c>
      <c r="AUS4" s="5">
        <f>IFERROR(VLOOKUP(AUS$1,'Renta Fija USD + Oro Conservado'!$B$18:$C$27,2,FALSE),0%)</f>
        <v>0</v>
      </c>
      <c r="AUT4" s="5">
        <f>IFERROR(VLOOKUP(AUT$1,'Renta Fija USD + Oro Conservado'!$B$18:$C$27,2,FALSE),0%)</f>
        <v>0</v>
      </c>
      <c r="AUU4" s="5">
        <f>IFERROR(VLOOKUP(AUU$1,'Renta Fija USD + Oro Conservado'!$B$18:$C$27,2,FALSE),0%)</f>
        <v>0</v>
      </c>
      <c r="AUV4" s="5">
        <f>IFERROR(VLOOKUP(AUV$1,'Renta Fija USD + Oro Conservado'!$B$18:$C$27,2,FALSE),0%)</f>
        <v>0</v>
      </c>
      <c r="AUW4" s="5">
        <f>IFERROR(VLOOKUP(AUW$1,'Renta Fija USD + Oro Conservado'!$B$18:$C$27,2,FALSE),0%)</f>
        <v>0</v>
      </c>
      <c r="AUX4" s="5">
        <f>IFERROR(VLOOKUP(AUX$1,'Renta Fija USD + Oro Conservado'!$B$18:$C$27,2,FALSE),0%)</f>
        <v>0</v>
      </c>
      <c r="AUY4" s="5">
        <f>IFERROR(VLOOKUP(AUY$1,'Renta Fija USD + Oro Conservado'!$B$18:$C$27,2,FALSE),0%)</f>
        <v>0</v>
      </c>
      <c r="AUZ4" s="5">
        <f>IFERROR(VLOOKUP(AUZ$1,'Renta Fija USD + Oro Conservado'!$B$18:$C$27,2,FALSE),0%)</f>
        <v>0</v>
      </c>
      <c r="AVA4" s="5">
        <f>IFERROR(VLOOKUP(AVA$1,'Renta Fija USD + Oro Conservado'!$B$18:$C$27,2,FALSE),0%)</f>
        <v>0</v>
      </c>
      <c r="AVB4" s="5">
        <f>IFERROR(VLOOKUP(AVB$1,'Renta Fija USD + Oro Conservado'!$B$18:$C$27,2,FALSE),0%)</f>
        <v>0</v>
      </c>
      <c r="AVC4" s="5">
        <f>IFERROR(VLOOKUP(AVC$1,'Renta Fija USD + Oro Conservado'!$B$18:$C$27,2,FALSE),0%)</f>
        <v>0</v>
      </c>
      <c r="AVD4" s="5">
        <f>IFERROR(VLOOKUP(AVD$1,'Renta Fija USD + Oro Conservado'!$B$18:$C$27,2,FALSE),0%)</f>
        <v>0</v>
      </c>
      <c r="AVE4" s="5">
        <f>IFERROR(VLOOKUP(AVE$1,'Renta Fija USD + Oro Conservado'!$B$18:$C$27,2,FALSE),0%)</f>
        <v>0</v>
      </c>
      <c r="AVF4" s="5">
        <f>IFERROR(VLOOKUP(AVF$1,'Renta Fija USD + Oro Conservado'!$B$18:$C$27,2,FALSE),0%)</f>
        <v>0</v>
      </c>
      <c r="AVG4" s="5">
        <f>IFERROR(VLOOKUP(AVG$1,'Renta Fija USD + Oro Conservado'!$B$18:$C$27,2,FALSE),0%)</f>
        <v>0</v>
      </c>
      <c r="AVH4" s="5">
        <f>IFERROR(VLOOKUP(AVH$1,'Renta Fija USD + Oro Conservado'!$B$18:$C$27,2,FALSE),0%)</f>
        <v>0</v>
      </c>
      <c r="AVI4" s="5">
        <f>IFERROR(VLOOKUP(AVI$1,'Renta Fija USD + Oro Conservado'!$B$18:$C$27,2,FALSE),0%)</f>
        <v>0</v>
      </c>
      <c r="AVJ4" s="5">
        <f>IFERROR(VLOOKUP(AVJ$1,'Renta Fija USD + Oro Conservado'!$B$18:$C$27,2,FALSE),0%)</f>
        <v>0</v>
      </c>
      <c r="AVK4" s="5">
        <f>IFERROR(VLOOKUP(AVK$1,'Renta Fija USD + Oro Conservado'!$B$18:$C$27,2,FALSE),0%)</f>
        <v>0</v>
      </c>
      <c r="AVL4" s="5">
        <f>IFERROR(VLOOKUP(AVL$1,'Renta Fija USD + Oro Conservado'!$B$18:$C$27,2,FALSE),0%)</f>
        <v>0</v>
      </c>
      <c r="AVM4" s="5">
        <f>IFERROR(VLOOKUP(AVM$1,'Renta Fija USD + Oro Conservado'!$B$18:$C$27,2,FALSE),0%)</f>
        <v>0</v>
      </c>
      <c r="AVN4" s="5">
        <f>IFERROR(VLOOKUP(AVN$1,'Renta Fija USD + Oro Conservado'!$B$18:$C$27,2,FALSE),0%)</f>
        <v>0</v>
      </c>
      <c r="AVO4" s="5">
        <f>IFERROR(VLOOKUP(AVO$1,'Renta Fija USD + Oro Conservado'!$B$18:$C$27,2,FALSE),0%)</f>
        <v>0</v>
      </c>
      <c r="AVP4" s="5">
        <f>IFERROR(VLOOKUP(AVP$1,'Renta Fija USD + Oro Conservado'!$B$18:$C$27,2,FALSE),0%)</f>
        <v>0</v>
      </c>
      <c r="AVQ4" s="5">
        <f>IFERROR(VLOOKUP(AVQ$1,'Renta Fija USD + Oro Conservado'!$B$18:$C$27,2,FALSE),0%)</f>
        <v>0</v>
      </c>
      <c r="AVR4" s="5">
        <f>IFERROR(VLOOKUP(AVR$1,'Renta Fija USD + Oro Conservado'!$B$18:$C$27,2,FALSE),0%)</f>
        <v>0</v>
      </c>
      <c r="AVS4" s="5">
        <f>IFERROR(VLOOKUP(AVS$1,'Renta Fija USD + Oro Conservado'!$B$18:$C$27,2,FALSE),0%)</f>
        <v>0</v>
      </c>
      <c r="AVT4" s="5">
        <f>IFERROR(VLOOKUP(AVT$1,'Renta Fija USD + Oro Conservado'!$B$18:$C$27,2,FALSE),0%)</f>
        <v>0</v>
      </c>
      <c r="AVU4" s="5">
        <f>IFERROR(VLOOKUP(AVU$1,'Renta Fija USD + Oro Conservado'!$B$18:$C$27,2,FALSE),0%)</f>
        <v>0</v>
      </c>
      <c r="AVV4" s="5">
        <f>IFERROR(VLOOKUP(AVV$1,'Renta Fija USD + Oro Conservado'!$B$18:$C$27,2,FALSE),0%)</f>
        <v>0</v>
      </c>
      <c r="AVW4" s="5">
        <f>IFERROR(VLOOKUP(AVW$1,'Renta Fija USD + Oro Conservado'!$B$18:$C$27,2,FALSE),0%)</f>
        <v>0</v>
      </c>
      <c r="AVX4" s="5">
        <f>IFERROR(VLOOKUP(AVX$1,'Renta Fija USD + Oro Conservado'!$B$18:$C$27,2,FALSE),0%)</f>
        <v>0</v>
      </c>
      <c r="AVY4" s="5">
        <f>IFERROR(VLOOKUP(AVY$1,'Renta Fija USD + Oro Conservado'!$B$18:$C$27,2,FALSE),0%)</f>
        <v>0</v>
      </c>
      <c r="AVZ4" s="5">
        <f>IFERROR(VLOOKUP(AVZ$1,'Renta Fija USD + Oro Conservado'!$B$18:$C$27,2,FALSE),0%)</f>
        <v>0</v>
      </c>
      <c r="AWA4" s="5">
        <f>IFERROR(VLOOKUP(AWA$1,'Renta Fija USD + Oro Conservado'!$B$18:$C$27,2,FALSE),0%)</f>
        <v>0</v>
      </c>
      <c r="AWB4" s="5">
        <f>IFERROR(VLOOKUP(AWB$1,'Renta Fija USD + Oro Conservado'!$B$18:$C$27,2,FALSE),0%)</f>
        <v>0</v>
      </c>
      <c r="AWC4" s="5">
        <f>IFERROR(VLOOKUP(AWC$1,'Renta Fija USD + Oro Conservado'!$B$18:$C$27,2,FALSE),0%)</f>
        <v>0</v>
      </c>
      <c r="AWD4" s="5">
        <f>IFERROR(VLOOKUP(AWD$1,'Renta Fija USD + Oro Conservado'!$B$18:$C$27,2,FALSE),0%)</f>
        <v>0</v>
      </c>
      <c r="AWE4" s="5">
        <f>IFERROR(VLOOKUP(AWE$1,'Renta Fija USD + Oro Conservado'!$B$18:$C$27,2,FALSE),0%)</f>
        <v>0</v>
      </c>
      <c r="AWF4" s="5">
        <f>IFERROR(VLOOKUP(AWF$1,'Renta Fija USD + Oro Conservado'!$B$18:$C$27,2,FALSE),0%)</f>
        <v>0</v>
      </c>
      <c r="AWG4" s="5">
        <f>IFERROR(VLOOKUP(AWG$1,'Renta Fija USD + Oro Conservado'!$B$18:$C$27,2,FALSE),0%)</f>
        <v>0</v>
      </c>
      <c r="AWH4" s="5">
        <f>IFERROR(VLOOKUP(AWH$1,'Renta Fija USD + Oro Conservado'!$B$18:$C$27,2,FALSE),0%)</f>
        <v>0</v>
      </c>
      <c r="AWI4" s="5">
        <f>IFERROR(VLOOKUP(AWI$1,'Renta Fija USD + Oro Conservado'!$B$18:$C$27,2,FALSE),0%)</f>
        <v>0</v>
      </c>
      <c r="AWJ4" s="5">
        <f>IFERROR(VLOOKUP(AWJ$1,'Renta Fija USD + Oro Conservado'!$B$18:$C$27,2,FALSE),0%)</f>
        <v>0</v>
      </c>
      <c r="AWK4" s="5">
        <f>IFERROR(VLOOKUP(AWK$1,'Renta Fija USD + Oro Conservado'!$B$18:$C$27,2,FALSE),0%)</f>
        <v>0</v>
      </c>
      <c r="AWL4" s="5">
        <f>IFERROR(VLOOKUP(AWL$1,'Renta Fija USD + Oro Conservado'!$B$18:$C$27,2,FALSE),0%)</f>
        <v>0</v>
      </c>
      <c r="AWM4" s="5">
        <f>IFERROR(VLOOKUP(AWM$1,'Renta Fija USD + Oro Conservado'!$B$18:$C$27,2,FALSE),0%)</f>
        <v>0</v>
      </c>
      <c r="AWN4" s="5">
        <f>IFERROR(VLOOKUP(AWN$1,'Renta Fija USD + Oro Conservado'!$B$18:$C$27,2,FALSE),0%)</f>
        <v>0</v>
      </c>
      <c r="AWO4" s="5">
        <f>IFERROR(VLOOKUP(AWO$1,'Renta Fija USD + Oro Conservado'!$B$18:$C$27,2,FALSE),0%)</f>
        <v>0</v>
      </c>
      <c r="AWP4" s="5">
        <f>IFERROR(VLOOKUP(AWP$1,'Renta Fija USD + Oro Conservado'!$B$18:$C$27,2,FALSE),0%)</f>
        <v>0</v>
      </c>
      <c r="AWQ4" s="5">
        <f>IFERROR(VLOOKUP(AWQ$1,'Renta Fija USD + Oro Conservado'!$B$18:$C$27,2,FALSE),0%)</f>
        <v>0</v>
      </c>
      <c r="AWR4" s="5">
        <f>IFERROR(VLOOKUP(AWR$1,'Renta Fija USD + Oro Conservado'!$B$18:$C$27,2,FALSE),0%)</f>
        <v>0</v>
      </c>
      <c r="AWS4" s="5">
        <f>IFERROR(VLOOKUP(AWS$1,'Renta Fija USD + Oro Conservado'!$B$18:$C$27,2,FALSE),0%)</f>
        <v>0</v>
      </c>
      <c r="AWT4" s="5">
        <f>IFERROR(VLOOKUP(AWT$1,'Renta Fija USD + Oro Conservado'!$B$18:$C$27,2,FALSE),0%)</f>
        <v>0</v>
      </c>
      <c r="AWU4" s="5">
        <f>IFERROR(VLOOKUP(AWU$1,'Renta Fija USD + Oro Conservado'!$B$18:$C$27,2,FALSE),0%)</f>
        <v>0</v>
      </c>
      <c r="AWV4" s="5">
        <f>IFERROR(VLOOKUP(AWV$1,'Renta Fija USD + Oro Conservado'!$B$18:$C$27,2,FALSE),0%)</f>
        <v>0</v>
      </c>
      <c r="AWW4" s="5">
        <f>IFERROR(VLOOKUP(AWW$1,'Renta Fija USD + Oro Conservado'!$B$18:$C$27,2,FALSE),0%)</f>
        <v>0</v>
      </c>
      <c r="AWX4" s="5">
        <f>IFERROR(VLOOKUP(AWX$1,'Renta Fija USD + Oro Conservado'!$B$18:$C$27,2,FALSE),0%)</f>
        <v>0</v>
      </c>
      <c r="AWY4" s="5">
        <f>IFERROR(VLOOKUP(AWY$1,'Renta Fija USD + Oro Conservado'!$B$18:$C$27,2,FALSE),0%)</f>
        <v>0</v>
      </c>
      <c r="AWZ4" s="5">
        <f>IFERROR(VLOOKUP(AWZ$1,'Renta Fija USD + Oro Conservado'!$B$18:$C$27,2,FALSE),0%)</f>
        <v>0</v>
      </c>
      <c r="AXA4" s="5">
        <f>IFERROR(VLOOKUP(AXA$1,'Renta Fija USD + Oro Conservado'!$B$18:$C$27,2,FALSE),0%)</f>
        <v>0</v>
      </c>
      <c r="AXB4" s="5">
        <f>IFERROR(VLOOKUP(AXB$1,'Renta Fija USD + Oro Conservado'!$B$18:$C$27,2,FALSE),0%)</f>
        <v>0</v>
      </c>
      <c r="AXC4" s="5">
        <f>IFERROR(VLOOKUP(AXC$1,'Renta Fija USD + Oro Conservado'!$B$18:$C$27,2,FALSE),0%)</f>
        <v>0</v>
      </c>
      <c r="AXD4" s="5">
        <f>IFERROR(VLOOKUP(AXD$1,'Renta Fija USD + Oro Conservado'!$B$18:$C$27,2,FALSE),0%)</f>
        <v>0</v>
      </c>
      <c r="AXE4" s="5">
        <f>IFERROR(VLOOKUP(AXE$1,'Renta Fija USD + Oro Conservado'!$B$18:$C$27,2,FALSE),0%)</f>
        <v>0</v>
      </c>
      <c r="AXF4" s="5">
        <f>IFERROR(VLOOKUP(AXF$1,'Renta Fija USD + Oro Conservado'!$B$18:$C$27,2,FALSE),0%)</f>
        <v>0</v>
      </c>
      <c r="AXG4" s="5">
        <f>IFERROR(VLOOKUP(AXG$1,'Renta Fija USD + Oro Conservado'!$B$18:$C$27,2,FALSE),0%)</f>
        <v>0</v>
      </c>
      <c r="AXH4" s="5">
        <f>IFERROR(VLOOKUP(AXH$1,'Renta Fija USD + Oro Conservado'!$B$18:$C$27,2,FALSE),0%)</f>
        <v>0</v>
      </c>
      <c r="AXI4" s="5">
        <f>IFERROR(VLOOKUP(AXI$1,'Renta Fija USD + Oro Conservado'!$B$18:$C$27,2,FALSE),0%)</f>
        <v>0</v>
      </c>
      <c r="AXJ4" s="5">
        <f>IFERROR(VLOOKUP(AXJ$1,'Renta Fija USD + Oro Conservado'!$B$18:$C$27,2,FALSE),0%)</f>
        <v>0</v>
      </c>
      <c r="AXK4" s="5">
        <f>IFERROR(VLOOKUP(AXK$1,'Renta Fija USD + Oro Conservado'!$B$18:$C$27,2,FALSE),0%)</f>
        <v>0</v>
      </c>
      <c r="AXL4" s="5">
        <f>IFERROR(VLOOKUP(AXL$1,'Renta Fija USD + Oro Conservado'!$B$18:$C$27,2,FALSE),0%)</f>
        <v>0</v>
      </c>
      <c r="AXM4" s="5">
        <f>IFERROR(VLOOKUP(AXM$1,'Renta Fija USD + Oro Conservado'!$B$18:$C$27,2,FALSE),0%)</f>
        <v>0</v>
      </c>
      <c r="AXN4" s="5">
        <f>IFERROR(VLOOKUP(AXN$1,'Renta Fija USD + Oro Conservado'!$B$18:$C$27,2,FALSE),0%)</f>
        <v>0</v>
      </c>
      <c r="AXO4" s="5">
        <f>IFERROR(VLOOKUP(AXO$1,'Renta Fija USD + Oro Conservado'!$B$18:$C$27,2,FALSE),0%)</f>
        <v>0</v>
      </c>
      <c r="AXP4" s="5">
        <f>IFERROR(VLOOKUP(AXP$1,'Renta Fija USD + Oro Conservado'!$B$18:$C$27,2,FALSE),0%)</f>
        <v>0</v>
      </c>
      <c r="AXQ4" s="5">
        <f>IFERROR(VLOOKUP(AXQ$1,'Renta Fija USD + Oro Conservado'!$B$18:$C$27,2,FALSE),0%)</f>
        <v>0</v>
      </c>
      <c r="AXR4" s="5">
        <f>IFERROR(VLOOKUP(AXR$1,'Renta Fija USD + Oro Conservado'!$B$18:$C$27,2,FALSE),0%)</f>
        <v>0</v>
      </c>
      <c r="AXS4" s="5">
        <f>IFERROR(VLOOKUP(AXS$1,'Renta Fija USD + Oro Conservado'!$B$18:$C$27,2,FALSE),0%)</f>
        <v>0</v>
      </c>
      <c r="AXT4" s="5">
        <f>IFERROR(VLOOKUP(AXT$1,'Renta Fija USD + Oro Conservado'!$B$18:$C$27,2,FALSE),0%)</f>
        <v>0</v>
      </c>
      <c r="AXU4" s="5">
        <f>IFERROR(VLOOKUP(AXU$1,'Renta Fija USD + Oro Conservado'!$B$18:$C$27,2,FALSE),0%)</f>
        <v>0</v>
      </c>
      <c r="AXV4" s="5">
        <f>IFERROR(VLOOKUP(AXV$1,'Renta Fija USD + Oro Conservado'!$B$18:$C$27,2,FALSE),0%)</f>
        <v>0</v>
      </c>
      <c r="AXW4" s="5">
        <f>IFERROR(VLOOKUP(AXW$1,'Renta Fija USD + Oro Conservado'!$B$18:$C$27,2,FALSE),0%)</f>
        <v>0</v>
      </c>
      <c r="AXX4" s="5">
        <f>IFERROR(VLOOKUP(AXX$1,'Renta Fija USD + Oro Conservado'!$B$18:$C$27,2,FALSE),0%)</f>
        <v>0</v>
      </c>
      <c r="AXY4" s="5">
        <f>IFERROR(VLOOKUP(AXY$1,'Renta Fija USD + Oro Conservado'!$B$18:$C$27,2,FALSE),0%)</f>
        <v>0</v>
      </c>
      <c r="AXZ4" s="5">
        <f>IFERROR(VLOOKUP(AXZ$1,'Renta Fija USD + Oro Conservado'!$B$18:$C$27,2,FALSE),0%)</f>
        <v>0</v>
      </c>
      <c r="AYA4" s="5">
        <f>IFERROR(VLOOKUP(AYA$1,'Renta Fija USD + Oro Conservado'!$B$18:$C$27,2,FALSE),0%)</f>
        <v>0</v>
      </c>
      <c r="AYB4" s="5">
        <f>IFERROR(VLOOKUP(AYB$1,'Renta Fija USD + Oro Conservado'!$B$18:$C$27,2,FALSE),0%)</f>
        <v>0</v>
      </c>
      <c r="AYC4" s="5">
        <f>IFERROR(VLOOKUP(AYC$1,'Renta Fija USD + Oro Conservado'!$B$18:$C$27,2,FALSE),0%)</f>
        <v>0</v>
      </c>
      <c r="AYD4" s="5">
        <f>IFERROR(VLOOKUP(AYD$1,'Renta Fija USD + Oro Conservado'!$B$18:$C$27,2,FALSE),0%)</f>
        <v>0</v>
      </c>
      <c r="AYE4" s="5">
        <f>IFERROR(VLOOKUP(AYE$1,'Renta Fija USD + Oro Conservado'!$B$18:$C$27,2,FALSE),0%)</f>
        <v>0</v>
      </c>
      <c r="AYF4" s="5">
        <f>IFERROR(VLOOKUP(AYF$1,'Renta Fija USD + Oro Conservado'!$B$18:$C$27,2,FALSE),0%)</f>
        <v>0</v>
      </c>
      <c r="AYG4" s="5">
        <f>IFERROR(VLOOKUP(AYG$1,'Renta Fija USD + Oro Conservado'!$B$18:$C$27,2,FALSE),0%)</f>
        <v>0</v>
      </c>
      <c r="AYH4" s="5">
        <f>IFERROR(VLOOKUP(AYH$1,'Renta Fija USD + Oro Conservado'!$B$18:$C$27,2,FALSE),0%)</f>
        <v>0</v>
      </c>
      <c r="AYI4" s="5">
        <f>IFERROR(VLOOKUP(AYI$1,'Renta Fija USD + Oro Conservado'!$B$18:$C$27,2,FALSE),0%)</f>
        <v>0</v>
      </c>
      <c r="AYJ4" s="5">
        <f>IFERROR(VLOOKUP(AYJ$1,'Renta Fija USD + Oro Conservado'!$B$18:$C$27,2,FALSE),0%)</f>
        <v>0</v>
      </c>
      <c r="AYK4" s="5">
        <f>IFERROR(VLOOKUP(AYK$1,'Renta Fija USD + Oro Conservado'!$B$18:$C$27,2,FALSE),0%)</f>
        <v>0</v>
      </c>
      <c r="AYL4" s="5">
        <f>IFERROR(VLOOKUP(AYL$1,'Renta Fija USD + Oro Conservado'!$B$18:$C$27,2,FALSE),0%)</f>
        <v>0</v>
      </c>
      <c r="AYM4" s="5">
        <f>IFERROR(VLOOKUP(AYM$1,'Renta Fija USD + Oro Conservado'!$B$18:$C$27,2,FALSE),0%)</f>
        <v>0</v>
      </c>
      <c r="AYN4" s="5">
        <f>IFERROR(VLOOKUP(AYN$1,'Renta Fija USD + Oro Conservado'!$B$18:$C$27,2,FALSE),0%)</f>
        <v>0</v>
      </c>
      <c r="AYO4" s="5">
        <f>IFERROR(VLOOKUP(AYO$1,'Renta Fija USD + Oro Conservado'!$B$18:$C$27,2,FALSE),0%)</f>
        <v>0</v>
      </c>
      <c r="AYP4" s="5">
        <f>IFERROR(VLOOKUP(AYP$1,'Renta Fija USD + Oro Conservado'!$B$18:$C$27,2,FALSE),0%)</f>
        <v>0</v>
      </c>
      <c r="AYQ4" s="5">
        <f>IFERROR(VLOOKUP(AYQ$1,'Renta Fija USD + Oro Conservado'!$B$18:$C$27,2,FALSE),0%)</f>
        <v>0</v>
      </c>
      <c r="AYR4" s="5">
        <f>IFERROR(VLOOKUP(AYR$1,'Renta Fija USD + Oro Conservado'!$B$18:$C$27,2,FALSE),0%)</f>
        <v>0</v>
      </c>
      <c r="AYS4" s="5">
        <f>IFERROR(VLOOKUP(AYS$1,'Renta Fija USD + Oro Conservado'!$B$18:$C$27,2,FALSE),0%)</f>
        <v>0</v>
      </c>
      <c r="AYT4" s="5">
        <f>IFERROR(VLOOKUP(AYT$1,'Renta Fija USD + Oro Conservado'!$B$18:$C$27,2,FALSE),0%)</f>
        <v>0</v>
      </c>
      <c r="AYU4" s="5">
        <f>IFERROR(VLOOKUP(AYU$1,'Renta Fija USD + Oro Conservado'!$B$18:$C$27,2,FALSE),0%)</f>
        <v>0</v>
      </c>
      <c r="AYV4" s="5">
        <f>IFERROR(VLOOKUP(AYV$1,'Renta Fija USD + Oro Conservado'!$B$18:$C$27,2,FALSE),0%)</f>
        <v>0</v>
      </c>
      <c r="AYW4" s="5">
        <f>IFERROR(VLOOKUP(AYW$1,'Renta Fija USD + Oro Conservado'!$B$18:$C$27,2,FALSE),0%)</f>
        <v>0</v>
      </c>
      <c r="AYX4" s="5">
        <f>IFERROR(VLOOKUP(AYX$1,'Renta Fija USD + Oro Conservado'!$B$18:$C$27,2,FALSE),0%)</f>
        <v>0</v>
      </c>
      <c r="AYY4" s="5">
        <f>IFERROR(VLOOKUP(AYY$1,'Renta Fija USD + Oro Conservado'!$B$18:$C$27,2,FALSE),0%)</f>
        <v>0</v>
      </c>
      <c r="AYZ4" s="5">
        <f>IFERROR(VLOOKUP(AYZ$1,'Renta Fija USD + Oro Conservado'!$B$18:$C$27,2,FALSE),0%)</f>
        <v>0</v>
      </c>
      <c r="AZA4" s="5">
        <f>IFERROR(VLOOKUP(AZA$1,'Renta Fija USD + Oro Conservado'!$B$18:$C$27,2,FALSE),0%)</f>
        <v>0</v>
      </c>
      <c r="AZB4" s="5">
        <f>IFERROR(VLOOKUP(AZB$1,'Renta Fija USD + Oro Conservado'!$B$18:$C$27,2,FALSE),0%)</f>
        <v>0</v>
      </c>
      <c r="AZC4" s="5">
        <f>IFERROR(VLOOKUP(AZC$1,'Renta Fija USD + Oro Conservado'!$B$18:$C$27,2,FALSE),0%)</f>
        <v>0</v>
      </c>
      <c r="AZD4" s="5">
        <f>IFERROR(VLOOKUP(AZD$1,'Renta Fija USD + Oro Conservado'!$B$18:$C$27,2,FALSE),0%)</f>
        <v>0</v>
      </c>
      <c r="AZE4" s="5">
        <f>IFERROR(VLOOKUP(AZE$1,'Renta Fija USD + Oro Conservado'!$B$18:$C$27,2,FALSE),0%)</f>
        <v>0</v>
      </c>
      <c r="AZF4" s="5">
        <f>IFERROR(VLOOKUP(AZF$1,'Renta Fija USD + Oro Conservado'!$B$18:$C$27,2,FALSE),0%)</f>
        <v>0</v>
      </c>
      <c r="AZG4" s="5">
        <f>IFERROR(VLOOKUP(AZG$1,'Renta Fija USD + Oro Conservado'!$B$18:$C$27,2,FALSE),0%)</f>
        <v>0</v>
      </c>
      <c r="AZH4" s="5">
        <f>IFERROR(VLOOKUP(AZH$1,'Renta Fija USD + Oro Conservado'!$B$18:$C$27,2,FALSE),0%)</f>
        <v>0</v>
      </c>
      <c r="AZI4" s="5">
        <f>IFERROR(VLOOKUP(AZI$1,'Renta Fija USD + Oro Conservado'!$B$18:$C$27,2,FALSE),0%)</f>
        <v>0</v>
      </c>
      <c r="AZJ4" s="5">
        <f>IFERROR(VLOOKUP(AZJ$1,'Renta Fija USD + Oro Conservado'!$B$18:$C$27,2,FALSE),0%)</f>
        <v>0</v>
      </c>
      <c r="AZK4" s="5">
        <f>IFERROR(VLOOKUP(AZK$1,'Renta Fija USD + Oro Conservado'!$B$18:$C$27,2,FALSE),0%)</f>
        <v>0</v>
      </c>
      <c r="AZL4" s="5">
        <f>IFERROR(VLOOKUP(AZL$1,'Renta Fija USD + Oro Conservado'!$B$18:$C$27,2,FALSE),0%)</f>
        <v>0</v>
      </c>
      <c r="AZM4" s="5">
        <f>IFERROR(VLOOKUP(AZM$1,'Renta Fija USD + Oro Conservado'!$B$18:$C$27,2,FALSE),0%)</f>
        <v>0</v>
      </c>
      <c r="AZN4" s="5">
        <f>IFERROR(VLOOKUP(AZN$1,'Renta Fija USD + Oro Conservado'!$B$18:$C$27,2,FALSE),0%)</f>
        <v>0</v>
      </c>
      <c r="AZO4" s="5">
        <f>IFERROR(VLOOKUP(AZO$1,'Renta Fija USD + Oro Conservado'!$B$18:$C$27,2,FALSE),0%)</f>
        <v>0</v>
      </c>
      <c r="AZP4" s="5">
        <f>IFERROR(VLOOKUP(AZP$1,'Renta Fija USD + Oro Conservado'!$B$18:$C$27,2,FALSE),0%)</f>
        <v>0</v>
      </c>
      <c r="AZQ4" s="5">
        <f>IFERROR(VLOOKUP(AZQ$1,'Renta Fija USD + Oro Conservado'!$B$18:$C$27,2,FALSE),0%)</f>
        <v>0</v>
      </c>
      <c r="AZR4" s="5">
        <f>IFERROR(VLOOKUP(AZR$1,'Renta Fija USD + Oro Conservado'!$B$18:$C$27,2,FALSE),0%)</f>
        <v>0</v>
      </c>
      <c r="AZS4" s="5">
        <f>IFERROR(VLOOKUP(AZS$1,'Renta Fija USD + Oro Conservado'!$B$18:$C$27,2,FALSE),0%)</f>
        <v>0</v>
      </c>
      <c r="AZT4" s="5">
        <f>IFERROR(VLOOKUP(AZT$1,'Renta Fija USD + Oro Conservado'!$B$18:$C$27,2,FALSE),0%)</f>
        <v>0</v>
      </c>
      <c r="AZU4" s="5">
        <f>IFERROR(VLOOKUP(AZU$1,'Renta Fija USD + Oro Conservado'!$B$18:$C$27,2,FALSE),0%)</f>
        <v>0</v>
      </c>
      <c r="AZV4" s="5">
        <f>IFERROR(VLOOKUP(AZV$1,'Renta Fija USD + Oro Conservado'!$B$18:$C$27,2,FALSE),0%)</f>
        <v>0</v>
      </c>
      <c r="AZW4" s="5">
        <f>IFERROR(VLOOKUP(AZW$1,'Renta Fija USD + Oro Conservado'!$B$18:$C$27,2,FALSE),0%)</f>
        <v>0</v>
      </c>
      <c r="AZX4" s="5">
        <f>IFERROR(VLOOKUP(AZX$1,'Renta Fija USD + Oro Conservado'!$B$18:$C$27,2,FALSE),0%)</f>
        <v>0</v>
      </c>
      <c r="AZY4" s="5">
        <f>IFERROR(VLOOKUP(AZY$1,'Renta Fija USD + Oro Conservado'!$B$18:$C$27,2,FALSE),0%)</f>
        <v>0</v>
      </c>
      <c r="AZZ4" s="5">
        <f>IFERROR(VLOOKUP(AZZ$1,'Renta Fija USD + Oro Conservado'!$B$18:$C$27,2,FALSE),0%)</f>
        <v>0</v>
      </c>
      <c r="BAA4" s="5">
        <f>IFERROR(VLOOKUP(BAA$1,'Renta Fija USD + Oro Conservado'!$B$18:$C$27,2,FALSE),0%)</f>
        <v>0</v>
      </c>
      <c r="BAB4" s="5">
        <f>IFERROR(VLOOKUP(BAB$1,'Renta Fija USD + Oro Conservado'!$B$18:$C$27,2,FALSE),0%)</f>
        <v>0</v>
      </c>
      <c r="BAC4" s="5">
        <f>IFERROR(VLOOKUP(BAC$1,'Renta Fija USD + Oro Conservado'!$B$18:$C$27,2,FALSE),0%)</f>
        <v>0</v>
      </c>
      <c r="BAD4" s="5">
        <f>IFERROR(VLOOKUP(BAD$1,'Renta Fija USD + Oro Conservado'!$B$18:$C$27,2,FALSE),0%)</f>
        <v>0</v>
      </c>
      <c r="BAE4" s="5">
        <f>IFERROR(VLOOKUP(BAE$1,'Renta Fija USD + Oro Conservado'!$B$18:$C$27,2,FALSE),0%)</f>
        <v>0</v>
      </c>
      <c r="BAF4" s="5">
        <f>IFERROR(VLOOKUP(BAF$1,'Renta Fija USD + Oro Conservado'!$B$18:$C$27,2,FALSE),0%)</f>
        <v>0</v>
      </c>
      <c r="BAG4" s="5">
        <f>IFERROR(VLOOKUP(BAG$1,'Renta Fija USD + Oro Conservado'!$B$18:$C$27,2,FALSE),0%)</f>
        <v>0</v>
      </c>
      <c r="BAH4" s="5">
        <f>IFERROR(VLOOKUP(BAH$1,'Renta Fija USD + Oro Conservado'!$B$18:$C$27,2,FALSE),0%)</f>
        <v>0</v>
      </c>
      <c r="BAI4" s="5">
        <f>IFERROR(VLOOKUP(BAI$1,'Renta Fija USD + Oro Conservado'!$B$18:$C$27,2,FALSE),0%)</f>
        <v>0</v>
      </c>
      <c r="BAJ4" s="5">
        <f>IFERROR(VLOOKUP(BAJ$1,'Renta Fija USD + Oro Conservado'!$B$18:$C$27,2,FALSE),0%)</f>
        <v>0</v>
      </c>
      <c r="BAK4" s="5">
        <f>IFERROR(VLOOKUP(BAK$1,'Renta Fija USD + Oro Conservado'!$B$18:$C$27,2,FALSE),0%)</f>
        <v>0</v>
      </c>
      <c r="BAL4" s="5">
        <f>IFERROR(VLOOKUP(BAL$1,'Renta Fija USD + Oro Conservado'!$B$18:$C$27,2,FALSE),0%)</f>
        <v>0</v>
      </c>
      <c r="BAM4" s="5">
        <f>IFERROR(VLOOKUP(BAM$1,'Renta Fija USD + Oro Conservado'!$B$18:$C$27,2,FALSE),0%)</f>
        <v>0</v>
      </c>
      <c r="BAN4" s="5">
        <f>IFERROR(VLOOKUP(BAN$1,'Renta Fija USD + Oro Conservado'!$B$18:$C$27,2,FALSE),0%)</f>
        <v>0</v>
      </c>
      <c r="BAO4" s="5">
        <f>IFERROR(VLOOKUP(BAO$1,'Renta Fija USD + Oro Conservado'!$B$18:$C$27,2,FALSE),0%)</f>
        <v>0</v>
      </c>
      <c r="BAP4" s="5">
        <f>IFERROR(VLOOKUP(BAP$1,'Renta Fija USD + Oro Conservado'!$B$18:$C$27,2,FALSE),0%)</f>
        <v>0</v>
      </c>
      <c r="BAQ4" s="5">
        <f>IFERROR(VLOOKUP(BAQ$1,'Renta Fija USD + Oro Conservado'!$B$18:$C$27,2,FALSE),0%)</f>
        <v>0</v>
      </c>
      <c r="BAR4" s="5">
        <f>IFERROR(VLOOKUP(BAR$1,'Renta Fija USD + Oro Conservado'!$B$18:$C$27,2,FALSE),0%)</f>
        <v>0</v>
      </c>
      <c r="BAS4" s="5">
        <f>IFERROR(VLOOKUP(BAS$1,'Renta Fija USD + Oro Conservado'!$B$18:$C$27,2,FALSE),0%)</f>
        <v>0</v>
      </c>
      <c r="BAT4" s="5">
        <f>IFERROR(VLOOKUP(BAT$1,'Renta Fija USD + Oro Conservado'!$B$18:$C$27,2,FALSE),0%)</f>
        <v>0</v>
      </c>
      <c r="BAU4" s="5">
        <f>IFERROR(VLOOKUP(BAU$1,'Renta Fija USD + Oro Conservado'!$B$18:$C$27,2,FALSE),0%)</f>
        <v>0</v>
      </c>
      <c r="BAV4" s="5">
        <f>IFERROR(VLOOKUP(BAV$1,'Renta Fija USD + Oro Conservado'!$B$18:$C$27,2,FALSE),0%)</f>
        <v>0</v>
      </c>
      <c r="BAW4" s="5">
        <f>IFERROR(VLOOKUP(BAW$1,'Renta Fija USD + Oro Conservado'!$B$18:$C$27,2,FALSE),0%)</f>
        <v>0</v>
      </c>
      <c r="BAX4" s="5">
        <f>IFERROR(VLOOKUP(BAX$1,'Renta Fija USD + Oro Conservado'!$B$18:$C$27,2,FALSE),0%)</f>
        <v>0</v>
      </c>
      <c r="BAY4" s="5">
        <f>IFERROR(VLOOKUP(BAY$1,'Renta Fija USD + Oro Conservado'!$B$18:$C$27,2,FALSE),0%)</f>
        <v>0</v>
      </c>
      <c r="BAZ4" s="5">
        <f>IFERROR(VLOOKUP(BAZ$1,'Renta Fija USD + Oro Conservado'!$B$18:$C$27,2,FALSE),0%)</f>
        <v>0</v>
      </c>
      <c r="BBA4" s="5">
        <f>IFERROR(VLOOKUP(BBA$1,'Renta Fija USD + Oro Conservado'!$B$18:$C$27,2,FALSE),0%)</f>
        <v>0</v>
      </c>
      <c r="BBB4" s="5">
        <f>IFERROR(VLOOKUP(BBB$1,'Renta Fija USD + Oro Conservado'!$B$18:$C$27,2,FALSE),0%)</f>
        <v>0</v>
      </c>
      <c r="BBC4" s="5">
        <f>IFERROR(VLOOKUP(BBC$1,'Renta Fija USD + Oro Conservado'!$B$18:$C$27,2,FALSE),0%)</f>
        <v>0</v>
      </c>
      <c r="BBD4" s="5">
        <f>IFERROR(VLOOKUP(BBD$1,'Renta Fija USD + Oro Conservado'!$B$18:$C$27,2,FALSE),0%)</f>
        <v>0</v>
      </c>
      <c r="BBE4" s="5">
        <f>IFERROR(VLOOKUP(BBE$1,'Renta Fija USD + Oro Conservado'!$B$18:$C$27,2,FALSE),0%)</f>
        <v>0</v>
      </c>
      <c r="BBF4" s="5">
        <f>IFERROR(VLOOKUP(BBF$1,'Renta Fija USD + Oro Conservado'!$B$18:$C$27,2,FALSE),0%)</f>
        <v>0</v>
      </c>
      <c r="BBG4" s="5">
        <f>IFERROR(VLOOKUP(BBG$1,'Renta Fija USD + Oro Conservado'!$B$18:$C$27,2,FALSE),0%)</f>
        <v>0</v>
      </c>
      <c r="BBH4" s="5">
        <f>IFERROR(VLOOKUP(BBH$1,'Renta Fija USD + Oro Conservado'!$B$18:$C$27,2,FALSE),0%)</f>
        <v>0</v>
      </c>
      <c r="BBI4" s="5">
        <f>IFERROR(VLOOKUP(BBI$1,'Renta Fija USD + Oro Conservado'!$B$18:$C$27,2,FALSE),0%)</f>
        <v>0</v>
      </c>
      <c r="BBJ4" s="5">
        <f>IFERROR(VLOOKUP(BBJ$1,'Renta Fija USD + Oro Conservado'!$B$18:$C$27,2,FALSE),0%)</f>
        <v>0</v>
      </c>
      <c r="BBK4" s="5">
        <f>IFERROR(VLOOKUP(BBK$1,'Renta Fija USD + Oro Conservado'!$B$18:$C$27,2,FALSE),0%)</f>
        <v>0</v>
      </c>
      <c r="BBL4" s="5">
        <f>IFERROR(VLOOKUP(BBL$1,'Renta Fija USD + Oro Conservado'!$B$18:$C$27,2,FALSE),0%)</f>
        <v>0</v>
      </c>
      <c r="BBM4" s="5">
        <f>IFERROR(VLOOKUP(BBM$1,'Renta Fija USD + Oro Conservado'!$B$18:$C$27,2,FALSE),0%)</f>
        <v>0</v>
      </c>
      <c r="BBN4" s="5">
        <f>IFERROR(VLOOKUP(BBN$1,'Renta Fija USD + Oro Conservado'!$B$18:$C$27,2,FALSE),0%)</f>
        <v>0</v>
      </c>
      <c r="BBO4" s="5">
        <f>IFERROR(VLOOKUP(BBO$1,'Renta Fija USD + Oro Conservado'!$B$18:$C$27,2,FALSE),0%)</f>
        <v>0</v>
      </c>
      <c r="BBP4" s="5">
        <f>IFERROR(VLOOKUP(BBP$1,'Renta Fija USD + Oro Conservado'!$B$18:$C$27,2,FALSE),0%)</f>
        <v>0</v>
      </c>
      <c r="BBQ4" s="5">
        <f>IFERROR(VLOOKUP(BBQ$1,'Renta Fija USD + Oro Conservado'!$B$18:$C$27,2,FALSE),0%)</f>
        <v>0</v>
      </c>
      <c r="BBR4" s="5">
        <f>IFERROR(VLOOKUP(BBR$1,'Renta Fija USD + Oro Conservado'!$B$18:$C$27,2,FALSE),0%)</f>
        <v>0</v>
      </c>
      <c r="BBS4" s="5">
        <f>IFERROR(VLOOKUP(BBS$1,'Renta Fija USD + Oro Conservado'!$B$18:$C$27,2,FALSE),0%)</f>
        <v>0</v>
      </c>
      <c r="BBT4" s="5">
        <f>IFERROR(VLOOKUP(BBT$1,'Renta Fija USD + Oro Conservado'!$B$18:$C$27,2,FALSE),0%)</f>
        <v>0</v>
      </c>
      <c r="BBU4" s="5">
        <f>IFERROR(VLOOKUP(BBU$1,'Renta Fija USD + Oro Conservado'!$B$18:$C$27,2,FALSE),0%)</f>
        <v>0</v>
      </c>
      <c r="BBV4" s="5">
        <f>IFERROR(VLOOKUP(BBV$1,'Renta Fija USD + Oro Conservado'!$B$18:$C$27,2,FALSE),0%)</f>
        <v>0</v>
      </c>
      <c r="BBW4" s="5">
        <f>IFERROR(VLOOKUP(BBW$1,'Renta Fija USD + Oro Conservado'!$B$18:$C$27,2,FALSE),0%)</f>
        <v>0</v>
      </c>
      <c r="BBX4" s="5">
        <f>IFERROR(VLOOKUP(BBX$1,'Renta Fija USD + Oro Conservado'!$B$18:$C$27,2,FALSE),0%)</f>
        <v>0</v>
      </c>
      <c r="BBY4" s="5">
        <f>IFERROR(VLOOKUP(BBY$1,'Renta Fija USD + Oro Conservado'!$B$18:$C$27,2,FALSE),0%)</f>
        <v>0</v>
      </c>
      <c r="BBZ4" s="5">
        <f>IFERROR(VLOOKUP(BBZ$1,'Renta Fija USD + Oro Conservado'!$B$18:$C$27,2,FALSE),0%)</f>
        <v>0</v>
      </c>
      <c r="BCA4" s="5">
        <f>IFERROR(VLOOKUP(BCA$1,'Renta Fija USD + Oro Conservado'!$B$18:$C$27,2,FALSE),0%)</f>
        <v>0</v>
      </c>
      <c r="BCB4" s="5">
        <f>IFERROR(VLOOKUP(BCB$1,'Renta Fija USD + Oro Conservado'!$B$18:$C$27,2,FALSE),0%)</f>
        <v>0</v>
      </c>
      <c r="BCC4" s="5">
        <f>IFERROR(VLOOKUP(BCC$1,'Renta Fija USD + Oro Conservado'!$B$18:$C$27,2,FALSE),0%)</f>
        <v>0</v>
      </c>
      <c r="BCD4" s="5">
        <f>IFERROR(VLOOKUP(BCD$1,'Renta Fija USD + Oro Conservado'!$B$18:$C$27,2,FALSE),0%)</f>
        <v>0</v>
      </c>
      <c r="BCE4" s="5">
        <f>IFERROR(VLOOKUP(BCE$1,'Renta Fija USD + Oro Conservado'!$B$18:$C$27,2,FALSE),0%)</f>
        <v>0</v>
      </c>
      <c r="BCF4" s="5">
        <f>IFERROR(VLOOKUP(BCF$1,'Renta Fija USD + Oro Conservado'!$B$18:$C$27,2,FALSE),0%)</f>
        <v>0</v>
      </c>
      <c r="BCG4" s="5">
        <f>IFERROR(VLOOKUP(BCG$1,'Renta Fija USD + Oro Conservado'!$B$18:$C$27,2,FALSE),0%)</f>
        <v>0</v>
      </c>
      <c r="BCH4" s="5">
        <f>IFERROR(VLOOKUP(BCH$1,'Renta Fija USD + Oro Conservado'!$B$18:$C$27,2,FALSE),0%)</f>
        <v>0</v>
      </c>
      <c r="BCI4" s="5">
        <f>IFERROR(VLOOKUP(BCI$1,'Renta Fija USD + Oro Conservado'!$B$18:$C$27,2,FALSE),0%)</f>
        <v>0</v>
      </c>
      <c r="BCJ4" s="5">
        <f>IFERROR(VLOOKUP(BCJ$1,'Renta Fija USD + Oro Conservado'!$B$18:$C$27,2,FALSE),0%)</f>
        <v>0</v>
      </c>
      <c r="BCK4" s="5">
        <f>IFERROR(VLOOKUP(BCK$1,'Renta Fija USD + Oro Conservado'!$B$18:$C$27,2,FALSE),0%)</f>
        <v>0</v>
      </c>
      <c r="BCL4" s="5">
        <f>IFERROR(VLOOKUP(BCL$1,'Renta Fija USD + Oro Conservado'!$B$18:$C$27,2,FALSE),0%)</f>
        <v>0</v>
      </c>
      <c r="BCM4" s="5">
        <f>IFERROR(VLOOKUP(BCM$1,'Renta Fija USD + Oro Conservado'!$B$18:$C$27,2,FALSE),0%)</f>
        <v>0</v>
      </c>
      <c r="BCN4" s="5">
        <f>IFERROR(VLOOKUP(BCN$1,'Renta Fija USD + Oro Conservado'!$B$18:$C$27,2,FALSE),0%)</f>
        <v>0</v>
      </c>
      <c r="BCO4" s="5">
        <f>IFERROR(VLOOKUP(BCO$1,'Renta Fija USD + Oro Conservado'!$B$18:$C$27,2,FALSE),0%)</f>
        <v>0</v>
      </c>
      <c r="BCP4" s="5">
        <f>IFERROR(VLOOKUP(BCP$1,'Renta Fija USD + Oro Conservado'!$B$18:$C$27,2,FALSE),0%)</f>
        <v>0</v>
      </c>
      <c r="BCQ4" s="5">
        <f>IFERROR(VLOOKUP(BCQ$1,'Renta Fija USD + Oro Conservado'!$B$18:$C$27,2,FALSE),0%)</f>
        <v>0</v>
      </c>
      <c r="BCR4" s="5">
        <f>IFERROR(VLOOKUP(BCR$1,'Renta Fija USD + Oro Conservado'!$B$18:$C$27,2,FALSE),0%)</f>
        <v>0</v>
      </c>
      <c r="BCS4" s="5">
        <f>IFERROR(VLOOKUP(BCS$1,'Renta Fija USD + Oro Conservado'!$B$18:$C$27,2,FALSE),0%)</f>
        <v>0</v>
      </c>
      <c r="BCT4" s="5">
        <f>IFERROR(VLOOKUP(BCT$1,'Renta Fija USD + Oro Conservado'!$B$18:$C$27,2,FALSE),0%)</f>
        <v>0</v>
      </c>
      <c r="BCU4" s="5">
        <f>IFERROR(VLOOKUP(BCU$1,'Renta Fija USD + Oro Conservado'!$B$18:$C$27,2,FALSE),0%)</f>
        <v>0</v>
      </c>
      <c r="BCV4" s="5">
        <f>IFERROR(VLOOKUP(BCV$1,'Renta Fija USD + Oro Conservado'!$B$18:$C$27,2,FALSE),0%)</f>
        <v>0</v>
      </c>
      <c r="BCW4" s="5">
        <f>IFERROR(VLOOKUP(BCW$1,'Renta Fija USD + Oro Conservado'!$B$18:$C$27,2,FALSE),0%)</f>
        <v>0</v>
      </c>
      <c r="BCX4" s="5">
        <f>IFERROR(VLOOKUP(BCX$1,'Renta Fija USD + Oro Conservado'!$B$18:$C$27,2,FALSE),0%)</f>
        <v>0</v>
      </c>
      <c r="BCY4" s="5">
        <f>IFERROR(VLOOKUP(BCY$1,'Renta Fija USD + Oro Conservado'!$B$18:$C$27,2,FALSE),0%)</f>
        <v>0</v>
      </c>
      <c r="BCZ4" s="5">
        <f>IFERROR(VLOOKUP(BCZ$1,'Renta Fija USD + Oro Conservado'!$B$18:$C$27,2,FALSE),0%)</f>
        <v>0</v>
      </c>
      <c r="BDA4" s="5">
        <f>IFERROR(VLOOKUP(BDA$1,'Renta Fija USD + Oro Conservado'!$B$18:$C$27,2,FALSE),0%)</f>
        <v>0</v>
      </c>
      <c r="BDB4" s="5">
        <f>IFERROR(VLOOKUP(BDB$1,'Renta Fija USD + Oro Conservado'!$B$18:$C$27,2,FALSE),0%)</f>
        <v>0</v>
      </c>
      <c r="BDC4" s="5">
        <f>IFERROR(VLOOKUP(BDC$1,'Renta Fija USD + Oro Conservado'!$B$18:$C$27,2,FALSE),0%)</f>
        <v>0</v>
      </c>
      <c r="BDD4" s="5">
        <f>IFERROR(VLOOKUP(BDD$1,'Renta Fija USD + Oro Conservado'!$B$18:$C$27,2,FALSE),0%)</f>
        <v>0</v>
      </c>
      <c r="BDE4" s="5">
        <f>IFERROR(VLOOKUP(BDE$1,'Renta Fija USD + Oro Conservado'!$B$18:$C$27,2,FALSE),0%)</f>
        <v>0</v>
      </c>
      <c r="BDF4" s="5">
        <f>IFERROR(VLOOKUP(BDF$1,'Renta Fija USD + Oro Conservado'!$B$18:$C$27,2,FALSE),0%)</f>
        <v>0</v>
      </c>
      <c r="BDG4" s="5">
        <f>IFERROR(VLOOKUP(BDG$1,'Renta Fija USD + Oro Conservado'!$B$18:$C$27,2,FALSE),0%)</f>
        <v>0</v>
      </c>
      <c r="BDH4" s="5">
        <f>IFERROR(VLOOKUP(BDH$1,'Renta Fija USD + Oro Conservado'!$B$18:$C$27,2,FALSE),0%)</f>
        <v>0</v>
      </c>
      <c r="BDI4" s="5">
        <f>IFERROR(VLOOKUP(BDI$1,'Renta Fija USD + Oro Conservado'!$B$18:$C$27,2,FALSE),0%)</f>
        <v>0</v>
      </c>
      <c r="BDJ4" s="5">
        <f>IFERROR(VLOOKUP(BDJ$1,'Renta Fija USD + Oro Conservado'!$B$18:$C$27,2,FALSE),0%)</f>
        <v>0</v>
      </c>
      <c r="BDK4" s="5">
        <f>IFERROR(VLOOKUP(BDK$1,'Renta Fija USD + Oro Conservado'!$B$18:$C$27,2,FALSE),0%)</f>
        <v>0</v>
      </c>
      <c r="BDL4" s="5">
        <f>IFERROR(VLOOKUP(BDL$1,'Renta Fija USD + Oro Conservado'!$B$18:$C$27,2,FALSE),0%)</f>
        <v>0</v>
      </c>
      <c r="BDM4" s="5">
        <f>IFERROR(VLOOKUP(BDM$1,'Renta Fija USD + Oro Conservado'!$B$18:$C$27,2,FALSE),0%)</f>
        <v>0</v>
      </c>
      <c r="BDN4" s="5">
        <f>IFERROR(VLOOKUP(BDN$1,'Renta Fija USD + Oro Conservado'!$B$18:$C$27,2,FALSE),0%)</f>
        <v>0</v>
      </c>
      <c r="BDO4" s="5">
        <f>IFERROR(VLOOKUP(BDO$1,'Renta Fija USD + Oro Conservado'!$B$18:$C$27,2,FALSE),0%)</f>
        <v>0</v>
      </c>
      <c r="BDP4" s="5">
        <f>IFERROR(VLOOKUP(BDP$1,'Renta Fija USD + Oro Conservado'!$B$18:$C$27,2,FALSE),0%)</f>
        <v>0</v>
      </c>
      <c r="BDQ4" s="5">
        <f>IFERROR(VLOOKUP(BDQ$1,'Renta Fija USD + Oro Conservado'!$B$18:$C$27,2,FALSE),0%)</f>
        <v>0</v>
      </c>
      <c r="BDR4" s="5">
        <f>IFERROR(VLOOKUP(BDR$1,'Renta Fija USD + Oro Conservado'!$B$18:$C$27,2,FALSE),0%)</f>
        <v>0</v>
      </c>
      <c r="BDS4" s="5">
        <f>IFERROR(VLOOKUP(BDS$1,'Renta Fija USD + Oro Conservado'!$B$18:$C$27,2,FALSE),0%)</f>
        <v>0</v>
      </c>
      <c r="BDT4" s="5">
        <f>IFERROR(VLOOKUP(BDT$1,'Renta Fija USD + Oro Conservado'!$B$18:$C$27,2,FALSE),0%)</f>
        <v>0</v>
      </c>
      <c r="BDU4" s="5">
        <f>IFERROR(VLOOKUP(BDU$1,'Renta Fija USD + Oro Conservado'!$B$18:$C$27,2,FALSE),0%)</f>
        <v>0</v>
      </c>
      <c r="BDV4" s="5">
        <f>IFERROR(VLOOKUP(BDV$1,'Renta Fija USD + Oro Conservado'!$B$18:$C$27,2,FALSE),0%)</f>
        <v>0</v>
      </c>
      <c r="BDW4" s="5">
        <f>IFERROR(VLOOKUP(BDW$1,'Renta Fija USD + Oro Conservado'!$B$18:$C$27,2,FALSE),0%)</f>
        <v>0</v>
      </c>
      <c r="BDX4" s="5">
        <f>IFERROR(VLOOKUP(BDX$1,'Renta Fija USD + Oro Conservado'!$B$18:$C$27,2,FALSE),0%)</f>
        <v>0</v>
      </c>
      <c r="BDY4" s="5">
        <f>IFERROR(VLOOKUP(BDY$1,'Renta Fija USD + Oro Conservado'!$B$18:$C$27,2,FALSE),0%)</f>
        <v>0</v>
      </c>
      <c r="BDZ4" s="5">
        <f>IFERROR(VLOOKUP(BDZ$1,'Renta Fija USD + Oro Conservado'!$B$18:$C$27,2,FALSE),0%)</f>
        <v>0</v>
      </c>
      <c r="BEA4" s="5">
        <f>IFERROR(VLOOKUP(BEA$1,'Renta Fija USD + Oro Conservado'!$B$18:$C$27,2,FALSE),0%)</f>
        <v>0</v>
      </c>
      <c r="BEB4" s="5">
        <f>IFERROR(VLOOKUP(BEB$1,'Renta Fija USD + Oro Conservado'!$B$18:$C$27,2,FALSE),0%)</f>
        <v>0</v>
      </c>
      <c r="BEC4" s="5">
        <f>IFERROR(VLOOKUP(BEC$1,'Renta Fija USD + Oro Conservado'!$B$18:$C$27,2,FALSE),0%)</f>
        <v>0</v>
      </c>
      <c r="BED4" s="5">
        <f>IFERROR(VLOOKUP(BED$1,'Renta Fija USD + Oro Conservado'!$B$18:$C$27,2,FALSE),0%)</f>
        <v>0</v>
      </c>
      <c r="BEE4" s="5">
        <f>IFERROR(VLOOKUP(BEE$1,'Renta Fija USD + Oro Conservado'!$B$18:$C$27,2,FALSE),0%)</f>
        <v>0</v>
      </c>
      <c r="BEF4" s="5">
        <f>IFERROR(VLOOKUP(BEF$1,'Renta Fija USD + Oro Conservado'!$B$18:$C$27,2,FALSE),0%)</f>
        <v>0</v>
      </c>
      <c r="BEG4" s="5">
        <f>IFERROR(VLOOKUP(BEG$1,'Renta Fija USD + Oro Conservado'!$B$18:$C$27,2,FALSE),0%)</f>
        <v>0</v>
      </c>
      <c r="BEH4" s="5">
        <f>IFERROR(VLOOKUP(BEH$1,'Renta Fija USD + Oro Conservado'!$B$18:$C$27,2,FALSE),0%)</f>
        <v>0</v>
      </c>
      <c r="BEI4" s="5">
        <f>IFERROR(VLOOKUP(BEI$1,'Renta Fija USD + Oro Conservado'!$B$18:$C$27,2,FALSE),0%)</f>
        <v>0</v>
      </c>
      <c r="BEJ4" s="5">
        <f>IFERROR(VLOOKUP(BEJ$1,'Renta Fija USD + Oro Conservado'!$B$18:$C$27,2,FALSE),0%)</f>
        <v>0</v>
      </c>
      <c r="BEK4" s="5">
        <f>IFERROR(VLOOKUP(BEK$1,'Renta Fija USD + Oro Conservado'!$B$18:$C$27,2,FALSE),0%)</f>
        <v>0</v>
      </c>
      <c r="BEL4" s="5">
        <f>IFERROR(VLOOKUP(BEL$1,'Renta Fija USD + Oro Conservado'!$B$18:$C$27,2,FALSE),0%)</f>
        <v>0</v>
      </c>
      <c r="BEM4" s="5">
        <f>IFERROR(VLOOKUP(BEM$1,'Renta Fija USD + Oro Conservado'!$B$18:$C$27,2,FALSE),0%)</f>
        <v>0</v>
      </c>
      <c r="BEN4" s="5">
        <f>IFERROR(VLOOKUP(BEN$1,'Renta Fija USD + Oro Conservado'!$B$18:$C$27,2,FALSE),0%)</f>
        <v>0</v>
      </c>
      <c r="BEO4" s="5">
        <f>IFERROR(VLOOKUP(BEO$1,'Renta Fija USD + Oro Conservado'!$B$18:$C$27,2,FALSE),0%)</f>
        <v>0</v>
      </c>
      <c r="BEP4" s="5">
        <f>IFERROR(VLOOKUP(BEP$1,'Renta Fija USD + Oro Conservado'!$B$18:$C$27,2,FALSE),0%)</f>
        <v>0</v>
      </c>
      <c r="BEQ4" s="5">
        <f>IFERROR(VLOOKUP(BEQ$1,'Renta Fija USD + Oro Conservado'!$B$18:$C$27,2,FALSE),0%)</f>
        <v>0</v>
      </c>
      <c r="BER4" s="5">
        <f>IFERROR(VLOOKUP(BER$1,'Renta Fija USD + Oro Conservado'!$B$18:$C$27,2,FALSE),0%)</f>
        <v>0</v>
      </c>
      <c r="BES4" s="5">
        <f>IFERROR(VLOOKUP(BES$1,'Renta Fija USD + Oro Conservado'!$B$18:$C$27,2,FALSE),0%)</f>
        <v>0</v>
      </c>
      <c r="BET4" s="5">
        <f>IFERROR(VLOOKUP(BET$1,'Renta Fija USD + Oro Conservado'!$B$18:$C$27,2,FALSE),0%)</f>
        <v>0</v>
      </c>
      <c r="BEU4" s="5">
        <f>IFERROR(VLOOKUP(BEU$1,'Renta Fija USD + Oro Conservado'!$B$18:$C$27,2,FALSE),0%)</f>
        <v>0</v>
      </c>
      <c r="BEV4" s="5">
        <f>IFERROR(VLOOKUP(BEV$1,'Renta Fija USD + Oro Conservado'!$B$18:$C$27,2,FALSE),0%)</f>
        <v>0</v>
      </c>
      <c r="BEW4" s="5">
        <f>IFERROR(VLOOKUP(BEW$1,'Renta Fija USD + Oro Conservado'!$B$18:$C$27,2,FALSE),0%)</f>
        <v>0</v>
      </c>
      <c r="BEX4" s="5">
        <f>IFERROR(VLOOKUP(BEX$1,'Renta Fija USD + Oro Conservado'!$B$18:$C$27,2,FALSE),0%)</f>
        <v>0</v>
      </c>
      <c r="BEY4" s="5">
        <f>IFERROR(VLOOKUP(BEY$1,'Renta Fija USD + Oro Conservado'!$B$18:$C$27,2,FALSE),0%)</f>
        <v>0</v>
      </c>
      <c r="BEZ4" s="5">
        <f>IFERROR(VLOOKUP(BEZ$1,'Renta Fija USD + Oro Conservado'!$B$18:$C$27,2,FALSE),0%)</f>
        <v>0</v>
      </c>
      <c r="BFA4" s="5">
        <f>IFERROR(VLOOKUP(BFA$1,'Renta Fija USD + Oro Conservado'!$B$18:$C$27,2,FALSE),0%)</f>
        <v>0</v>
      </c>
      <c r="BFB4" s="5">
        <f>IFERROR(VLOOKUP(BFB$1,'Renta Fija USD + Oro Conservado'!$B$18:$C$27,2,FALSE),0%)</f>
        <v>0</v>
      </c>
      <c r="BFC4" s="5">
        <f>IFERROR(VLOOKUP(BFC$1,'Renta Fija USD + Oro Conservado'!$B$18:$C$27,2,FALSE),0%)</f>
        <v>0</v>
      </c>
      <c r="BFD4" s="5">
        <f>IFERROR(VLOOKUP(BFD$1,'Renta Fija USD + Oro Conservado'!$B$18:$C$27,2,FALSE),0%)</f>
        <v>0</v>
      </c>
      <c r="BFE4" s="5">
        <f>IFERROR(VLOOKUP(BFE$1,'Renta Fija USD + Oro Conservado'!$B$18:$C$27,2,FALSE),0%)</f>
        <v>0</v>
      </c>
      <c r="BFF4" s="5">
        <f>IFERROR(VLOOKUP(BFF$1,'Renta Fija USD + Oro Conservado'!$B$18:$C$27,2,FALSE),0%)</f>
        <v>0</v>
      </c>
      <c r="BFG4" s="5">
        <f>IFERROR(VLOOKUP(BFG$1,'Renta Fija USD + Oro Conservado'!$B$18:$C$27,2,FALSE),0%)</f>
        <v>0</v>
      </c>
      <c r="BFH4" s="5">
        <f>IFERROR(VLOOKUP(BFH$1,'Renta Fija USD + Oro Conservado'!$B$18:$C$27,2,FALSE),0%)</f>
        <v>0</v>
      </c>
      <c r="BFI4" s="5">
        <f>IFERROR(VLOOKUP(BFI$1,'Renta Fija USD + Oro Conservado'!$B$18:$C$27,2,FALSE),0%)</f>
        <v>0</v>
      </c>
      <c r="BFJ4" s="5">
        <f>IFERROR(VLOOKUP(BFJ$1,'Renta Fija USD + Oro Conservado'!$B$18:$C$27,2,FALSE),0%)</f>
        <v>0</v>
      </c>
      <c r="BFK4" s="5">
        <f>IFERROR(VLOOKUP(BFK$1,'Renta Fija USD + Oro Conservado'!$B$18:$C$27,2,FALSE),0%)</f>
        <v>0</v>
      </c>
      <c r="BFL4" s="5">
        <f>IFERROR(VLOOKUP(BFL$1,'Renta Fija USD + Oro Conservado'!$B$18:$C$27,2,FALSE),0%)</f>
        <v>0</v>
      </c>
      <c r="BFM4" s="5">
        <f>IFERROR(VLOOKUP(BFM$1,'Renta Fija USD + Oro Conservado'!$B$18:$C$27,2,FALSE),0%)</f>
        <v>0</v>
      </c>
      <c r="BFN4" s="5">
        <f>IFERROR(VLOOKUP(BFN$1,'Renta Fija USD + Oro Conservado'!$B$18:$C$27,2,FALSE),0%)</f>
        <v>0</v>
      </c>
      <c r="BFO4" s="5">
        <f>IFERROR(VLOOKUP(BFO$1,'Renta Fija USD + Oro Conservado'!$B$18:$C$27,2,FALSE),0%)</f>
        <v>0</v>
      </c>
      <c r="BFP4" s="5">
        <f>IFERROR(VLOOKUP(BFP$1,'Renta Fija USD + Oro Conservado'!$B$18:$C$27,2,FALSE),0%)</f>
        <v>0</v>
      </c>
      <c r="BFQ4" s="5">
        <f>IFERROR(VLOOKUP(BFQ$1,'Renta Fija USD + Oro Conservado'!$B$18:$C$27,2,FALSE),0%)</f>
        <v>0</v>
      </c>
      <c r="BFR4" s="5">
        <f>IFERROR(VLOOKUP(BFR$1,'Renta Fija USD + Oro Conservado'!$B$18:$C$27,2,FALSE),0%)</f>
        <v>0</v>
      </c>
      <c r="BFS4" s="5">
        <f>IFERROR(VLOOKUP(BFS$1,'Renta Fija USD + Oro Conservado'!$B$18:$C$27,2,FALSE),0%)</f>
        <v>0</v>
      </c>
      <c r="BFT4" s="5">
        <f>IFERROR(VLOOKUP(BFT$1,'Renta Fija USD + Oro Conservado'!$B$18:$C$27,2,FALSE),0%)</f>
        <v>0</v>
      </c>
      <c r="BFU4" s="5">
        <f>IFERROR(VLOOKUP(BFU$1,'Renta Fija USD + Oro Conservado'!$B$18:$C$27,2,FALSE),0%)</f>
        <v>0</v>
      </c>
      <c r="BFV4" s="5">
        <f>IFERROR(VLOOKUP(BFV$1,'Renta Fija USD + Oro Conservado'!$B$18:$C$27,2,FALSE),0%)</f>
        <v>0</v>
      </c>
      <c r="BFW4" s="5">
        <f>IFERROR(VLOOKUP(BFW$1,'Renta Fija USD + Oro Conservado'!$B$18:$C$27,2,FALSE),0%)</f>
        <v>0</v>
      </c>
      <c r="BFX4" s="5">
        <f>IFERROR(VLOOKUP(BFX$1,'Renta Fija USD + Oro Conservado'!$B$18:$C$27,2,FALSE),0%)</f>
        <v>0</v>
      </c>
      <c r="BFY4" s="5">
        <f>IFERROR(VLOOKUP(BFY$1,'Renta Fija USD + Oro Conservado'!$B$18:$C$27,2,FALSE),0%)</f>
        <v>0</v>
      </c>
      <c r="BFZ4" s="5">
        <f>IFERROR(VLOOKUP(BFZ$1,'Renta Fija USD + Oro Conservado'!$B$18:$C$27,2,FALSE),0%)</f>
        <v>0</v>
      </c>
      <c r="BGA4" s="5">
        <f>IFERROR(VLOOKUP(BGA$1,'Renta Fija USD + Oro Conservado'!$B$18:$C$27,2,FALSE),0%)</f>
        <v>0</v>
      </c>
      <c r="BGB4" s="5">
        <f>IFERROR(VLOOKUP(BGB$1,'Renta Fija USD + Oro Conservado'!$B$18:$C$27,2,FALSE),0%)</f>
        <v>0</v>
      </c>
      <c r="BGC4" s="5">
        <f>IFERROR(VLOOKUP(BGC$1,'Renta Fija USD + Oro Conservado'!$B$18:$C$27,2,FALSE),0%)</f>
        <v>0</v>
      </c>
      <c r="BGD4" s="5">
        <f>IFERROR(VLOOKUP(BGD$1,'Renta Fija USD + Oro Conservado'!$B$18:$C$27,2,FALSE),0%)</f>
        <v>0</v>
      </c>
      <c r="BGE4" s="5">
        <f>IFERROR(VLOOKUP(BGE$1,'Renta Fija USD + Oro Conservado'!$B$18:$C$27,2,FALSE),0%)</f>
        <v>0</v>
      </c>
      <c r="BGF4" s="5">
        <f>IFERROR(VLOOKUP(BGF$1,'Renta Fija USD + Oro Conservado'!$B$18:$C$27,2,FALSE),0%)</f>
        <v>0</v>
      </c>
      <c r="BGG4" s="5">
        <f>IFERROR(VLOOKUP(BGG$1,'Renta Fija USD + Oro Conservado'!$B$18:$C$27,2,FALSE),0%)</f>
        <v>0</v>
      </c>
      <c r="BGH4" s="5">
        <f>IFERROR(VLOOKUP(BGH$1,'Renta Fija USD + Oro Conservado'!$B$18:$C$27,2,FALSE),0%)</f>
        <v>0</v>
      </c>
      <c r="BGI4" s="5">
        <f>IFERROR(VLOOKUP(BGI$1,'Renta Fija USD + Oro Conservado'!$B$18:$C$27,2,FALSE),0%)</f>
        <v>0</v>
      </c>
      <c r="BGJ4" s="5">
        <f>IFERROR(VLOOKUP(BGJ$1,'Renta Fija USD + Oro Conservado'!$B$18:$C$27,2,FALSE),0%)</f>
        <v>0</v>
      </c>
      <c r="BGK4" s="5">
        <f>IFERROR(VLOOKUP(BGK$1,'Renta Fija USD + Oro Conservado'!$B$18:$C$27,2,FALSE),0%)</f>
        <v>0</v>
      </c>
      <c r="BGL4" s="5">
        <f>IFERROR(VLOOKUP(BGL$1,'Renta Fija USD + Oro Conservado'!$B$18:$C$27,2,FALSE),0%)</f>
        <v>0</v>
      </c>
      <c r="BGM4" s="5">
        <f>IFERROR(VLOOKUP(BGM$1,'Renta Fija USD + Oro Conservado'!$B$18:$C$27,2,FALSE),0%)</f>
        <v>0</v>
      </c>
      <c r="BGN4" s="5">
        <f>IFERROR(VLOOKUP(BGN$1,'Renta Fija USD + Oro Conservado'!$B$18:$C$27,2,FALSE),0%)</f>
        <v>0</v>
      </c>
      <c r="BGO4" s="5">
        <f>IFERROR(VLOOKUP(BGO$1,'Renta Fija USD + Oro Conservado'!$B$18:$C$27,2,FALSE),0%)</f>
        <v>0</v>
      </c>
      <c r="BGP4" s="5">
        <f>IFERROR(VLOOKUP(BGP$1,'Renta Fija USD + Oro Conservado'!$B$18:$C$27,2,FALSE),0%)</f>
        <v>0</v>
      </c>
      <c r="BGQ4" s="5">
        <f>IFERROR(VLOOKUP(BGQ$1,'Renta Fija USD + Oro Conservado'!$B$18:$C$27,2,FALSE),0%)</f>
        <v>0</v>
      </c>
      <c r="BGR4" s="5">
        <f>IFERROR(VLOOKUP(BGR$1,'Renta Fija USD + Oro Conservado'!$B$18:$C$27,2,FALSE),0%)</f>
        <v>0</v>
      </c>
      <c r="BGS4" s="5">
        <f>IFERROR(VLOOKUP(BGS$1,'Renta Fija USD + Oro Conservado'!$B$18:$C$27,2,FALSE),0%)</f>
        <v>0</v>
      </c>
      <c r="BGT4" s="5">
        <f>IFERROR(VLOOKUP(BGT$1,'Renta Fija USD + Oro Conservado'!$B$18:$C$27,2,FALSE),0%)</f>
        <v>0</v>
      </c>
      <c r="BGU4" s="5">
        <f>IFERROR(VLOOKUP(BGU$1,'Renta Fija USD + Oro Conservado'!$B$18:$C$27,2,FALSE),0%)</f>
        <v>0</v>
      </c>
      <c r="BGV4" s="5">
        <f>IFERROR(VLOOKUP(BGV$1,'Renta Fija USD + Oro Conservado'!$B$18:$C$27,2,FALSE),0%)</f>
        <v>0</v>
      </c>
      <c r="BGW4" s="5">
        <f>IFERROR(VLOOKUP(BGW$1,'Renta Fija USD + Oro Conservado'!$B$18:$C$27,2,FALSE),0%)</f>
        <v>0</v>
      </c>
      <c r="BGX4" s="5">
        <f>IFERROR(VLOOKUP(BGX$1,'Renta Fija USD + Oro Conservado'!$B$18:$C$27,2,FALSE),0%)</f>
        <v>0</v>
      </c>
      <c r="BGY4" s="5">
        <f>IFERROR(VLOOKUP(BGY$1,'Renta Fija USD + Oro Conservado'!$B$18:$C$27,2,FALSE),0%)</f>
        <v>0</v>
      </c>
      <c r="BGZ4" s="5">
        <f>IFERROR(VLOOKUP(BGZ$1,'Renta Fija USD + Oro Conservado'!$B$18:$C$27,2,FALSE),0%)</f>
        <v>0</v>
      </c>
      <c r="BHA4" s="5">
        <f>IFERROR(VLOOKUP(BHA$1,'Renta Fija USD + Oro Conservado'!$B$18:$C$27,2,FALSE),0%)</f>
        <v>0</v>
      </c>
      <c r="BHB4" s="5">
        <f>IFERROR(VLOOKUP(BHB$1,'Renta Fija USD + Oro Conservado'!$B$18:$C$27,2,FALSE),0%)</f>
        <v>0</v>
      </c>
      <c r="BHC4" s="5">
        <f>IFERROR(VLOOKUP(BHC$1,'Renta Fija USD + Oro Conservado'!$B$18:$C$27,2,FALSE),0%)</f>
        <v>0</v>
      </c>
      <c r="BHD4" s="5">
        <f>IFERROR(VLOOKUP(BHD$1,'Renta Fija USD + Oro Conservado'!$B$18:$C$27,2,FALSE),0%)</f>
        <v>0</v>
      </c>
      <c r="BHE4" s="5">
        <f>IFERROR(VLOOKUP(BHE$1,'Renta Fija USD + Oro Conservado'!$B$18:$C$27,2,FALSE),0%)</f>
        <v>0</v>
      </c>
      <c r="BHF4" s="5">
        <f>IFERROR(VLOOKUP(BHF$1,'Renta Fija USD + Oro Conservado'!$B$18:$C$27,2,FALSE),0%)</f>
        <v>0</v>
      </c>
      <c r="BHG4" s="5">
        <f>IFERROR(VLOOKUP(BHG$1,'Renta Fija USD + Oro Conservado'!$B$18:$C$27,2,FALSE),0%)</f>
        <v>0</v>
      </c>
      <c r="BHH4" s="5">
        <f>IFERROR(VLOOKUP(BHH$1,'Renta Fija USD + Oro Conservado'!$B$18:$C$27,2,FALSE),0%)</f>
        <v>0</v>
      </c>
      <c r="BHI4" s="5">
        <f>IFERROR(VLOOKUP(BHI$1,'Renta Fija USD + Oro Conservado'!$B$18:$C$27,2,FALSE),0%)</f>
        <v>0</v>
      </c>
      <c r="BHJ4" s="5">
        <f>IFERROR(VLOOKUP(BHJ$1,'Renta Fija USD + Oro Conservado'!$B$18:$C$27,2,FALSE),0%)</f>
        <v>0</v>
      </c>
      <c r="BHK4" s="5">
        <f>IFERROR(VLOOKUP(BHK$1,'Renta Fija USD + Oro Conservado'!$B$18:$C$27,2,FALSE),0%)</f>
        <v>0</v>
      </c>
      <c r="BHL4" s="5">
        <f>IFERROR(VLOOKUP(BHL$1,'Renta Fija USD + Oro Conservado'!$B$18:$C$27,2,FALSE),0%)</f>
        <v>0</v>
      </c>
      <c r="BHM4" s="5">
        <f>IFERROR(VLOOKUP(BHM$1,'Renta Fija USD + Oro Conservado'!$B$18:$C$27,2,FALSE),0%)</f>
        <v>0</v>
      </c>
      <c r="BHN4" s="5">
        <f>IFERROR(VLOOKUP(BHN$1,'Renta Fija USD + Oro Conservado'!$B$18:$C$27,2,FALSE),0%)</f>
        <v>0</v>
      </c>
      <c r="BHO4" s="5">
        <f>IFERROR(VLOOKUP(BHO$1,'Renta Fija USD + Oro Conservado'!$B$18:$C$27,2,FALSE),0%)</f>
        <v>0</v>
      </c>
      <c r="BHP4" s="5">
        <f>IFERROR(VLOOKUP(BHP$1,'Renta Fija USD + Oro Conservado'!$B$18:$C$27,2,FALSE),0%)</f>
        <v>0</v>
      </c>
      <c r="BHQ4" s="5">
        <f>IFERROR(VLOOKUP(BHQ$1,'Renta Fija USD + Oro Conservado'!$B$18:$C$27,2,FALSE),0%)</f>
        <v>0</v>
      </c>
      <c r="BHR4" s="5">
        <f>IFERROR(VLOOKUP(BHR$1,'Renta Fija USD + Oro Conservado'!$B$18:$C$27,2,FALSE),0%)</f>
        <v>0</v>
      </c>
      <c r="BHS4" s="5">
        <f>IFERROR(VLOOKUP(BHS$1,'Renta Fija USD + Oro Conservado'!$B$18:$C$27,2,FALSE),0%)</f>
        <v>0</v>
      </c>
      <c r="BHT4" s="5">
        <f>IFERROR(VLOOKUP(BHT$1,'Renta Fija USD + Oro Conservado'!$B$18:$C$27,2,FALSE),0%)</f>
        <v>0</v>
      </c>
      <c r="BHU4" s="5">
        <f>IFERROR(VLOOKUP(BHU$1,'Renta Fija USD + Oro Conservado'!$B$18:$C$27,2,FALSE),0%)</f>
        <v>0</v>
      </c>
      <c r="BHV4" s="5">
        <f>IFERROR(VLOOKUP(BHV$1,'Renta Fija USD + Oro Conservado'!$B$18:$C$27,2,FALSE),0%)</f>
        <v>0</v>
      </c>
      <c r="BHW4" s="5">
        <f>IFERROR(VLOOKUP(BHW$1,'Renta Fija USD + Oro Conservado'!$B$18:$C$27,2,FALSE),0%)</f>
        <v>0</v>
      </c>
      <c r="BHX4" s="5">
        <f>IFERROR(VLOOKUP(BHX$1,'Renta Fija USD + Oro Conservado'!$B$18:$C$27,2,FALSE),0%)</f>
        <v>0</v>
      </c>
      <c r="BHY4" s="5">
        <f>IFERROR(VLOOKUP(BHY$1,'Renta Fija USD + Oro Conservado'!$B$18:$C$27,2,FALSE),0%)</f>
        <v>0</v>
      </c>
      <c r="BHZ4" s="5">
        <f>IFERROR(VLOOKUP(BHZ$1,'Renta Fija USD + Oro Conservado'!$B$18:$C$27,2,FALSE),0%)</f>
        <v>0</v>
      </c>
      <c r="BIA4" s="5">
        <f>IFERROR(VLOOKUP(BIA$1,'Renta Fija USD + Oro Conservado'!$B$18:$C$27,2,FALSE),0%)</f>
        <v>0</v>
      </c>
      <c r="BIB4" s="5">
        <f>IFERROR(VLOOKUP(BIB$1,'Renta Fija USD + Oro Conservado'!$B$18:$C$27,2,FALSE),0%)</f>
        <v>0</v>
      </c>
      <c r="BIC4" s="5">
        <f>IFERROR(VLOOKUP(BIC$1,'Renta Fija USD + Oro Conservado'!$B$18:$C$27,2,FALSE),0%)</f>
        <v>0</v>
      </c>
      <c r="BID4" s="5">
        <f>IFERROR(VLOOKUP(BID$1,'Renta Fija USD + Oro Conservado'!$B$18:$C$27,2,FALSE),0%)</f>
        <v>0</v>
      </c>
      <c r="BIE4" s="5">
        <f>IFERROR(VLOOKUP(BIE$1,'Renta Fija USD + Oro Conservado'!$B$18:$C$27,2,FALSE),0%)</f>
        <v>0</v>
      </c>
      <c r="BIF4" s="5">
        <f>IFERROR(VLOOKUP(BIF$1,'Renta Fija USD + Oro Conservado'!$B$18:$C$27,2,FALSE),0%)</f>
        <v>0</v>
      </c>
      <c r="BIG4" s="5">
        <f>IFERROR(VLOOKUP(BIG$1,'Renta Fija USD + Oro Conservado'!$B$18:$C$27,2,FALSE),0%)</f>
        <v>0</v>
      </c>
      <c r="BIH4" s="5">
        <f>IFERROR(VLOOKUP(BIH$1,'Renta Fija USD + Oro Conservado'!$B$18:$C$27,2,FALSE),0%)</f>
        <v>0</v>
      </c>
      <c r="BII4" s="5">
        <f>IFERROR(VLOOKUP(BII$1,'Renta Fija USD + Oro Conservado'!$B$18:$C$27,2,FALSE),0%)</f>
        <v>0</v>
      </c>
      <c r="BIJ4" s="5">
        <f>IFERROR(VLOOKUP(BIJ$1,'Renta Fija USD + Oro Conservado'!$B$18:$C$27,2,FALSE),0%)</f>
        <v>0</v>
      </c>
      <c r="BIK4" s="5">
        <f>IFERROR(VLOOKUP(BIK$1,'Renta Fija USD + Oro Conservado'!$B$18:$C$27,2,FALSE),0%)</f>
        <v>0.3208006211</v>
      </c>
      <c r="BIL4" s="5">
        <f>IFERROR(VLOOKUP(BIL$1,'Renta Fija USD + Oro Conservado'!$B$18:$C$27,2,FALSE),0%)</f>
        <v>0</v>
      </c>
      <c r="BIM4" s="5">
        <f>IFERROR(VLOOKUP(BIM$1,'Renta Fija USD + Oro Conservado'!$B$18:$C$27,2,FALSE),0%)</f>
        <v>0</v>
      </c>
      <c r="BIN4" s="5">
        <f>IFERROR(VLOOKUP(BIN$1,'Renta Fija USD + Oro Conservado'!$B$18:$C$27,2,FALSE),0%)</f>
        <v>0</v>
      </c>
      <c r="BIO4" s="5">
        <f>IFERROR(VLOOKUP(BIO$1,'Renta Fija USD + Oro Conservado'!$B$18:$C$27,2,FALSE),0%)</f>
        <v>0</v>
      </c>
      <c r="BIP4" s="5">
        <f>IFERROR(VLOOKUP(BIP$1,'Renta Fija USD + Oro Conservado'!$B$18:$C$27,2,FALSE),0%)</f>
        <v>0</v>
      </c>
      <c r="BIQ4" s="5">
        <f>IFERROR(VLOOKUP(BIQ$1,'Renta Fija USD + Oro Conservado'!$B$18:$C$27,2,FALSE),0%)</f>
        <v>0</v>
      </c>
      <c r="BIR4" s="5">
        <f>IFERROR(VLOOKUP(BIR$1,'Renta Fija USD + Oro Conservado'!$B$18:$C$27,2,FALSE),0%)</f>
        <v>0</v>
      </c>
      <c r="BIS4" s="5">
        <f>IFERROR(VLOOKUP(BIS$1,'Renta Fija USD + Oro Conservado'!$B$18:$C$27,2,FALSE),0%)</f>
        <v>0</v>
      </c>
      <c r="BIT4" s="5">
        <f>IFERROR(VLOOKUP(BIT$1,'Renta Fija USD + Oro Conservado'!$B$18:$C$27,2,FALSE),0%)</f>
        <v>0</v>
      </c>
      <c r="BIU4" s="5">
        <f>IFERROR(VLOOKUP(BIU$1,'Renta Fija USD + Oro Conservado'!$B$18:$C$27,2,FALSE),0%)</f>
        <v>0</v>
      </c>
      <c r="BIV4" s="5">
        <f>IFERROR(VLOOKUP(BIV$1,'Renta Fija USD + Oro Conservado'!$B$18:$C$27,2,FALSE),0%)</f>
        <v>0</v>
      </c>
      <c r="BIW4" s="5">
        <f>IFERROR(VLOOKUP(BIW$1,'Renta Fija USD + Oro Conservado'!$B$18:$C$27,2,FALSE),0%)</f>
        <v>0</v>
      </c>
      <c r="BIX4" s="5">
        <f>IFERROR(VLOOKUP(BIX$1,'Renta Fija USD + Oro Conservado'!$B$18:$C$27,2,FALSE),0%)</f>
        <v>0</v>
      </c>
      <c r="BIY4" s="5">
        <f>IFERROR(VLOOKUP(BIY$1,'Renta Fija USD + Oro Conservado'!$B$18:$C$27,2,FALSE),0%)</f>
        <v>0</v>
      </c>
      <c r="BIZ4" s="5">
        <f>IFERROR(VLOOKUP(BIZ$1,'Renta Fija USD + Oro Conservado'!$B$18:$C$27,2,FALSE),0%)</f>
        <v>0</v>
      </c>
      <c r="BJA4" s="5">
        <f>IFERROR(VLOOKUP(BJA$1,'Renta Fija USD + Oro Conservado'!$B$18:$C$27,2,FALSE),0%)</f>
        <v>0</v>
      </c>
      <c r="BJB4" s="5">
        <f>IFERROR(VLOOKUP(BJB$1,'Renta Fija USD + Oro Conservado'!$B$18:$C$27,2,FALSE),0%)</f>
        <v>0</v>
      </c>
      <c r="BJC4" s="5">
        <f>IFERROR(VLOOKUP(BJC$1,'Renta Fija USD + Oro Conservado'!$B$18:$C$27,2,FALSE),0%)</f>
        <v>0</v>
      </c>
      <c r="BJD4" s="5">
        <f>IFERROR(VLOOKUP(BJD$1,'Renta Fija USD + Oro Conservado'!$B$18:$C$27,2,FALSE),0%)</f>
        <v>0</v>
      </c>
      <c r="BJE4" s="5">
        <f>IFERROR(VLOOKUP(BJE$1,'Renta Fija USD + Oro Conservado'!$B$18:$C$27,2,FALSE),0%)</f>
        <v>0</v>
      </c>
      <c r="BJF4" s="5">
        <f>IFERROR(VLOOKUP(BJF$1,'Renta Fija USD + Oro Conservado'!$B$18:$C$27,2,FALSE),0%)</f>
        <v>0</v>
      </c>
      <c r="BJG4" s="5">
        <f>IFERROR(VLOOKUP(BJG$1,'Renta Fija USD + Oro Conservado'!$B$18:$C$27,2,FALSE),0%)</f>
        <v>0</v>
      </c>
      <c r="BJH4" s="5">
        <f>IFERROR(VLOOKUP(BJH$1,'Renta Fija USD + Oro Conservado'!$B$18:$C$27,2,FALSE),0%)</f>
        <v>0</v>
      </c>
      <c r="BJI4" s="5">
        <f>IFERROR(VLOOKUP(BJI$1,'Renta Fija USD + Oro Conservado'!$B$18:$C$27,2,FALSE),0%)</f>
        <v>0</v>
      </c>
      <c r="BJJ4" s="5">
        <f>IFERROR(VLOOKUP(BJJ$1,'Renta Fija USD + Oro Conservado'!$B$18:$C$27,2,FALSE),0%)</f>
        <v>0</v>
      </c>
      <c r="BJK4" s="5">
        <f>IFERROR(VLOOKUP(BJK$1,'Renta Fija USD + Oro Conservado'!$B$18:$C$27,2,FALSE),0%)</f>
        <v>0</v>
      </c>
      <c r="BJL4" s="5">
        <f>IFERROR(VLOOKUP(BJL$1,'Renta Fija USD + Oro Conservado'!$B$18:$C$27,2,FALSE),0%)</f>
        <v>0</v>
      </c>
      <c r="BJM4" s="5">
        <f>IFERROR(VLOOKUP(BJM$1,'Renta Fija USD + Oro Conservado'!$B$18:$C$27,2,FALSE),0%)</f>
        <v>0</v>
      </c>
      <c r="BJN4" s="5">
        <f>IFERROR(VLOOKUP(BJN$1,'Renta Fija USD + Oro Conservado'!$B$18:$C$27,2,FALSE),0%)</f>
        <v>0</v>
      </c>
      <c r="BJO4" s="5">
        <f>IFERROR(VLOOKUP(BJO$1,'Renta Fija USD + Oro Conservado'!$B$18:$C$27,2,FALSE),0%)</f>
        <v>0</v>
      </c>
      <c r="BJP4" s="5">
        <f>IFERROR(VLOOKUP(BJP$1,'Renta Fija USD + Oro Conservado'!$B$18:$C$27,2,FALSE),0%)</f>
        <v>0</v>
      </c>
      <c r="BJQ4" s="5">
        <f>IFERROR(VLOOKUP(BJQ$1,'Renta Fija USD + Oro Conservado'!$B$18:$C$27,2,FALSE),0%)</f>
        <v>0</v>
      </c>
      <c r="BJR4" s="5">
        <f>IFERROR(VLOOKUP(BJR$1,'Renta Fija USD + Oro Conservado'!$B$18:$C$27,2,FALSE),0%)</f>
        <v>0</v>
      </c>
      <c r="BJS4" s="5">
        <f>IFERROR(VLOOKUP(BJS$1,'Renta Fija USD + Oro Conservado'!$B$18:$C$27,2,FALSE),0%)</f>
        <v>0</v>
      </c>
      <c r="BJT4" s="5">
        <f>IFERROR(VLOOKUP(BJT$1,'Renta Fija USD + Oro Conservado'!$B$18:$C$27,2,FALSE),0%)</f>
        <v>0</v>
      </c>
      <c r="BJU4" s="5">
        <f>IFERROR(VLOOKUP(BJU$1,'Renta Fija USD + Oro Conservado'!$B$18:$C$27,2,FALSE),0%)</f>
        <v>0</v>
      </c>
      <c r="BJV4" s="5">
        <f>IFERROR(VLOOKUP(BJV$1,'Renta Fija USD + Oro Conservado'!$B$18:$C$27,2,FALSE),0%)</f>
        <v>0</v>
      </c>
      <c r="BJW4" s="5">
        <f>IFERROR(VLOOKUP(BJW$1,'Renta Fija USD + Oro Conservado'!$B$18:$C$27,2,FALSE),0%)</f>
        <v>0</v>
      </c>
      <c r="BJX4" s="5">
        <f>IFERROR(VLOOKUP(BJX$1,'Renta Fija USD + Oro Conservado'!$B$18:$C$27,2,FALSE),0%)</f>
        <v>0</v>
      </c>
      <c r="BJY4" s="5">
        <f>IFERROR(VLOOKUP(BJY$1,'Renta Fija USD + Oro Conservado'!$B$18:$C$27,2,FALSE),0%)</f>
        <v>0</v>
      </c>
      <c r="BJZ4" s="5">
        <f>IFERROR(VLOOKUP(BJZ$1,'Renta Fija USD + Oro Conservado'!$B$18:$C$27,2,FALSE),0%)</f>
        <v>0</v>
      </c>
      <c r="BKA4" s="5">
        <f>IFERROR(VLOOKUP(BKA$1,'Renta Fija USD + Oro Conservado'!$B$18:$C$27,2,FALSE),0%)</f>
        <v>0</v>
      </c>
      <c r="BKB4" s="5">
        <f>IFERROR(VLOOKUP(BKB$1,'Renta Fija USD + Oro Conservado'!$B$18:$C$27,2,FALSE),0%)</f>
        <v>0</v>
      </c>
      <c r="BKC4" s="5">
        <f>IFERROR(VLOOKUP(BKC$1,'Renta Fija USD + Oro Conservado'!$B$18:$C$27,2,FALSE),0%)</f>
        <v>0</v>
      </c>
      <c r="BKD4" s="5">
        <f>IFERROR(VLOOKUP(BKD$1,'Renta Fija USD + Oro Conservado'!$B$18:$C$27,2,FALSE),0%)</f>
        <v>0</v>
      </c>
      <c r="BKE4" s="5">
        <f>IFERROR(VLOOKUP(BKE$1,'Renta Fija USD + Oro Conservado'!$B$18:$C$27,2,FALSE),0%)</f>
        <v>0</v>
      </c>
      <c r="BKF4" s="5">
        <f>IFERROR(VLOOKUP(BKF$1,'Renta Fija USD + Oro Conservado'!$B$18:$C$27,2,FALSE),0%)</f>
        <v>0</v>
      </c>
      <c r="BKG4" s="5">
        <f>IFERROR(VLOOKUP(BKG$1,'Renta Fija USD + Oro Conservado'!$B$18:$C$27,2,FALSE),0%)</f>
        <v>0</v>
      </c>
      <c r="BKH4" s="5">
        <f>IFERROR(VLOOKUP(BKH$1,'Renta Fija USD + Oro Conservado'!$B$18:$C$27,2,FALSE),0%)</f>
        <v>0</v>
      </c>
      <c r="BKI4" s="5">
        <f>IFERROR(VLOOKUP(BKI$1,'Renta Fija USD + Oro Conservado'!$B$18:$C$27,2,FALSE),0%)</f>
        <v>0</v>
      </c>
      <c r="BKJ4" s="5">
        <f>IFERROR(VLOOKUP(BKJ$1,'Renta Fija USD + Oro Conservado'!$B$18:$C$27,2,FALSE),0%)</f>
        <v>0</v>
      </c>
      <c r="BKK4" s="5">
        <f>IFERROR(VLOOKUP(BKK$1,'Renta Fija USD + Oro Conservado'!$B$18:$C$27,2,FALSE),0%)</f>
        <v>0</v>
      </c>
      <c r="BKL4" s="5">
        <f>IFERROR(VLOOKUP(BKL$1,'Renta Fija USD + Oro Conservado'!$B$18:$C$27,2,FALSE),0%)</f>
        <v>0</v>
      </c>
      <c r="BKM4" s="5">
        <f>IFERROR(VLOOKUP(BKM$1,'Renta Fija USD + Oro Conservado'!$B$18:$C$27,2,FALSE),0%)</f>
        <v>0</v>
      </c>
      <c r="BKN4" s="5">
        <f>IFERROR(VLOOKUP(BKN$1,'Renta Fija USD + Oro Conservado'!$B$18:$C$27,2,FALSE),0%)</f>
        <v>0</v>
      </c>
      <c r="BKO4" s="5">
        <f>IFERROR(VLOOKUP(BKO$1,'Renta Fija USD + Oro Conservado'!$B$18:$C$27,2,FALSE),0%)</f>
        <v>0</v>
      </c>
      <c r="BKP4" s="5">
        <f>IFERROR(VLOOKUP(BKP$1,'Renta Fija USD + Oro Conservado'!$B$18:$C$27,2,FALSE),0%)</f>
        <v>0</v>
      </c>
      <c r="BKQ4" s="5">
        <f>IFERROR(VLOOKUP(BKQ$1,'Renta Fija USD + Oro Conservado'!$B$18:$C$27,2,FALSE),0%)</f>
        <v>0</v>
      </c>
      <c r="BKR4" s="5">
        <f>IFERROR(VLOOKUP(BKR$1,'Renta Fija USD + Oro Conservado'!$B$18:$C$27,2,FALSE),0%)</f>
        <v>0</v>
      </c>
      <c r="BKS4" s="5">
        <f>IFERROR(VLOOKUP(BKS$1,'Renta Fija USD + Oro Conservado'!$B$18:$C$27,2,FALSE),0%)</f>
        <v>0</v>
      </c>
      <c r="BKT4" s="5">
        <f>IFERROR(VLOOKUP(BKT$1,'Renta Fija USD + Oro Conservado'!$B$18:$C$27,2,FALSE),0%)</f>
        <v>0</v>
      </c>
      <c r="BKU4" s="5">
        <f>IFERROR(VLOOKUP(BKU$1,'Renta Fija USD + Oro Conservado'!$B$18:$C$27,2,FALSE),0%)</f>
        <v>0</v>
      </c>
      <c r="BKV4" s="5">
        <f>IFERROR(VLOOKUP(BKV$1,'Renta Fija USD + Oro Conservado'!$B$18:$C$27,2,FALSE),0%)</f>
        <v>0</v>
      </c>
      <c r="BKW4" s="5">
        <f>IFERROR(VLOOKUP(BKW$1,'Renta Fija USD + Oro Conservado'!$B$18:$C$27,2,FALSE),0%)</f>
        <v>0</v>
      </c>
      <c r="BKX4" s="5">
        <f>IFERROR(VLOOKUP(BKX$1,'Renta Fija USD + Oro Conservado'!$B$18:$C$27,2,FALSE),0%)</f>
        <v>0</v>
      </c>
      <c r="BKY4" s="5">
        <f>IFERROR(VLOOKUP(BKY$1,'Renta Fija USD + Oro Conservado'!$B$18:$C$27,2,FALSE),0%)</f>
        <v>0</v>
      </c>
      <c r="BKZ4" s="5">
        <f>IFERROR(VLOOKUP(BKZ$1,'Renta Fija USD + Oro Conservado'!$B$18:$C$27,2,FALSE),0%)</f>
        <v>0</v>
      </c>
      <c r="BLA4" s="5">
        <f>IFERROR(VLOOKUP(BLA$1,'Renta Fija USD + Oro Conservado'!$B$18:$C$27,2,FALSE),0%)</f>
        <v>0</v>
      </c>
      <c r="BLB4" s="5">
        <f>IFERROR(VLOOKUP(BLB$1,'Renta Fija USD + Oro Conservado'!$B$18:$C$27,2,FALSE),0%)</f>
        <v>0</v>
      </c>
      <c r="BLC4" s="5">
        <f>IFERROR(VLOOKUP(BLC$1,'Renta Fija USD + Oro Conservado'!$B$18:$C$27,2,FALSE),0%)</f>
        <v>0</v>
      </c>
      <c r="BLD4" s="5">
        <f>IFERROR(VLOOKUP(BLD$1,'Renta Fija USD + Oro Conservado'!$B$18:$C$27,2,FALSE),0%)</f>
        <v>0</v>
      </c>
      <c r="BLE4" s="5">
        <f>IFERROR(VLOOKUP(BLE$1,'Renta Fija USD + Oro Conservado'!$B$18:$C$27,2,FALSE),0%)</f>
        <v>0</v>
      </c>
      <c r="BLF4" s="5">
        <f>IFERROR(VLOOKUP(BLF$1,'Renta Fija USD + Oro Conservado'!$B$18:$C$27,2,FALSE),0%)</f>
        <v>0</v>
      </c>
      <c r="BLG4" s="5">
        <f>IFERROR(VLOOKUP(BLG$1,'Renta Fija USD + Oro Conservado'!$B$18:$C$27,2,FALSE),0%)</f>
        <v>0</v>
      </c>
      <c r="BLH4" s="5">
        <f>IFERROR(VLOOKUP(BLH$1,'Renta Fija USD + Oro Conservado'!$B$18:$C$27,2,FALSE),0%)</f>
        <v>0</v>
      </c>
      <c r="BLI4" s="5">
        <f>IFERROR(VLOOKUP(BLI$1,'Renta Fija USD + Oro Conservado'!$B$18:$C$27,2,FALSE),0%)</f>
        <v>0</v>
      </c>
      <c r="BLJ4" s="5">
        <f>IFERROR(VLOOKUP(BLJ$1,'Renta Fija USD + Oro Conservado'!$B$18:$C$27,2,FALSE),0%)</f>
        <v>0</v>
      </c>
      <c r="BLK4" s="5">
        <f>IFERROR(VLOOKUP(BLK$1,'Renta Fija USD + Oro Conservado'!$B$18:$C$27,2,FALSE),0%)</f>
        <v>0</v>
      </c>
      <c r="BLL4" s="5">
        <f>IFERROR(VLOOKUP(BLL$1,'Renta Fija USD + Oro Conservado'!$B$18:$C$27,2,FALSE),0%)</f>
        <v>0</v>
      </c>
      <c r="BLM4" s="5">
        <f>IFERROR(VLOOKUP(BLM$1,'Renta Fija USD + Oro Conservado'!$B$18:$C$27,2,FALSE),0%)</f>
        <v>0</v>
      </c>
      <c r="BLN4" s="5">
        <f>IFERROR(VLOOKUP(BLN$1,'Renta Fija USD + Oro Conservado'!$B$18:$C$27,2,FALSE),0%)</f>
        <v>0</v>
      </c>
      <c r="BLO4" s="5">
        <f>IFERROR(VLOOKUP(BLO$1,'Renta Fija USD + Oro Conservado'!$B$18:$C$27,2,FALSE),0%)</f>
        <v>0</v>
      </c>
      <c r="BLP4" s="5">
        <f>IFERROR(VLOOKUP(BLP$1,'Renta Fija USD + Oro Conservado'!$B$18:$C$27,2,FALSE),0%)</f>
        <v>0</v>
      </c>
      <c r="BLQ4" s="5">
        <f>IFERROR(VLOOKUP(BLQ$1,'Renta Fija USD + Oro Conservado'!$B$18:$C$27,2,FALSE),0%)</f>
        <v>0</v>
      </c>
      <c r="BLR4" s="5">
        <f>IFERROR(VLOOKUP(BLR$1,'Renta Fija USD + Oro Conservado'!$B$18:$C$27,2,FALSE),0%)</f>
        <v>0</v>
      </c>
      <c r="BLS4" s="5">
        <f>IFERROR(VLOOKUP(BLS$1,'Renta Fija USD + Oro Conservado'!$B$18:$C$27,2,FALSE),0%)</f>
        <v>0</v>
      </c>
      <c r="BLT4" s="5">
        <f>IFERROR(VLOOKUP(BLT$1,'Renta Fija USD + Oro Conservado'!$B$18:$C$27,2,FALSE),0%)</f>
        <v>0</v>
      </c>
      <c r="BLU4" s="5">
        <f>IFERROR(VLOOKUP(BLU$1,'Renta Fija USD + Oro Conservado'!$B$18:$C$27,2,FALSE),0%)</f>
        <v>0</v>
      </c>
      <c r="BLV4" s="5">
        <f>IFERROR(VLOOKUP(BLV$1,'Renta Fija USD + Oro Conservado'!$B$18:$C$27,2,FALSE),0%)</f>
        <v>0</v>
      </c>
      <c r="BLW4" s="5">
        <f>IFERROR(VLOOKUP(BLW$1,'Renta Fija USD + Oro Conservado'!$B$18:$C$27,2,FALSE),0%)</f>
        <v>0</v>
      </c>
      <c r="BLX4" s="5">
        <f>IFERROR(VLOOKUP(BLX$1,'Renta Fija USD + Oro Conservado'!$B$18:$C$27,2,FALSE),0%)</f>
        <v>0</v>
      </c>
      <c r="BLY4" s="5">
        <f>IFERROR(VLOOKUP(BLY$1,'Renta Fija USD + Oro Conservado'!$B$18:$C$27,2,FALSE),0%)</f>
        <v>0</v>
      </c>
      <c r="BLZ4" s="5">
        <f>IFERROR(VLOOKUP(BLZ$1,'Renta Fija USD + Oro Conservado'!$B$18:$C$27,2,FALSE),0%)</f>
        <v>0</v>
      </c>
      <c r="BMA4" s="5">
        <f>IFERROR(VLOOKUP(BMA$1,'Renta Fija USD + Oro Conservado'!$B$18:$C$27,2,FALSE),0%)</f>
        <v>0</v>
      </c>
      <c r="BMB4" s="5">
        <f>IFERROR(VLOOKUP(BMB$1,'Renta Fija USD + Oro Conservado'!$B$18:$C$27,2,FALSE),0%)</f>
        <v>0</v>
      </c>
      <c r="BMC4" s="5">
        <f>IFERROR(VLOOKUP(BMC$1,'Renta Fija USD + Oro Conservado'!$B$18:$C$27,2,FALSE),0%)</f>
        <v>0</v>
      </c>
      <c r="BMD4" s="5">
        <f>IFERROR(VLOOKUP(BMD$1,'Renta Fija USD + Oro Conservado'!$B$18:$C$27,2,FALSE),0%)</f>
        <v>0</v>
      </c>
      <c r="BME4" s="5">
        <f>IFERROR(VLOOKUP(BME$1,'Renta Fija USD + Oro Conservado'!$B$18:$C$27,2,FALSE),0%)</f>
        <v>0</v>
      </c>
      <c r="BMF4" s="5">
        <f>IFERROR(VLOOKUP(BMF$1,'Renta Fija USD + Oro Conservado'!$B$18:$C$27,2,FALSE),0%)</f>
        <v>0</v>
      </c>
      <c r="BMG4" s="5">
        <f>IFERROR(VLOOKUP(BMG$1,'Renta Fija USD + Oro Conservado'!$B$18:$C$27,2,FALSE),0%)</f>
        <v>0</v>
      </c>
      <c r="BMH4" s="5">
        <f>IFERROR(VLOOKUP(BMH$1,'Renta Fija USD + Oro Conservado'!$B$18:$C$27,2,FALSE),0%)</f>
        <v>0</v>
      </c>
      <c r="BMI4" s="5">
        <f>IFERROR(VLOOKUP(BMI$1,'Renta Fija USD + Oro Conservado'!$B$18:$C$27,2,FALSE),0%)</f>
        <v>0</v>
      </c>
      <c r="BMJ4" s="5">
        <f>IFERROR(VLOOKUP(BMJ$1,'Renta Fija USD + Oro Conservado'!$B$18:$C$27,2,FALSE),0%)</f>
        <v>0</v>
      </c>
      <c r="BMK4" s="5">
        <f>IFERROR(VLOOKUP(BMK$1,'Renta Fija USD + Oro Conservado'!$B$18:$C$27,2,FALSE),0%)</f>
        <v>0</v>
      </c>
      <c r="BML4" s="5">
        <f>IFERROR(VLOOKUP(BML$1,'Renta Fija USD + Oro Conservado'!$B$18:$C$27,2,FALSE),0%)</f>
        <v>0</v>
      </c>
      <c r="BMM4" s="5">
        <f>IFERROR(VLOOKUP(BMM$1,'Renta Fija USD + Oro Conservado'!$B$18:$C$27,2,FALSE),0%)</f>
        <v>0</v>
      </c>
      <c r="BMN4" s="5">
        <f>IFERROR(VLOOKUP(BMN$1,'Renta Fija USD + Oro Conservado'!$B$18:$C$27,2,FALSE),0%)</f>
        <v>0</v>
      </c>
      <c r="BMO4" s="5">
        <f>IFERROR(VLOOKUP(BMO$1,'Renta Fija USD + Oro Conservado'!$B$18:$C$27,2,FALSE),0%)</f>
        <v>0</v>
      </c>
      <c r="BMP4" s="5">
        <f>IFERROR(VLOOKUP(BMP$1,'Renta Fija USD + Oro Conservado'!$B$18:$C$27,2,FALSE),0%)</f>
        <v>0</v>
      </c>
      <c r="BMQ4" s="5">
        <f>IFERROR(VLOOKUP(BMQ$1,'Renta Fija USD + Oro Conservado'!$B$18:$C$27,2,FALSE),0%)</f>
        <v>0</v>
      </c>
      <c r="BMR4" s="5">
        <f>IFERROR(VLOOKUP(BMR$1,'Renta Fija USD + Oro Conservado'!$B$18:$C$27,2,FALSE),0%)</f>
        <v>0</v>
      </c>
      <c r="BMS4" s="5">
        <f>IFERROR(VLOOKUP(BMS$1,'Renta Fija USD + Oro Conservado'!$B$18:$C$27,2,FALSE),0%)</f>
        <v>0</v>
      </c>
      <c r="BMT4" s="5">
        <f>IFERROR(VLOOKUP(BMT$1,'Renta Fija USD + Oro Conservado'!$B$18:$C$27,2,FALSE),0%)</f>
        <v>0</v>
      </c>
      <c r="BMU4" s="5">
        <f>IFERROR(VLOOKUP(BMU$1,'Renta Fija USD + Oro Conservado'!$B$18:$C$27,2,FALSE),0%)</f>
        <v>0</v>
      </c>
      <c r="BMV4" s="5">
        <f>IFERROR(VLOOKUP(BMV$1,'Renta Fija USD + Oro Conservado'!$B$18:$C$27,2,FALSE),0%)</f>
        <v>0</v>
      </c>
      <c r="BMW4" s="5">
        <f>IFERROR(VLOOKUP(BMW$1,'Renta Fija USD + Oro Conservado'!$B$18:$C$27,2,FALSE),0%)</f>
        <v>0</v>
      </c>
      <c r="BMX4" s="5">
        <f>IFERROR(VLOOKUP(BMX$1,'Renta Fija USD + Oro Conservado'!$B$18:$C$27,2,FALSE),0%)</f>
        <v>0</v>
      </c>
      <c r="BMY4" s="5">
        <f>IFERROR(VLOOKUP(BMY$1,'Renta Fija USD + Oro Conservado'!$B$18:$C$27,2,FALSE),0%)</f>
        <v>0</v>
      </c>
      <c r="BMZ4" s="5">
        <f>IFERROR(VLOOKUP(BMZ$1,'Renta Fija USD + Oro Conservado'!$B$18:$C$27,2,FALSE),0%)</f>
        <v>0</v>
      </c>
      <c r="BNA4" s="5">
        <f>IFERROR(VLOOKUP(BNA$1,'Renta Fija USD + Oro Conservado'!$B$18:$C$27,2,FALSE),0%)</f>
        <v>0</v>
      </c>
      <c r="BNB4" s="5">
        <f>IFERROR(VLOOKUP(BNB$1,'Renta Fija USD + Oro Conservado'!$B$18:$C$27,2,FALSE),0%)</f>
        <v>0</v>
      </c>
      <c r="BNC4" s="5">
        <f>IFERROR(VLOOKUP(BNC$1,'Renta Fija USD + Oro Conservado'!$B$18:$C$27,2,FALSE),0%)</f>
        <v>0</v>
      </c>
      <c r="BND4" s="5">
        <f>IFERROR(VLOOKUP(BND$1,'Renta Fija USD + Oro Conservado'!$B$18:$C$27,2,FALSE),0%)</f>
        <v>0</v>
      </c>
      <c r="BNE4" s="5">
        <f>IFERROR(VLOOKUP(BNE$1,'Renta Fija USD + Oro Conservado'!$B$18:$C$27,2,FALSE),0%)</f>
        <v>0</v>
      </c>
      <c r="BNF4" s="5">
        <f>IFERROR(VLOOKUP(BNF$1,'Renta Fija USD + Oro Conservado'!$B$18:$C$27,2,FALSE),0%)</f>
        <v>0</v>
      </c>
      <c r="BNG4" s="5">
        <f>IFERROR(VLOOKUP(BNG$1,'Renta Fija USD + Oro Conservado'!$B$18:$C$27,2,FALSE),0%)</f>
        <v>0</v>
      </c>
      <c r="BNH4" s="5">
        <f>IFERROR(VLOOKUP(BNH$1,'Renta Fija USD + Oro Conservado'!$B$18:$C$27,2,FALSE),0%)</f>
        <v>0</v>
      </c>
      <c r="BNI4" s="5">
        <f>IFERROR(VLOOKUP(BNI$1,'Renta Fija USD + Oro Conservado'!$B$18:$C$27,2,FALSE),0%)</f>
        <v>0</v>
      </c>
      <c r="BNJ4" s="5">
        <f>IFERROR(VLOOKUP(BNJ$1,'Renta Fija USD + Oro Conservado'!$B$18:$C$27,2,FALSE),0%)</f>
        <v>0</v>
      </c>
      <c r="BNK4" s="5">
        <f>IFERROR(VLOOKUP(BNK$1,'Renta Fija USD + Oro Conservado'!$B$18:$C$27,2,FALSE),0%)</f>
        <v>0</v>
      </c>
      <c r="BNL4" s="5">
        <f>IFERROR(VLOOKUP(BNL$1,'Renta Fija USD + Oro Conservado'!$B$18:$C$27,2,FALSE),0%)</f>
        <v>0</v>
      </c>
      <c r="BNM4" s="5">
        <f>IFERROR(VLOOKUP(BNM$1,'Renta Fija USD + Oro Conservado'!$B$18:$C$27,2,FALSE),0%)</f>
        <v>0</v>
      </c>
      <c r="BNN4" s="5">
        <f>IFERROR(VLOOKUP(BNN$1,'Renta Fija USD + Oro Conservado'!$B$18:$C$27,2,FALSE),0%)</f>
        <v>0</v>
      </c>
      <c r="BNO4" s="5">
        <f>IFERROR(VLOOKUP(BNO$1,'Renta Fija USD + Oro Conservado'!$B$18:$C$27,2,FALSE),0%)</f>
        <v>0</v>
      </c>
      <c r="BNP4" s="5">
        <f>IFERROR(VLOOKUP(BNP$1,'Renta Fija USD + Oro Conservado'!$B$18:$C$27,2,FALSE),0%)</f>
        <v>0</v>
      </c>
      <c r="BNQ4" s="5">
        <f>IFERROR(VLOOKUP(BNQ$1,'Renta Fija USD + Oro Conservado'!$B$18:$C$27,2,FALSE),0%)</f>
        <v>0</v>
      </c>
      <c r="BNR4" s="5">
        <f>IFERROR(VLOOKUP(BNR$1,'Renta Fija USD + Oro Conservado'!$B$18:$C$27,2,FALSE),0%)</f>
        <v>0</v>
      </c>
      <c r="BNS4" s="5">
        <f>IFERROR(VLOOKUP(BNS$1,'Renta Fija USD + Oro Conservado'!$B$18:$C$27,2,FALSE),0%)</f>
        <v>0</v>
      </c>
      <c r="BNT4" s="5">
        <f>IFERROR(VLOOKUP(BNT$1,'Renta Fija USD + Oro Conservado'!$B$18:$C$27,2,FALSE),0%)</f>
        <v>0</v>
      </c>
      <c r="BNU4" s="5">
        <f>IFERROR(VLOOKUP(BNU$1,'Renta Fija USD + Oro Conservado'!$B$18:$C$27,2,FALSE),0%)</f>
        <v>0</v>
      </c>
      <c r="BNV4" s="5">
        <f>IFERROR(VLOOKUP(BNV$1,'Renta Fija USD + Oro Conservado'!$B$18:$C$27,2,FALSE),0%)</f>
        <v>0</v>
      </c>
      <c r="BNW4" s="5">
        <f>IFERROR(VLOOKUP(BNW$1,'Renta Fija USD + Oro Conservado'!$B$18:$C$27,2,FALSE),0%)</f>
        <v>0</v>
      </c>
      <c r="BNX4" s="5">
        <f>IFERROR(VLOOKUP(BNX$1,'Renta Fija USD + Oro Conservado'!$B$18:$C$27,2,FALSE),0%)</f>
        <v>0</v>
      </c>
      <c r="BNY4" s="5">
        <f>IFERROR(VLOOKUP(BNY$1,'Renta Fija USD + Oro Conservado'!$B$18:$C$27,2,FALSE),0%)</f>
        <v>0</v>
      </c>
      <c r="BNZ4" s="5">
        <f>IFERROR(VLOOKUP(BNZ$1,'Renta Fija USD + Oro Conservado'!$B$18:$C$27,2,FALSE),0%)</f>
        <v>0</v>
      </c>
      <c r="BOA4" s="5">
        <f>IFERROR(VLOOKUP(BOA$1,'Renta Fija USD + Oro Conservado'!$B$18:$C$27,2,FALSE),0%)</f>
        <v>0</v>
      </c>
      <c r="BOB4" s="5">
        <f>IFERROR(VLOOKUP(BOB$1,'Renta Fija USD + Oro Conservado'!$B$18:$C$27,2,FALSE),0%)</f>
        <v>0</v>
      </c>
      <c r="BOC4" s="5">
        <f>IFERROR(VLOOKUP(BOC$1,'Renta Fija USD + Oro Conservado'!$B$18:$C$27,2,FALSE),0%)</f>
        <v>0</v>
      </c>
      <c r="BOD4" s="5">
        <f>IFERROR(VLOOKUP(BOD$1,'Renta Fija USD + Oro Conservado'!$B$18:$C$27,2,FALSE),0%)</f>
        <v>0</v>
      </c>
      <c r="BOE4" s="5">
        <f>IFERROR(VLOOKUP(BOE$1,'Renta Fija USD + Oro Conservado'!$B$18:$C$27,2,FALSE),0%)</f>
        <v>0</v>
      </c>
      <c r="BOF4" s="5">
        <f>IFERROR(VLOOKUP(BOF$1,'Renta Fija USD + Oro Conservado'!$B$18:$C$27,2,FALSE),0%)</f>
        <v>0</v>
      </c>
      <c r="BOG4" s="5">
        <f>IFERROR(VLOOKUP(BOG$1,'Renta Fija USD + Oro Conservado'!$B$18:$C$27,2,FALSE),0%)</f>
        <v>0</v>
      </c>
      <c r="BOH4" s="5">
        <f>IFERROR(VLOOKUP(BOH$1,'Renta Fija USD + Oro Conservado'!$B$18:$C$27,2,FALSE),0%)</f>
        <v>0</v>
      </c>
      <c r="BOI4" s="5">
        <f>IFERROR(VLOOKUP(BOI$1,'Renta Fija USD + Oro Conservado'!$B$18:$C$27,2,FALSE),0%)</f>
        <v>0</v>
      </c>
      <c r="BOJ4" s="5">
        <f>IFERROR(VLOOKUP(BOJ$1,'Renta Fija USD + Oro Conservado'!$B$18:$C$27,2,FALSE),0%)</f>
        <v>0</v>
      </c>
      <c r="BOK4" s="5">
        <f>IFERROR(VLOOKUP(BOK$1,'Renta Fija USD + Oro Conservado'!$B$18:$C$27,2,FALSE),0%)</f>
        <v>0</v>
      </c>
      <c r="BOL4" s="5">
        <f>IFERROR(VLOOKUP(BOL$1,'Renta Fija USD + Oro Conservado'!$B$18:$C$27,2,FALSE),0%)</f>
        <v>0</v>
      </c>
      <c r="BOM4" s="5">
        <f>IFERROR(VLOOKUP(BOM$1,'Renta Fija USD + Oro Conservado'!$B$18:$C$27,2,FALSE),0%)</f>
        <v>0</v>
      </c>
      <c r="BON4" s="5">
        <f>IFERROR(VLOOKUP(BON$1,'Renta Fija USD + Oro Conservado'!$B$18:$C$27,2,FALSE),0%)</f>
        <v>0</v>
      </c>
      <c r="BOO4" s="5">
        <f>IFERROR(VLOOKUP(BOO$1,'Renta Fija USD + Oro Conservado'!$B$18:$C$27,2,FALSE),0%)</f>
        <v>0</v>
      </c>
      <c r="BOP4" s="5">
        <f>IFERROR(VLOOKUP(BOP$1,'Renta Fija USD + Oro Conservado'!$B$18:$C$27,2,FALSE),0%)</f>
        <v>0</v>
      </c>
      <c r="BOQ4" s="5">
        <f>IFERROR(VLOOKUP(BOQ$1,'Renta Fija USD + Oro Conservado'!$B$18:$C$27,2,FALSE),0%)</f>
        <v>0</v>
      </c>
      <c r="BOR4" s="5">
        <f>IFERROR(VLOOKUP(BOR$1,'Renta Fija USD + Oro Conservado'!$B$18:$C$27,2,FALSE),0%)</f>
        <v>0</v>
      </c>
      <c r="BOS4" s="5">
        <f>IFERROR(VLOOKUP(BOS$1,'Renta Fija USD + Oro Conservado'!$B$18:$C$27,2,FALSE),0%)</f>
        <v>0</v>
      </c>
      <c r="BOT4" s="5">
        <f>IFERROR(VLOOKUP(BOT$1,'Renta Fija USD + Oro Conservado'!$B$18:$C$27,2,FALSE),0%)</f>
        <v>0</v>
      </c>
      <c r="BOU4" s="5">
        <f>IFERROR(VLOOKUP(BOU$1,'Renta Fija USD + Oro Conservado'!$B$18:$C$27,2,FALSE),0%)</f>
        <v>0</v>
      </c>
      <c r="BOV4" s="5">
        <f>IFERROR(VLOOKUP(BOV$1,'Renta Fija USD + Oro Conservado'!$B$18:$C$27,2,FALSE),0%)</f>
        <v>0</v>
      </c>
      <c r="BOW4" s="5">
        <f>IFERROR(VLOOKUP(BOW$1,'Renta Fija USD + Oro Conservado'!$B$18:$C$27,2,FALSE),0%)</f>
        <v>0</v>
      </c>
      <c r="BOX4" s="5">
        <f>IFERROR(VLOOKUP(BOX$1,'Renta Fija USD + Oro Conservado'!$B$18:$C$27,2,FALSE),0%)</f>
        <v>0</v>
      </c>
      <c r="BOY4" s="5">
        <f>IFERROR(VLOOKUP(BOY$1,'Renta Fija USD + Oro Conservado'!$B$18:$C$27,2,FALSE),0%)</f>
        <v>0</v>
      </c>
      <c r="BOZ4" s="5">
        <f>IFERROR(VLOOKUP(BOZ$1,'Renta Fija USD + Oro Conservado'!$B$18:$C$27,2,FALSE),0%)</f>
        <v>0</v>
      </c>
      <c r="BPA4" s="5">
        <f>IFERROR(VLOOKUP(BPA$1,'Renta Fija USD + Oro Conservado'!$B$18:$C$27,2,FALSE),0%)</f>
        <v>0</v>
      </c>
      <c r="BPB4" s="5">
        <f>IFERROR(VLOOKUP(BPB$1,'Renta Fija USD + Oro Conservado'!$B$18:$C$27,2,FALSE),0%)</f>
        <v>0</v>
      </c>
      <c r="BPC4" s="5">
        <f>IFERROR(VLOOKUP(BPC$1,'Renta Fija USD + Oro Conservado'!$B$18:$C$27,2,FALSE),0%)</f>
        <v>0</v>
      </c>
      <c r="BPD4" s="5">
        <f>IFERROR(VLOOKUP(BPD$1,'Renta Fija USD + Oro Conservado'!$B$18:$C$27,2,FALSE),0%)</f>
        <v>0</v>
      </c>
      <c r="BPE4" s="5">
        <f>IFERROR(VLOOKUP(BPE$1,'Renta Fija USD + Oro Conservado'!$B$18:$C$27,2,FALSE),0%)</f>
        <v>0</v>
      </c>
      <c r="BPF4" s="5">
        <f>IFERROR(VLOOKUP(BPF$1,'Renta Fija USD + Oro Conservado'!$B$18:$C$27,2,FALSE),0%)</f>
        <v>0</v>
      </c>
      <c r="BPG4" s="5">
        <f>IFERROR(VLOOKUP(BPG$1,'Renta Fija USD + Oro Conservado'!$B$18:$C$27,2,FALSE),0%)</f>
        <v>0</v>
      </c>
      <c r="BPH4" s="5">
        <f>IFERROR(VLOOKUP(BPH$1,'Renta Fija USD + Oro Conservado'!$B$18:$C$27,2,FALSE),0%)</f>
        <v>0</v>
      </c>
      <c r="BPI4" s="5">
        <f>IFERROR(VLOOKUP(BPI$1,'Renta Fija USD + Oro Conservado'!$B$18:$C$27,2,FALSE),0%)</f>
        <v>0</v>
      </c>
      <c r="BPJ4" s="5">
        <f>IFERROR(VLOOKUP(BPJ$1,'Renta Fija USD + Oro Conservado'!$B$18:$C$27,2,FALSE),0%)</f>
        <v>0</v>
      </c>
      <c r="BPK4" s="5">
        <f>IFERROR(VLOOKUP(BPK$1,'Renta Fija USD + Oro Conservado'!$B$18:$C$27,2,FALSE),0%)</f>
        <v>0</v>
      </c>
      <c r="BPL4" s="5">
        <f>IFERROR(VLOOKUP(BPL$1,'Renta Fija USD + Oro Conservado'!$B$18:$C$27,2,FALSE),0%)</f>
        <v>0</v>
      </c>
      <c r="BPM4" s="5">
        <f>IFERROR(VLOOKUP(BPM$1,'Renta Fija USD + Oro Conservado'!$B$18:$C$27,2,FALSE),0%)</f>
        <v>0</v>
      </c>
      <c r="BPN4" s="5">
        <f>IFERROR(VLOOKUP(BPN$1,'Renta Fija USD + Oro Conservado'!$B$18:$C$27,2,FALSE),0%)</f>
        <v>0</v>
      </c>
      <c r="BPO4" s="5">
        <f>IFERROR(VLOOKUP(BPO$1,'Renta Fija USD + Oro Conservado'!$B$18:$C$27,2,FALSE),0%)</f>
        <v>0</v>
      </c>
      <c r="BPP4" s="5">
        <f>IFERROR(VLOOKUP(BPP$1,'Renta Fija USD + Oro Conservado'!$B$18:$C$27,2,FALSE),0%)</f>
        <v>0</v>
      </c>
      <c r="BPQ4" s="5">
        <f>IFERROR(VLOOKUP(BPQ$1,'Renta Fija USD + Oro Conservado'!$B$18:$C$27,2,FALSE),0%)</f>
        <v>0</v>
      </c>
      <c r="BPR4" s="5">
        <f>IFERROR(VLOOKUP(BPR$1,'Renta Fija USD + Oro Conservado'!$B$18:$C$27,2,FALSE),0%)</f>
        <v>0</v>
      </c>
      <c r="BPS4" s="5">
        <f>IFERROR(VLOOKUP(BPS$1,'Renta Fija USD + Oro Conservado'!$B$18:$C$27,2,FALSE),0%)</f>
        <v>0</v>
      </c>
      <c r="BPT4" s="5">
        <f>IFERROR(VLOOKUP(BPT$1,'Renta Fija USD + Oro Conservado'!$B$18:$C$27,2,FALSE),0%)</f>
        <v>0</v>
      </c>
      <c r="BPU4" s="5">
        <f>IFERROR(VLOOKUP(BPU$1,'Renta Fija USD + Oro Conservado'!$B$18:$C$27,2,FALSE),0%)</f>
        <v>0</v>
      </c>
      <c r="BPV4" s="5">
        <f>IFERROR(VLOOKUP(BPV$1,'Renta Fija USD + Oro Conservado'!$B$18:$C$27,2,FALSE),0%)</f>
        <v>0</v>
      </c>
      <c r="BPW4" s="5">
        <f>IFERROR(VLOOKUP(BPW$1,'Renta Fija USD + Oro Conservado'!$B$18:$C$27,2,FALSE),0%)</f>
        <v>0</v>
      </c>
      <c r="BPX4" s="5">
        <f>IFERROR(VLOOKUP(BPX$1,'Renta Fija USD + Oro Conservado'!$B$18:$C$27,2,FALSE),0%)</f>
        <v>0</v>
      </c>
      <c r="BPY4" s="5">
        <f>IFERROR(VLOOKUP(BPY$1,'Renta Fija USD + Oro Conservado'!$B$18:$C$27,2,FALSE),0%)</f>
        <v>0</v>
      </c>
      <c r="BPZ4" s="5">
        <f>IFERROR(VLOOKUP(BPZ$1,'Renta Fija USD + Oro Conservado'!$B$18:$C$27,2,FALSE),0%)</f>
        <v>0</v>
      </c>
      <c r="BQA4" s="5">
        <f>IFERROR(VLOOKUP(BQA$1,'Renta Fija USD + Oro Conservado'!$B$18:$C$27,2,FALSE),0%)</f>
        <v>0</v>
      </c>
      <c r="BQB4" s="5">
        <f>IFERROR(VLOOKUP(BQB$1,'Renta Fija USD + Oro Conservado'!$B$18:$C$27,2,FALSE),0%)</f>
        <v>0</v>
      </c>
      <c r="BQC4" s="5">
        <f>IFERROR(VLOOKUP(BQC$1,'Renta Fija USD + Oro Conservado'!$B$18:$C$27,2,FALSE),0%)</f>
        <v>0</v>
      </c>
      <c r="BQD4" s="5">
        <f>IFERROR(VLOOKUP(BQD$1,'Renta Fija USD + Oro Conservado'!$B$18:$C$27,2,FALSE),0%)</f>
        <v>0</v>
      </c>
      <c r="BQE4" s="5">
        <f>IFERROR(VLOOKUP(BQE$1,'Renta Fija USD + Oro Conservado'!$B$18:$C$27,2,FALSE),0%)</f>
        <v>0</v>
      </c>
      <c r="BQF4" s="5">
        <f>IFERROR(VLOOKUP(BQF$1,'Renta Fija USD + Oro Conservado'!$B$18:$C$27,2,FALSE),0%)</f>
        <v>0</v>
      </c>
      <c r="BQG4" s="5">
        <f>IFERROR(VLOOKUP(BQG$1,'Renta Fija USD + Oro Conservado'!$B$18:$C$27,2,FALSE),0%)</f>
        <v>0</v>
      </c>
      <c r="BQH4" s="5">
        <f>IFERROR(VLOOKUP(BQH$1,'Renta Fija USD + Oro Conservado'!$B$18:$C$27,2,FALSE),0%)</f>
        <v>0</v>
      </c>
      <c r="BQI4" s="5">
        <f>IFERROR(VLOOKUP(BQI$1,'Renta Fija USD + Oro Conservado'!$B$18:$C$27,2,FALSE),0%)</f>
        <v>0</v>
      </c>
      <c r="BQJ4" s="5">
        <f>IFERROR(VLOOKUP(BQJ$1,'Renta Fija USD + Oro Conservado'!$B$18:$C$27,2,FALSE),0%)</f>
        <v>0</v>
      </c>
      <c r="BQK4" s="5">
        <f>IFERROR(VLOOKUP(BQK$1,'Renta Fija USD + Oro Conservado'!$B$18:$C$27,2,FALSE),0%)</f>
        <v>0</v>
      </c>
      <c r="BQL4" s="5">
        <f>IFERROR(VLOOKUP(BQL$1,'Renta Fija USD + Oro Conservado'!$B$18:$C$27,2,FALSE),0%)</f>
        <v>0</v>
      </c>
      <c r="BQM4" s="5">
        <f>IFERROR(VLOOKUP(BQM$1,'Renta Fija USD + Oro Conservado'!$B$18:$C$27,2,FALSE),0%)</f>
        <v>0</v>
      </c>
      <c r="BQN4" s="5">
        <f>IFERROR(VLOOKUP(BQN$1,'Renta Fija USD + Oro Conservado'!$B$18:$C$27,2,FALSE),0%)</f>
        <v>0</v>
      </c>
      <c r="BQO4" s="5">
        <f>IFERROR(VLOOKUP(BQO$1,'Renta Fija USD + Oro Conservado'!$B$18:$C$27,2,FALSE),0%)</f>
        <v>0</v>
      </c>
      <c r="BQP4" s="5">
        <f>IFERROR(VLOOKUP(BQP$1,'Renta Fija USD + Oro Conservado'!$B$18:$C$27,2,FALSE),0%)</f>
        <v>0</v>
      </c>
      <c r="BQQ4" s="5">
        <f>IFERROR(VLOOKUP(BQQ$1,'Renta Fija USD + Oro Conservado'!$B$18:$C$27,2,FALSE),0%)</f>
        <v>0</v>
      </c>
      <c r="BQR4" s="5">
        <f>IFERROR(VLOOKUP(BQR$1,'Renta Fija USD + Oro Conservado'!$B$18:$C$27,2,FALSE),0%)</f>
        <v>0</v>
      </c>
      <c r="BQS4" s="5">
        <f>IFERROR(VLOOKUP(BQS$1,'Renta Fija USD + Oro Conservado'!$B$18:$C$27,2,FALSE),0%)</f>
        <v>0</v>
      </c>
      <c r="BQT4" s="5">
        <f>IFERROR(VLOOKUP(BQT$1,'Renta Fija USD + Oro Conservado'!$B$18:$C$27,2,FALSE),0%)</f>
        <v>0</v>
      </c>
      <c r="BQU4" s="5">
        <f>IFERROR(VLOOKUP(BQU$1,'Renta Fija USD + Oro Conservado'!$B$18:$C$27,2,FALSE),0%)</f>
        <v>0</v>
      </c>
      <c r="BQV4" s="5">
        <f>IFERROR(VLOOKUP(BQV$1,'Renta Fija USD + Oro Conservado'!$B$18:$C$27,2,FALSE),0%)</f>
        <v>0</v>
      </c>
      <c r="BQW4" s="5">
        <f>IFERROR(VLOOKUP(BQW$1,'Renta Fija USD + Oro Conservado'!$B$18:$C$27,2,FALSE),0%)</f>
        <v>0</v>
      </c>
      <c r="BQX4" s="5">
        <f>IFERROR(VLOOKUP(BQX$1,'Renta Fija USD + Oro Conservado'!$B$18:$C$27,2,FALSE),0%)</f>
        <v>0</v>
      </c>
      <c r="BQY4" s="5">
        <f>IFERROR(VLOOKUP(BQY$1,'Renta Fija USD + Oro Conservado'!$B$18:$C$27,2,FALSE),0%)</f>
        <v>0</v>
      </c>
      <c r="BQZ4" s="5">
        <f>IFERROR(VLOOKUP(BQZ$1,'Renta Fija USD + Oro Conservado'!$B$18:$C$27,2,FALSE),0%)</f>
        <v>0</v>
      </c>
      <c r="BRA4" s="5">
        <f>IFERROR(VLOOKUP(BRA$1,'Renta Fija USD + Oro Conservado'!$B$18:$C$27,2,FALSE),0%)</f>
        <v>0</v>
      </c>
      <c r="BRB4" s="5">
        <f>IFERROR(VLOOKUP(BRB$1,'Renta Fija USD + Oro Conservado'!$B$18:$C$27,2,FALSE),0%)</f>
        <v>0</v>
      </c>
      <c r="BRC4" s="5">
        <f>IFERROR(VLOOKUP(BRC$1,'Renta Fija USD + Oro Conservado'!$B$18:$C$27,2,FALSE),0%)</f>
        <v>0</v>
      </c>
      <c r="BRD4" s="5">
        <f>IFERROR(VLOOKUP(BRD$1,'Renta Fija USD + Oro Conservado'!$B$18:$C$27,2,FALSE),0%)</f>
        <v>0</v>
      </c>
      <c r="BRE4" s="5">
        <f>IFERROR(VLOOKUP(BRE$1,'Renta Fija USD + Oro Conservado'!$B$18:$C$27,2,FALSE),0%)</f>
        <v>0</v>
      </c>
      <c r="BRF4" s="5">
        <f>IFERROR(VLOOKUP(BRF$1,'Renta Fija USD + Oro Conservado'!$B$18:$C$27,2,FALSE),0%)</f>
        <v>0</v>
      </c>
      <c r="BRG4" s="5">
        <f>IFERROR(VLOOKUP(BRG$1,'Renta Fija USD + Oro Conservado'!$B$18:$C$27,2,FALSE),0%)</f>
        <v>0</v>
      </c>
      <c r="BRH4" s="5">
        <f>IFERROR(VLOOKUP(BRH$1,'Renta Fija USD + Oro Conservado'!$B$18:$C$27,2,FALSE),0%)</f>
        <v>0</v>
      </c>
      <c r="BRI4" s="5">
        <f>IFERROR(VLOOKUP(BRI$1,'Renta Fija USD + Oro Conservado'!$B$18:$C$27,2,FALSE),0%)</f>
        <v>0</v>
      </c>
      <c r="BRJ4" s="5">
        <f>IFERROR(VLOOKUP(BRJ$1,'Renta Fija USD + Oro Conservado'!$B$18:$C$27,2,FALSE),0%)</f>
        <v>0</v>
      </c>
      <c r="BRK4" s="5">
        <f>IFERROR(VLOOKUP(BRK$1,'Renta Fija USD + Oro Conservado'!$B$18:$C$27,2,FALSE),0%)</f>
        <v>0</v>
      </c>
      <c r="BRL4" s="5">
        <f>IFERROR(VLOOKUP(BRL$1,'Renta Fija USD + Oro Conservado'!$B$18:$C$27,2,FALSE),0%)</f>
        <v>0</v>
      </c>
      <c r="BRM4" s="5">
        <f>IFERROR(VLOOKUP(BRM$1,'Renta Fija USD + Oro Conservado'!$B$18:$C$27,2,FALSE),0%)</f>
        <v>0</v>
      </c>
      <c r="BRN4" s="5">
        <f>IFERROR(VLOOKUP(BRN$1,'Renta Fija USD + Oro Conservado'!$B$18:$C$27,2,FALSE),0%)</f>
        <v>0</v>
      </c>
      <c r="BRO4" s="5">
        <f>IFERROR(VLOOKUP(BRO$1,'Renta Fija USD + Oro Conservado'!$B$18:$C$27,2,FALSE),0%)</f>
        <v>0</v>
      </c>
      <c r="BRP4" s="5">
        <f>IFERROR(VLOOKUP(BRP$1,'Renta Fija USD + Oro Conservado'!$B$18:$C$27,2,FALSE),0%)</f>
        <v>0</v>
      </c>
      <c r="BRQ4" s="5">
        <f>IFERROR(VLOOKUP(BRQ$1,'Renta Fija USD + Oro Conservado'!$B$18:$C$27,2,FALSE),0%)</f>
        <v>0</v>
      </c>
      <c r="BRR4" s="5">
        <f>IFERROR(VLOOKUP(BRR$1,'Renta Fija USD + Oro Conservado'!$B$18:$C$27,2,FALSE),0%)</f>
        <v>0</v>
      </c>
      <c r="BRS4" s="5">
        <f>IFERROR(VLOOKUP(BRS$1,'Renta Fija USD + Oro Conservado'!$B$18:$C$27,2,FALSE),0%)</f>
        <v>0</v>
      </c>
      <c r="BRT4" s="5">
        <f>IFERROR(VLOOKUP(BRT$1,'Renta Fija USD + Oro Conservado'!$B$18:$C$27,2,FALSE),0%)</f>
        <v>0</v>
      </c>
      <c r="BRU4" s="5">
        <f>IFERROR(VLOOKUP(BRU$1,'Renta Fija USD + Oro Conservado'!$B$18:$C$27,2,FALSE),0%)</f>
        <v>0</v>
      </c>
      <c r="BRV4" s="5">
        <f>IFERROR(VLOOKUP(BRV$1,'Renta Fija USD + Oro Conservado'!$B$18:$C$27,2,FALSE),0%)</f>
        <v>0</v>
      </c>
      <c r="BRW4" s="5">
        <f>IFERROR(VLOOKUP(BRW$1,'Renta Fija USD + Oro Conservado'!$B$18:$C$27,2,FALSE),0%)</f>
        <v>0</v>
      </c>
      <c r="BRX4" s="5">
        <f>IFERROR(VLOOKUP(BRX$1,'Renta Fija USD + Oro Conservado'!$B$18:$C$27,2,FALSE),0%)</f>
        <v>0</v>
      </c>
      <c r="BRY4" s="5">
        <f>IFERROR(VLOOKUP(BRY$1,'Renta Fija USD + Oro Conservado'!$B$18:$C$27,2,FALSE),0%)</f>
        <v>0</v>
      </c>
      <c r="BRZ4" s="5">
        <f>IFERROR(VLOOKUP(BRZ$1,'Renta Fija USD + Oro Conservado'!$B$18:$C$27,2,FALSE),0%)</f>
        <v>0</v>
      </c>
      <c r="BSA4" s="5">
        <f>IFERROR(VLOOKUP(BSA$1,'Renta Fija USD + Oro Conservado'!$B$18:$C$27,2,FALSE),0%)</f>
        <v>0</v>
      </c>
      <c r="BSB4" s="5">
        <f>IFERROR(VLOOKUP(BSB$1,'Renta Fija USD + Oro Conservado'!$B$18:$C$27,2,FALSE),0%)</f>
        <v>0</v>
      </c>
      <c r="BSC4" s="5">
        <f>IFERROR(VLOOKUP(BSC$1,'Renta Fija USD + Oro Conservado'!$B$18:$C$27,2,FALSE),0%)</f>
        <v>0</v>
      </c>
      <c r="BSD4" s="5">
        <f>IFERROR(VLOOKUP(BSD$1,'Renta Fija USD + Oro Conservado'!$B$18:$C$27,2,FALSE),0%)</f>
        <v>0</v>
      </c>
      <c r="BSE4" s="5">
        <f>IFERROR(VLOOKUP(BSE$1,'Renta Fija USD + Oro Conservado'!$B$18:$C$27,2,FALSE),0%)</f>
        <v>0</v>
      </c>
      <c r="BSF4" s="5">
        <f>IFERROR(VLOOKUP(BSF$1,'Renta Fija USD + Oro Conservado'!$B$18:$C$27,2,FALSE),0%)</f>
        <v>0</v>
      </c>
      <c r="BSG4" s="5">
        <f>IFERROR(VLOOKUP(BSG$1,'Renta Fija USD + Oro Conservado'!$B$18:$C$27,2,FALSE),0%)</f>
        <v>0</v>
      </c>
      <c r="BSH4" s="5">
        <f>IFERROR(VLOOKUP(BSH$1,'Renta Fija USD + Oro Conservado'!$B$18:$C$27,2,FALSE),0%)</f>
        <v>0</v>
      </c>
      <c r="BSI4" s="5">
        <f>IFERROR(VLOOKUP(BSI$1,'Renta Fija USD + Oro Conservado'!$B$18:$C$27,2,FALSE),0%)</f>
        <v>0</v>
      </c>
      <c r="BSJ4" s="5">
        <f>IFERROR(VLOOKUP(BSJ$1,'Renta Fija USD + Oro Conservado'!$B$18:$C$27,2,FALSE),0%)</f>
        <v>0</v>
      </c>
      <c r="BSK4" s="5">
        <f>IFERROR(VLOOKUP(BSK$1,'Renta Fija USD + Oro Conservado'!$B$18:$C$27,2,FALSE),0%)</f>
        <v>0</v>
      </c>
      <c r="BSL4" s="5">
        <f>IFERROR(VLOOKUP(BSL$1,'Renta Fija USD + Oro Conservado'!$B$18:$C$27,2,FALSE),0%)</f>
        <v>0</v>
      </c>
      <c r="BSM4" s="5">
        <f>IFERROR(VLOOKUP(BSM$1,'Renta Fija USD + Oro Conservado'!$B$18:$C$27,2,FALSE),0%)</f>
        <v>0</v>
      </c>
      <c r="BSN4" s="5">
        <f>IFERROR(VLOOKUP(BSN$1,'Renta Fija USD + Oro Conservado'!$B$18:$C$27,2,FALSE),0%)</f>
        <v>0</v>
      </c>
      <c r="BSO4" s="5">
        <f>IFERROR(VLOOKUP(BSO$1,'Renta Fija USD + Oro Conservado'!$B$18:$C$27,2,FALSE),0%)</f>
        <v>0</v>
      </c>
      <c r="BSP4" s="5">
        <f>IFERROR(VLOOKUP(BSP$1,'Renta Fija USD + Oro Conservado'!$B$18:$C$27,2,FALSE),0%)</f>
        <v>0</v>
      </c>
      <c r="BSQ4" s="5">
        <f>IFERROR(VLOOKUP(BSQ$1,'Renta Fija USD + Oro Conservado'!$B$18:$C$27,2,FALSE),0%)</f>
        <v>0</v>
      </c>
      <c r="BSR4" s="5">
        <f>IFERROR(VLOOKUP(BSR$1,'Renta Fija USD + Oro Conservado'!$B$18:$C$27,2,FALSE),0%)</f>
        <v>0</v>
      </c>
      <c r="BSS4" s="5">
        <f>IFERROR(VLOOKUP(BSS$1,'Renta Fija USD + Oro Conservado'!$B$18:$C$27,2,FALSE),0%)</f>
        <v>0</v>
      </c>
      <c r="BST4" s="5">
        <f>IFERROR(VLOOKUP(BST$1,'Renta Fija USD + Oro Conservado'!$B$18:$C$27,2,FALSE),0%)</f>
        <v>0</v>
      </c>
      <c r="BSU4" s="5">
        <f>IFERROR(VLOOKUP(BSU$1,'Renta Fija USD + Oro Conservado'!$B$18:$C$27,2,FALSE),0%)</f>
        <v>0</v>
      </c>
      <c r="BSV4" s="5">
        <f>IFERROR(VLOOKUP(BSV$1,'Renta Fija USD + Oro Conservado'!$B$18:$C$27,2,FALSE),0%)</f>
        <v>0</v>
      </c>
      <c r="BSW4" s="5">
        <f>IFERROR(VLOOKUP(BSW$1,'Renta Fija USD + Oro Conservado'!$B$18:$C$27,2,FALSE),0%)</f>
        <v>0</v>
      </c>
      <c r="BSX4" s="5">
        <f>IFERROR(VLOOKUP(BSX$1,'Renta Fija USD + Oro Conservado'!$B$18:$C$27,2,FALSE),0%)</f>
        <v>0</v>
      </c>
      <c r="BSY4" s="5">
        <f>IFERROR(VLOOKUP(BSY$1,'Renta Fija USD + Oro Conservado'!$B$18:$C$27,2,FALSE),0%)</f>
        <v>0</v>
      </c>
      <c r="BSZ4" s="5">
        <f>IFERROR(VLOOKUP(BSZ$1,'Renta Fija USD + Oro Conservado'!$B$18:$C$27,2,FALSE),0%)</f>
        <v>0</v>
      </c>
      <c r="BTA4" s="5">
        <f>IFERROR(VLOOKUP(BTA$1,'Renta Fija USD + Oro Conservado'!$B$18:$C$27,2,FALSE),0%)</f>
        <v>0</v>
      </c>
      <c r="BTB4" s="5">
        <f>IFERROR(VLOOKUP(BTB$1,'Renta Fija USD + Oro Conservado'!$B$18:$C$27,2,FALSE),0%)</f>
        <v>0</v>
      </c>
      <c r="BTC4" s="5">
        <f>IFERROR(VLOOKUP(BTC$1,'Renta Fija USD + Oro Conservado'!$B$18:$C$27,2,FALSE),0%)</f>
        <v>0</v>
      </c>
      <c r="BTD4" s="5">
        <f>IFERROR(VLOOKUP(BTD$1,'Renta Fija USD + Oro Conservado'!$B$18:$C$27,2,FALSE),0%)</f>
        <v>0</v>
      </c>
      <c r="BTE4" s="5">
        <f>IFERROR(VLOOKUP(BTE$1,'Renta Fija USD + Oro Conservado'!$B$18:$C$27,2,FALSE),0%)</f>
        <v>0</v>
      </c>
      <c r="BTF4" s="5">
        <f>IFERROR(VLOOKUP(BTF$1,'Renta Fija USD + Oro Conservado'!$B$18:$C$27,2,FALSE),0%)</f>
        <v>0</v>
      </c>
      <c r="BTG4" s="5">
        <f>IFERROR(VLOOKUP(BTG$1,'Renta Fija USD + Oro Conservado'!$B$18:$C$27,2,FALSE),0%)</f>
        <v>0</v>
      </c>
      <c r="BTH4" s="5">
        <f>IFERROR(VLOOKUP(BTH$1,'Renta Fija USD + Oro Conservado'!$B$18:$C$27,2,FALSE),0%)</f>
        <v>0</v>
      </c>
      <c r="BTI4" s="5">
        <f>IFERROR(VLOOKUP(BTI$1,'Renta Fija USD + Oro Conservado'!$B$18:$C$27,2,FALSE),0%)</f>
        <v>0</v>
      </c>
      <c r="BTJ4" s="5">
        <f>IFERROR(VLOOKUP(BTJ$1,'Renta Fija USD + Oro Conservado'!$B$18:$C$27,2,FALSE),0%)</f>
        <v>0</v>
      </c>
      <c r="BTK4" s="5">
        <f>IFERROR(VLOOKUP(BTK$1,'Renta Fija USD + Oro Conservado'!$B$18:$C$27,2,FALSE),0%)</f>
        <v>0</v>
      </c>
      <c r="BTL4" s="5">
        <f>IFERROR(VLOOKUP(BTL$1,'Renta Fija USD + Oro Conservado'!$B$18:$C$27,2,FALSE),0%)</f>
        <v>0</v>
      </c>
      <c r="BTM4" s="5">
        <f>IFERROR(VLOOKUP(BTM$1,'Renta Fija USD + Oro Conservado'!$B$18:$C$27,2,FALSE),0%)</f>
        <v>0</v>
      </c>
      <c r="BTN4" s="5">
        <f>IFERROR(VLOOKUP(BTN$1,'Renta Fija USD + Oro Conservado'!$B$18:$C$27,2,FALSE),0%)</f>
        <v>0</v>
      </c>
      <c r="BTO4" s="5">
        <f>IFERROR(VLOOKUP(BTO$1,'Renta Fija USD + Oro Conservado'!$B$18:$C$27,2,FALSE),0%)</f>
        <v>0</v>
      </c>
      <c r="BTP4" s="5">
        <f>IFERROR(VLOOKUP(BTP$1,'Renta Fija USD + Oro Conservado'!$B$18:$C$27,2,FALSE),0%)</f>
        <v>0</v>
      </c>
      <c r="BTQ4" s="5">
        <f>IFERROR(VLOOKUP(BTQ$1,'Renta Fija USD + Oro Conservado'!$B$18:$C$27,2,FALSE),0%)</f>
        <v>0</v>
      </c>
      <c r="BTR4" s="5">
        <f>IFERROR(VLOOKUP(BTR$1,'Renta Fija USD + Oro Conservado'!$B$18:$C$27,2,FALSE),0%)</f>
        <v>0</v>
      </c>
      <c r="BTS4" s="5">
        <f>IFERROR(VLOOKUP(BTS$1,'Renta Fija USD + Oro Conservado'!$B$18:$C$27,2,FALSE),0%)</f>
        <v>0</v>
      </c>
      <c r="BTT4" s="5">
        <f>IFERROR(VLOOKUP(BTT$1,'Renta Fija USD + Oro Conservado'!$B$18:$C$27,2,FALSE),0%)</f>
        <v>0</v>
      </c>
      <c r="BTU4" s="5">
        <f>IFERROR(VLOOKUP(BTU$1,'Renta Fija USD + Oro Conservado'!$B$18:$C$27,2,FALSE),0%)</f>
        <v>0</v>
      </c>
      <c r="BTV4" s="5">
        <f>IFERROR(VLOOKUP(BTV$1,'Renta Fija USD + Oro Conservado'!$B$18:$C$27,2,FALSE),0%)</f>
        <v>0</v>
      </c>
      <c r="BTW4" s="5">
        <f>IFERROR(VLOOKUP(BTW$1,'Renta Fija USD + Oro Conservado'!$B$18:$C$27,2,FALSE),0%)</f>
        <v>0</v>
      </c>
      <c r="BTX4" s="5">
        <f>IFERROR(VLOOKUP(BTX$1,'Renta Fija USD + Oro Conservado'!$B$18:$C$27,2,FALSE),0%)</f>
        <v>0</v>
      </c>
      <c r="BTY4" s="5">
        <f>IFERROR(VLOOKUP(BTY$1,'Renta Fija USD + Oro Conservado'!$B$18:$C$27,2,FALSE),0%)</f>
        <v>0</v>
      </c>
      <c r="BTZ4" s="5">
        <f>IFERROR(VLOOKUP(BTZ$1,'Renta Fija USD + Oro Conservado'!$B$18:$C$27,2,FALSE),0%)</f>
        <v>0</v>
      </c>
      <c r="BUA4" s="5">
        <f>IFERROR(VLOOKUP(BUA$1,'Renta Fija USD + Oro Conservado'!$B$18:$C$27,2,FALSE),0%)</f>
        <v>0</v>
      </c>
      <c r="BUB4" s="5">
        <f>IFERROR(VLOOKUP(BUB$1,'Renta Fija USD + Oro Conservado'!$B$18:$C$27,2,FALSE),0%)</f>
        <v>0</v>
      </c>
      <c r="BUC4" s="5">
        <f>IFERROR(VLOOKUP(BUC$1,'Renta Fija USD + Oro Conservado'!$B$18:$C$27,2,FALSE),0%)</f>
        <v>0</v>
      </c>
      <c r="BUD4" s="5">
        <f>IFERROR(VLOOKUP(BUD$1,'Renta Fija USD + Oro Conservado'!$B$18:$C$27,2,FALSE),0%)</f>
        <v>0</v>
      </c>
      <c r="BUE4" s="5">
        <f>IFERROR(VLOOKUP(BUE$1,'Renta Fija USD + Oro Conservado'!$B$18:$C$27,2,FALSE),0%)</f>
        <v>0</v>
      </c>
      <c r="BUF4" s="5">
        <f>IFERROR(VLOOKUP(BUF$1,'Renta Fija USD + Oro Conservado'!$B$18:$C$27,2,FALSE),0%)</f>
        <v>0</v>
      </c>
      <c r="BUG4" s="5">
        <f>IFERROR(VLOOKUP(BUG$1,'Renta Fija USD + Oro Conservado'!$B$18:$C$27,2,FALSE),0%)</f>
        <v>0</v>
      </c>
      <c r="BUH4" s="5">
        <f>IFERROR(VLOOKUP(BUH$1,'Renta Fija USD + Oro Conservado'!$B$18:$C$27,2,FALSE),0%)</f>
        <v>0</v>
      </c>
      <c r="BUI4" s="5">
        <f>IFERROR(VLOOKUP(BUI$1,'Renta Fija USD + Oro Conservado'!$B$18:$C$27,2,FALSE),0%)</f>
        <v>0</v>
      </c>
      <c r="BUJ4" s="5">
        <f>IFERROR(VLOOKUP(BUJ$1,'Renta Fija USD + Oro Conservado'!$B$18:$C$27,2,FALSE),0%)</f>
        <v>0</v>
      </c>
      <c r="BUK4" s="5">
        <f>IFERROR(VLOOKUP(BUK$1,'Renta Fija USD + Oro Conservado'!$B$18:$C$27,2,FALSE),0%)</f>
        <v>0</v>
      </c>
      <c r="BUL4" s="5">
        <f>IFERROR(VLOOKUP(BUL$1,'Renta Fija USD + Oro Conservado'!$B$18:$C$27,2,FALSE),0%)</f>
        <v>0</v>
      </c>
      <c r="BUM4" s="5">
        <f>IFERROR(VLOOKUP(BUM$1,'Renta Fija USD + Oro Conservado'!$B$18:$C$27,2,FALSE),0%)</f>
        <v>0</v>
      </c>
      <c r="BUN4" s="5">
        <f>IFERROR(VLOOKUP(BUN$1,'Renta Fija USD + Oro Conservado'!$B$18:$C$27,2,FALSE),0%)</f>
        <v>0</v>
      </c>
      <c r="BUO4" s="5">
        <f>IFERROR(VLOOKUP(BUO$1,'Renta Fija USD + Oro Conservado'!$B$18:$C$27,2,FALSE),0%)</f>
        <v>0</v>
      </c>
      <c r="BUP4" s="5">
        <f>IFERROR(VLOOKUP(BUP$1,'Renta Fija USD + Oro Conservado'!$B$18:$C$27,2,FALSE),0%)</f>
        <v>0</v>
      </c>
      <c r="BUQ4" s="5">
        <f>IFERROR(VLOOKUP(BUQ$1,'Renta Fija USD + Oro Conservado'!$B$18:$C$27,2,FALSE),0%)</f>
        <v>0</v>
      </c>
      <c r="BUR4" s="5">
        <f>IFERROR(VLOOKUP(BUR$1,'Renta Fija USD + Oro Conservado'!$B$18:$C$27,2,FALSE),0%)</f>
        <v>0</v>
      </c>
      <c r="BUS4" s="5">
        <f>IFERROR(VLOOKUP(BUS$1,'Renta Fija USD + Oro Conservado'!$B$18:$C$27,2,FALSE),0%)</f>
        <v>0</v>
      </c>
      <c r="BUT4" s="5">
        <f>IFERROR(VLOOKUP(BUT$1,'Renta Fija USD + Oro Conservado'!$B$18:$C$27,2,FALSE),0%)</f>
        <v>0</v>
      </c>
      <c r="BUU4" s="5">
        <f>IFERROR(VLOOKUP(BUU$1,'Renta Fija USD + Oro Conservado'!$B$18:$C$27,2,FALSE),0%)</f>
        <v>0</v>
      </c>
      <c r="BUV4" s="5">
        <f>IFERROR(VLOOKUP(BUV$1,'Renta Fija USD + Oro Conservado'!$B$18:$C$27,2,FALSE),0%)</f>
        <v>0</v>
      </c>
      <c r="BUW4" s="5">
        <f>IFERROR(VLOOKUP(BUW$1,'Renta Fija USD + Oro Conservado'!$B$18:$C$27,2,FALSE),0%)</f>
        <v>0</v>
      </c>
      <c r="BUX4" s="5">
        <f>IFERROR(VLOOKUP(BUX$1,'Renta Fija USD + Oro Conservado'!$B$18:$C$27,2,FALSE),0%)</f>
        <v>0</v>
      </c>
      <c r="BUY4" s="5">
        <f>IFERROR(VLOOKUP(BUY$1,'Renta Fija USD + Oro Conservado'!$B$18:$C$27,2,FALSE),0%)</f>
        <v>0</v>
      </c>
      <c r="BUZ4" s="5">
        <f>IFERROR(VLOOKUP(BUZ$1,'Renta Fija USD + Oro Conservado'!$B$18:$C$27,2,FALSE),0%)</f>
        <v>0</v>
      </c>
      <c r="BVA4" s="5">
        <f>IFERROR(VLOOKUP(BVA$1,'Renta Fija USD + Oro Conservado'!$B$18:$C$27,2,FALSE),0%)</f>
        <v>0</v>
      </c>
      <c r="BVB4" s="5">
        <f>IFERROR(VLOOKUP(BVB$1,'Renta Fija USD + Oro Conservado'!$B$18:$C$27,2,FALSE),0%)</f>
        <v>0</v>
      </c>
      <c r="BVC4" s="5">
        <f>IFERROR(VLOOKUP(BVC$1,'Renta Fija USD + Oro Conservado'!$B$18:$C$27,2,FALSE),0%)</f>
        <v>0</v>
      </c>
      <c r="BVD4" s="5">
        <f>IFERROR(VLOOKUP(BVD$1,'Renta Fija USD + Oro Conservado'!$B$18:$C$27,2,FALSE),0%)</f>
        <v>0</v>
      </c>
      <c r="BVE4" s="5">
        <f>IFERROR(VLOOKUP(BVE$1,'Renta Fija USD + Oro Conservado'!$B$18:$C$27,2,FALSE),0%)</f>
        <v>0</v>
      </c>
      <c r="BVF4" s="5">
        <f>IFERROR(VLOOKUP(BVF$1,'Renta Fija USD + Oro Conservado'!$B$18:$C$27,2,FALSE),0%)</f>
        <v>0</v>
      </c>
      <c r="BVG4" s="5">
        <f>IFERROR(VLOOKUP(BVG$1,'Renta Fija USD + Oro Conservado'!$B$18:$C$27,2,FALSE),0%)</f>
        <v>0</v>
      </c>
      <c r="BVH4" s="5">
        <f>IFERROR(VLOOKUP(BVH$1,'Renta Fija USD + Oro Conservado'!$B$18:$C$27,2,FALSE),0%)</f>
        <v>0</v>
      </c>
      <c r="BVI4" s="5">
        <f>IFERROR(VLOOKUP(BVI$1,'Renta Fija USD + Oro Conservado'!$B$18:$C$27,2,FALSE),0%)</f>
        <v>0</v>
      </c>
      <c r="BVJ4" s="5">
        <f>IFERROR(VLOOKUP(BVJ$1,'Renta Fija USD + Oro Conservado'!$B$18:$C$27,2,FALSE),0%)</f>
        <v>0</v>
      </c>
      <c r="BVK4" s="5">
        <f>IFERROR(VLOOKUP(BVK$1,'Renta Fija USD + Oro Conservado'!$B$18:$C$27,2,FALSE),0%)</f>
        <v>0</v>
      </c>
      <c r="BVL4" s="5">
        <f>IFERROR(VLOOKUP(BVL$1,'Renta Fija USD + Oro Conservado'!$B$18:$C$27,2,FALSE),0%)</f>
        <v>0</v>
      </c>
      <c r="BVM4" s="5">
        <f>IFERROR(VLOOKUP(BVM$1,'Renta Fija USD + Oro Conservado'!$B$18:$C$27,2,FALSE),0%)</f>
        <v>0</v>
      </c>
      <c r="BVN4" s="5">
        <f>IFERROR(VLOOKUP(BVN$1,'Renta Fija USD + Oro Conservado'!$B$18:$C$27,2,FALSE),0%)</f>
        <v>0</v>
      </c>
      <c r="BVO4" s="5">
        <f>IFERROR(VLOOKUP(BVO$1,'Renta Fija USD + Oro Conservado'!$B$18:$C$27,2,FALSE),0%)</f>
        <v>0</v>
      </c>
      <c r="BVP4" s="5">
        <f>IFERROR(VLOOKUP(BVP$1,'Renta Fija USD + Oro Conservado'!$B$18:$C$27,2,FALSE),0%)</f>
        <v>0</v>
      </c>
      <c r="BVQ4" s="5">
        <f>IFERROR(VLOOKUP(BVQ$1,'Renta Fija USD + Oro Conservado'!$B$18:$C$27,2,FALSE),0%)</f>
        <v>0</v>
      </c>
      <c r="BVR4" s="5">
        <f>IFERROR(VLOOKUP(BVR$1,'Renta Fija USD + Oro Conservado'!$B$18:$C$27,2,FALSE),0%)</f>
        <v>0</v>
      </c>
      <c r="BVS4" s="5">
        <f>IFERROR(VLOOKUP(BVS$1,'Renta Fija USD + Oro Conservado'!$B$18:$C$27,2,FALSE),0%)</f>
        <v>0</v>
      </c>
      <c r="BVT4" s="5">
        <f>IFERROR(VLOOKUP(BVT$1,'Renta Fija USD + Oro Conservado'!$B$18:$C$27,2,FALSE),0%)</f>
        <v>0</v>
      </c>
      <c r="BVU4" s="5">
        <f>IFERROR(VLOOKUP(BVU$1,'Renta Fija USD + Oro Conservado'!$B$18:$C$27,2,FALSE),0%)</f>
        <v>0</v>
      </c>
      <c r="BVV4" s="5">
        <f>IFERROR(VLOOKUP(BVV$1,'Renta Fija USD + Oro Conservado'!$B$18:$C$27,2,FALSE),0%)</f>
        <v>0</v>
      </c>
      <c r="BVW4" s="5">
        <f>IFERROR(VLOOKUP(BVW$1,'Renta Fija USD + Oro Conservado'!$B$18:$C$27,2,FALSE),0%)</f>
        <v>0</v>
      </c>
      <c r="BVX4" s="5">
        <f>IFERROR(VLOOKUP(BVX$1,'Renta Fija USD + Oro Conservado'!$B$18:$C$27,2,FALSE),0%)</f>
        <v>0</v>
      </c>
      <c r="BVY4" s="5">
        <f>IFERROR(VLOOKUP(BVY$1,'Renta Fija USD + Oro Conservado'!$B$18:$C$27,2,FALSE),0%)</f>
        <v>0</v>
      </c>
      <c r="BVZ4" s="5">
        <f>IFERROR(VLOOKUP(BVZ$1,'Renta Fija USD + Oro Conservado'!$B$18:$C$27,2,FALSE),0%)</f>
        <v>0</v>
      </c>
      <c r="BWA4" s="5">
        <f>IFERROR(VLOOKUP(BWA$1,'Renta Fija USD + Oro Conservado'!$B$18:$C$27,2,FALSE),0%)</f>
        <v>0</v>
      </c>
      <c r="BWB4" s="5">
        <f>IFERROR(VLOOKUP(BWB$1,'Renta Fija USD + Oro Conservado'!$B$18:$C$27,2,FALSE),0%)</f>
        <v>0</v>
      </c>
      <c r="BWC4" s="5">
        <f>IFERROR(VLOOKUP(BWC$1,'Renta Fija USD + Oro Conservado'!$B$18:$C$27,2,FALSE),0%)</f>
        <v>0</v>
      </c>
      <c r="BWD4" s="5">
        <f>IFERROR(VLOOKUP(BWD$1,'Renta Fija USD + Oro Conservado'!$B$18:$C$27,2,FALSE),0%)</f>
        <v>0</v>
      </c>
      <c r="BWE4" s="5">
        <f>IFERROR(VLOOKUP(BWE$1,'Renta Fija USD + Oro Conservado'!$B$18:$C$27,2,FALSE),0%)</f>
        <v>0</v>
      </c>
      <c r="BWF4" s="5">
        <f>IFERROR(VLOOKUP(BWF$1,'Renta Fija USD + Oro Conservado'!$B$18:$C$27,2,FALSE),0%)</f>
        <v>0</v>
      </c>
      <c r="BWG4" s="5">
        <f>IFERROR(VLOOKUP(BWG$1,'Renta Fija USD + Oro Conservado'!$B$18:$C$27,2,FALSE),0%)</f>
        <v>0</v>
      </c>
      <c r="BWH4" s="5">
        <f>IFERROR(VLOOKUP(BWH$1,'Renta Fija USD + Oro Conservado'!$B$18:$C$27,2,FALSE),0%)</f>
        <v>0</v>
      </c>
      <c r="BWI4" s="5">
        <f>IFERROR(VLOOKUP(BWI$1,'Renta Fija USD + Oro Conservado'!$B$18:$C$27,2,FALSE),0%)</f>
        <v>0</v>
      </c>
      <c r="BWJ4" s="5">
        <f>IFERROR(VLOOKUP(BWJ$1,'Renta Fija USD + Oro Conservado'!$B$18:$C$27,2,FALSE),0%)</f>
        <v>0</v>
      </c>
      <c r="BWK4" s="5">
        <f>IFERROR(VLOOKUP(BWK$1,'Renta Fija USD + Oro Conservado'!$B$18:$C$27,2,FALSE),0%)</f>
        <v>0</v>
      </c>
      <c r="BWL4" s="5">
        <f>IFERROR(VLOOKUP(BWL$1,'Renta Fija USD + Oro Conservado'!$B$18:$C$27,2,FALSE),0%)</f>
        <v>0</v>
      </c>
      <c r="BWM4" s="5">
        <f>IFERROR(VLOOKUP(BWM$1,'Renta Fija USD + Oro Conservado'!$B$18:$C$27,2,FALSE),0%)</f>
        <v>0</v>
      </c>
      <c r="BWN4" s="5">
        <f>IFERROR(VLOOKUP(BWN$1,'Renta Fija USD + Oro Conservado'!$B$18:$C$27,2,FALSE),0%)</f>
        <v>0</v>
      </c>
      <c r="BWO4" s="5">
        <f>IFERROR(VLOOKUP(BWO$1,'Renta Fija USD + Oro Conservado'!$B$18:$C$27,2,FALSE),0%)</f>
        <v>0</v>
      </c>
      <c r="BWP4" s="5">
        <f>IFERROR(VLOOKUP(BWP$1,'Renta Fija USD + Oro Conservado'!$B$18:$C$27,2,FALSE),0%)</f>
        <v>0</v>
      </c>
      <c r="BWQ4" s="5">
        <f>IFERROR(VLOOKUP(BWQ$1,'Renta Fija USD + Oro Conservado'!$B$18:$C$27,2,FALSE),0%)</f>
        <v>0</v>
      </c>
      <c r="BWR4" s="5">
        <f>IFERROR(VLOOKUP(BWR$1,'Renta Fija USD + Oro Conservado'!$B$18:$C$27,2,FALSE),0%)</f>
        <v>0</v>
      </c>
      <c r="BWS4" s="5">
        <f>IFERROR(VLOOKUP(BWS$1,'Renta Fija USD + Oro Conservado'!$B$18:$C$27,2,FALSE),0%)</f>
        <v>0</v>
      </c>
      <c r="BWT4" s="5">
        <f>IFERROR(VLOOKUP(BWT$1,'Renta Fija USD + Oro Conservado'!$B$18:$C$27,2,FALSE),0%)</f>
        <v>0</v>
      </c>
      <c r="BWU4" s="5">
        <f>IFERROR(VLOOKUP(BWU$1,'Renta Fija USD + Oro Conservado'!$B$18:$C$27,2,FALSE),0%)</f>
        <v>0</v>
      </c>
      <c r="BWV4" s="5">
        <f>IFERROR(VLOOKUP(BWV$1,'Renta Fija USD + Oro Conservado'!$B$18:$C$27,2,FALSE),0%)</f>
        <v>0</v>
      </c>
      <c r="BWW4" s="5">
        <f>IFERROR(VLOOKUP(BWW$1,'Renta Fija USD + Oro Conservado'!$B$18:$C$27,2,FALSE),0%)</f>
        <v>0</v>
      </c>
      <c r="BWX4" s="5">
        <f>IFERROR(VLOOKUP(BWX$1,'Renta Fija USD + Oro Conservado'!$B$18:$C$27,2,FALSE),0%)</f>
        <v>0</v>
      </c>
      <c r="BWY4" s="5">
        <f>IFERROR(VLOOKUP(BWY$1,'Renta Fija USD + Oro Conservado'!$B$18:$C$27,2,FALSE),0%)</f>
        <v>0</v>
      </c>
      <c r="BWZ4" s="5">
        <f>IFERROR(VLOOKUP(BWZ$1,'Renta Fija USD + Oro Conservado'!$B$18:$C$27,2,FALSE),0%)</f>
        <v>0</v>
      </c>
      <c r="BXA4" s="5">
        <f>IFERROR(VLOOKUP(BXA$1,'Renta Fija USD + Oro Conservado'!$B$18:$C$27,2,FALSE),0%)</f>
        <v>0</v>
      </c>
      <c r="BXB4" s="5">
        <f>IFERROR(VLOOKUP(BXB$1,'Renta Fija USD + Oro Conservado'!$B$18:$C$27,2,FALSE),0%)</f>
        <v>0</v>
      </c>
      <c r="BXC4" s="5">
        <f>IFERROR(VLOOKUP(BXC$1,'Renta Fija USD + Oro Conservado'!$B$18:$C$27,2,FALSE),0%)</f>
        <v>0</v>
      </c>
      <c r="BXD4" s="5">
        <f>IFERROR(VLOOKUP(BXD$1,'Renta Fija USD + Oro Conservado'!$B$18:$C$27,2,FALSE),0%)</f>
        <v>0</v>
      </c>
      <c r="BXE4" s="5">
        <f>IFERROR(VLOOKUP(BXE$1,'Renta Fija USD + Oro Conservado'!$B$18:$C$27,2,FALSE),0%)</f>
        <v>0</v>
      </c>
      <c r="BXF4" s="5">
        <f>IFERROR(VLOOKUP(BXF$1,'Renta Fija USD + Oro Conservado'!$B$18:$C$27,2,FALSE),0%)</f>
        <v>0</v>
      </c>
      <c r="BXG4" s="5">
        <f>IFERROR(VLOOKUP(BXG$1,'Renta Fija USD + Oro Conservado'!$B$18:$C$27,2,FALSE),0%)</f>
        <v>0</v>
      </c>
      <c r="BXH4" s="5">
        <f>IFERROR(VLOOKUP(BXH$1,'Renta Fija USD + Oro Conservado'!$B$18:$C$27,2,FALSE),0%)</f>
        <v>0</v>
      </c>
      <c r="BXI4" s="5">
        <f>IFERROR(VLOOKUP(BXI$1,'Renta Fija USD + Oro Conservado'!$B$18:$C$27,2,FALSE),0%)</f>
        <v>0</v>
      </c>
      <c r="BXJ4" s="5">
        <f>IFERROR(VLOOKUP(BXJ$1,'Renta Fija USD + Oro Conservado'!$B$18:$C$27,2,FALSE),0%)</f>
        <v>0</v>
      </c>
      <c r="BXK4" s="5">
        <f>IFERROR(VLOOKUP(BXK$1,'Renta Fija USD + Oro Conservado'!$B$18:$C$27,2,FALSE),0%)</f>
        <v>0</v>
      </c>
      <c r="BXL4" s="5">
        <f>IFERROR(VLOOKUP(BXL$1,'Renta Fija USD + Oro Conservado'!$B$18:$C$27,2,FALSE),0%)</f>
        <v>0</v>
      </c>
      <c r="BXM4" s="5">
        <f>IFERROR(VLOOKUP(BXM$1,'Renta Fija USD + Oro Conservado'!$B$18:$C$27,2,FALSE),0%)</f>
        <v>0</v>
      </c>
      <c r="BXN4" s="5">
        <f>IFERROR(VLOOKUP(BXN$1,'Renta Fija USD + Oro Conservado'!$B$18:$C$27,2,FALSE),0%)</f>
        <v>0</v>
      </c>
      <c r="BXO4" s="5">
        <f>IFERROR(VLOOKUP(BXO$1,'Renta Fija USD + Oro Conservado'!$B$18:$C$27,2,FALSE),0%)</f>
        <v>0</v>
      </c>
      <c r="BXP4" s="5">
        <f>IFERROR(VLOOKUP(BXP$1,'Renta Fija USD + Oro Conservado'!$B$18:$C$27,2,FALSE),0%)</f>
        <v>0</v>
      </c>
      <c r="BXQ4" s="5">
        <f>IFERROR(VLOOKUP(BXQ$1,'Renta Fija USD + Oro Conservado'!$B$18:$C$27,2,FALSE),0%)</f>
        <v>0</v>
      </c>
      <c r="BXR4" s="5">
        <f>IFERROR(VLOOKUP(BXR$1,'Renta Fija USD + Oro Conservado'!$B$18:$C$27,2,FALSE),0%)</f>
        <v>0</v>
      </c>
      <c r="BXS4" s="5">
        <f>IFERROR(VLOOKUP(BXS$1,'Renta Fija USD + Oro Conservado'!$B$18:$C$27,2,FALSE),0%)</f>
        <v>0</v>
      </c>
      <c r="BXT4" s="5">
        <f>IFERROR(VLOOKUP(BXT$1,'Renta Fija USD + Oro Conservado'!$B$18:$C$27,2,FALSE),0%)</f>
        <v>0</v>
      </c>
      <c r="BXU4" s="5">
        <f>IFERROR(VLOOKUP(BXU$1,'Renta Fija USD + Oro Conservado'!$B$18:$C$27,2,FALSE),0%)</f>
        <v>0</v>
      </c>
      <c r="BXV4" s="5">
        <f>IFERROR(VLOOKUP(BXV$1,'Renta Fija USD + Oro Conservado'!$B$18:$C$27,2,FALSE),0%)</f>
        <v>0</v>
      </c>
      <c r="BXW4" s="5">
        <f>IFERROR(VLOOKUP(BXW$1,'Renta Fija USD + Oro Conservado'!$B$18:$C$27,2,FALSE),0%)</f>
        <v>0</v>
      </c>
      <c r="BXX4" s="5">
        <f>IFERROR(VLOOKUP(BXX$1,'Renta Fija USD + Oro Conservado'!$B$18:$C$27,2,FALSE),0%)</f>
        <v>0</v>
      </c>
      <c r="BXY4" s="5">
        <f>IFERROR(VLOOKUP(BXY$1,'Renta Fija USD + Oro Conservado'!$B$18:$C$27,2,FALSE),0%)</f>
        <v>0</v>
      </c>
      <c r="BXZ4" s="5">
        <f>IFERROR(VLOOKUP(BXZ$1,'Renta Fija USD + Oro Conservado'!$B$18:$C$27,2,FALSE),0%)</f>
        <v>0</v>
      </c>
      <c r="BYA4" s="5">
        <f>IFERROR(VLOOKUP(BYA$1,'Renta Fija USD + Oro Conservado'!$B$18:$C$27,2,FALSE),0%)</f>
        <v>0</v>
      </c>
      <c r="BYB4" s="5">
        <f>IFERROR(VLOOKUP(BYB$1,'Renta Fija USD + Oro Conservado'!$B$18:$C$27,2,FALSE),0%)</f>
        <v>0</v>
      </c>
      <c r="BYC4" s="5">
        <f>IFERROR(VLOOKUP(BYC$1,'Renta Fija USD + Oro Conservado'!$B$18:$C$27,2,FALSE),0%)</f>
        <v>0</v>
      </c>
      <c r="BYD4" s="5">
        <f>IFERROR(VLOOKUP(BYD$1,'Renta Fija USD + Oro Conservado'!$B$18:$C$27,2,FALSE),0%)</f>
        <v>0</v>
      </c>
      <c r="BYE4" s="5">
        <f>IFERROR(VLOOKUP(BYE$1,'Renta Fija USD + Oro Conservado'!$B$18:$C$27,2,FALSE),0%)</f>
        <v>0</v>
      </c>
      <c r="BYF4" s="5">
        <f>IFERROR(VLOOKUP(BYF$1,'Renta Fija USD + Oro Conservado'!$B$18:$C$27,2,FALSE),0%)</f>
        <v>0</v>
      </c>
      <c r="BYG4" s="5">
        <f>IFERROR(VLOOKUP(BYG$1,'Renta Fija USD + Oro Conservado'!$B$18:$C$27,2,FALSE),0%)</f>
        <v>0</v>
      </c>
      <c r="BYH4" s="5">
        <f>IFERROR(VLOOKUP(BYH$1,'Renta Fija USD + Oro Conservado'!$B$18:$C$27,2,FALSE),0%)</f>
        <v>0</v>
      </c>
      <c r="BYI4" s="5">
        <f>IFERROR(VLOOKUP(BYI$1,'Renta Fija USD + Oro Conservado'!$B$18:$C$27,2,FALSE),0%)</f>
        <v>0</v>
      </c>
      <c r="BYJ4" s="5">
        <f>IFERROR(VLOOKUP(BYJ$1,'Renta Fija USD + Oro Conservado'!$B$18:$C$27,2,FALSE),0%)</f>
        <v>0</v>
      </c>
      <c r="BYK4" s="5">
        <f>IFERROR(VLOOKUP(BYK$1,'Renta Fija USD + Oro Conservado'!$B$18:$C$27,2,FALSE),0%)</f>
        <v>0</v>
      </c>
      <c r="BYL4" s="5">
        <f>IFERROR(VLOOKUP(BYL$1,'Renta Fija USD + Oro Conservado'!$B$18:$C$27,2,FALSE),0%)</f>
        <v>0</v>
      </c>
    </row>
    <row r="5">
      <c r="A5" s="4" t="s">
        <v>2017</v>
      </c>
      <c r="B5" s="5">
        <f>IFERROR(VLOOKUP(B$1,'Renta Fija Mixta + Metales Mode'!$B$22:$C$36,2,FALSE),0%)</f>
        <v>0</v>
      </c>
      <c r="C5" s="5">
        <f>IFERROR(VLOOKUP(C$1,'Renta Fija Mixta + Metales Mode'!$B$22:$C$36,2,FALSE),0%)</f>
        <v>0</v>
      </c>
      <c r="D5" s="5">
        <f>IFERROR(VLOOKUP(D$1,'Renta Fija Mixta + Metales Mode'!$B$22:$C$36,2,FALSE),0%)</f>
        <v>0</v>
      </c>
      <c r="E5" s="5">
        <f>IFERROR(VLOOKUP(E$1,'Renta Fija Mixta + Metales Mode'!$B$22:$C$36,2,FALSE),0%)</f>
        <v>0</v>
      </c>
      <c r="F5" s="5">
        <f>IFERROR(VLOOKUP(F$1,'Renta Fija Mixta + Metales Mode'!$B$22:$C$36,2,FALSE),0%)</f>
        <v>0</v>
      </c>
      <c r="G5" s="5">
        <f>IFERROR(VLOOKUP(G$1,'Renta Fija Mixta + Metales Mode'!$B$22:$C$36,2,FALSE),0%)</f>
        <v>0</v>
      </c>
      <c r="H5" s="5">
        <f>IFERROR(VLOOKUP(H$1,'Renta Fija Mixta + Metales Mode'!$B$22:$C$36,2,FALSE),0%)</f>
        <v>0</v>
      </c>
      <c r="I5" s="5">
        <f>IFERROR(VLOOKUP(I$1,'Renta Fija Mixta + Metales Mode'!$B$22:$C$36,2,FALSE),0%)</f>
        <v>0</v>
      </c>
      <c r="J5" s="5">
        <f>IFERROR(VLOOKUP(J$1,'Renta Fija Mixta + Metales Mode'!$B$22:$C$36,2,FALSE),0%)</f>
        <v>0</v>
      </c>
      <c r="K5" s="5">
        <f>IFERROR(VLOOKUP(K$1,'Renta Fija Mixta + Metales Mode'!$B$22:$C$36,2,FALSE),0%)</f>
        <v>0</v>
      </c>
      <c r="L5" s="5">
        <f>IFERROR(VLOOKUP(L$1,'Renta Fija Mixta + Metales Mode'!$B$22:$C$36,2,FALSE),0%)</f>
        <v>0</v>
      </c>
      <c r="M5" s="5">
        <f>IFERROR(VLOOKUP(M$1,'Renta Fija Mixta + Metales Mode'!$B$22:$C$36,2,FALSE),0%)</f>
        <v>0</v>
      </c>
      <c r="N5" s="5">
        <f>IFERROR(VLOOKUP(N$1,'Renta Fija Mixta + Metales Mode'!$B$22:$C$36,2,FALSE),0%)</f>
        <v>0</v>
      </c>
      <c r="O5" s="5">
        <f>IFERROR(VLOOKUP(O$1,'Renta Fija Mixta + Metales Mode'!$B$22:$C$36,2,FALSE),0%)</f>
        <v>0</v>
      </c>
      <c r="P5" s="5">
        <f>IFERROR(VLOOKUP(P$1,'Renta Fija Mixta + Metales Mode'!$B$22:$C$36,2,FALSE),0%)</f>
        <v>0</v>
      </c>
      <c r="Q5" s="5">
        <f>IFERROR(VLOOKUP(Q$1,'Renta Fija Mixta + Metales Mode'!$B$22:$C$36,2,FALSE),0%)</f>
        <v>0</v>
      </c>
      <c r="R5" s="5">
        <f>IFERROR(VLOOKUP(R$1,'Renta Fija Mixta + Metales Mode'!$B$22:$C$36,2,FALSE),0%)</f>
        <v>0</v>
      </c>
      <c r="S5" s="5">
        <f>IFERROR(VLOOKUP(S$1,'Renta Fija Mixta + Metales Mode'!$B$22:$C$36,2,FALSE),0%)</f>
        <v>0</v>
      </c>
      <c r="T5" s="5">
        <f>IFERROR(VLOOKUP(T$1,'Renta Fija Mixta + Metales Mode'!$B$22:$C$36,2,FALSE),0%)</f>
        <v>0</v>
      </c>
      <c r="U5" s="5">
        <f>IFERROR(VLOOKUP(U$1,'Renta Fija Mixta + Metales Mode'!$B$22:$C$36,2,FALSE),0%)</f>
        <v>0</v>
      </c>
      <c r="V5" s="5">
        <f>IFERROR(VLOOKUP(V$1,'Renta Fija Mixta + Metales Mode'!$B$22:$C$36,2,FALSE),0%)</f>
        <v>0</v>
      </c>
      <c r="W5" s="5">
        <f>IFERROR(VLOOKUP(W$1,'Renta Fija Mixta + Metales Mode'!$B$22:$C$36,2,FALSE),0%)</f>
        <v>0</v>
      </c>
      <c r="X5" s="5">
        <f>IFERROR(VLOOKUP(X$1,'Renta Fija Mixta + Metales Mode'!$B$22:$C$36,2,FALSE),0%)</f>
        <v>0</v>
      </c>
      <c r="Y5" s="5">
        <f>IFERROR(VLOOKUP(Y$1,'Renta Fija Mixta + Metales Mode'!$B$22:$C$36,2,FALSE),0%)</f>
        <v>0</v>
      </c>
      <c r="Z5" s="5">
        <f>IFERROR(VLOOKUP(Z$1,'Renta Fija Mixta + Metales Mode'!$B$22:$C$36,2,FALSE),0%)</f>
        <v>0</v>
      </c>
      <c r="AA5" s="5">
        <f>IFERROR(VLOOKUP(AA$1,'Renta Fija Mixta + Metales Mode'!$B$22:$C$36,2,FALSE),0%)</f>
        <v>0</v>
      </c>
      <c r="AB5" s="5">
        <f>IFERROR(VLOOKUP(AB$1,'Renta Fija Mixta + Metales Mode'!$B$22:$C$36,2,FALSE),0%)</f>
        <v>0</v>
      </c>
      <c r="AC5" s="5">
        <f>IFERROR(VLOOKUP(AC$1,'Renta Fija Mixta + Metales Mode'!$B$22:$C$36,2,FALSE),0%)</f>
        <v>0</v>
      </c>
      <c r="AD5" s="5">
        <f>IFERROR(VLOOKUP(AD$1,'Renta Fija Mixta + Metales Mode'!$B$22:$C$36,2,FALSE),0%)</f>
        <v>0</v>
      </c>
      <c r="AE5" s="5">
        <f>IFERROR(VLOOKUP(AE$1,'Renta Fija Mixta + Metales Mode'!$B$22:$C$36,2,FALSE),0%)</f>
        <v>0</v>
      </c>
      <c r="AF5" s="5">
        <f>IFERROR(VLOOKUP(AF$1,'Renta Fija Mixta + Metales Mode'!$B$22:$C$36,2,FALSE),0%)</f>
        <v>0</v>
      </c>
      <c r="AG5" s="5">
        <f>IFERROR(VLOOKUP(AG$1,'Renta Fija Mixta + Metales Mode'!$B$22:$C$36,2,FALSE),0%)</f>
        <v>0</v>
      </c>
      <c r="AH5" s="5">
        <f>IFERROR(VLOOKUP(AH$1,'Renta Fija Mixta + Metales Mode'!$B$22:$C$36,2,FALSE),0%)</f>
        <v>0</v>
      </c>
      <c r="AI5" s="5">
        <f>IFERROR(VLOOKUP(AI$1,'Renta Fija Mixta + Metales Mode'!$B$22:$C$36,2,FALSE),0%)</f>
        <v>0</v>
      </c>
      <c r="AJ5" s="5">
        <f>IFERROR(VLOOKUP(AJ$1,'Renta Fija Mixta + Metales Mode'!$B$22:$C$36,2,FALSE),0%)</f>
        <v>0</v>
      </c>
      <c r="AK5" s="5">
        <f>IFERROR(VLOOKUP(AK$1,'Renta Fija Mixta + Metales Mode'!$B$22:$C$36,2,FALSE),0%)</f>
        <v>0.05662346328</v>
      </c>
      <c r="AL5" s="5">
        <f>IFERROR(VLOOKUP(AL$1,'Renta Fija Mixta + Metales Mode'!$B$22:$C$36,2,FALSE),0%)</f>
        <v>0</v>
      </c>
      <c r="AM5" s="5">
        <f>IFERROR(VLOOKUP(AM$1,'Renta Fija Mixta + Metales Mode'!$B$22:$C$36,2,FALSE),0%)</f>
        <v>0</v>
      </c>
      <c r="AN5" s="5">
        <f>IFERROR(VLOOKUP(AN$1,'Renta Fija Mixta + Metales Mode'!$B$22:$C$36,2,FALSE),0%)</f>
        <v>0</v>
      </c>
      <c r="AO5" s="5">
        <f>IFERROR(VLOOKUP(AO$1,'Renta Fija Mixta + Metales Mode'!$B$22:$C$36,2,FALSE),0%)</f>
        <v>0</v>
      </c>
      <c r="AP5" s="5">
        <f>IFERROR(VLOOKUP(AP$1,'Renta Fija Mixta + Metales Mode'!$B$22:$C$36,2,FALSE),0%)</f>
        <v>0</v>
      </c>
      <c r="AQ5" s="5">
        <f>IFERROR(VLOOKUP(AQ$1,'Renta Fija Mixta + Metales Mode'!$B$22:$C$36,2,FALSE),0%)</f>
        <v>0</v>
      </c>
      <c r="AR5" s="5">
        <f>IFERROR(VLOOKUP(AR$1,'Renta Fija Mixta + Metales Mode'!$B$22:$C$36,2,FALSE),0%)</f>
        <v>0</v>
      </c>
      <c r="AS5" s="5">
        <f>IFERROR(VLOOKUP(AS$1,'Renta Fija Mixta + Metales Mode'!$B$22:$C$36,2,FALSE),0%)</f>
        <v>0</v>
      </c>
      <c r="AT5" s="5">
        <f>IFERROR(VLOOKUP(AT$1,'Renta Fija Mixta + Metales Mode'!$B$22:$C$36,2,FALSE),0%)</f>
        <v>0</v>
      </c>
      <c r="AU5" s="5">
        <f>IFERROR(VLOOKUP(AU$1,'Renta Fija Mixta + Metales Mode'!$B$22:$C$36,2,FALSE),0%)</f>
        <v>0</v>
      </c>
      <c r="AV5" s="5">
        <f>IFERROR(VLOOKUP(AV$1,'Renta Fija Mixta + Metales Mode'!$B$22:$C$36,2,FALSE),0%)</f>
        <v>0</v>
      </c>
      <c r="AW5" s="5">
        <f>IFERROR(VLOOKUP(AW$1,'Renta Fija Mixta + Metales Mode'!$B$22:$C$36,2,FALSE),0%)</f>
        <v>0</v>
      </c>
      <c r="AX5" s="5">
        <f>IFERROR(VLOOKUP(AX$1,'Renta Fija Mixta + Metales Mode'!$B$22:$C$36,2,FALSE),0%)</f>
        <v>0</v>
      </c>
      <c r="AY5" s="5">
        <f>IFERROR(VLOOKUP(AY$1,'Renta Fija Mixta + Metales Mode'!$B$22:$C$36,2,FALSE),0%)</f>
        <v>0</v>
      </c>
      <c r="AZ5" s="5">
        <f>IFERROR(VLOOKUP(AZ$1,'Renta Fija Mixta + Metales Mode'!$B$22:$C$36,2,FALSE),0%)</f>
        <v>0</v>
      </c>
      <c r="BA5" s="5">
        <f>IFERROR(VLOOKUP(BA$1,'Renta Fija Mixta + Metales Mode'!$B$22:$C$36,2,FALSE),0%)</f>
        <v>0</v>
      </c>
      <c r="BB5" s="5">
        <f>IFERROR(VLOOKUP(BB$1,'Renta Fija Mixta + Metales Mode'!$B$22:$C$36,2,FALSE),0%)</f>
        <v>0</v>
      </c>
      <c r="BC5" s="5">
        <f>IFERROR(VLOOKUP(BC$1,'Renta Fija Mixta + Metales Mode'!$B$22:$C$36,2,FALSE),0%)</f>
        <v>0</v>
      </c>
      <c r="BD5" s="5">
        <f>IFERROR(VLOOKUP(BD$1,'Renta Fija Mixta + Metales Mode'!$B$22:$C$36,2,FALSE),0%)</f>
        <v>0</v>
      </c>
      <c r="BE5" s="5">
        <f>IFERROR(VLOOKUP(BE$1,'Renta Fija Mixta + Metales Mode'!$B$22:$C$36,2,FALSE),0%)</f>
        <v>0</v>
      </c>
      <c r="BF5" s="5">
        <f>IFERROR(VLOOKUP(BF$1,'Renta Fija Mixta + Metales Mode'!$B$22:$C$36,2,FALSE),0%)</f>
        <v>0</v>
      </c>
      <c r="BG5" s="5">
        <f>IFERROR(VLOOKUP(BG$1,'Renta Fija Mixta + Metales Mode'!$B$22:$C$36,2,FALSE),0%)</f>
        <v>0</v>
      </c>
      <c r="BH5" s="5">
        <f>IFERROR(VLOOKUP(BH$1,'Renta Fija Mixta + Metales Mode'!$B$22:$C$36,2,FALSE),0%)</f>
        <v>0</v>
      </c>
      <c r="BI5" s="5">
        <f>IFERROR(VLOOKUP(BI$1,'Renta Fija Mixta + Metales Mode'!$B$22:$C$36,2,FALSE),0%)</f>
        <v>0</v>
      </c>
      <c r="BJ5" s="5">
        <f>IFERROR(VLOOKUP(BJ$1,'Renta Fija Mixta + Metales Mode'!$B$22:$C$36,2,FALSE),0%)</f>
        <v>0</v>
      </c>
      <c r="BK5" s="5">
        <f>IFERROR(VLOOKUP(BK$1,'Renta Fija Mixta + Metales Mode'!$B$22:$C$36,2,FALSE),0%)</f>
        <v>0</v>
      </c>
      <c r="BL5" s="5">
        <f>IFERROR(VLOOKUP(BL$1,'Renta Fija Mixta + Metales Mode'!$B$22:$C$36,2,FALSE),0%)</f>
        <v>0</v>
      </c>
      <c r="BM5" s="5">
        <f>IFERROR(VLOOKUP(BM$1,'Renta Fija Mixta + Metales Mode'!$B$22:$C$36,2,FALSE),0%)</f>
        <v>0</v>
      </c>
      <c r="BN5" s="5">
        <f>IFERROR(VLOOKUP(BN$1,'Renta Fija Mixta + Metales Mode'!$B$22:$C$36,2,FALSE),0%)</f>
        <v>0</v>
      </c>
      <c r="BO5" s="5">
        <f>IFERROR(VLOOKUP(BO$1,'Renta Fija Mixta + Metales Mode'!$B$22:$C$36,2,FALSE),0%)</f>
        <v>0</v>
      </c>
      <c r="BP5" s="5">
        <f>IFERROR(VLOOKUP(BP$1,'Renta Fija Mixta + Metales Mode'!$B$22:$C$36,2,FALSE),0%)</f>
        <v>0</v>
      </c>
      <c r="BQ5" s="5">
        <f>IFERROR(VLOOKUP(BQ$1,'Renta Fija Mixta + Metales Mode'!$B$22:$C$36,2,FALSE),0%)</f>
        <v>0</v>
      </c>
      <c r="BR5" s="5">
        <f>IFERROR(VLOOKUP(BR$1,'Renta Fija Mixta + Metales Mode'!$B$22:$C$36,2,FALSE),0%)</f>
        <v>0.1205859864</v>
      </c>
      <c r="BS5" s="5">
        <f>IFERROR(VLOOKUP(BS$1,'Renta Fija Mixta + Metales Mode'!$B$22:$C$36,2,FALSE),0%)</f>
        <v>0</v>
      </c>
      <c r="BT5" s="5">
        <f>IFERROR(VLOOKUP(BT$1,'Renta Fija Mixta + Metales Mode'!$B$22:$C$36,2,FALSE),0%)</f>
        <v>0</v>
      </c>
      <c r="BU5" s="5">
        <f>IFERROR(VLOOKUP(BU$1,'Renta Fija Mixta + Metales Mode'!$B$22:$C$36,2,FALSE),0%)</f>
        <v>0</v>
      </c>
      <c r="BV5" s="5">
        <f>IFERROR(VLOOKUP(BV$1,'Renta Fija Mixta + Metales Mode'!$B$22:$C$36,2,FALSE),0%)</f>
        <v>0</v>
      </c>
      <c r="BW5" s="5">
        <f>IFERROR(VLOOKUP(BW$1,'Renta Fija Mixta + Metales Mode'!$B$22:$C$36,2,FALSE),0%)</f>
        <v>0</v>
      </c>
      <c r="BX5" s="5">
        <f>IFERROR(VLOOKUP(BX$1,'Renta Fija Mixta + Metales Mode'!$B$22:$C$36,2,FALSE),0%)</f>
        <v>0</v>
      </c>
      <c r="BY5" s="5">
        <f>IFERROR(VLOOKUP(BY$1,'Renta Fija Mixta + Metales Mode'!$B$22:$C$36,2,FALSE),0%)</f>
        <v>0</v>
      </c>
      <c r="BZ5" s="5">
        <f>IFERROR(VLOOKUP(BZ$1,'Renta Fija Mixta + Metales Mode'!$B$22:$C$36,2,FALSE),0%)</f>
        <v>0</v>
      </c>
      <c r="CA5" s="5">
        <f>IFERROR(VLOOKUP(CA$1,'Renta Fija Mixta + Metales Mode'!$B$22:$C$36,2,FALSE),0%)</f>
        <v>0</v>
      </c>
      <c r="CB5" s="5">
        <f>IFERROR(VLOOKUP(CB$1,'Renta Fija Mixta + Metales Mode'!$B$22:$C$36,2,FALSE),0%)</f>
        <v>0</v>
      </c>
      <c r="CC5" s="5">
        <f>IFERROR(VLOOKUP(CC$1,'Renta Fija Mixta + Metales Mode'!$B$22:$C$36,2,FALSE),0%)</f>
        <v>0</v>
      </c>
      <c r="CD5" s="5">
        <f>IFERROR(VLOOKUP(CD$1,'Renta Fija Mixta + Metales Mode'!$B$22:$C$36,2,FALSE),0%)</f>
        <v>0</v>
      </c>
      <c r="CE5" s="5">
        <f>IFERROR(VLOOKUP(CE$1,'Renta Fija Mixta + Metales Mode'!$B$22:$C$36,2,FALSE),0%)</f>
        <v>0</v>
      </c>
      <c r="CF5" s="5">
        <f>IFERROR(VLOOKUP(CF$1,'Renta Fija Mixta + Metales Mode'!$B$22:$C$36,2,FALSE),0%)</f>
        <v>0</v>
      </c>
      <c r="CG5" s="5">
        <f>IFERROR(VLOOKUP(CG$1,'Renta Fija Mixta + Metales Mode'!$B$22:$C$36,2,FALSE),0%)</f>
        <v>0</v>
      </c>
      <c r="CH5" s="5">
        <f>IFERROR(VLOOKUP(CH$1,'Renta Fija Mixta + Metales Mode'!$B$22:$C$36,2,FALSE),0%)</f>
        <v>0</v>
      </c>
      <c r="CI5" s="5">
        <f>IFERROR(VLOOKUP(CI$1,'Renta Fija Mixta + Metales Mode'!$B$22:$C$36,2,FALSE),0%)</f>
        <v>0</v>
      </c>
      <c r="CJ5" s="5">
        <f>IFERROR(VLOOKUP(CJ$1,'Renta Fija Mixta + Metales Mode'!$B$22:$C$36,2,FALSE),0%)</f>
        <v>0</v>
      </c>
      <c r="CK5" s="5">
        <f>IFERROR(VLOOKUP(CK$1,'Renta Fija Mixta + Metales Mode'!$B$22:$C$36,2,FALSE),0%)</f>
        <v>0</v>
      </c>
      <c r="CL5" s="5">
        <f>IFERROR(VLOOKUP(CL$1,'Renta Fija Mixta + Metales Mode'!$B$22:$C$36,2,FALSE),0%)</f>
        <v>0</v>
      </c>
      <c r="CM5" s="5">
        <f>IFERROR(VLOOKUP(CM$1,'Renta Fija Mixta + Metales Mode'!$B$22:$C$36,2,FALSE),0%)</f>
        <v>0</v>
      </c>
      <c r="CN5" s="5">
        <f>IFERROR(VLOOKUP(CN$1,'Renta Fija Mixta + Metales Mode'!$B$22:$C$36,2,FALSE),0%)</f>
        <v>0</v>
      </c>
      <c r="CO5" s="5">
        <f>IFERROR(VLOOKUP(CO$1,'Renta Fija Mixta + Metales Mode'!$B$22:$C$36,2,FALSE),0%)</f>
        <v>0</v>
      </c>
      <c r="CP5" s="5">
        <f>IFERROR(VLOOKUP(CP$1,'Renta Fija Mixta + Metales Mode'!$B$22:$C$36,2,FALSE),0%)</f>
        <v>0</v>
      </c>
      <c r="CQ5" s="5">
        <f>IFERROR(VLOOKUP(CQ$1,'Renta Fija Mixta + Metales Mode'!$B$22:$C$36,2,FALSE),0%)</f>
        <v>0</v>
      </c>
      <c r="CR5" s="5">
        <f>IFERROR(VLOOKUP(CR$1,'Renta Fija Mixta + Metales Mode'!$B$22:$C$36,2,FALSE),0%)</f>
        <v>0</v>
      </c>
      <c r="CS5" s="5">
        <f>IFERROR(VLOOKUP(CS$1,'Renta Fija Mixta + Metales Mode'!$B$22:$C$36,2,FALSE),0%)</f>
        <v>0</v>
      </c>
      <c r="CT5" s="5">
        <f>IFERROR(VLOOKUP(CT$1,'Renta Fija Mixta + Metales Mode'!$B$22:$C$36,2,FALSE),0%)</f>
        <v>0</v>
      </c>
      <c r="CU5" s="5">
        <f>IFERROR(VLOOKUP(CU$1,'Renta Fija Mixta + Metales Mode'!$B$22:$C$36,2,FALSE),0%)</f>
        <v>0</v>
      </c>
      <c r="CV5" s="5">
        <f>IFERROR(VLOOKUP(CV$1,'Renta Fija Mixta + Metales Mode'!$B$22:$C$36,2,FALSE),0%)</f>
        <v>0</v>
      </c>
      <c r="CW5" s="5">
        <f>IFERROR(VLOOKUP(CW$1,'Renta Fija Mixta + Metales Mode'!$B$22:$C$36,2,FALSE),0%)</f>
        <v>0</v>
      </c>
      <c r="CX5" s="5">
        <f>IFERROR(VLOOKUP(CX$1,'Renta Fija Mixta + Metales Mode'!$B$22:$C$36,2,FALSE),0%)</f>
        <v>0</v>
      </c>
      <c r="CY5" s="5">
        <f>IFERROR(VLOOKUP(CY$1,'Renta Fija Mixta + Metales Mode'!$B$22:$C$36,2,FALSE),0%)</f>
        <v>0</v>
      </c>
      <c r="CZ5" s="5">
        <f>IFERROR(VLOOKUP(CZ$1,'Renta Fija Mixta + Metales Mode'!$B$22:$C$36,2,FALSE),0%)</f>
        <v>0</v>
      </c>
      <c r="DA5" s="5">
        <f>IFERROR(VLOOKUP(DA$1,'Renta Fija Mixta + Metales Mode'!$B$22:$C$36,2,FALSE),0%)</f>
        <v>0</v>
      </c>
      <c r="DB5" s="5">
        <f>IFERROR(VLOOKUP(DB$1,'Renta Fija Mixta + Metales Mode'!$B$22:$C$36,2,FALSE),0%)</f>
        <v>0</v>
      </c>
      <c r="DC5" s="5">
        <f>IFERROR(VLOOKUP(DC$1,'Renta Fija Mixta + Metales Mode'!$B$22:$C$36,2,FALSE),0%)</f>
        <v>0</v>
      </c>
      <c r="DD5" s="5">
        <f>IFERROR(VLOOKUP(DD$1,'Renta Fija Mixta + Metales Mode'!$B$22:$C$36,2,FALSE),0%)</f>
        <v>0</v>
      </c>
      <c r="DE5" s="5">
        <f>IFERROR(VLOOKUP(DE$1,'Renta Fija Mixta + Metales Mode'!$B$22:$C$36,2,FALSE),0%)</f>
        <v>0</v>
      </c>
      <c r="DF5" s="5">
        <f>IFERROR(VLOOKUP(DF$1,'Renta Fija Mixta + Metales Mode'!$B$22:$C$36,2,FALSE),0%)</f>
        <v>0</v>
      </c>
      <c r="DG5" s="5">
        <f>IFERROR(VLOOKUP(DG$1,'Renta Fija Mixta + Metales Mode'!$B$22:$C$36,2,FALSE),0%)</f>
        <v>0</v>
      </c>
      <c r="DH5" s="5">
        <f>IFERROR(VLOOKUP(DH$1,'Renta Fija Mixta + Metales Mode'!$B$22:$C$36,2,FALSE),0%)</f>
        <v>0</v>
      </c>
      <c r="DI5" s="5">
        <f>IFERROR(VLOOKUP(DI$1,'Renta Fija Mixta + Metales Mode'!$B$22:$C$36,2,FALSE),0%)</f>
        <v>0</v>
      </c>
      <c r="DJ5" s="5">
        <f>IFERROR(VLOOKUP(DJ$1,'Renta Fija Mixta + Metales Mode'!$B$22:$C$36,2,FALSE),0%)</f>
        <v>0</v>
      </c>
      <c r="DK5" s="5">
        <f>IFERROR(VLOOKUP(DK$1,'Renta Fija Mixta + Metales Mode'!$B$22:$C$36,2,FALSE),0%)</f>
        <v>0</v>
      </c>
      <c r="DL5" s="5">
        <f>IFERROR(VLOOKUP(DL$1,'Renta Fija Mixta + Metales Mode'!$B$22:$C$36,2,FALSE),0%)</f>
        <v>0</v>
      </c>
      <c r="DM5" s="5">
        <f>IFERROR(VLOOKUP(DM$1,'Renta Fija Mixta + Metales Mode'!$B$22:$C$36,2,FALSE),0%)</f>
        <v>0</v>
      </c>
      <c r="DN5" s="5">
        <f>IFERROR(VLOOKUP(DN$1,'Renta Fija Mixta + Metales Mode'!$B$22:$C$36,2,FALSE),0%)</f>
        <v>0</v>
      </c>
      <c r="DO5" s="5">
        <f>IFERROR(VLOOKUP(DO$1,'Renta Fija Mixta + Metales Mode'!$B$22:$C$36,2,FALSE),0%)</f>
        <v>0</v>
      </c>
      <c r="DP5" s="5">
        <f>IFERROR(VLOOKUP(DP$1,'Renta Fija Mixta + Metales Mode'!$B$22:$C$36,2,FALSE),0%)</f>
        <v>0</v>
      </c>
      <c r="DQ5" s="5">
        <f>IFERROR(VLOOKUP(DQ$1,'Renta Fija Mixta + Metales Mode'!$B$22:$C$36,2,FALSE),0%)</f>
        <v>0</v>
      </c>
      <c r="DR5" s="5">
        <f>IFERROR(VLOOKUP(DR$1,'Renta Fija Mixta + Metales Mode'!$B$22:$C$36,2,FALSE),0%)</f>
        <v>0</v>
      </c>
      <c r="DS5" s="5">
        <f>IFERROR(VLOOKUP(DS$1,'Renta Fija Mixta + Metales Mode'!$B$22:$C$36,2,FALSE),0%)</f>
        <v>0</v>
      </c>
      <c r="DT5" s="5">
        <f>IFERROR(VLOOKUP(DT$1,'Renta Fija Mixta + Metales Mode'!$B$22:$C$36,2,FALSE),0%)</f>
        <v>0</v>
      </c>
      <c r="DU5" s="5">
        <f>IFERROR(VLOOKUP(DU$1,'Renta Fija Mixta + Metales Mode'!$B$22:$C$36,2,FALSE),0%)</f>
        <v>0</v>
      </c>
      <c r="DV5" s="5">
        <f>IFERROR(VLOOKUP(DV$1,'Renta Fija Mixta + Metales Mode'!$B$22:$C$36,2,FALSE),0%)</f>
        <v>0</v>
      </c>
      <c r="DW5" s="5">
        <f>IFERROR(VLOOKUP(DW$1,'Renta Fija Mixta + Metales Mode'!$B$22:$C$36,2,FALSE),0%)</f>
        <v>0</v>
      </c>
      <c r="DX5" s="5">
        <f>IFERROR(VLOOKUP(DX$1,'Renta Fija Mixta + Metales Mode'!$B$22:$C$36,2,FALSE),0%)</f>
        <v>0</v>
      </c>
      <c r="DY5" s="5">
        <f>IFERROR(VLOOKUP(DY$1,'Renta Fija Mixta + Metales Mode'!$B$22:$C$36,2,FALSE),0%)</f>
        <v>0</v>
      </c>
      <c r="DZ5" s="5">
        <f>IFERROR(VLOOKUP(DZ$1,'Renta Fija Mixta + Metales Mode'!$B$22:$C$36,2,FALSE),0%)</f>
        <v>0</v>
      </c>
      <c r="EA5" s="5">
        <f>IFERROR(VLOOKUP(EA$1,'Renta Fija Mixta + Metales Mode'!$B$22:$C$36,2,FALSE),0%)</f>
        <v>0</v>
      </c>
      <c r="EB5" s="5">
        <f>IFERROR(VLOOKUP(EB$1,'Renta Fija Mixta + Metales Mode'!$B$22:$C$36,2,FALSE),0%)</f>
        <v>0</v>
      </c>
      <c r="EC5" s="5">
        <f>IFERROR(VLOOKUP(EC$1,'Renta Fija Mixta + Metales Mode'!$B$22:$C$36,2,FALSE),0%)</f>
        <v>0</v>
      </c>
      <c r="ED5" s="5">
        <f>IFERROR(VLOOKUP(ED$1,'Renta Fija Mixta + Metales Mode'!$B$22:$C$36,2,FALSE),0%)</f>
        <v>0</v>
      </c>
      <c r="EE5" s="5">
        <f>IFERROR(VLOOKUP(EE$1,'Renta Fija Mixta + Metales Mode'!$B$22:$C$36,2,FALSE),0%)</f>
        <v>0</v>
      </c>
      <c r="EF5" s="5">
        <f>IFERROR(VLOOKUP(EF$1,'Renta Fija Mixta + Metales Mode'!$B$22:$C$36,2,FALSE),0%)</f>
        <v>0</v>
      </c>
      <c r="EG5" s="5">
        <f>IFERROR(VLOOKUP(EG$1,'Renta Fija Mixta + Metales Mode'!$B$22:$C$36,2,FALSE),0%)</f>
        <v>0</v>
      </c>
      <c r="EH5" s="5">
        <f>IFERROR(VLOOKUP(EH$1,'Renta Fija Mixta + Metales Mode'!$B$22:$C$36,2,FALSE),0%)</f>
        <v>0</v>
      </c>
      <c r="EI5" s="5">
        <f>IFERROR(VLOOKUP(EI$1,'Renta Fija Mixta + Metales Mode'!$B$22:$C$36,2,FALSE),0%)</f>
        <v>0</v>
      </c>
      <c r="EJ5" s="5">
        <f>IFERROR(VLOOKUP(EJ$1,'Renta Fija Mixta + Metales Mode'!$B$22:$C$36,2,FALSE),0%)</f>
        <v>0</v>
      </c>
      <c r="EK5" s="5">
        <f>IFERROR(VLOOKUP(EK$1,'Renta Fija Mixta + Metales Mode'!$B$22:$C$36,2,FALSE),0%)</f>
        <v>0</v>
      </c>
      <c r="EL5" s="5">
        <f>IFERROR(VLOOKUP(EL$1,'Renta Fija Mixta + Metales Mode'!$B$22:$C$36,2,FALSE),0%)</f>
        <v>0</v>
      </c>
      <c r="EM5" s="5">
        <f>IFERROR(VLOOKUP(EM$1,'Renta Fija Mixta + Metales Mode'!$B$22:$C$36,2,FALSE),0%)</f>
        <v>0</v>
      </c>
      <c r="EN5" s="5">
        <f>IFERROR(VLOOKUP(EN$1,'Renta Fija Mixta + Metales Mode'!$B$22:$C$36,2,FALSE),0%)</f>
        <v>0</v>
      </c>
      <c r="EO5" s="5">
        <f>IFERROR(VLOOKUP(EO$1,'Renta Fija Mixta + Metales Mode'!$B$22:$C$36,2,FALSE),0%)</f>
        <v>0</v>
      </c>
      <c r="EP5" s="5">
        <f>IFERROR(VLOOKUP(EP$1,'Renta Fija Mixta + Metales Mode'!$B$22:$C$36,2,FALSE),0%)</f>
        <v>0</v>
      </c>
      <c r="EQ5" s="5">
        <f>IFERROR(VLOOKUP(EQ$1,'Renta Fija Mixta + Metales Mode'!$B$22:$C$36,2,FALSE),0%)</f>
        <v>0</v>
      </c>
      <c r="ER5" s="5">
        <f>IFERROR(VLOOKUP(ER$1,'Renta Fija Mixta + Metales Mode'!$B$22:$C$36,2,FALSE),0%)</f>
        <v>0</v>
      </c>
      <c r="ES5" s="5">
        <f>IFERROR(VLOOKUP(ES$1,'Renta Fija Mixta + Metales Mode'!$B$22:$C$36,2,FALSE),0%)</f>
        <v>0</v>
      </c>
      <c r="ET5" s="5">
        <f>IFERROR(VLOOKUP(ET$1,'Renta Fija Mixta + Metales Mode'!$B$22:$C$36,2,FALSE),0%)</f>
        <v>0</v>
      </c>
      <c r="EU5" s="5">
        <f>IFERROR(VLOOKUP(EU$1,'Renta Fija Mixta + Metales Mode'!$B$22:$C$36,2,FALSE),0%)</f>
        <v>0.2551357627</v>
      </c>
      <c r="EV5" s="5">
        <f>IFERROR(VLOOKUP(EV$1,'Renta Fija Mixta + Metales Mode'!$B$22:$C$36,2,FALSE),0%)</f>
        <v>0</v>
      </c>
      <c r="EW5" s="5">
        <f>IFERROR(VLOOKUP(EW$1,'Renta Fija Mixta + Metales Mode'!$B$22:$C$36,2,FALSE),0%)</f>
        <v>0</v>
      </c>
      <c r="EX5" s="5">
        <f>IFERROR(VLOOKUP(EX$1,'Renta Fija Mixta + Metales Mode'!$B$22:$C$36,2,FALSE),0%)</f>
        <v>0</v>
      </c>
      <c r="EY5" s="5">
        <f>IFERROR(VLOOKUP(EY$1,'Renta Fija Mixta + Metales Mode'!$B$22:$C$36,2,FALSE),0%)</f>
        <v>0</v>
      </c>
      <c r="EZ5" s="5">
        <f>IFERROR(VLOOKUP(EZ$1,'Renta Fija Mixta + Metales Mode'!$B$22:$C$36,2,FALSE),0%)</f>
        <v>0</v>
      </c>
      <c r="FA5" s="5">
        <f>IFERROR(VLOOKUP(FA$1,'Renta Fija Mixta + Metales Mode'!$B$22:$C$36,2,FALSE),0%)</f>
        <v>0</v>
      </c>
      <c r="FB5" s="5">
        <f>IFERROR(VLOOKUP(FB$1,'Renta Fija Mixta + Metales Mode'!$B$22:$C$36,2,FALSE),0%)</f>
        <v>0</v>
      </c>
      <c r="FC5" s="5">
        <f>IFERROR(VLOOKUP(FC$1,'Renta Fija Mixta + Metales Mode'!$B$22:$C$36,2,FALSE),0%)</f>
        <v>0</v>
      </c>
      <c r="FD5" s="5">
        <f>IFERROR(VLOOKUP(FD$1,'Renta Fija Mixta + Metales Mode'!$B$22:$C$36,2,FALSE),0%)</f>
        <v>0</v>
      </c>
      <c r="FE5" s="5">
        <f>IFERROR(VLOOKUP(FE$1,'Renta Fija Mixta + Metales Mode'!$B$22:$C$36,2,FALSE),0%)</f>
        <v>0</v>
      </c>
      <c r="FF5" s="5">
        <f>IFERROR(VLOOKUP(FF$1,'Renta Fija Mixta + Metales Mode'!$B$22:$C$36,2,FALSE),0%)</f>
        <v>0</v>
      </c>
      <c r="FG5" s="5">
        <f>IFERROR(VLOOKUP(FG$1,'Renta Fija Mixta + Metales Mode'!$B$22:$C$36,2,FALSE),0%)</f>
        <v>0</v>
      </c>
      <c r="FH5" s="5">
        <f>IFERROR(VLOOKUP(FH$1,'Renta Fija Mixta + Metales Mode'!$B$22:$C$36,2,FALSE),0%)</f>
        <v>0</v>
      </c>
      <c r="FI5" s="5">
        <f>IFERROR(VLOOKUP(FI$1,'Renta Fija Mixta + Metales Mode'!$B$22:$C$36,2,FALSE),0%)</f>
        <v>0</v>
      </c>
      <c r="FJ5" s="5">
        <f>IFERROR(VLOOKUP(FJ$1,'Renta Fija Mixta + Metales Mode'!$B$22:$C$36,2,FALSE),0%)</f>
        <v>0</v>
      </c>
      <c r="FK5" s="5">
        <f>IFERROR(VLOOKUP(FK$1,'Renta Fija Mixta + Metales Mode'!$B$22:$C$36,2,FALSE),0%)</f>
        <v>0</v>
      </c>
      <c r="FL5" s="5">
        <f>IFERROR(VLOOKUP(FL$1,'Renta Fija Mixta + Metales Mode'!$B$22:$C$36,2,FALSE),0%)</f>
        <v>0</v>
      </c>
      <c r="FM5" s="5">
        <f>IFERROR(VLOOKUP(FM$1,'Renta Fija Mixta + Metales Mode'!$B$22:$C$36,2,FALSE),0%)</f>
        <v>0</v>
      </c>
      <c r="FN5" s="5">
        <f>IFERROR(VLOOKUP(FN$1,'Renta Fija Mixta + Metales Mode'!$B$22:$C$36,2,FALSE),0%)</f>
        <v>0</v>
      </c>
      <c r="FO5" s="5">
        <f>IFERROR(VLOOKUP(FO$1,'Renta Fija Mixta + Metales Mode'!$B$22:$C$36,2,FALSE),0%)</f>
        <v>0</v>
      </c>
      <c r="FP5" s="5">
        <f>IFERROR(VLOOKUP(FP$1,'Renta Fija Mixta + Metales Mode'!$B$22:$C$36,2,FALSE),0%)</f>
        <v>0</v>
      </c>
      <c r="FQ5" s="5">
        <f>IFERROR(VLOOKUP(FQ$1,'Renta Fija Mixta + Metales Mode'!$B$22:$C$36,2,FALSE),0%)</f>
        <v>0</v>
      </c>
      <c r="FR5" s="5">
        <f>IFERROR(VLOOKUP(FR$1,'Renta Fija Mixta + Metales Mode'!$B$22:$C$36,2,FALSE),0%)</f>
        <v>0</v>
      </c>
      <c r="FS5" s="5">
        <f>IFERROR(VLOOKUP(FS$1,'Renta Fija Mixta + Metales Mode'!$B$22:$C$36,2,FALSE),0%)</f>
        <v>0</v>
      </c>
      <c r="FT5" s="5">
        <f>IFERROR(VLOOKUP(FT$1,'Renta Fija Mixta + Metales Mode'!$B$22:$C$36,2,FALSE),0%)</f>
        <v>0</v>
      </c>
      <c r="FU5" s="5">
        <f>IFERROR(VLOOKUP(FU$1,'Renta Fija Mixta + Metales Mode'!$B$22:$C$36,2,FALSE),0%)</f>
        <v>0</v>
      </c>
      <c r="FV5" s="5">
        <f>IFERROR(VLOOKUP(FV$1,'Renta Fija Mixta + Metales Mode'!$B$22:$C$36,2,FALSE),0%)</f>
        <v>0</v>
      </c>
      <c r="FW5" s="5">
        <f>IFERROR(VLOOKUP(FW$1,'Renta Fija Mixta + Metales Mode'!$B$22:$C$36,2,FALSE),0%)</f>
        <v>0</v>
      </c>
      <c r="FX5" s="5">
        <f>IFERROR(VLOOKUP(FX$1,'Renta Fija Mixta + Metales Mode'!$B$22:$C$36,2,FALSE),0%)</f>
        <v>0</v>
      </c>
      <c r="FY5" s="5">
        <f>IFERROR(VLOOKUP(FY$1,'Renta Fija Mixta + Metales Mode'!$B$22:$C$36,2,FALSE),0%)</f>
        <v>0</v>
      </c>
      <c r="FZ5" s="5">
        <f>IFERROR(VLOOKUP(FZ$1,'Renta Fija Mixta + Metales Mode'!$B$22:$C$36,2,FALSE),0%)</f>
        <v>0</v>
      </c>
      <c r="GA5" s="5">
        <f>IFERROR(VLOOKUP(GA$1,'Renta Fija Mixta + Metales Mode'!$B$22:$C$36,2,FALSE),0%)</f>
        <v>0</v>
      </c>
      <c r="GB5" s="5">
        <f>IFERROR(VLOOKUP(GB$1,'Renta Fija Mixta + Metales Mode'!$B$22:$C$36,2,FALSE),0%)</f>
        <v>0</v>
      </c>
      <c r="GC5" s="5">
        <f>IFERROR(VLOOKUP(GC$1,'Renta Fija Mixta + Metales Mode'!$B$22:$C$36,2,FALSE),0%)</f>
        <v>0</v>
      </c>
      <c r="GD5" s="5">
        <f>IFERROR(VLOOKUP(GD$1,'Renta Fija Mixta + Metales Mode'!$B$22:$C$36,2,FALSE),0%)</f>
        <v>0</v>
      </c>
      <c r="GE5" s="5">
        <f>IFERROR(VLOOKUP(GE$1,'Renta Fija Mixta + Metales Mode'!$B$22:$C$36,2,FALSE),0%)</f>
        <v>0</v>
      </c>
      <c r="GF5" s="5">
        <f>IFERROR(VLOOKUP(GF$1,'Renta Fija Mixta + Metales Mode'!$B$22:$C$36,2,FALSE),0%)</f>
        <v>0</v>
      </c>
      <c r="GG5" s="5">
        <f>IFERROR(VLOOKUP(GG$1,'Renta Fija Mixta + Metales Mode'!$B$22:$C$36,2,FALSE),0%)</f>
        <v>0</v>
      </c>
      <c r="GH5" s="5">
        <f>IFERROR(VLOOKUP(GH$1,'Renta Fija Mixta + Metales Mode'!$B$22:$C$36,2,FALSE),0%)</f>
        <v>0</v>
      </c>
      <c r="GI5" s="5">
        <f>IFERROR(VLOOKUP(GI$1,'Renta Fija Mixta + Metales Mode'!$B$22:$C$36,2,FALSE),0%)</f>
        <v>0</v>
      </c>
      <c r="GJ5" s="5">
        <f>IFERROR(VLOOKUP(GJ$1,'Renta Fija Mixta + Metales Mode'!$B$22:$C$36,2,FALSE),0%)</f>
        <v>0</v>
      </c>
      <c r="GK5" s="5">
        <f>IFERROR(VLOOKUP(GK$1,'Renta Fija Mixta + Metales Mode'!$B$22:$C$36,2,FALSE),0%)</f>
        <v>0</v>
      </c>
      <c r="GL5" s="5">
        <f>IFERROR(VLOOKUP(GL$1,'Renta Fija Mixta + Metales Mode'!$B$22:$C$36,2,FALSE),0%)</f>
        <v>0</v>
      </c>
      <c r="GM5" s="5">
        <f>IFERROR(VLOOKUP(GM$1,'Renta Fija Mixta + Metales Mode'!$B$22:$C$36,2,FALSE),0%)</f>
        <v>0</v>
      </c>
      <c r="GN5" s="5">
        <f>IFERROR(VLOOKUP(GN$1,'Renta Fija Mixta + Metales Mode'!$B$22:$C$36,2,FALSE),0%)</f>
        <v>0</v>
      </c>
      <c r="GO5" s="5">
        <f>IFERROR(VLOOKUP(GO$1,'Renta Fija Mixta + Metales Mode'!$B$22:$C$36,2,FALSE),0%)</f>
        <v>0</v>
      </c>
      <c r="GP5" s="5">
        <f>IFERROR(VLOOKUP(GP$1,'Renta Fija Mixta + Metales Mode'!$B$22:$C$36,2,FALSE),0%)</f>
        <v>0</v>
      </c>
      <c r="GQ5" s="5">
        <f>IFERROR(VLOOKUP(GQ$1,'Renta Fija Mixta + Metales Mode'!$B$22:$C$36,2,FALSE),0%)</f>
        <v>0</v>
      </c>
      <c r="GR5" s="5">
        <f>IFERROR(VLOOKUP(GR$1,'Renta Fija Mixta + Metales Mode'!$B$22:$C$36,2,FALSE),0%)</f>
        <v>0</v>
      </c>
      <c r="GS5" s="5">
        <f>IFERROR(VLOOKUP(GS$1,'Renta Fija Mixta + Metales Mode'!$B$22:$C$36,2,FALSE),0%)</f>
        <v>0</v>
      </c>
      <c r="GT5" s="5">
        <f>IFERROR(VLOOKUP(GT$1,'Renta Fija Mixta + Metales Mode'!$B$22:$C$36,2,FALSE),0%)</f>
        <v>0</v>
      </c>
      <c r="GU5" s="5">
        <f>IFERROR(VLOOKUP(GU$1,'Renta Fija Mixta + Metales Mode'!$B$22:$C$36,2,FALSE),0%)</f>
        <v>0</v>
      </c>
      <c r="GV5" s="5">
        <f>IFERROR(VLOOKUP(GV$1,'Renta Fija Mixta + Metales Mode'!$B$22:$C$36,2,FALSE),0%)</f>
        <v>0</v>
      </c>
      <c r="GW5" s="5">
        <f>IFERROR(VLOOKUP(GW$1,'Renta Fija Mixta + Metales Mode'!$B$22:$C$36,2,FALSE),0%)</f>
        <v>0</v>
      </c>
      <c r="GX5" s="5">
        <f>IFERROR(VLOOKUP(GX$1,'Renta Fija Mixta + Metales Mode'!$B$22:$C$36,2,FALSE),0%)</f>
        <v>0</v>
      </c>
      <c r="GY5" s="5">
        <f>IFERROR(VLOOKUP(GY$1,'Renta Fija Mixta + Metales Mode'!$B$22:$C$36,2,FALSE),0%)</f>
        <v>0</v>
      </c>
      <c r="GZ5" s="5">
        <f>IFERROR(VLOOKUP(GZ$1,'Renta Fija Mixta + Metales Mode'!$B$22:$C$36,2,FALSE),0%)</f>
        <v>0</v>
      </c>
      <c r="HA5" s="5">
        <f>IFERROR(VLOOKUP(HA$1,'Renta Fija Mixta + Metales Mode'!$B$22:$C$36,2,FALSE),0%)</f>
        <v>0</v>
      </c>
      <c r="HB5" s="5">
        <f>IFERROR(VLOOKUP(HB$1,'Renta Fija Mixta + Metales Mode'!$B$22:$C$36,2,FALSE),0%)</f>
        <v>0</v>
      </c>
      <c r="HC5" s="5">
        <f>IFERROR(VLOOKUP(HC$1,'Renta Fija Mixta + Metales Mode'!$B$22:$C$36,2,FALSE),0%)</f>
        <v>0</v>
      </c>
      <c r="HD5" s="5">
        <f>IFERROR(VLOOKUP(HD$1,'Renta Fija Mixta + Metales Mode'!$B$22:$C$36,2,FALSE),0%)</f>
        <v>0</v>
      </c>
      <c r="HE5" s="5">
        <f>IFERROR(VLOOKUP(HE$1,'Renta Fija Mixta + Metales Mode'!$B$22:$C$36,2,FALSE),0%)</f>
        <v>0</v>
      </c>
      <c r="HF5" s="5">
        <f>IFERROR(VLOOKUP(HF$1,'Renta Fija Mixta + Metales Mode'!$B$22:$C$36,2,FALSE),0%)</f>
        <v>0</v>
      </c>
      <c r="HG5" s="5">
        <f>IFERROR(VLOOKUP(HG$1,'Renta Fija Mixta + Metales Mode'!$B$22:$C$36,2,FALSE),0%)</f>
        <v>0</v>
      </c>
      <c r="HH5" s="5">
        <f>IFERROR(VLOOKUP(HH$1,'Renta Fija Mixta + Metales Mode'!$B$22:$C$36,2,FALSE),0%)</f>
        <v>0</v>
      </c>
      <c r="HI5" s="5">
        <f>IFERROR(VLOOKUP(HI$1,'Renta Fija Mixta + Metales Mode'!$B$22:$C$36,2,FALSE),0%)</f>
        <v>0</v>
      </c>
      <c r="HJ5" s="5">
        <f>IFERROR(VLOOKUP(HJ$1,'Renta Fija Mixta + Metales Mode'!$B$22:$C$36,2,FALSE),0%)</f>
        <v>0</v>
      </c>
      <c r="HK5" s="5">
        <f>IFERROR(VLOOKUP(HK$1,'Renta Fija Mixta + Metales Mode'!$B$22:$C$36,2,FALSE),0%)</f>
        <v>0</v>
      </c>
      <c r="HL5" s="5">
        <f>IFERROR(VLOOKUP(HL$1,'Renta Fija Mixta + Metales Mode'!$B$22:$C$36,2,FALSE),0%)</f>
        <v>0</v>
      </c>
      <c r="HM5" s="5">
        <f>IFERROR(VLOOKUP(HM$1,'Renta Fija Mixta + Metales Mode'!$B$22:$C$36,2,FALSE),0%)</f>
        <v>0</v>
      </c>
      <c r="HN5" s="5">
        <f>IFERROR(VLOOKUP(HN$1,'Renta Fija Mixta + Metales Mode'!$B$22:$C$36,2,FALSE),0%)</f>
        <v>0</v>
      </c>
      <c r="HO5" s="5">
        <f>IFERROR(VLOOKUP(HO$1,'Renta Fija Mixta + Metales Mode'!$B$22:$C$36,2,FALSE),0%)</f>
        <v>0</v>
      </c>
      <c r="HP5" s="5">
        <f>IFERROR(VLOOKUP(HP$1,'Renta Fija Mixta + Metales Mode'!$B$22:$C$36,2,FALSE),0%)</f>
        <v>0</v>
      </c>
      <c r="HQ5" s="5">
        <f>IFERROR(VLOOKUP(HQ$1,'Renta Fija Mixta + Metales Mode'!$B$22:$C$36,2,FALSE),0%)</f>
        <v>0</v>
      </c>
      <c r="HR5" s="5">
        <f>IFERROR(VLOOKUP(HR$1,'Renta Fija Mixta + Metales Mode'!$B$22:$C$36,2,FALSE),0%)</f>
        <v>0</v>
      </c>
      <c r="HS5" s="5">
        <f>IFERROR(VLOOKUP(HS$1,'Renta Fija Mixta + Metales Mode'!$B$22:$C$36,2,FALSE),0%)</f>
        <v>0</v>
      </c>
      <c r="HT5" s="5">
        <f>IFERROR(VLOOKUP(HT$1,'Renta Fija Mixta + Metales Mode'!$B$22:$C$36,2,FALSE),0%)</f>
        <v>0</v>
      </c>
      <c r="HU5" s="5">
        <f>IFERROR(VLOOKUP(HU$1,'Renta Fija Mixta + Metales Mode'!$B$22:$C$36,2,FALSE),0%)</f>
        <v>0</v>
      </c>
      <c r="HV5" s="5">
        <f>IFERROR(VLOOKUP(HV$1,'Renta Fija Mixta + Metales Mode'!$B$22:$C$36,2,FALSE),0%)</f>
        <v>0</v>
      </c>
      <c r="HW5" s="5">
        <f>IFERROR(VLOOKUP(HW$1,'Renta Fija Mixta + Metales Mode'!$B$22:$C$36,2,FALSE),0%)</f>
        <v>0</v>
      </c>
      <c r="HX5" s="5">
        <f>IFERROR(VLOOKUP(HX$1,'Renta Fija Mixta + Metales Mode'!$B$22:$C$36,2,FALSE),0%)</f>
        <v>0</v>
      </c>
      <c r="HY5" s="5">
        <f>IFERROR(VLOOKUP(HY$1,'Renta Fija Mixta + Metales Mode'!$B$22:$C$36,2,FALSE),0%)</f>
        <v>0</v>
      </c>
      <c r="HZ5" s="5">
        <f>IFERROR(VLOOKUP(HZ$1,'Renta Fija Mixta + Metales Mode'!$B$22:$C$36,2,FALSE),0%)</f>
        <v>0</v>
      </c>
      <c r="IA5" s="5">
        <f>IFERROR(VLOOKUP(IA$1,'Renta Fija Mixta + Metales Mode'!$B$22:$C$36,2,FALSE),0%)</f>
        <v>0</v>
      </c>
      <c r="IB5" s="5">
        <f>IFERROR(VLOOKUP(IB$1,'Renta Fija Mixta + Metales Mode'!$B$22:$C$36,2,FALSE),0%)</f>
        <v>0</v>
      </c>
      <c r="IC5" s="5">
        <f>IFERROR(VLOOKUP(IC$1,'Renta Fija Mixta + Metales Mode'!$B$22:$C$36,2,FALSE),0%)</f>
        <v>0</v>
      </c>
      <c r="ID5" s="5">
        <f>IFERROR(VLOOKUP(ID$1,'Renta Fija Mixta + Metales Mode'!$B$22:$C$36,2,FALSE),0%)</f>
        <v>0</v>
      </c>
      <c r="IE5" s="5">
        <f>IFERROR(VLOOKUP(IE$1,'Renta Fija Mixta + Metales Mode'!$B$22:$C$36,2,FALSE),0%)</f>
        <v>0</v>
      </c>
      <c r="IF5" s="5">
        <f>IFERROR(VLOOKUP(IF$1,'Renta Fija Mixta + Metales Mode'!$B$22:$C$36,2,FALSE),0%)</f>
        <v>0</v>
      </c>
      <c r="IG5" s="5">
        <f>IFERROR(VLOOKUP(IG$1,'Renta Fija Mixta + Metales Mode'!$B$22:$C$36,2,FALSE),0%)</f>
        <v>0</v>
      </c>
      <c r="IH5" s="5">
        <f>IFERROR(VLOOKUP(IH$1,'Renta Fija Mixta + Metales Mode'!$B$22:$C$36,2,FALSE),0%)</f>
        <v>0</v>
      </c>
      <c r="II5" s="5">
        <f>IFERROR(VLOOKUP(II$1,'Renta Fija Mixta + Metales Mode'!$B$22:$C$36,2,FALSE),0%)</f>
        <v>0</v>
      </c>
      <c r="IJ5" s="5">
        <f>IFERROR(VLOOKUP(IJ$1,'Renta Fija Mixta + Metales Mode'!$B$22:$C$36,2,FALSE),0%)</f>
        <v>0</v>
      </c>
      <c r="IK5" s="5">
        <f>IFERROR(VLOOKUP(IK$1,'Renta Fija Mixta + Metales Mode'!$B$22:$C$36,2,FALSE),0%)</f>
        <v>0</v>
      </c>
      <c r="IL5" s="5">
        <f>IFERROR(VLOOKUP(IL$1,'Renta Fija Mixta + Metales Mode'!$B$22:$C$36,2,FALSE),0%)</f>
        <v>0</v>
      </c>
      <c r="IM5" s="5">
        <f>IFERROR(VLOOKUP(IM$1,'Renta Fija Mixta + Metales Mode'!$B$22:$C$36,2,FALSE),0%)</f>
        <v>0</v>
      </c>
      <c r="IN5" s="5">
        <f>IFERROR(VLOOKUP(IN$1,'Renta Fija Mixta + Metales Mode'!$B$22:$C$36,2,FALSE),0%)</f>
        <v>0</v>
      </c>
      <c r="IO5" s="5">
        <f>IFERROR(VLOOKUP(IO$1,'Renta Fija Mixta + Metales Mode'!$B$22:$C$36,2,FALSE),0%)</f>
        <v>0</v>
      </c>
      <c r="IP5" s="5">
        <f>IFERROR(VLOOKUP(IP$1,'Renta Fija Mixta + Metales Mode'!$B$22:$C$36,2,FALSE),0%)</f>
        <v>0</v>
      </c>
      <c r="IQ5" s="5">
        <f>IFERROR(VLOOKUP(IQ$1,'Renta Fija Mixta + Metales Mode'!$B$22:$C$36,2,FALSE),0%)</f>
        <v>0</v>
      </c>
      <c r="IR5" s="5">
        <f>IFERROR(VLOOKUP(IR$1,'Renta Fija Mixta + Metales Mode'!$B$22:$C$36,2,FALSE),0%)</f>
        <v>0</v>
      </c>
      <c r="IS5" s="5">
        <f>IFERROR(VLOOKUP(IS$1,'Renta Fija Mixta + Metales Mode'!$B$22:$C$36,2,FALSE),0%)</f>
        <v>0</v>
      </c>
      <c r="IT5" s="5">
        <f>IFERROR(VLOOKUP(IT$1,'Renta Fija Mixta + Metales Mode'!$B$22:$C$36,2,FALSE),0%)</f>
        <v>0</v>
      </c>
      <c r="IU5" s="5">
        <f>IFERROR(VLOOKUP(IU$1,'Renta Fija Mixta + Metales Mode'!$B$22:$C$36,2,FALSE),0%)</f>
        <v>0</v>
      </c>
      <c r="IV5" s="5">
        <f>IFERROR(VLOOKUP(IV$1,'Renta Fija Mixta + Metales Mode'!$B$22:$C$36,2,FALSE),0%)</f>
        <v>0</v>
      </c>
      <c r="IW5" s="5">
        <f>IFERROR(VLOOKUP(IW$1,'Renta Fija Mixta + Metales Mode'!$B$22:$C$36,2,FALSE),0%)</f>
        <v>0</v>
      </c>
      <c r="IX5" s="5">
        <f>IFERROR(VLOOKUP(IX$1,'Renta Fija Mixta + Metales Mode'!$B$22:$C$36,2,FALSE),0%)</f>
        <v>0</v>
      </c>
      <c r="IY5" s="5">
        <f>IFERROR(VLOOKUP(IY$1,'Renta Fija Mixta + Metales Mode'!$B$22:$C$36,2,FALSE),0%)</f>
        <v>0</v>
      </c>
      <c r="IZ5" s="5">
        <f>IFERROR(VLOOKUP(IZ$1,'Renta Fija Mixta + Metales Mode'!$B$22:$C$36,2,FALSE),0%)</f>
        <v>0</v>
      </c>
      <c r="JA5" s="5">
        <f>IFERROR(VLOOKUP(JA$1,'Renta Fija Mixta + Metales Mode'!$B$22:$C$36,2,FALSE),0%)</f>
        <v>0</v>
      </c>
      <c r="JB5" s="5">
        <f>IFERROR(VLOOKUP(JB$1,'Renta Fija Mixta + Metales Mode'!$B$22:$C$36,2,FALSE),0%)</f>
        <v>0</v>
      </c>
      <c r="JC5" s="5">
        <f>IFERROR(VLOOKUP(JC$1,'Renta Fija Mixta + Metales Mode'!$B$22:$C$36,2,FALSE),0%)</f>
        <v>0</v>
      </c>
      <c r="JD5" s="5">
        <f>IFERROR(VLOOKUP(JD$1,'Renta Fija Mixta + Metales Mode'!$B$22:$C$36,2,FALSE),0%)</f>
        <v>0</v>
      </c>
      <c r="JE5" s="5">
        <f>IFERROR(VLOOKUP(JE$1,'Renta Fija Mixta + Metales Mode'!$B$22:$C$36,2,FALSE),0%)</f>
        <v>0</v>
      </c>
      <c r="JF5" s="5">
        <f>IFERROR(VLOOKUP(JF$1,'Renta Fija Mixta + Metales Mode'!$B$22:$C$36,2,FALSE),0%)</f>
        <v>0</v>
      </c>
      <c r="JG5" s="5">
        <f>IFERROR(VLOOKUP(JG$1,'Renta Fija Mixta + Metales Mode'!$B$22:$C$36,2,FALSE),0%)</f>
        <v>0</v>
      </c>
      <c r="JH5" s="5">
        <f>IFERROR(VLOOKUP(JH$1,'Renta Fija Mixta + Metales Mode'!$B$22:$C$36,2,FALSE),0%)</f>
        <v>0.09509055029</v>
      </c>
      <c r="JI5" s="5">
        <f>IFERROR(VLOOKUP(JI$1,'Renta Fija Mixta + Metales Mode'!$B$22:$C$36,2,FALSE),0%)</f>
        <v>0</v>
      </c>
      <c r="JJ5" s="5">
        <f>IFERROR(VLOOKUP(JJ$1,'Renta Fija Mixta + Metales Mode'!$B$22:$C$36,2,FALSE),0%)</f>
        <v>0</v>
      </c>
      <c r="JK5" s="5">
        <f>IFERROR(VLOOKUP(JK$1,'Renta Fija Mixta + Metales Mode'!$B$22:$C$36,2,FALSE),0%)</f>
        <v>0</v>
      </c>
      <c r="JL5" s="5">
        <f>IFERROR(VLOOKUP(JL$1,'Renta Fija Mixta + Metales Mode'!$B$22:$C$36,2,FALSE),0%)</f>
        <v>0</v>
      </c>
      <c r="JM5" s="5">
        <f>IFERROR(VLOOKUP(JM$1,'Renta Fija Mixta + Metales Mode'!$B$22:$C$36,2,FALSE),0%)</f>
        <v>0</v>
      </c>
      <c r="JN5" s="5">
        <f>IFERROR(VLOOKUP(JN$1,'Renta Fija Mixta + Metales Mode'!$B$22:$C$36,2,FALSE),0%)</f>
        <v>0</v>
      </c>
      <c r="JO5" s="5">
        <f>IFERROR(VLOOKUP(JO$1,'Renta Fija Mixta + Metales Mode'!$B$22:$C$36,2,FALSE),0%)</f>
        <v>0</v>
      </c>
      <c r="JP5" s="5">
        <f>IFERROR(VLOOKUP(JP$1,'Renta Fija Mixta + Metales Mode'!$B$22:$C$36,2,FALSE),0%)</f>
        <v>0</v>
      </c>
      <c r="JQ5" s="5">
        <f>IFERROR(VLOOKUP(JQ$1,'Renta Fija Mixta + Metales Mode'!$B$22:$C$36,2,FALSE),0%)</f>
        <v>0</v>
      </c>
      <c r="JR5" s="5">
        <f>IFERROR(VLOOKUP(JR$1,'Renta Fija Mixta + Metales Mode'!$B$22:$C$36,2,FALSE),0%)</f>
        <v>0</v>
      </c>
      <c r="JS5" s="5">
        <f>IFERROR(VLOOKUP(JS$1,'Renta Fija Mixta + Metales Mode'!$B$22:$C$36,2,FALSE),0%)</f>
        <v>0</v>
      </c>
      <c r="JT5" s="5">
        <f>IFERROR(VLOOKUP(JT$1,'Renta Fija Mixta + Metales Mode'!$B$22:$C$36,2,FALSE),0%)</f>
        <v>0</v>
      </c>
      <c r="JU5" s="5">
        <f>IFERROR(VLOOKUP(JU$1,'Renta Fija Mixta + Metales Mode'!$B$22:$C$36,2,FALSE),0%)</f>
        <v>0</v>
      </c>
      <c r="JV5" s="5">
        <f>IFERROR(VLOOKUP(JV$1,'Renta Fija Mixta + Metales Mode'!$B$22:$C$36,2,FALSE),0%)</f>
        <v>0</v>
      </c>
      <c r="JW5" s="5">
        <f>IFERROR(VLOOKUP(JW$1,'Renta Fija Mixta + Metales Mode'!$B$22:$C$36,2,FALSE),0%)</f>
        <v>0</v>
      </c>
      <c r="JX5" s="5">
        <f>IFERROR(VLOOKUP(JX$1,'Renta Fija Mixta + Metales Mode'!$B$22:$C$36,2,FALSE),0%)</f>
        <v>0</v>
      </c>
      <c r="JY5" s="5">
        <f>IFERROR(VLOOKUP(JY$1,'Renta Fija Mixta + Metales Mode'!$B$22:$C$36,2,FALSE),0%)</f>
        <v>0</v>
      </c>
      <c r="JZ5" s="5">
        <f>IFERROR(VLOOKUP(JZ$1,'Renta Fija Mixta + Metales Mode'!$B$22:$C$36,2,FALSE),0%)</f>
        <v>0</v>
      </c>
      <c r="KA5" s="5">
        <f>IFERROR(VLOOKUP(KA$1,'Renta Fija Mixta + Metales Mode'!$B$22:$C$36,2,FALSE),0%)</f>
        <v>0</v>
      </c>
      <c r="KB5" s="5">
        <f>IFERROR(VLOOKUP(KB$1,'Renta Fija Mixta + Metales Mode'!$B$22:$C$36,2,FALSE),0%)</f>
        <v>0</v>
      </c>
      <c r="KC5" s="5">
        <f>IFERROR(VLOOKUP(KC$1,'Renta Fija Mixta + Metales Mode'!$B$22:$C$36,2,FALSE),0%)</f>
        <v>0</v>
      </c>
      <c r="KD5" s="5">
        <f>IFERROR(VLOOKUP(KD$1,'Renta Fija Mixta + Metales Mode'!$B$22:$C$36,2,FALSE),0%)</f>
        <v>0</v>
      </c>
      <c r="KE5" s="5">
        <f>IFERROR(VLOOKUP(KE$1,'Renta Fija Mixta + Metales Mode'!$B$22:$C$36,2,FALSE),0%)</f>
        <v>0</v>
      </c>
      <c r="KF5" s="5">
        <f>IFERROR(VLOOKUP(KF$1,'Renta Fija Mixta + Metales Mode'!$B$22:$C$36,2,FALSE),0%)</f>
        <v>0</v>
      </c>
      <c r="KG5" s="5">
        <f>IFERROR(VLOOKUP(KG$1,'Renta Fija Mixta + Metales Mode'!$B$22:$C$36,2,FALSE),0%)</f>
        <v>0</v>
      </c>
      <c r="KH5" s="5">
        <f>IFERROR(VLOOKUP(KH$1,'Renta Fija Mixta + Metales Mode'!$B$22:$C$36,2,FALSE),0%)</f>
        <v>0</v>
      </c>
      <c r="KI5" s="5">
        <f>IFERROR(VLOOKUP(KI$1,'Renta Fija Mixta + Metales Mode'!$B$22:$C$36,2,FALSE),0%)</f>
        <v>0</v>
      </c>
      <c r="KJ5" s="5">
        <f>IFERROR(VLOOKUP(KJ$1,'Renta Fija Mixta + Metales Mode'!$B$22:$C$36,2,FALSE),0%)</f>
        <v>0</v>
      </c>
      <c r="KK5" s="5">
        <f>IFERROR(VLOOKUP(KK$1,'Renta Fija Mixta + Metales Mode'!$B$22:$C$36,2,FALSE),0%)</f>
        <v>0</v>
      </c>
      <c r="KL5" s="5">
        <f>IFERROR(VLOOKUP(KL$1,'Renta Fija Mixta + Metales Mode'!$B$22:$C$36,2,FALSE),0%)</f>
        <v>0</v>
      </c>
      <c r="KM5" s="5">
        <f>IFERROR(VLOOKUP(KM$1,'Renta Fija Mixta + Metales Mode'!$B$22:$C$36,2,FALSE),0%)</f>
        <v>0</v>
      </c>
      <c r="KN5" s="5">
        <f>IFERROR(VLOOKUP(KN$1,'Renta Fija Mixta + Metales Mode'!$B$22:$C$36,2,FALSE),0%)</f>
        <v>0</v>
      </c>
      <c r="KO5" s="5">
        <f>IFERROR(VLOOKUP(KO$1,'Renta Fija Mixta + Metales Mode'!$B$22:$C$36,2,FALSE),0%)</f>
        <v>0</v>
      </c>
      <c r="KP5" s="5">
        <f>IFERROR(VLOOKUP(KP$1,'Renta Fija Mixta + Metales Mode'!$B$22:$C$36,2,FALSE),0%)</f>
        <v>0</v>
      </c>
      <c r="KQ5" s="5">
        <f>IFERROR(VLOOKUP(KQ$1,'Renta Fija Mixta + Metales Mode'!$B$22:$C$36,2,FALSE),0%)</f>
        <v>0</v>
      </c>
      <c r="KR5" s="5">
        <f>IFERROR(VLOOKUP(KR$1,'Renta Fija Mixta + Metales Mode'!$B$22:$C$36,2,FALSE),0%)</f>
        <v>0</v>
      </c>
      <c r="KS5" s="5">
        <f>IFERROR(VLOOKUP(KS$1,'Renta Fija Mixta + Metales Mode'!$B$22:$C$36,2,FALSE),0%)</f>
        <v>0</v>
      </c>
      <c r="KT5" s="5">
        <f>IFERROR(VLOOKUP(KT$1,'Renta Fija Mixta + Metales Mode'!$B$22:$C$36,2,FALSE),0%)</f>
        <v>0</v>
      </c>
      <c r="KU5" s="5">
        <f>IFERROR(VLOOKUP(KU$1,'Renta Fija Mixta + Metales Mode'!$B$22:$C$36,2,FALSE),0%)</f>
        <v>0</v>
      </c>
      <c r="KV5" s="5">
        <f>IFERROR(VLOOKUP(KV$1,'Renta Fija Mixta + Metales Mode'!$B$22:$C$36,2,FALSE),0%)</f>
        <v>0</v>
      </c>
      <c r="KW5" s="5">
        <f>IFERROR(VLOOKUP(KW$1,'Renta Fija Mixta + Metales Mode'!$B$22:$C$36,2,FALSE),0%)</f>
        <v>0</v>
      </c>
      <c r="KX5" s="5">
        <f>IFERROR(VLOOKUP(KX$1,'Renta Fija Mixta + Metales Mode'!$B$22:$C$36,2,FALSE),0%)</f>
        <v>0</v>
      </c>
      <c r="KY5" s="5">
        <f>IFERROR(VLOOKUP(KY$1,'Renta Fija Mixta + Metales Mode'!$B$22:$C$36,2,FALSE),0%)</f>
        <v>0</v>
      </c>
      <c r="KZ5" s="5">
        <f>IFERROR(VLOOKUP(KZ$1,'Renta Fija Mixta + Metales Mode'!$B$22:$C$36,2,FALSE),0%)</f>
        <v>0</v>
      </c>
      <c r="LA5" s="5">
        <f>IFERROR(VLOOKUP(LA$1,'Renta Fija Mixta + Metales Mode'!$B$22:$C$36,2,FALSE),0%)</f>
        <v>0</v>
      </c>
      <c r="LB5" s="5">
        <f>IFERROR(VLOOKUP(LB$1,'Renta Fija Mixta + Metales Mode'!$B$22:$C$36,2,FALSE),0%)</f>
        <v>0</v>
      </c>
      <c r="LC5" s="5">
        <f>IFERROR(VLOOKUP(LC$1,'Renta Fija Mixta + Metales Mode'!$B$22:$C$36,2,FALSE),0%)</f>
        <v>0</v>
      </c>
      <c r="LD5" s="5">
        <f>IFERROR(VLOOKUP(LD$1,'Renta Fija Mixta + Metales Mode'!$B$22:$C$36,2,FALSE),0%)</f>
        <v>0</v>
      </c>
      <c r="LE5" s="5">
        <f>IFERROR(VLOOKUP(LE$1,'Renta Fija Mixta + Metales Mode'!$B$22:$C$36,2,FALSE),0%)</f>
        <v>0</v>
      </c>
      <c r="LF5" s="5">
        <f>IFERROR(VLOOKUP(LF$1,'Renta Fija Mixta + Metales Mode'!$B$22:$C$36,2,FALSE),0%)</f>
        <v>0</v>
      </c>
      <c r="LG5" s="5">
        <f>IFERROR(VLOOKUP(LG$1,'Renta Fija Mixta + Metales Mode'!$B$22:$C$36,2,FALSE),0%)</f>
        <v>0</v>
      </c>
      <c r="LH5" s="5">
        <f>IFERROR(VLOOKUP(LH$1,'Renta Fija Mixta + Metales Mode'!$B$22:$C$36,2,FALSE),0%)</f>
        <v>0</v>
      </c>
      <c r="LI5" s="5">
        <f>IFERROR(VLOOKUP(LI$1,'Renta Fija Mixta + Metales Mode'!$B$22:$C$36,2,FALSE),0%)</f>
        <v>0</v>
      </c>
      <c r="LJ5" s="5">
        <f>IFERROR(VLOOKUP(LJ$1,'Renta Fija Mixta + Metales Mode'!$B$22:$C$36,2,FALSE),0%)</f>
        <v>0</v>
      </c>
      <c r="LK5" s="5">
        <f>IFERROR(VLOOKUP(LK$1,'Renta Fija Mixta + Metales Mode'!$B$22:$C$36,2,FALSE),0%)</f>
        <v>0</v>
      </c>
      <c r="LL5" s="5">
        <f>IFERROR(VLOOKUP(LL$1,'Renta Fija Mixta + Metales Mode'!$B$22:$C$36,2,FALSE),0%)</f>
        <v>0</v>
      </c>
      <c r="LM5" s="5">
        <f>IFERROR(VLOOKUP(LM$1,'Renta Fija Mixta + Metales Mode'!$B$22:$C$36,2,FALSE),0%)</f>
        <v>0</v>
      </c>
      <c r="LN5" s="5">
        <f>IFERROR(VLOOKUP(LN$1,'Renta Fija Mixta + Metales Mode'!$B$22:$C$36,2,FALSE),0%)</f>
        <v>0</v>
      </c>
      <c r="LO5" s="5">
        <f>IFERROR(VLOOKUP(LO$1,'Renta Fija Mixta + Metales Mode'!$B$22:$C$36,2,FALSE),0%)</f>
        <v>0</v>
      </c>
      <c r="LP5" s="5">
        <f>IFERROR(VLOOKUP(LP$1,'Renta Fija Mixta + Metales Mode'!$B$22:$C$36,2,FALSE),0%)</f>
        <v>0</v>
      </c>
      <c r="LQ5" s="5">
        <f>IFERROR(VLOOKUP(LQ$1,'Renta Fija Mixta + Metales Mode'!$B$22:$C$36,2,FALSE),0%)</f>
        <v>0</v>
      </c>
      <c r="LR5" s="5">
        <f>IFERROR(VLOOKUP(LR$1,'Renta Fija Mixta + Metales Mode'!$B$22:$C$36,2,FALSE),0%)</f>
        <v>0</v>
      </c>
      <c r="LS5" s="5">
        <f>IFERROR(VLOOKUP(LS$1,'Renta Fija Mixta + Metales Mode'!$B$22:$C$36,2,FALSE),0%)</f>
        <v>0</v>
      </c>
      <c r="LT5" s="5">
        <f>IFERROR(VLOOKUP(LT$1,'Renta Fija Mixta + Metales Mode'!$B$22:$C$36,2,FALSE),0%)</f>
        <v>0</v>
      </c>
      <c r="LU5" s="5">
        <f>IFERROR(VLOOKUP(LU$1,'Renta Fija Mixta + Metales Mode'!$B$22:$C$36,2,FALSE),0%)</f>
        <v>0</v>
      </c>
      <c r="LV5" s="5">
        <f>IFERROR(VLOOKUP(LV$1,'Renta Fija Mixta + Metales Mode'!$B$22:$C$36,2,FALSE),0%)</f>
        <v>0</v>
      </c>
      <c r="LW5" s="5">
        <f>IFERROR(VLOOKUP(LW$1,'Renta Fija Mixta + Metales Mode'!$B$22:$C$36,2,FALSE),0%)</f>
        <v>0</v>
      </c>
      <c r="LX5" s="5">
        <f>IFERROR(VLOOKUP(LX$1,'Renta Fija Mixta + Metales Mode'!$B$22:$C$36,2,FALSE),0%)</f>
        <v>0</v>
      </c>
      <c r="LY5" s="5">
        <f>IFERROR(VLOOKUP(LY$1,'Renta Fija Mixta + Metales Mode'!$B$22:$C$36,2,FALSE),0%)</f>
        <v>0</v>
      </c>
      <c r="LZ5" s="5">
        <f>IFERROR(VLOOKUP(LZ$1,'Renta Fija Mixta + Metales Mode'!$B$22:$C$36,2,FALSE),0%)</f>
        <v>0</v>
      </c>
      <c r="MA5" s="5">
        <f>IFERROR(VLOOKUP(MA$1,'Renta Fija Mixta + Metales Mode'!$B$22:$C$36,2,FALSE),0%)</f>
        <v>0</v>
      </c>
      <c r="MB5" s="5">
        <f>IFERROR(VLOOKUP(MB$1,'Renta Fija Mixta + Metales Mode'!$B$22:$C$36,2,FALSE),0%)</f>
        <v>0</v>
      </c>
      <c r="MC5" s="5">
        <f>IFERROR(VLOOKUP(MC$1,'Renta Fija Mixta + Metales Mode'!$B$22:$C$36,2,FALSE),0%)</f>
        <v>0</v>
      </c>
      <c r="MD5" s="5">
        <f>IFERROR(VLOOKUP(MD$1,'Renta Fija Mixta + Metales Mode'!$B$22:$C$36,2,FALSE),0%)</f>
        <v>0</v>
      </c>
      <c r="ME5" s="5">
        <f>IFERROR(VLOOKUP(ME$1,'Renta Fija Mixta + Metales Mode'!$B$22:$C$36,2,FALSE),0%)</f>
        <v>0</v>
      </c>
      <c r="MF5" s="5">
        <f>IFERROR(VLOOKUP(MF$1,'Renta Fija Mixta + Metales Mode'!$B$22:$C$36,2,FALSE),0%)</f>
        <v>0</v>
      </c>
      <c r="MG5" s="5">
        <f>IFERROR(VLOOKUP(MG$1,'Renta Fija Mixta + Metales Mode'!$B$22:$C$36,2,FALSE),0%)</f>
        <v>0</v>
      </c>
      <c r="MH5" s="5">
        <f>IFERROR(VLOOKUP(MH$1,'Renta Fija Mixta + Metales Mode'!$B$22:$C$36,2,FALSE),0%)</f>
        <v>0</v>
      </c>
      <c r="MI5" s="5">
        <f>IFERROR(VLOOKUP(MI$1,'Renta Fija Mixta + Metales Mode'!$B$22:$C$36,2,FALSE),0%)</f>
        <v>0</v>
      </c>
      <c r="MJ5" s="5">
        <f>IFERROR(VLOOKUP(MJ$1,'Renta Fija Mixta + Metales Mode'!$B$22:$C$36,2,FALSE),0%)</f>
        <v>0</v>
      </c>
      <c r="MK5" s="5">
        <f>IFERROR(VLOOKUP(MK$1,'Renta Fija Mixta + Metales Mode'!$B$22:$C$36,2,FALSE),0%)</f>
        <v>0</v>
      </c>
      <c r="ML5" s="5">
        <f>IFERROR(VLOOKUP(ML$1,'Renta Fija Mixta + Metales Mode'!$B$22:$C$36,2,FALSE),0%)</f>
        <v>0</v>
      </c>
      <c r="MM5" s="5">
        <f>IFERROR(VLOOKUP(MM$1,'Renta Fija Mixta + Metales Mode'!$B$22:$C$36,2,FALSE),0%)</f>
        <v>0</v>
      </c>
      <c r="MN5" s="5">
        <f>IFERROR(VLOOKUP(MN$1,'Renta Fija Mixta + Metales Mode'!$B$22:$C$36,2,FALSE),0%)</f>
        <v>0</v>
      </c>
      <c r="MO5" s="5">
        <f>IFERROR(VLOOKUP(MO$1,'Renta Fija Mixta + Metales Mode'!$B$22:$C$36,2,FALSE),0%)</f>
        <v>0</v>
      </c>
      <c r="MP5" s="5">
        <f>IFERROR(VLOOKUP(MP$1,'Renta Fija Mixta + Metales Mode'!$B$22:$C$36,2,FALSE),0%)</f>
        <v>0</v>
      </c>
      <c r="MQ5" s="5">
        <f>IFERROR(VLOOKUP(MQ$1,'Renta Fija Mixta + Metales Mode'!$B$22:$C$36,2,FALSE),0%)</f>
        <v>0</v>
      </c>
      <c r="MR5" s="5">
        <f>IFERROR(VLOOKUP(MR$1,'Renta Fija Mixta + Metales Mode'!$B$22:$C$36,2,FALSE),0%)</f>
        <v>0</v>
      </c>
      <c r="MS5" s="5">
        <f>IFERROR(VLOOKUP(MS$1,'Renta Fija Mixta + Metales Mode'!$B$22:$C$36,2,FALSE),0%)</f>
        <v>0</v>
      </c>
      <c r="MT5" s="5">
        <f>IFERROR(VLOOKUP(MT$1,'Renta Fija Mixta + Metales Mode'!$B$22:$C$36,2,FALSE),0%)</f>
        <v>0</v>
      </c>
      <c r="MU5" s="5">
        <f>IFERROR(VLOOKUP(MU$1,'Renta Fija Mixta + Metales Mode'!$B$22:$C$36,2,FALSE),0%)</f>
        <v>0</v>
      </c>
      <c r="MV5" s="5">
        <f>IFERROR(VLOOKUP(MV$1,'Renta Fija Mixta + Metales Mode'!$B$22:$C$36,2,FALSE),0%)</f>
        <v>0</v>
      </c>
      <c r="MW5" s="5">
        <f>IFERROR(VLOOKUP(MW$1,'Renta Fija Mixta + Metales Mode'!$B$22:$C$36,2,FALSE),0%)</f>
        <v>0</v>
      </c>
      <c r="MX5" s="5">
        <f>IFERROR(VLOOKUP(MX$1,'Renta Fija Mixta + Metales Mode'!$B$22:$C$36,2,FALSE),0%)</f>
        <v>0</v>
      </c>
      <c r="MY5" s="5">
        <f>IFERROR(VLOOKUP(MY$1,'Renta Fija Mixta + Metales Mode'!$B$22:$C$36,2,FALSE),0%)</f>
        <v>0</v>
      </c>
      <c r="MZ5" s="5">
        <f>IFERROR(VLOOKUP(MZ$1,'Renta Fija Mixta + Metales Mode'!$B$22:$C$36,2,FALSE),0%)</f>
        <v>0</v>
      </c>
      <c r="NA5" s="5">
        <f>IFERROR(VLOOKUP(NA$1,'Renta Fija Mixta + Metales Mode'!$B$22:$C$36,2,FALSE),0%)</f>
        <v>0</v>
      </c>
      <c r="NB5" s="5">
        <f>IFERROR(VLOOKUP(NB$1,'Renta Fija Mixta + Metales Mode'!$B$22:$C$36,2,FALSE),0%)</f>
        <v>0</v>
      </c>
      <c r="NC5" s="5">
        <f>IFERROR(VLOOKUP(NC$1,'Renta Fija Mixta + Metales Mode'!$B$22:$C$36,2,FALSE),0%)</f>
        <v>0</v>
      </c>
      <c r="ND5" s="5">
        <f>IFERROR(VLOOKUP(ND$1,'Renta Fija Mixta + Metales Mode'!$B$22:$C$36,2,FALSE),0%)</f>
        <v>0</v>
      </c>
      <c r="NE5" s="5">
        <f>IFERROR(VLOOKUP(NE$1,'Renta Fija Mixta + Metales Mode'!$B$22:$C$36,2,FALSE),0%)</f>
        <v>0</v>
      </c>
      <c r="NF5" s="5">
        <f>IFERROR(VLOOKUP(NF$1,'Renta Fija Mixta + Metales Mode'!$B$22:$C$36,2,FALSE),0%)</f>
        <v>0</v>
      </c>
      <c r="NG5" s="5">
        <f>IFERROR(VLOOKUP(NG$1,'Renta Fija Mixta + Metales Mode'!$B$22:$C$36,2,FALSE),0%)</f>
        <v>0</v>
      </c>
      <c r="NH5" s="5">
        <f>IFERROR(VLOOKUP(NH$1,'Renta Fija Mixta + Metales Mode'!$B$22:$C$36,2,FALSE),0%)</f>
        <v>0</v>
      </c>
      <c r="NI5" s="5">
        <f>IFERROR(VLOOKUP(NI$1,'Renta Fija Mixta + Metales Mode'!$B$22:$C$36,2,FALSE),0%)</f>
        <v>0</v>
      </c>
      <c r="NJ5" s="5">
        <f>IFERROR(VLOOKUP(NJ$1,'Renta Fija Mixta + Metales Mode'!$B$22:$C$36,2,FALSE),0%)</f>
        <v>0</v>
      </c>
      <c r="NK5" s="5">
        <f>IFERROR(VLOOKUP(NK$1,'Renta Fija Mixta + Metales Mode'!$B$22:$C$36,2,FALSE),0%)</f>
        <v>0</v>
      </c>
      <c r="NL5" s="5">
        <f>IFERROR(VLOOKUP(NL$1,'Renta Fija Mixta + Metales Mode'!$B$22:$C$36,2,FALSE),0%)</f>
        <v>0</v>
      </c>
      <c r="NM5" s="5">
        <f>IFERROR(VLOOKUP(NM$1,'Renta Fija Mixta + Metales Mode'!$B$22:$C$36,2,FALSE),0%)</f>
        <v>0</v>
      </c>
      <c r="NN5" s="5">
        <f>IFERROR(VLOOKUP(NN$1,'Renta Fija Mixta + Metales Mode'!$B$22:$C$36,2,FALSE),0%)</f>
        <v>0</v>
      </c>
      <c r="NO5" s="5">
        <f>IFERROR(VLOOKUP(NO$1,'Renta Fija Mixta + Metales Mode'!$B$22:$C$36,2,FALSE),0%)</f>
        <v>0</v>
      </c>
      <c r="NP5" s="5">
        <f>IFERROR(VLOOKUP(NP$1,'Renta Fija Mixta + Metales Mode'!$B$22:$C$36,2,FALSE),0%)</f>
        <v>0</v>
      </c>
      <c r="NQ5" s="5">
        <f>IFERROR(VLOOKUP(NQ$1,'Renta Fija Mixta + Metales Mode'!$B$22:$C$36,2,FALSE),0%)</f>
        <v>0</v>
      </c>
      <c r="NR5" s="5">
        <f>IFERROR(VLOOKUP(NR$1,'Renta Fija Mixta + Metales Mode'!$B$22:$C$36,2,FALSE),0%)</f>
        <v>0</v>
      </c>
      <c r="NS5" s="5">
        <f>IFERROR(VLOOKUP(NS$1,'Renta Fija Mixta + Metales Mode'!$B$22:$C$36,2,FALSE),0%)</f>
        <v>0</v>
      </c>
      <c r="NT5" s="5">
        <f>IFERROR(VLOOKUP(NT$1,'Renta Fija Mixta + Metales Mode'!$B$22:$C$36,2,FALSE),0%)</f>
        <v>0</v>
      </c>
      <c r="NU5" s="5">
        <f>IFERROR(VLOOKUP(NU$1,'Renta Fija Mixta + Metales Mode'!$B$22:$C$36,2,FALSE),0%)</f>
        <v>0</v>
      </c>
      <c r="NV5" s="5">
        <f>IFERROR(VLOOKUP(NV$1,'Renta Fija Mixta + Metales Mode'!$B$22:$C$36,2,FALSE),0%)</f>
        <v>0</v>
      </c>
      <c r="NW5" s="5">
        <f>IFERROR(VLOOKUP(NW$1,'Renta Fija Mixta + Metales Mode'!$B$22:$C$36,2,FALSE),0%)</f>
        <v>0</v>
      </c>
      <c r="NX5" s="5">
        <f>IFERROR(VLOOKUP(NX$1,'Renta Fija Mixta + Metales Mode'!$B$22:$C$36,2,FALSE),0%)</f>
        <v>0</v>
      </c>
      <c r="NY5" s="5">
        <f>IFERROR(VLOOKUP(NY$1,'Renta Fija Mixta + Metales Mode'!$B$22:$C$36,2,FALSE),0%)</f>
        <v>0</v>
      </c>
      <c r="NZ5" s="5">
        <f>IFERROR(VLOOKUP(NZ$1,'Renta Fija Mixta + Metales Mode'!$B$22:$C$36,2,FALSE),0%)</f>
        <v>0</v>
      </c>
      <c r="OA5" s="5">
        <f>IFERROR(VLOOKUP(OA$1,'Renta Fija Mixta + Metales Mode'!$B$22:$C$36,2,FALSE),0%)</f>
        <v>0</v>
      </c>
      <c r="OB5" s="5">
        <f>IFERROR(VLOOKUP(OB$1,'Renta Fija Mixta + Metales Mode'!$B$22:$C$36,2,FALSE),0%)</f>
        <v>0</v>
      </c>
      <c r="OC5" s="5">
        <f>IFERROR(VLOOKUP(OC$1,'Renta Fija Mixta + Metales Mode'!$B$22:$C$36,2,FALSE),0%)</f>
        <v>0</v>
      </c>
      <c r="OD5" s="5">
        <f>IFERROR(VLOOKUP(OD$1,'Renta Fija Mixta + Metales Mode'!$B$22:$C$36,2,FALSE),0%)</f>
        <v>0</v>
      </c>
      <c r="OE5" s="5">
        <f>IFERROR(VLOOKUP(OE$1,'Renta Fija Mixta + Metales Mode'!$B$22:$C$36,2,FALSE),0%)</f>
        <v>0</v>
      </c>
      <c r="OF5" s="5">
        <f>IFERROR(VLOOKUP(OF$1,'Renta Fija Mixta + Metales Mode'!$B$22:$C$36,2,FALSE),0%)</f>
        <v>0</v>
      </c>
      <c r="OG5" s="5">
        <f>IFERROR(VLOOKUP(OG$1,'Renta Fija Mixta + Metales Mode'!$B$22:$C$36,2,FALSE),0%)</f>
        <v>0</v>
      </c>
      <c r="OH5" s="5">
        <f>IFERROR(VLOOKUP(OH$1,'Renta Fija Mixta + Metales Mode'!$B$22:$C$36,2,FALSE),0%)</f>
        <v>0</v>
      </c>
      <c r="OI5" s="5">
        <f>IFERROR(VLOOKUP(OI$1,'Renta Fija Mixta + Metales Mode'!$B$22:$C$36,2,FALSE),0%)</f>
        <v>0</v>
      </c>
      <c r="OJ5" s="5">
        <f>IFERROR(VLOOKUP(OJ$1,'Renta Fija Mixta + Metales Mode'!$B$22:$C$36,2,FALSE),0%)</f>
        <v>0</v>
      </c>
      <c r="OK5" s="5">
        <f>IFERROR(VLOOKUP(OK$1,'Renta Fija Mixta + Metales Mode'!$B$22:$C$36,2,FALSE),0%)</f>
        <v>0</v>
      </c>
      <c r="OL5" s="5">
        <f>IFERROR(VLOOKUP(OL$1,'Renta Fija Mixta + Metales Mode'!$B$22:$C$36,2,FALSE),0%)</f>
        <v>0</v>
      </c>
      <c r="OM5" s="5">
        <f>IFERROR(VLOOKUP(OM$1,'Renta Fija Mixta + Metales Mode'!$B$22:$C$36,2,FALSE),0%)</f>
        <v>0</v>
      </c>
      <c r="ON5" s="5">
        <f>IFERROR(VLOOKUP(ON$1,'Renta Fija Mixta + Metales Mode'!$B$22:$C$36,2,FALSE),0%)</f>
        <v>0</v>
      </c>
      <c r="OO5" s="5">
        <f>IFERROR(VLOOKUP(OO$1,'Renta Fija Mixta + Metales Mode'!$B$22:$C$36,2,FALSE),0%)</f>
        <v>0</v>
      </c>
      <c r="OP5" s="5">
        <f>IFERROR(VLOOKUP(OP$1,'Renta Fija Mixta + Metales Mode'!$B$22:$C$36,2,FALSE),0%)</f>
        <v>0</v>
      </c>
      <c r="OQ5" s="5">
        <f>IFERROR(VLOOKUP(OQ$1,'Renta Fija Mixta + Metales Mode'!$B$22:$C$36,2,FALSE),0%)</f>
        <v>0</v>
      </c>
      <c r="OR5" s="5">
        <f>IFERROR(VLOOKUP(OR$1,'Renta Fija Mixta + Metales Mode'!$B$22:$C$36,2,FALSE),0%)</f>
        <v>0</v>
      </c>
      <c r="OS5" s="5">
        <f>IFERROR(VLOOKUP(OS$1,'Renta Fija Mixta + Metales Mode'!$B$22:$C$36,2,FALSE),0%)</f>
        <v>0</v>
      </c>
      <c r="OT5" s="5">
        <f>IFERROR(VLOOKUP(OT$1,'Renta Fija Mixta + Metales Mode'!$B$22:$C$36,2,FALSE),0%)</f>
        <v>0</v>
      </c>
      <c r="OU5" s="5">
        <f>IFERROR(VLOOKUP(OU$1,'Renta Fija Mixta + Metales Mode'!$B$22:$C$36,2,FALSE),0%)</f>
        <v>0</v>
      </c>
      <c r="OV5" s="5">
        <f>IFERROR(VLOOKUP(OV$1,'Renta Fija Mixta + Metales Mode'!$B$22:$C$36,2,FALSE),0%)</f>
        <v>0</v>
      </c>
      <c r="OW5" s="5">
        <f>IFERROR(VLOOKUP(OW$1,'Renta Fija Mixta + Metales Mode'!$B$22:$C$36,2,FALSE),0%)</f>
        <v>0</v>
      </c>
      <c r="OX5" s="5">
        <f>IFERROR(VLOOKUP(OX$1,'Renta Fija Mixta + Metales Mode'!$B$22:$C$36,2,FALSE),0%)</f>
        <v>0</v>
      </c>
      <c r="OY5" s="5">
        <f>IFERROR(VLOOKUP(OY$1,'Renta Fija Mixta + Metales Mode'!$B$22:$C$36,2,FALSE),0%)</f>
        <v>0</v>
      </c>
      <c r="OZ5" s="5">
        <f>IFERROR(VLOOKUP(OZ$1,'Renta Fija Mixta + Metales Mode'!$B$22:$C$36,2,FALSE),0%)</f>
        <v>0</v>
      </c>
      <c r="PA5" s="5">
        <f>IFERROR(VLOOKUP(PA$1,'Renta Fija Mixta + Metales Mode'!$B$22:$C$36,2,FALSE),0%)</f>
        <v>0</v>
      </c>
      <c r="PB5" s="5">
        <f>IFERROR(VLOOKUP(PB$1,'Renta Fija Mixta + Metales Mode'!$B$22:$C$36,2,FALSE),0%)</f>
        <v>0</v>
      </c>
      <c r="PC5" s="5">
        <f>IFERROR(VLOOKUP(PC$1,'Renta Fija Mixta + Metales Mode'!$B$22:$C$36,2,FALSE),0%)</f>
        <v>0</v>
      </c>
      <c r="PD5" s="5">
        <f>IFERROR(VLOOKUP(PD$1,'Renta Fija Mixta + Metales Mode'!$B$22:$C$36,2,FALSE),0%)</f>
        <v>0</v>
      </c>
      <c r="PE5" s="5">
        <f>IFERROR(VLOOKUP(PE$1,'Renta Fija Mixta + Metales Mode'!$B$22:$C$36,2,FALSE),0%)</f>
        <v>0</v>
      </c>
      <c r="PF5" s="5">
        <f>IFERROR(VLOOKUP(PF$1,'Renta Fija Mixta + Metales Mode'!$B$22:$C$36,2,FALSE),0%)</f>
        <v>0</v>
      </c>
      <c r="PG5" s="5">
        <f>IFERROR(VLOOKUP(PG$1,'Renta Fija Mixta + Metales Mode'!$B$22:$C$36,2,FALSE),0%)</f>
        <v>0</v>
      </c>
      <c r="PH5" s="5">
        <f>IFERROR(VLOOKUP(PH$1,'Renta Fija Mixta + Metales Mode'!$B$22:$C$36,2,FALSE),0%)</f>
        <v>0</v>
      </c>
      <c r="PI5" s="5">
        <f>IFERROR(VLOOKUP(PI$1,'Renta Fija Mixta + Metales Mode'!$B$22:$C$36,2,FALSE),0%)</f>
        <v>0</v>
      </c>
      <c r="PJ5" s="5">
        <f>IFERROR(VLOOKUP(PJ$1,'Renta Fija Mixta + Metales Mode'!$B$22:$C$36,2,FALSE),0%)</f>
        <v>0</v>
      </c>
      <c r="PK5" s="5">
        <f>IFERROR(VLOOKUP(PK$1,'Renta Fija Mixta + Metales Mode'!$B$22:$C$36,2,FALSE),0%)</f>
        <v>0</v>
      </c>
      <c r="PL5" s="5">
        <f>IFERROR(VLOOKUP(PL$1,'Renta Fija Mixta + Metales Mode'!$B$22:$C$36,2,FALSE),0%)</f>
        <v>0</v>
      </c>
      <c r="PM5" s="5">
        <f>IFERROR(VLOOKUP(PM$1,'Renta Fija Mixta + Metales Mode'!$B$22:$C$36,2,FALSE),0%)</f>
        <v>0</v>
      </c>
      <c r="PN5" s="5">
        <f>IFERROR(VLOOKUP(PN$1,'Renta Fija Mixta + Metales Mode'!$B$22:$C$36,2,FALSE),0%)</f>
        <v>0</v>
      </c>
      <c r="PO5" s="5">
        <f>IFERROR(VLOOKUP(PO$1,'Renta Fija Mixta + Metales Mode'!$B$22:$C$36,2,FALSE),0%)</f>
        <v>0</v>
      </c>
      <c r="PP5" s="5">
        <f>IFERROR(VLOOKUP(PP$1,'Renta Fija Mixta + Metales Mode'!$B$22:$C$36,2,FALSE),0%)</f>
        <v>0</v>
      </c>
      <c r="PQ5" s="5">
        <f>IFERROR(VLOOKUP(PQ$1,'Renta Fija Mixta + Metales Mode'!$B$22:$C$36,2,FALSE),0%)</f>
        <v>0</v>
      </c>
      <c r="PR5" s="5">
        <f>IFERROR(VLOOKUP(PR$1,'Renta Fija Mixta + Metales Mode'!$B$22:$C$36,2,FALSE),0%)</f>
        <v>0</v>
      </c>
      <c r="PS5" s="5">
        <f>IFERROR(VLOOKUP(PS$1,'Renta Fija Mixta + Metales Mode'!$B$22:$C$36,2,FALSE),0%)</f>
        <v>0</v>
      </c>
      <c r="PT5" s="5">
        <f>IFERROR(VLOOKUP(PT$1,'Renta Fija Mixta + Metales Mode'!$B$22:$C$36,2,FALSE),0%)</f>
        <v>0</v>
      </c>
      <c r="PU5" s="5">
        <f>IFERROR(VLOOKUP(PU$1,'Renta Fija Mixta + Metales Mode'!$B$22:$C$36,2,FALSE),0%)</f>
        <v>0</v>
      </c>
      <c r="PV5" s="5">
        <f>IFERROR(VLOOKUP(PV$1,'Renta Fija Mixta + Metales Mode'!$B$22:$C$36,2,FALSE),0%)</f>
        <v>0</v>
      </c>
      <c r="PW5" s="5">
        <f>IFERROR(VLOOKUP(PW$1,'Renta Fija Mixta + Metales Mode'!$B$22:$C$36,2,FALSE),0%)</f>
        <v>0</v>
      </c>
      <c r="PX5" s="5">
        <f>IFERROR(VLOOKUP(PX$1,'Renta Fija Mixta + Metales Mode'!$B$22:$C$36,2,FALSE),0%)</f>
        <v>0</v>
      </c>
      <c r="PY5" s="5">
        <f>IFERROR(VLOOKUP(PY$1,'Renta Fija Mixta + Metales Mode'!$B$22:$C$36,2,FALSE),0%)</f>
        <v>0</v>
      </c>
      <c r="PZ5" s="5">
        <f>IFERROR(VLOOKUP(PZ$1,'Renta Fija Mixta + Metales Mode'!$B$22:$C$36,2,FALSE),0%)</f>
        <v>0</v>
      </c>
      <c r="QA5" s="5">
        <f>IFERROR(VLOOKUP(QA$1,'Renta Fija Mixta + Metales Mode'!$B$22:$C$36,2,FALSE),0%)</f>
        <v>0</v>
      </c>
      <c r="QB5" s="5">
        <f>IFERROR(VLOOKUP(QB$1,'Renta Fija Mixta + Metales Mode'!$B$22:$C$36,2,FALSE),0%)</f>
        <v>0</v>
      </c>
      <c r="QC5" s="5">
        <f>IFERROR(VLOOKUP(QC$1,'Renta Fija Mixta + Metales Mode'!$B$22:$C$36,2,FALSE),0%)</f>
        <v>0</v>
      </c>
      <c r="QD5" s="5">
        <f>IFERROR(VLOOKUP(QD$1,'Renta Fija Mixta + Metales Mode'!$B$22:$C$36,2,FALSE),0%)</f>
        <v>0</v>
      </c>
      <c r="QE5" s="5">
        <f>IFERROR(VLOOKUP(QE$1,'Renta Fija Mixta + Metales Mode'!$B$22:$C$36,2,FALSE),0%)</f>
        <v>0</v>
      </c>
      <c r="QF5" s="5">
        <f>IFERROR(VLOOKUP(QF$1,'Renta Fija Mixta + Metales Mode'!$B$22:$C$36,2,FALSE),0%)</f>
        <v>0</v>
      </c>
      <c r="QG5" s="5">
        <f>IFERROR(VLOOKUP(QG$1,'Renta Fija Mixta + Metales Mode'!$B$22:$C$36,2,FALSE),0%)</f>
        <v>0</v>
      </c>
      <c r="QH5" s="5">
        <f>IFERROR(VLOOKUP(QH$1,'Renta Fija Mixta + Metales Mode'!$B$22:$C$36,2,FALSE),0%)</f>
        <v>0</v>
      </c>
      <c r="QI5" s="5">
        <f>IFERROR(VLOOKUP(QI$1,'Renta Fija Mixta + Metales Mode'!$B$22:$C$36,2,FALSE),0%)</f>
        <v>0</v>
      </c>
      <c r="QJ5" s="5">
        <f>IFERROR(VLOOKUP(QJ$1,'Renta Fija Mixta + Metales Mode'!$B$22:$C$36,2,FALSE),0%)</f>
        <v>0</v>
      </c>
      <c r="QK5" s="5">
        <f>IFERROR(VLOOKUP(QK$1,'Renta Fija Mixta + Metales Mode'!$B$22:$C$36,2,FALSE),0%)</f>
        <v>0</v>
      </c>
      <c r="QL5" s="5">
        <f>IFERROR(VLOOKUP(QL$1,'Renta Fija Mixta + Metales Mode'!$B$22:$C$36,2,FALSE),0%)</f>
        <v>0</v>
      </c>
      <c r="QM5" s="5">
        <f>IFERROR(VLOOKUP(QM$1,'Renta Fija Mixta + Metales Mode'!$B$22:$C$36,2,FALSE),0%)</f>
        <v>0</v>
      </c>
      <c r="QN5" s="5">
        <f>IFERROR(VLOOKUP(QN$1,'Renta Fija Mixta + Metales Mode'!$B$22:$C$36,2,FALSE),0%)</f>
        <v>0</v>
      </c>
      <c r="QO5" s="5">
        <f>IFERROR(VLOOKUP(QO$1,'Renta Fija Mixta + Metales Mode'!$B$22:$C$36,2,FALSE),0%)</f>
        <v>0</v>
      </c>
      <c r="QP5" s="5">
        <f>IFERROR(VLOOKUP(QP$1,'Renta Fija Mixta + Metales Mode'!$B$22:$C$36,2,FALSE),0%)</f>
        <v>0</v>
      </c>
      <c r="QQ5" s="5">
        <f>IFERROR(VLOOKUP(QQ$1,'Renta Fija Mixta + Metales Mode'!$B$22:$C$36,2,FALSE),0%)</f>
        <v>0</v>
      </c>
      <c r="QR5" s="5">
        <f>IFERROR(VLOOKUP(QR$1,'Renta Fija Mixta + Metales Mode'!$B$22:$C$36,2,FALSE),0%)</f>
        <v>0</v>
      </c>
      <c r="QS5" s="5">
        <f>IFERROR(VLOOKUP(QS$1,'Renta Fija Mixta + Metales Mode'!$B$22:$C$36,2,FALSE),0%)</f>
        <v>0</v>
      </c>
      <c r="QT5" s="5">
        <f>IFERROR(VLOOKUP(QT$1,'Renta Fija Mixta + Metales Mode'!$B$22:$C$36,2,FALSE),0%)</f>
        <v>0</v>
      </c>
      <c r="QU5" s="5">
        <f>IFERROR(VLOOKUP(QU$1,'Renta Fija Mixta + Metales Mode'!$B$22:$C$36,2,FALSE),0%)</f>
        <v>0</v>
      </c>
      <c r="QV5" s="5">
        <f>IFERROR(VLOOKUP(QV$1,'Renta Fija Mixta + Metales Mode'!$B$22:$C$36,2,FALSE),0%)</f>
        <v>0</v>
      </c>
      <c r="QW5" s="5">
        <f>IFERROR(VLOOKUP(QW$1,'Renta Fija Mixta + Metales Mode'!$B$22:$C$36,2,FALSE),0%)</f>
        <v>0</v>
      </c>
      <c r="QX5" s="5">
        <f>IFERROR(VLOOKUP(QX$1,'Renta Fija Mixta + Metales Mode'!$B$22:$C$36,2,FALSE),0%)</f>
        <v>0</v>
      </c>
      <c r="QY5" s="5">
        <f>IFERROR(VLOOKUP(QY$1,'Renta Fija Mixta + Metales Mode'!$B$22:$C$36,2,FALSE),0%)</f>
        <v>0</v>
      </c>
      <c r="QZ5" s="5">
        <f>IFERROR(VLOOKUP(QZ$1,'Renta Fija Mixta + Metales Mode'!$B$22:$C$36,2,FALSE),0%)</f>
        <v>0</v>
      </c>
      <c r="RA5" s="5">
        <f>IFERROR(VLOOKUP(RA$1,'Renta Fija Mixta + Metales Mode'!$B$22:$C$36,2,FALSE),0%)</f>
        <v>0</v>
      </c>
      <c r="RB5" s="5">
        <f>IFERROR(VLOOKUP(RB$1,'Renta Fija Mixta + Metales Mode'!$B$22:$C$36,2,FALSE),0%)</f>
        <v>0</v>
      </c>
      <c r="RC5" s="5">
        <f>IFERROR(VLOOKUP(RC$1,'Renta Fija Mixta + Metales Mode'!$B$22:$C$36,2,FALSE),0%)</f>
        <v>0</v>
      </c>
      <c r="RD5" s="5">
        <f>IFERROR(VLOOKUP(RD$1,'Renta Fija Mixta + Metales Mode'!$B$22:$C$36,2,FALSE),0%)</f>
        <v>0</v>
      </c>
      <c r="RE5" s="5">
        <f>IFERROR(VLOOKUP(RE$1,'Renta Fija Mixta + Metales Mode'!$B$22:$C$36,2,FALSE),0%)</f>
        <v>0</v>
      </c>
      <c r="RF5" s="5">
        <f>IFERROR(VLOOKUP(RF$1,'Renta Fija Mixta + Metales Mode'!$B$22:$C$36,2,FALSE),0%)</f>
        <v>0</v>
      </c>
      <c r="RG5" s="5">
        <f>IFERROR(VLOOKUP(RG$1,'Renta Fija Mixta + Metales Mode'!$B$22:$C$36,2,FALSE),0%)</f>
        <v>0</v>
      </c>
      <c r="RH5" s="5">
        <f>IFERROR(VLOOKUP(RH$1,'Renta Fija Mixta + Metales Mode'!$B$22:$C$36,2,FALSE),0%)</f>
        <v>0</v>
      </c>
      <c r="RI5" s="5">
        <f>IFERROR(VLOOKUP(RI$1,'Renta Fija Mixta + Metales Mode'!$B$22:$C$36,2,FALSE),0%)</f>
        <v>0</v>
      </c>
      <c r="RJ5" s="5">
        <f>IFERROR(VLOOKUP(RJ$1,'Renta Fija Mixta + Metales Mode'!$B$22:$C$36,2,FALSE),0%)</f>
        <v>0</v>
      </c>
      <c r="RK5" s="5">
        <f>IFERROR(VLOOKUP(RK$1,'Renta Fija Mixta + Metales Mode'!$B$22:$C$36,2,FALSE),0%)</f>
        <v>0</v>
      </c>
      <c r="RL5" s="5">
        <f>IFERROR(VLOOKUP(RL$1,'Renta Fija Mixta + Metales Mode'!$B$22:$C$36,2,FALSE),0%)</f>
        <v>0</v>
      </c>
      <c r="RM5" s="5">
        <f>IFERROR(VLOOKUP(RM$1,'Renta Fija Mixta + Metales Mode'!$B$22:$C$36,2,FALSE),0%)</f>
        <v>0</v>
      </c>
      <c r="RN5" s="5">
        <f>IFERROR(VLOOKUP(RN$1,'Renta Fija Mixta + Metales Mode'!$B$22:$C$36,2,FALSE),0%)</f>
        <v>0</v>
      </c>
      <c r="RO5" s="5">
        <f>IFERROR(VLOOKUP(RO$1,'Renta Fija Mixta + Metales Mode'!$B$22:$C$36,2,FALSE),0%)</f>
        <v>0</v>
      </c>
      <c r="RP5" s="5">
        <f>IFERROR(VLOOKUP(RP$1,'Renta Fija Mixta + Metales Mode'!$B$22:$C$36,2,FALSE),0%)</f>
        <v>0</v>
      </c>
      <c r="RQ5" s="5">
        <f>IFERROR(VLOOKUP(RQ$1,'Renta Fija Mixta + Metales Mode'!$B$22:$C$36,2,FALSE),0%)</f>
        <v>0</v>
      </c>
      <c r="RR5" s="5">
        <f>IFERROR(VLOOKUP(RR$1,'Renta Fija Mixta + Metales Mode'!$B$22:$C$36,2,FALSE),0%)</f>
        <v>0</v>
      </c>
      <c r="RS5" s="5">
        <f>IFERROR(VLOOKUP(RS$1,'Renta Fija Mixta + Metales Mode'!$B$22:$C$36,2,FALSE),0%)</f>
        <v>0</v>
      </c>
      <c r="RT5" s="5">
        <f>IFERROR(VLOOKUP(RT$1,'Renta Fija Mixta + Metales Mode'!$B$22:$C$36,2,FALSE),0%)</f>
        <v>0</v>
      </c>
      <c r="RU5" s="5">
        <f>IFERROR(VLOOKUP(RU$1,'Renta Fija Mixta + Metales Mode'!$B$22:$C$36,2,FALSE),0%)</f>
        <v>0</v>
      </c>
      <c r="RV5" s="5">
        <f>IFERROR(VLOOKUP(RV$1,'Renta Fija Mixta + Metales Mode'!$B$22:$C$36,2,FALSE),0%)</f>
        <v>0</v>
      </c>
      <c r="RW5" s="5">
        <f>IFERROR(VLOOKUP(RW$1,'Renta Fija Mixta + Metales Mode'!$B$22:$C$36,2,FALSE),0%)</f>
        <v>0</v>
      </c>
      <c r="RX5" s="5">
        <f>IFERROR(VLOOKUP(RX$1,'Renta Fija Mixta + Metales Mode'!$B$22:$C$36,2,FALSE),0%)</f>
        <v>0</v>
      </c>
      <c r="RY5" s="5">
        <f>IFERROR(VLOOKUP(RY$1,'Renta Fija Mixta + Metales Mode'!$B$22:$C$36,2,FALSE),0%)</f>
        <v>0</v>
      </c>
      <c r="RZ5" s="5">
        <f>IFERROR(VLOOKUP(RZ$1,'Renta Fija Mixta + Metales Mode'!$B$22:$C$36,2,FALSE),0%)</f>
        <v>0</v>
      </c>
      <c r="SA5" s="5">
        <f>IFERROR(VLOOKUP(SA$1,'Renta Fija Mixta + Metales Mode'!$B$22:$C$36,2,FALSE),0%)</f>
        <v>0</v>
      </c>
      <c r="SB5" s="5">
        <f>IFERROR(VLOOKUP(SB$1,'Renta Fija Mixta + Metales Mode'!$B$22:$C$36,2,FALSE),0%)</f>
        <v>0</v>
      </c>
      <c r="SC5" s="5">
        <f>IFERROR(VLOOKUP(SC$1,'Renta Fija Mixta + Metales Mode'!$B$22:$C$36,2,FALSE),0%)</f>
        <v>0</v>
      </c>
      <c r="SD5" s="5">
        <f>IFERROR(VLOOKUP(SD$1,'Renta Fija Mixta + Metales Mode'!$B$22:$C$36,2,FALSE),0%)</f>
        <v>0</v>
      </c>
      <c r="SE5" s="5">
        <f>IFERROR(VLOOKUP(SE$1,'Renta Fija Mixta + Metales Mode'!$B$22:$C$36,2,FALSE),0%)</f>
        <v>0</v>
      </c>
      <c r="SF5" s="5">
        <f>IFERROR(VLOOKUP(SF$1,'Renta Fija Mixta + Metales Mode'!$B$22:$C$36,2,FALSE),0%)</f>
        <v>0</v>
      </c>
      <c r="SG5" s="5">
        <f>IFERROR(VLOOKUP(SG$1,'Renta Fija Mixta + Metales Mode'!$B$22:$C$36,2,FALSE),0%)</f>
        <v>0</v>
      </c>
      <c r="SH5" s="5">
        <f>IFERROR(VLOOKUP(SH$1,'Renta Fija Mixta + Metales Mode'!$B$22:$C$36,2,FALSE),0%)</f>
        <v>0</v>
      </c>
      <c r="SI5" s="5">
        <f>IFERROR(VLOOKUP(SI$1,'Renta Fija Mixta + Metales Mode'!$B$22:$C$36,2,FALSE),0%)</f>
        <v>0</v>
      </c>
      <c r="SJ5" s="5">
        <f>IFERROR(VLOOKUP(SJ$1,'Renta Fija Mixta + Metales Mode'!$B$22:$C$36,2,FALSE),0%)</f>
        <v>0</v>
      </c>
      <c r="SK5" s="5">
        <f>IFERROR(VLOOKUP(SK$1,'Renta Fija Mixta + Metales Mode'!$B$22:$C$36,2,FALSE),0%)</f>
        <v>0</v>
      </c>
      <c r="SL5" s="5">
        <f>IFERROR(VLOOKUP(SL$1,'Renta Fija Mixta + Metales Mode'!$B$22:$C$36,2,FALSE),0%)</f>
        <v>0</v>
      </c>
      <c r="SM5" s="5">
        <f>IFERROR(VLOOKUP(SM$1,'Renta Fija Mixta + Metales Mode'!$B$22:$C$36,2,FALSE),0%)</f>
        <v>0</v>
      </c>
      <c r="SN5" s="5">
        <f>IFERROR(VLOOKUP(SN$1,'Renta Fija Mixta + Metales Mode'!$B$22:$C$36,2,FALSE),0%)</f>
        <v>0</v>
      </c>
      <c r="SO5" s="5">
        <f>IFERROR(VLOOKUP(SO$1,'Renta Fija Mixta + Metales Mode'!$B$22:$C$36,2,FALSE),0%)</f>
        <v>0</v>
      </c>
      <c r="SP5" s="5">
        <f>IFERROR(VLOOKUP(SP$1,'Renta Fija Mixta + Metales Mode'!$B$22:$C$36,2,FALSE),0%)</f>
        <v>0</v>
      </c>
      <c r="SQ5" s="5">
        <f>IFERROR(VLOOKUP(SQ$1,'Renta Fija Mixta + Metales Mode'!$B$22:$C$36,2,FALSE),0%)</f>
        <v>0</v>
      </c>
      <c r="SR5" s="5">
        <f>IFERROR(VLOOKUP(SR$1,'Renta Fija Mixta + Metales Mode'!$B$22:$C$36,2,FALSE),0%)</f>
        <v>0</v>
      </c>
      <c r="SS5" s="5">
        <f>IFERROR(VLOOKUP(SS$1,'Renta Fija Mixta + Metales Mode'!$B$22:$C$36,2,FALSE),0%)</f>
        <v>0</v>
      </c>
      <c r="ST5" s="5">
        <f>IFERROR(VLOOKUP(ST$1,'Renta Fija Mixta + Metales Mode'!$B$22:$C$36,2,FALSE),0%)</f>
        <v>0</v>
      </c>
      <c r="SU5" s="5">
        <f>IFERROR(VLOOKUP(SU$1,'Renta Fija Mixta + Metales Mode'!$B$22:$C$36,2,FALSE),0%)</f>
        <v>0</v>
      </c>
      <c r="SV5" s="5">
        <f>IFERROR(VLOOKUP(SV$1,'Renta Fija Mixta + Metales Mode'!$B$22:$C$36,2,FALSE),0%)</f>
        <v>0</v>
      </c>
      <c r="SW5" s="5">
        <f>IFERROR(VLOOKUP(SW$1,'Renta Fija Mixta + Metales Mode'!$B$22:$C$36,2,FALSE),0%)</f>
        <v>0</v>
      </c>
      <c r="SX5" s="5">
        <f>IFERROR(VLOOKUP(SX$1,'Renta Fija Mixta + Metales Mode'!$B$22:$C$36,2,FALSE),0%)</f>
        <v>0</v>
      </c>
      <c r="SY5" s="5">
        <f>IFERROR(VLOOKUP(SY$1,'Renta Fija Mixta + Metales Mode'!$B$22:$C$36,2,FALSE),0%)</f>
        <v>0</v>
      </c>
      <c r="SZ5" s="5">
        <f>IFERROR(VLOOKUP(SZ$1,'Renta Fija Mixta + Metales Mode'!$B$22:$C$36,2,FALSE),0%)</f>
        <v>0</v>
      </c>
      <c r="TA5" s="5">
        <f>IFERROR(VLOOKUP(TA$1,'Renta Fija Mixta + Metales Mode'!$B$22:$C$36,2,FALSE),0%)</f>
        <v>0</v>
      </c>
      <c r="TB5" s="5">
        <f>IFERROR(VLOOKUP(TB$1,'Renta Fija Mixta + Metales Mode'!$B$22:$C$36,2,FALSE),0%)</f>
        <v>0</v>
      </c>
      <c r="TC5" s="5">
        <f>IFERROR(VLOOKUP(TC$1,'Renta Fija Mixta + Metales Mode'!$B$22:$C$36,2,FALSE),0%)</f>
        <v>0</v>
      </c>
      <c r="TD5" s="5">
        <f>IFERROR(VLOOKUP(TD$1,'Renta Fija Mixta + Metales Mode'!$B$22:$C$36,2,FALSE),0%)</f>
        <v>0</v>
      </c>
      <c r="TE5" s="5">
        <f>IFERROR(VLOOKUP(TE$1,'Renta Fija Mixta + Metales Mode'!$B$22:$C$36,2,FALSE),0%)</f>
        <v>0</v>
      </c>
      <c r="TF5" s="5">
        <f>IFERROR(VLOOKUP(TF$1,'Renta Fija Mixta + Metales Mode'!$B$22:$C$36,2,FALSE),0%)</f>
        <v>0</v>
      </c>
      <c r="TG5" s="5">
        <f>IFERROR(VLOOKUP(TG$1,'Renta Fija Mixta + Metales Mode'!$B$22:$C$36,2,FALSE),0%)</f>
        <v>0</v>
      </c>
      <c r="TH5" s="5">
        <f>IFERROR(VLOOKUP(TH$1,'Renta Fija Mixta + Metales Mode'!$B$22:$C$36,2,FALSE),0%)</f>
        <v>0</v>
      </c>
      <c r="TI5" s="5">
        <f>IFERROR(VLOOKUP(TI$1,'Renta Fija Mixta + Metales Mode'!$B$22:$C$36,2,FALSE),0%)</f>
        <v>0</v>
      </c>
      <c r="TJ5" s="5">
        <f>IFERROR(VLOOKUP(TJ$1,'Renta Fija Mixta + Metales Mode'!$B$22:$C$36,2,FALSE),0%)</f>
        <v>0</v>
      </c>
      <c r="TK5" s="5">
        <f>IFERROR(VLOOKUP(TK$1,'Renta Fija Mixta + Metales Mode'!$B$22:$C$36,2,FALSE),0%)</f>
        <v>0</v>
      </c>
      <c r="TL5" s="5">
        <f>IFERROR(VLOOKUP(TL$1,'Renta Fija Mixta + Metales Mode'!$B$22:$C$36,2,FALSE),0%)</f>
        <v>0</v>
      </c>
      <c r="TM5" s="5">
        <f>IFERROR(VLOOKUP(TM$1,'Renta Fija Mixta + Metales Mode'!$B$22:$C$36,2,FALSE),0%)</f>
        <v>0</v>
      </c>
      <c r="TN5" s="5">
        <f>IFERROR(VLOOKUP(TN$1,'Renta Fija Mixta + Metales Mode'!$B$22:$C$36,2,FALSE),0%)</f>
        <v>0</v>
      </c>
      <c r="TO5" s="5">
        <f>IFERROR(VLOOKUP(TO$1,'Renta Fija Mixta + Metales Mode'!$B$22:$C$36,2,FALSE),0%)</f>
        <v>0</v>
      </c>
      <c r="TP5" s="5">
        <f>IFERROR(VLOOKUP(TP$1,'Renta Fija Mixta + Metales Mode'!$B$22:$C$36,2,FALSE),0%)</f>
        <v>0</v>
      </c>
      <c r="TQ5" s="5">
        <f>IFERROR(VLOOKUP(TQ$1,'Renta Fija Mixta + Metales Mode'!$B$22:$C$36,2,FALSE),0%)</f>
        <v>0</v>
      </c>
      <c r="TR5" s="5">
        <f>IFERROR(VLOOKUP(TR$1,'Renta Fija Mixta + Metales Mode'!$B$22:$C$36,2,FALSE),0%)</f>
        <v>0</v>
      </c>
      <c r="TS5" s="5">
        <f>IFERROR(VLOOKUP(TS$1,'Renta Fija Mixta + Metales Mode'!$B$22:$C$36,2,FALSE),0%)</f>
        <v>0</v>
      </c>
      <c r="TT5" s="5">
        <f>IFERROR(VLOOKUP(TT$1,'Renta Fija Mixta + Metales Mode'!$B$22:$C$36,2,FALSE),0%)</f>
        <v>0</v>
      </c>
      <c r="TU5" s="5">
        <f>IFERROR(VLOOKUP(TU$1,'Renta Fija Mixta + Metales Mode'!$B$22:$C$36,2,FALSE),0%)</f>
        <v>0</v>
      </c>
      <c r="TV5" s="5">
        <f>IFERROR(VLOOKUP(TV$1,'Renta Fija Mixta + Metales Mode'!$B$22:$C$36,2,FALSE),0%)</f>
        <v>0</v>
      </c>
      <c r="TW5" s="5">
        <f>IFERROR(VLOOKUP(TW$1,'Renta Fija Mixta + Metales Mode'!$B$22:$C$36,2,FALSE),0%)</f>
        <v>0</v>
      </c>
      <c r="TX5" s="5">
        <f>IFERROR(VLOOKUP(TX$1,'Renta Fija Mixta + Metales Mode'!$B$22:$C$36,2,FALSE),0%)</f>
        <v>0</v>
      </c>
      <c r="TY5" s="5">
        <f>IFERROR(VLOOKUP(TY$1,'Renta Fija Mixta + Metales Mode'!$B$22:$C$36,2,FALSE),0%)</f>
        <v>0</v>
      </c>
      <c r="TZ5" s="5">
        <f>IFERROR(VLOOKUP(TZ$1,'Renta Fija Mixta + Metales Mode'!$B$22:$C$36,2,FALSE),0%)</f>
        <v>0</v>
      </c>
      <c r="UA5" s="5">
        <f>IFERROR(VLOOKUP(UA$1,'Renta Fija Mixta + Metales Mode'!$B$22:$C$36,2,FALSE),0%)</f>
        <v>0</v>
      </c>
      <c r="UB5" s="5">
        <f>IFERROR(VLOOKUP(UB$1,'Renta Fija Mixta + Metales Mode'!$B$22:$C$36,2,FALSE),0%)</f>
        <v>0</v>
      </c>
      <c r="UC5" s="5">
        <f>IFERROR(VLOOKUP(UC$1,'Renta Fija Mixta + Metales Mode'!$B$22:$C$36,2,FALSE),0%)</f>
        <v>0</v>
      </c>
      <c r="UD5" s="5">
        <f>IFERROR(VLOOKUP(UD$1,'Renta Fija Mixta + Metales Mode'!$B$22:$C$36,2,FALSE),0%)</f>
        <v>0</v>
      </c>
      <c r="UE5" s="5">
        <f>IFERROR(VLOOKUP(UE$1,'Renta Fija Mixta + Metales Mode'!$B$22:$C$36,2,FALSE),0%)</f>
        <v>0</v>
      </c>
      <c r="UF5" s="5">
        <f>IFERROR(VLOOKUP(UF$1,'Renta Fija Mixta + Metales Mode'!$B$22:$C$36,2,FALSE),0%)</f>
        <v>0</v>
      </c>
      <c r="UG5" s="5">
        <f>IFERROR(VLOOKUP(UG$1,'Renta Fija Mixta + Metales Mode'!$B$22:$C$36,2,FALSE),0%)</f>
        <v>0</v>
      </c>
      <c r="UH5" s="5">
        <f>IFERROR(VLOOKUP(UH$1,'Renta Fija Mixta + Metales Mode'!$B$22:$C$36,2,FALSE),0%)</f>
        <v>0</v>
      </c>
      <c r="UI5" s="5">
        <f>IFERROR(VLOOKUP(UI$1,'Renta Fija Mixta + Metales Mode'!$B$22:$C$36,2,FALSE),0%)</f>
        <v>0</v>
      </c>
      <c r="UJ5" s="5">
        <f>IFERROR(VLOOKUP(UJ$1,'Renta Fija Mixta + Metales Mode'!$B$22:$C$36,2,FALSE),0%)</f>
        <v>0</v>
      </c>
      <c r="UK5" s="5">
        <f>IFERROR(VLOOKUP(UK$1,'Renta Fija Mixta + Metales Mode'!$B$22:$C$36,2,FALSE),0%)</f>
        <v>0</v>
      </c>
      <c r="UL5" s="5">
        <f>IFERROR(VLOOKUP(UL$1,'Renta Fija Mixta + Metales Mode'!$B$22:$C$36,2,FALSE),0%)</f>
        <v>0</v>
      </c>
      <c r="UM5" s="5">
        <f>IFERROR(VLOOKUP(UM$1,'Renta Fija Mixta + Metales Mode'!$B$22:$C$36,2,FALSE),0%)</f>
        <v>0</v>
      </c>
      <c r="UN5" s="5">
        <f>IFERROR(VLOOKUP(UN$1,'Renta Fija Mixta + Metales Mode'!$B$22:$C$36,2,FALSE),0%)</f>
        <v>0</v>
      </c>
      <c r="UO5" s="5">
        <f>IFERROR(VLOOKUP(UO$1,'Renta Fija Mixta + Metales Mode'!$B$22:$C$36,2,FALSE),0%)</f>
        <v>0</v>
      </c>
      <c r="UP5" s="5">
        <f>IFERROR(VLOOKUP(UP$1,'Renta Fija Mixta + Metales Mode'!$B$22:$C$36,2,FALSE),0%)</f>
        <v>0</v>
      </c>
      <c r="UQ5" s="5">
        <f>IFERROR(VLOOKUP(UQ$1,'Renta Fija Mixta + Metales Mode'!$B$22:$C$36,2,FALSE),0%)</f>
        <v>0</v>
      </c>
      <c r="UR5" s="5">
        <f>IFERROR(VLOOKUP(UR$1,'Renta Fija Mixta + Metales Mode'!$B$22:$C$36,2,FALSE),0%)</f>
        <v>0</v>
      </c>
      <c r="US5" s="5">
        <f>IFERROR(VLOOKUP(US$1,'Renta Fija Mixta + Metales Mode'!$B$22:$C$36,2,FALSE),0%)</f>
        <v>0</v>
      </c>
      <c r="UT5" s="5">
        <f>IFERROR(VLOOKUP(UT$1,'Renta Fija Mixta + Metales Mode'!$B$22:$C$36,2,FALSE),0%)</f>
        <v>0</v>
      </c>
      <c r="UU5" s="5">
        <f>IFERROR(VLOOKUP(UU$1,'Renta Fija Mixta + Metales Mode'!$B$22:$C$36,2,FALSE),0%)</f>
        <v>0</v>
      </c>
      <c r="UV5" s="5">
        <f>IFERROR(VLOOKUP(UV$1,'Renta Fija Mixta + Metales Mode'!$B$22:$C$36,2,FALSE),0%)</f>
        <v>0</v>
      </c>
      <c r="UW5" s="5">
        <f>IFERROR(VLOOKUP(UW$1,'Renta Fija Mixta + Metales Mode'!$B$22:$C$36,2,FALSE),0%)</f>
        <v>0</v>
      </c>
      <c r="UX5" s="5">
        <f>IFERROR(VLOOKUP(UX$1,'Renta Fija Mixta + Metales Mode'!$B$22:$C$36,2,FALSE),0%)</f>
        <v>0</v>
      </c>
      <c r="UY5" s="5">
        <f>IFERROR(VLOOKUP(UY$1,'Renta Fija Mixta + Metales Mode'!$B$22:$C$36,2,FALSE),0%)</f>
        <v>0</v>
      </c>
      <c r="UZ5" s="5">
        <f>IFERROR(VLOOKUP(UZ$1,'Renta Fija Mixta + Metales Mode'!$B$22:$C$36,2,FALSE),0%)</f>
        <v>0</v>
      </c>
      <c r="VA5" s="5">
        <f>IFERROR(VLOOKUP(VA$1,'Renta Fija Mixta + Metales Mode'!$B$22:$C$36,2,FALSE),0%)</f>
        <v>0</v>
      </c>
      <c r="VB5" s="5">
        <f>IFERROR(VLOOKUP(VB$1,'Renta Fija Mixta + Metales Mode'!$B$22:$C$36,2,FALSE),0%)</f>
        <v>0</v>
      </c>
      <c r="VC5" s="5">
        <f>IFERROR(VLOOKUP(VC$1,'Renta Fija Mixta + Metales Mode'!$B$22:$C$36,2,FALSE),0%)</f>
        <v>0</v>
      </c>
      <c r="VD5" s="5">
        <f>IFERROR(VLOOKUP(VD$1,'Renta Fija Mixta + Metales Mode'!$B$22:$C$36,2,FALSE),0%)</f>
        <v>0</v>
      </c>
      <c r="VE5" s="5">
        <f>IFERROR(VLOOKUP(VE$1,'Renta Fija Mixta + Metales Mode'!$B$22:$C$36,2,FALSE),0%)</f>
        <v>0</v>
      </c>
      <c r="VF5" s="5">
        <f>IFERROR(VLOOKUP(VF$1,'Renta Fija Mixta + Metales Mode'!$B$22:$C$36,2,FALSE),0%)</f>
        <v>0</v>
      </c>
      <c r="VG5" s="5">
        <f>IFERROR(VLOOKUP(VG$1,'Renta Fija Mixta + Metales Mode'!$B$22:$C$36,2,FALSE),0%)</f>
        <v>0</v>
      </c>
      <c r="VH5" s="5">
        <f>IFERROR(VLOOKUP(VH$1,'Renta Fija Mixta + Metales Mode'!$B$22:$C$36,2,FALSE),0%)</f>
        <v>0</v>
      </c>
      <c r="VI5" s="5">
        <f>IFERROR(VLOOKUP(VI$1,'Renta Fija Mixta + Metales Mode'!$B$22:$C$36,2,FALSE),0%)</f>
        <v>0</v>
      </c>
      <c r="VJ5" s="5">
        <f>IFERROR(VLOOKUP(VJ$1,'Renta Fija Mixta + Metales Mode'!$B$22:$C$36,2,FALSE),0%)</f>
        <v>0</v>
      </c>
      <c r="VK5" s="5">
        <f>IFERROR(VLOOKUP(VK$1,'Renta Fija Mixta + Metales Mode'!$B$22:$C$36,2,FALSE),0%)</f>
        <v>0</v>
      </c>
      <c r="VL5" s="5">
        <f>IFERROR(VLOOKUP(VL$1,'Renta Fija Mixta + Metales Mode'!$B$22:$C$36,2,FALSE),0%)</f>
        <v>0</v>
      </c>
      <c r="VM5" s="5">
        <f>IFERROR(VLOOKUP(VM$1,'Renta Fija Mixta + Metales Mode'!$B$22:$C$36,2,FALSE),0%)</f>
        <v>0</v>
      </c>
      <c r="VN5" s="5">
        <f>IFERROR(VLOOKUP(VN$1,'Renta Fija Mixta + Metales Mode'!$B$22:$C$36,2,FALSE),0%)</f>
        <v>0</v>
      </c>
      <c r="VO5" s="5">
        <f>IFERROR(VLOOKUP(VO$1,'Renta Fija Mixta + Metales Mode'!$B$22:$C$36,2,FALSE),0%)</f>
        <v>0</v>
      </c>
      <c r="VP5" s="5">
        <f>IFERROR(VLOOKUP(VP$1,'Renta Fija Mixta + Metales Mode'!$B$22:$C$36,2,FALSE),0%)</f>
        <v>0</v>
      </c>
      <c r="VQ5" s="5">
        <f>IFERROR(VLOOKUP(VQ$1,'Renta Fija Mixta + Metales Mode'!$B$22:$C$36,2,FALSE),0%)</f>
        <v>0</v>
      </c>
      <c r="VR5" s="5">
        <f>IFERROR(VLOOKUP(VR$1,'Renta Fija Mixta + Metales Mode'!$B$22:$C$36,2,FALSE),0%)</f>
        <v>0</v>
      </c>
      <c r="VS5" s="5">
        <f>IFERROR(VLOOKUP(VS$1,'Renta Fija Mixta + Metales Mode'!$B$22:$C$36,2,FALSE),0%)</f>
        <v>0</v>
      </c>
      <c r="VT5" s="5">
        <f>IFERROR(VLOOKUP(VT$1,'Renta Fija Mixta + Metales Mode'!$B$22:$C$36,2,FALSE),0%)</f>
        <v>0</v>
      </c>
      <c r="VU5" s="5">
        <f>IFERROR(VLOOKUP(VU$1,'Renta Fija Mixta + Metales Mode'!$B$22:$C$36,2,FALSE),0%)</f>
        <v>0</v>
      </c>
      <c r="VV5" s="5">
        <f>IFERROR(VLOOKUP(VV$1,'Renta Fija Mixta + Metales Mode'!$B$22:$C$36,2,FALSE),0%)</f>
        <v>0</v>
      </c>
      <c r="VW5" s="5">
        <f>IFERROR(VLOOKUP(VW$1,'Renta Fija Mixta + Metales Mode'!$B$22:$C$36,2,FALSE),0%)</f>
        <v>0</v>
      </c>
      <c r="VX5" s="5">
        <f>IFERROR(VLOOKUP(VX$1,'Renta Fija Mixta + Metales Mode'!$B$22:$C$36,2,FALSE),0%)</f>
        <v>0</v>
      </c>
      <c r="VY5" s="5">
        <f>IFERROR(VLOOKUP(VY$1,'Renta Fija Mixta + Metales Mode'!$B$22:$C$36,2,FALSE),0%)</f>
        <v>0</v>
      </c>
      <c r="VZ5" s="5">
        <f>IFERROR(VLOOKUP(VZ$1,'Renta Fija Mixta + Metales Mode'!$B$22:$C$36,2,FALSE),0%)</f>
        <v>0</v>
      </c>
      <c r="WA5" s="5">
        <f>IFERROR(VLOOKUP(WA$1,'Renta Fija Mixta + Metales Mode'!$B$22:$C$36,2,FALSE),0%)</f>
        <v>0</v>
      </c>
      <c r="WB5" s="5">
        <f>IFERROR(VLOOKUP(WB$1,'Renta Fija Mixta + Metales Mode'!$B$22:$C$36,2,FALSE),0%)</f>
        <v>0</v>
      </c>
      <c r="WC5" s="5">
        <f>IFERROR(VLOOKUP(WC$1,'Renta Fija Mixta + Metales Mode'!$B$22:$C$36,2,FALSE),0%)</f>
        <v>0</v>
      </c>
      <c r="WD5" s="5">
        <f>IFERROR(VLOOKUP(WD$1,'Renta Fija Mixta + Metales Mode'!$B$22:$C$36,2,FALSE),0%)</f>
        <v>0</v>
      </c>
      <c r="WE5" s="5">
        <f>IFERROR(VLOOKUP(WE$1,'Renta Fija Mixta + Metales Mode'!$B$22:$C$36,2,FALSE),0%)</f>
        <v>0</v>
      </c>
      <c r="WF5" s="5">
        <f>IFERROR(VLOOKUP(WF$1,'Renta Fija Mixta + Metales Mode'!$B$22:$C$36,2,FALSE),0%)</f>
        <v>0</v>
      </c>
      <c r="WG5" s="5">
        <f>IFERROR(VLOOKUP(WG$1,'Renta Fija Mixta + Metales Mode'!$B$22:$C$36,2,FALSE),0%)</f>
        <v>0</v>
      </c>
      <c r="WH5" s="5">
        <f>IFERROR(VLOOKUP(WH$1,'Renta Fija Mixta + Metales Mode'!$B$22:$C$36,2,FALSE),0%)</f>
        <v>0</v>
      </c>
      <c r="WI5" s="5">
        <f>IFERROR(VLOOKUP(WI$1,'Renta Fija Mixta + Metales Mode'!$B$22:$C$36,2,FALSE),0%)</f>
        <v>0</v>
      </c>
      <c r="WJ5" s="5">
        <f>IFERROR(VLOOKUP(WJ$1,'Renta Fija Mixta + Metales Mode'!$B$22:$C$36,2,FALSE),0%)</f>
        <v>0</v>
      </c>
      <c r="WK5" s="5">
        <f>IFERROR(VLOOKUP(WK$1,'Renta Fija Mixta + Metales Mode'!$B$22:$C$36,2,FALSE),0%)</f>
        <v>0</v>
      </c>
      <c r="WL5" s="5">
        <f>IFERROR(VLOOKUP(WL$1,'Renta Fija Mixta + Metales Mode'!$B$22:$C$36,2,FALSE),0%)</f>
        <v>0</v>
      </c>
      <c r="WM5" s="5">
        <f>IFERROR(VLOOKUP(WM$1,'Renta Fija Mixta + Metales Mode'!$B$22:$C$36,2,FALSE),0%)</f>
        <v>0</v>
      </c>
      <c r="WN5" s="5">
        <f>IFERROR(VLOOKUP(WN$1,'Renta Fija Mixta + Metales Mode'!$B$22:$C$36,2,FALSE),0%)</f>
        <v>0</v>
      </c>
      <c r="WO5" s="5">
        <f>IFERROR(VLOOKUP(WO$1,'Renta Fija Mixta + Metales Mode'!$B$22:$C$36,2,FALSE),0%)</f>
        <v>0</v>
      </c>
      <c r="WP5" s="5">
        <f>IFERROR(VLOOKUP(WP$1,'Renta Fija Mixta + Metales Mode'!$B$22:$C$36,2,FALSE),0%)</f>
        <v>0</v>
      </c>
      <c r="WQ5" s="5">
        <f>IFERROR(VLOOKUP(WQ$1,'Renta Fija Mixta + Metales Mode'!$B$22:$C$36,2,FALSE),0%)</f>
        <v>0</v>
      </c>
      <c r="WR5" s="5">
        <f>IFERROR(VLOOKUP(WR$1,'Renta Fija Mixta + Metales Mode'!$B$22:$C$36,2,FALSE),0%)</f>
        <v>0</v>
      </c>
      <c r="WS5" s="5">
        <f>IFERROR(VLOOKUP(WS$1,'Renta Fija Mixta + Metales Mode'!$B$22:$C$36,2,FALSE),0%)</f>
        <v>0</v>
      </c>
      <c r="WT5" s="5">
        <f>IFERROR(VLOOKUP(WT$1,'Renta Fija Mixta + Metales Mode'!$B$22:$C$36,2,FALSE),0%)</f>
        <v>0</v>
      </c>
      <c r="WU5" s="5">
        <f>IFERROR(VLOOKUP(WU$1,'Renta Fija Mixta + Metales Mode'!$B$22:$C$36,2,FALSE),0%)</f>
        <v>0</v>
      </c>
      <c r="WV5" s="5">
        <f>IFERROR(VLOOKUP(WV$1,'Renta Fija Mixta + Metales Mode'!$B$22:$C$36,2,FALSE),0%)</f>
        <v>0</v>
      </c>
      <c r="WW5" s="5">
        <f>IFERROR(VLOOKUP(WW$1,'Renta Fija Mixta + Metales Mode'!$B$22:$C$36,2,FALSE),0%)</f>
        <v>0</v>
      </c>
      <c r="WX5" s="5">
        <f>IFERROR(VLOOKUP(WX$1,'Renta Fija Mixta + Metales Mode'!$B$22:$C$36,2,FALSE),0%)</f>
        <v>0</v>
      </c>
      <c r="WY5" s="5">
        <f>IFERROR(VLOOKUP(WY$1,'Renta Fija Mixta + Metales Mode'!$B$22:$C$36,2,FALSE),0%)</f>
        <v>0</v>
      </c>
      <c r="WZ5" s="5">
        <f>IFERROR(VLOOKUP(WZ$1,'Renta Fija Mixta + Metales Mode'!$B$22:$C$36,2,FALSE),0%)</f>
        <v>0</v>
      </c>
      <c r="XA5" s="5">
        <f>IFERROR(VLOOKUP(XA$1,'Renta Fija Mixta + Metales Mode'!$B$22:$C$36,2,FALSE),0%)</f>
        <v>0</v>
      </c>
      <c r="XB5" s="5">
        <f>IFERROR(VLOOKUP(XB$1,'Renta Fija Mixta + Metales Mode'!$B$22:$C$36,2,FALSE),0%)</f>
        <v>0</v>
      </c>
      <c r="XC5" s="5">
        <f>IFERROR(VLOOKUP(XC$1,'Renta Fija Mixta + Metales Mode'!$B$22:$C$36,2,FALSE),0%)</f>
        <v>0</v>
      </c>
      <c r="XD5" s="5">
        <f>IFERROR(VLOOKUP(XD$1,'Renta Fija Mixta + Metales Mode'!$B$22:$C$36,2,FALSE),0%)</f>
        <v>0</v>
      </c>
      <c r="XE5" s="5">
        <f>IFERROR(VLOOKUP(XE$1,'Renta Fija Mixta + Metales Mode'!$B$22:$C$36,2,FALSE),0%)</f>
        <v>0</v>
      </c>
      <c r="XF5" s="5">
        <f>IFERROR(VLOOKUP(XF$1,'Renta Fija Mixta + Metales Mode'!$B$22:$C$36,2,FALSE),0%)</f>
        <v>0</v>
      </c>
      <c r="XG5" s="5">
        <f>IFERROR(VLOOKUP(XG$1,'Renta Fija Mixta + Metales Mode'!$B$22:$C$36,2,FALSE),0%)</f>
        <v>0</v>
      </c>
      <c r="XH5" s="5">
        <f>IFERROR(VLOOKUP(XH$1,'Renta Fija Mixta + Metales Mode'!$B$22:$C$36,2,FALSE),0%)</f>
        <v>0</v>
      </c>
      <c r="XI5" s="5">
        <f>IFERROR(VLOOKUP(XI$1,'Renta Fija Mixta + Metales Mode'!$B$22:$C$36,2,FALSE),0%)</f>
        <v>0</v>
      </c>
      <c r="XJ5" s="5">
        <f>IFERROR(VLOOKUP(XJ$1,'Renta Fija Mixta + Metales Mode'!$B$22:$C$36,2,FALSE),0%)</f>
        <v>0</v>
      </c>
      <c r="XK5" s="5">
        <f>IFERROR(VLOOKUP(XK$1,'Renta Fija Mixta + Metales Mode'!$B$22:$C$36,2,FALSE),0%)</f>
        <v>0</v>
      </c>
      <c r="XL5" s="5">
        <f>IFERROR(VLOOKUP(XL$1,'Renta Fija Mixta + Metales Mode'!$B$22:$C$36,2,FALSE),0%)</f>
        <v>0</v>
      </c>
      <c r="XM5" s="5">
        <f>IFERROR(VLOOKUP(XM$1,'Renta Fija Mixta + Metales Mode'!$B$22:$C$36,2,FALSE),0%)</f>
        <v>0</v>
      </c>
      <c r="XN5" s="5">
        <f>IFERROR(VLOOKUP(XN$1,'Renta Fija Mixta + Metales Mode'!$B$22:$C$36,2,FALSE),0%)</f>
        <v>0</v>
      </c>
      <c r="XO5" s="5">
        <f>IFERROR(VLOOKUP(XO$1,'Renta Fija Mixta + Metales Mode'!$B$22:$C$36,2,FALSE),0%)</f>
        <v>0</v>
      </c>
      <c r="XP5" s="5">
        <f>IFERROR(VLOOKUP(XP$1,'Renta Fija Mixta + Metales Mode'!$B$22:$C$36,2,FALSE),0%)</f>
        <v>0</v>
      </c>
      <c r="XQ5" s="5">
        <f>IFERROR(VLOOKUP(XQ$1,'Renta Fija Mixta + Metales Mode'!$B$22:$C$36,2,FALSE),0%)</f>
        <v>0</v>
      </c>
      <c r="XR5" s="5">
        <f>IFERROR(VLOOKUP(XR$1,'Renta Fija Mixta + Metales Mode'!$B$22:$C$36,2,FALSE),0%)</f>
        <v>0</v>
      </c>
      <c r="XS5" s="5">
        <f>IFERROR(VLOOKUP(XS$1,'Renta Fija Mixta + Metales Mode'!$B$22:$C$36,2,FALSE),0%)</f>
        <v>0</v>
      </c>
      <c r="XT5" s="5">
        <f>IFERROR(VLOOKUP(XT$1,'Renta Fija Mixta + Metales Mode'!$B$22:$C$36,2,FALSE),0%)</f>
        <v>0</v>
      </c>
      <c r="XU5" s="5">
        <f>IFERROR(VLOOKUP(XU$1,'Renta Fija Mixta + Metales Mode'!$B$22:$C$36,2,FALSE),0%)</f>
        <v>0</v>
      </c>
      <c r="XV5" s="5">
        <f>IFERROR(VLOOKUP(XV$1,'Renta Fija Mixta + Metales Mode'!$B$22:$C$36,2,FALSE),0%)</f>
        <v>0</v>
      </c>
      <c r="XW5" s="5">
        <f>IFERROR(VLOOKUP(XW$1,'Renta Fija Mixta + Metales Mode'!$B$22:$C$36,2,FALSE),0%)</f>
        <v>0</v>
      </c>
      <c r="XX5" s="5">
        <f>IFERROR(VLOOKUP(XX$1,'Renta Fija Mixta + Metales Mode'!$B$22:$C$36,2,FALSE),0%)</f>
        <v>0</v>
      </c>
      <c r="XY5" s="5">
        <f>IFERROR(VLOOKUP(XY$1,'Renta Fija Mixta + Metales Mode'!$B$22:$C$36,2,FALSE),0%)</f>
        <v>0</v>
      </c>
      <c r="XZ5" s="5">
        <f>IFERROR(VLOOKUP(XZ$1,'Renta Fija Mixta + Metales Mode'!$B$22:$C$36,2,FALSE),0%)</f>
        <v>0</v>
      </c>
      <c r="YA5" s="5">
        <f>IFERROR(VLOOKUP(YA$1,'Renta Fija Mixta + Metales Mode'!$B$22:$C$36,2,FALSE),0%)</f>
        <v>0</v>
      </c>
      <c r="YB5" s="5">
        <f>IFERROR(VLOOKUP(YB$1,'Renta Fija Mixta + Metales Mode'!$B$22:$C$36,2,FALSE),0%)</f>
        <v>0</v>
      </c>
      <c r="YC5" s="5">
        <f>IFERROR(VLOOKUP(YC$1,'Renta Fija Mixta + Metales Mode'!$B$22:$C$36,2,FALSE),0%)</f>
        <v>0</v>
      </c>
      <c r="YD5" s="5">
        <f>IFERROR(VLOOKUP(YD$1,'Renta Fija Mixta + Metales Mode'!$B$22:$C$36,2,FALSE),0%)</f>
        <v>0</v>
      </c>
      <c r="YE5" s="5">
        <f>IFERROR(VLOOKUP(YE$1,'Renta Fija Mixta + Metales Mode'!$B$22:$C$36,2,FALSE),0%)</f>
        <v>0.0687</v>
      </c>
      <c r="YF5" s="5">
        <f>IFERROR(VLOOKUP(YF$1,'Renta Fija Mixta + Metales Mode'!$B$22:$C$36,2,FALSE),0%)</f>
        <v>0</v>
      </c>
      <c r="YG5" s="5">
        <f>IFERROR(VLOOKUP(YG$1,'Renta Fija Mixta + Metales Mode'!$B$22:$C$36,2,FALSE),0%)</f>
        <v>0</v>
      </c>
      <c r="YH5" s="5">
        <f>IFERROR(VLOOKUP(YH$1,'Renta Fija Mixta + Metales Mode'!$B$22:$C$36,2,FALSE),0%)</f>
        <v>0</v>
      </c>
      <c r="YI5" s="5">
        <f>IFERROR(VLOOKUP(YI$1,'Renta Fija Mixta + Metales Mode'!$B$22:$C$36,2,FALSE),0%)</f>
        <v>0</v>
      </c>
      <c r="YJ5" s="5">
        <f>IFERROR(VLOOKUP(YJ$1,'Renta Fija Mixta + Metales Mode'!$B$22:$C$36,2,FALSE),0%)</f>
        <v>0</v>
      </c>
      <c r="YK5" s="5">
        <f>IFERROR(VLOOKUP(YK$1,'Renta Fija Mixta + Metales Mode'!$B$22:$C$36,2,FALSE),0%)</f>
        <v>0</v>
      </c>
      <c r="YL5" s="5">
        <f>IFERROR(VLOOKUP(YL$1,'Renta Fija Mixta + Metales Mode'!$B$22:$C$36,2,FALSE),0%)</f>
        <v>0</v>
      </c>
      <c r="YM5" s="5">
        <f>IFERROR(VLOOKUP(YM$1,'Renta Fija Mixta + Metales Mode'!$B$22:$C$36,2,FALSE),0%)</f>
        <v>0</v>
      </c>
      <c r="YN5" s="5">
        <f>IFERROR(VLOOKUP(YN$1,'Renta Fija Mixta + Metales Mode'!$B$22:$C$36,2,FALSE),0%)</f>
        <v>0</v>
      </c>
      <c r="YO5" s="5">
        <f>IFERROR(VLOOKUP(YO$1,'Renta Fija Mixta + Metales Mode'!$B$22:$C$36,2,FALSE),0%)</f>
        <v>0</v>
      </c>
      <c r="YP5" s="5">
        <f>IFERROR(VLOOKUP(YP$1,'Renta Fija Mixta + Metales Mode'!$B$22:$C$36,2,FALSE),0%)</f>
        <v>0</v>
      </c>
      <c r="YQ5" s="5">
        <f>IFERROR(VLOOKUP(YQ$1,'Renta Fija Mixta + Metales Mode'!$B$22:$C$36,2,FALSE),0%)</f>
        <v>0</v>
      </c>
      <c r="YR5" s="5">
        <f>IFERROR(VLOOKUP(YR$1,'Renta Fija Mixta + Metales Mode'!$B$22:$C$36,2,FALSE),0%)</f>
        <v>0</v>
      </c>
      <c r="YS5" s="5">
        <f>IFERROR(VLOOKUP(YS$1,'Renta Fija Mixta + Metales Mode'!$B$22:$C$36,2,FALSE),0%)</f>
        <v>0</v>
      </c>
      <c r="YT5" s="5">
        <f>IFERROR(VLOOKUP(YT$1,'Renta Fija Mixta + Metales Mode'!$B$22:$C$36,2,FALSE),0%)</f>
        <v>0</v>
      </c>
      <c r="YU5" s="5">
        <f>IFERROR(VLOOKUP(YU$1,'Renta Fija Mixta + Metales Mode'!$B$22:$C$36,2,FALSE),0%)</f>
        <v>0</v>
      </c>
      <c r="YV5" s="5">
        <f>IFERROR(VLOOKUP(YV$1,'Renta Fija Mixta + Metales Mode'!$B$22:$C$36,2,FALSE),0%)</f>
        <v>0</v>
      </c>
      <c r="YW5" s="5">
        <f>IFERROR(VLOOKUP(YW$1,'Renta Fija Mixta + Metales Mode'!$B$22:$C$36,2,FALSE),0%)</f>
        <v>0</v>
      </c>
      <c r="YX5" s="5">
        <f>IFERROR(VLOOKUP(YX$1,'Renta Fija Mixta + Metales Mode'!$B$22:$C$36,2,FALSE),0%)</f>
        <v>0</v>
      </c>
      <c r="YY5" s="5">
        <f>IFERROR(VLOOKUP(YY$1,'Renta Fija Mixta + Metales Mode'!$B$22:$C$36,2,FALSE),0%)</f>
        <v>0</v>
      </c>
      <c r="YZ5" s="5">
        <f>IFERROR(VLOOKUP(YZ$1,'Renta Fija Mixta + Metales Mode'!$B$22:$C$36,2,FALSE),0%)</f>
        <v>0</v>
      </c>
      <c r="ZA5" s="5">
        <f>IFERROR(VLOOKUP(ZA$1,'Renta Fija Mixta + Metales Mode'!$B$22:$C$36,2,FALSE),0%)</f>
        <v>0</v>
      </c>
      <c r="ZB5" s="5">
        <f>IFERROR(VLOOKUP(ZB$1,'Renta Fija Mixta + Metales Mode'!$B$22:$C$36,2,FALSE),0%)</f>
        <v>0</v>
      </c>
      <c r="ZC5" s="5">
        <f>IFERROR(VLOOKUP(ZC$1,'Renta Fija Mixta + Metales Mode'!$B$22:$C$36,2,FALSE),0%)</f>
        <v>0</v>
      </c>
      <c r="ZD5" s="5">
        <f>IFERROR(VLOOKUP(ZD$1,'Renta Fija Mixta + Metales Mode'!$B$22:$C$36,2,FALSE),0%)</f>
        <v>0</v>
      </c>
      <c r="ZE5" s="5">
        <f>IFERROR(VLOOKUP(ZE$1,'Renta Fija Mixta + Metales Mode'!$B$22:$C$36,2,FALSE),0%)</f>
        <v>0</v>
      </c>
      <c r="ZF5" s="5">
        <f>IFERROR(VLOOKUP(ZF$1,'Renta Fija Mixta + Metales Mode'!$B$22:$C$36,2,FALSE),0%)</f>
        <v>0</v>
      </c>
      <c r="ZG5" s="5">
        <f>IFERROR(VLOOKUP(ZG$1,'Renta Fija Mixta + Metales Mode'!$B$22:$C$36,2,FALSE),0%)</f>
        <v>0</v>
      </c>
      <c r="ZH5" s="5">
        <f>IFERROR(VLOOKUP(ZH$1,'Renta Fija Mixta + Metales Mode'!$B$22:$C$36,2,FALSE),0%)</f>
        <v>0</v>
      </c>
      <c r="ZI5" s="5">
        <f>IFERROR(VLOOKUP(ZI$1,'Renta Fija Mixta + Metales Mode'!$B$22:$C$36,2,FALSE),0%)</f>
        <v>0</v>
      </c>
      <c r="ZJ5" s="5">
        <f>IFERROR(VLOOKUP(ZJ$1,'Renta Fija Mixta + Metales Mode'!$B$22:$C$36,2,FALSE),0%)</f>
        <v>0</v>
      </c>
      <c r="ZK5" s="5">
        <f>IFERROR(VLOOKUP(ZK$1,'Renta Fija Mixta + Metales Mode'!$B$22:$C$36,2,FALSE),0%)</f>
        <v>0</v>
      </c>
      <c r="ZL5" s="5">
        <f>IFERROR(VLOOKUP(ZL$1,'Renta Fija Mixta + Metales Mode'!$B$22:$C$36,2,FALSE),0%)</f>
        <v>0</v>
      </c>
      <c r="ZM5" s="5">
        <f>IFERROR(VLOOKUP(ZM$1,'Renta Fija Mixta + Metales Mode'!$B$22:$C$36,2,FALSE),0%)</f>
        <v>0</v>
      </c>
      <c r="ZN5" s="5">
        <f>IFERROR(VLOOKUP(ZN$1,'Renta Fija Mixta + Metales Mode'!$B$22:$C$36,2,FALSE),0%)</f>
        <v>0</v>
      </c>
      <c r="ZO5" s="5">
        <f>IFERROR(VLOOKUP(ZO$1,'Renta Fija Mixta + Metales Mode'!$B$22:$C$36,2,FALSE),0%)</f>
        <v>0</v>
      </c>
      <c r="ZP5" s="5">
        <f>IFERROR(VLOOKUP(ZP$1,'Renta Fija Mixta + Metales Mode'!$B$22:$C$36,2,FALSE),0%)</f>
        <v>0</v>
      </c>
      <c r="ZQ5" s="5">
        <f>IFERROR(VLOOKUP(ZQ$1,'Renta Fija Mixta + Metales Mode'!$B$22:$C$36,2,FALSE),0%)</f>
        <v>0</v>
      </c>
      <c r="ZR5" s="5">
        <f>IFERROR(VLOOKUP(ZR$1,'Renta Fija Mixta + Metales Mode'!$B$22:$C$36,2,FALSE),0%)</f>
        <v>0</v>
      </c>
      <c r="ZS5" s="5">
        <f>IFERROR(VLOOKUP(ZS$1,'Renta Fija Mixta + Metales Mode'!$B$22:$C$36,2,FALSE),0%)</f>
        <v>0</v>
      </c>
      <c r="ZT5" s="5">
        <f>IFERROR(VLOOKUP(ZT$1,'Renta Fija Mixta + Metales Mode'!$B$22:$C$36,2,FALSE),0%)</f>
        <v>0</v>
      </c>
      <c r="ZU5" s="5">
        <f>IFERROR(VLOOKUP(ZU$1,'Renta Fija Mixta + Metales Mode'!$B$22:$C$36,2,FALSE),0%)</f>
        <v>0</v>
      </c>
      <c r="ZV5" s="5">
        <f>IFERROR(VLOOKUP(ZV$1,'Renta Fija Mixta + Metales Mode'!$B$22:$C$36,2,FALSE),0%)</f>
        <v>0</v>
      </c>
      <c r="ZW5" s="5">
        <f>IFERROR(VLOOKUP(ZW$1,'Renta Fija Mixta + Metales Mode'!$B$22:$C$36,2,FALSE),0%)</f>
        <v>0</v>
      </c>
      <c r="ZX5" s="5">
        <f>IFERROR(VLOOKUP(ZX$1,'Renta Fija Mixta + Metales Mode'!$B$22:$C$36,2,FALSE),0%)</f>
        <v>0</v>
      </c>
      <c r="ZY5" s="5">
        <f>IFERROR(VLOOKUP(ZY$1,'Renta Fija Mixta + Metales Mode'!$B$22:$C$36,2,FALSE),0%)</f>
        <v>0</v>
      </c>
      <c r="ZZ5" s="5">
        <f>IFERROR(VLOOKUP(ZZ$1,'Renta Fija Mixta + Metales Mode'!$B$22:$C$36,2,FALSE),0%)</f>
        <v>0</v>
      </c>
      <c r="AAA5" s="5">
        <f>IFERROR(VLOOKUP(AAA$1,'Renta Fija Mixta + Metales Mode'!$B$22:$C$36,2,FALSE),0%)</f>
        <v>0</v>
      </c>
      <c r="AAB5" s="5">
        <f>IFERROR(VLOOKUP(AAB$1,'Renta Fija Mixta + Metales Mode'!$B$22:$C$36,2,FALSE),0%)</f>
        <v>0</v>
      </c>
      <c r="AAC5" s="5">
        <f>IFERROR(VLOOKUP(AAC$1,'Renta Fija Mixta + Metales Mode'!$B$22:$C$36,2,FALSE),0%)</f>
        <v>0</v>
      </c>
      <c r="AAD5" s="5">
        <f>IFERROR(VLOOKUP(AAD$1,'Renta Fija Mixta + Metales Mode'!$B$22:$C$36,2,FALSE),0%)</f>
        <v>0</v>
      </c>
      <c r="AAE5" s="5">
        <f>IFERROR(VLOOKUP(AAE$1,'Renta Fija Mixta + Metales Mode'!$B$22:$C$36,2,FALSE),0%)</f>
        <v>0</v>
      </c>
      <c r="AAF5" s="5">
        <f>IFERROR(VLOOKUP(AAF$1,'Renta Fija Mixta + Metales Mode'!$B$22:$C$36,2,FALSE),0%)</f>
        <v>0</v>
      </c>
      <c r="AAG5" s="5">
        <f>IFERROR(VLOOKUP(AAG$1,'Renta Fija Mixta + Metales Mode'!$B$22:$C$36,2,FALSE),0%)</f>
        <v>0</v>
      </c>
      <c r="AAH5" s="5">
        <f>IFERROR(VLOOKUP(AAH$1,'Renta Fija Mixta + Metales Mode'!$B$22:$C$36,2,FALSE),0%)</f>
        <v>0</v>
      </c>
      <c r="AAI5" s="5">
        <f>IFERROR(VLOOKUP(AAI$1,'Renta Fija Mixta + Metales Mode'!$B$22:$C$36,2,FALSE),0%)</f>
        <v>0</v>
      </c>
      <c r="AAJ5" s="5">
        <f>IFERROR(VLOOKUP(AAJ$1,'Renta Fija Mixta + Metales Mode'!$B$22:$C$36,2,FALSE),0%)</f>
        <v>0</v>
      </c>
      <c r="AAK5" s="5">
        <f>IFERROR(VLOOKUP(AAK$1,'Renta Fija Mixta + Metales Mode'!$B$22:$C$36,2,FALSE),0%)</f>
        <v>0</v>
      </c>
      <c r="AAL5" s="5">
        <f>IFERROR(VLOOKUP(AAL$1,'Renta Fija Mixta + Metales Mode'!$B$22:$C$36,2,FALSE),0%)</f>
        <v>0</v>
      </c>
      <c r="AAM5" s="5">
        <f>IFERROR(VLOOKUP(AAM$1,'Renta Fija Mixta + Metales Mode'!$B$22:$C$36,2,FALSE),0%)</f>
        <v>0</v>
      </c>
      <c r="AAN5" s="5">
        <f>IFERROR(VLOOKUP(AAN$1,'Renta Fija Mixta + Metales Mode'!$B$22:$C$36,2,FALSE),0%)</f>
        <v>0</v>
      </c>
      <c r="AAO5" s="5">
        <f>IFERROR(VLOOKUP(AAO$1,'Renta Fija Mixta + Metales Mode'!$B$22:$C$36,2,FALSE),0%)</f>
        <v>0</v>
      </c>
      <c r="AAP5" s="5">
        <f>IFERROR(VLOOKUP(AAP$1,'Renta Fija Mixta + Metales Mode'!$B$22:$C$36,2,FALSE),0%)</f>
        <v>0</v>
      </c>
      <c r="AAQ5" s="5">
        <f>IFERROR(VLOOKUP(AAQ$1,'Renta Fija Mixta + Metales Mode'!$B$22:$C$36,2,FALSE),0%)</f>
        <v>0</v>
      </c>
      <c r="AAR5" s="5">
        <f>IFERROR(VLOOKUP(AAR$1,'Renta Fija Mixta + Metales Mode'!$B$22:$C$36,2,FALSE),0%)</f>
        <v>0</v>
      </c>
      <c r="AAS5" s="5">
        <f>IFERROR(VLOOKUP(AAS$1,'Renta Fija Mixta + Metales Mode'!$B$22:$C$36,2,FALSE),0%)</f>
        <v>0</v>
      </c>
      <c r="AAT5" s="5">
        <f>IFERROR(VLOOKUP(AAT$1,'Renta Fija Mixta + Metales Mode'!$B$22:$C$36,2,FALSE),0%)</f>
        <v>0</v>
      </c>
      <c r="AAU5" s="5">
        <f>IFERROR(VLOOKUP(AAU$1,'Renta Fija Mixta + Metales Mode'!$B$22:$C$36,2,FALSE),0%)</f>
        <v>0</v>
      </c>
      <c r="AAV5" s="5">
        <f>IFERROR(VLOOKUP(AAV$1,'Renta Fija Mixta + Metales Mode'!$B$22:$C$36,2,FALSE),0%)</f>
        <v>0</v>
      </c>
      <c r="AAW5" s="5">
        <f>IFERROR(VLOOKUP(AAW$1,'Renta Fija Mixta + Metales Mode'!$B$22:$C$36,2,FALSE),0%)</f>
        <v>0</v>
      </c>
      <c r="AAX5" s="5">
        <f>IFERROR(VLOOKUP(AAX$1,'Renta Fija Mixta + Metales Mode'!$B$22:$C$36,2,FALSE),0%)</f>
        <v>0</v>
      </c>
      <c r="AAY5" s="5">
        <f>IFERROR(VLOOKUP(AAY$1,'Renta Fija Mixta + Metales Mode'!$B$22:$C$36,2,FALSE),0%)</f>
        <v>0</v>
      </c>
      <c r="AAZ5" s="5">
        <f>IFERROR(VLOOKUP(AAZ$1,'Renta Fija Mixta + Metales Mode'!$B$22:$C$36,2,FALSE),0%)</f>
        <v>0</v>
      </c>
      <c r="ABA5" s="5">
        <f>IFERROR(VLOOKUP(ABA$1,'Renta Fija Mixta + Metales Mode'!$B$22:$C$36,2,FALSE),0%)</f>
        <v>0</v>
      </c>
      <c r="ABB5" s="5">
        <f>IFERROR(VLOOKUP(ABB$1,'Renta Fija Mixta + Metales Mode'!$B$22:$C$36,2,FALSE),0%)</f>
        <v>0</v>
      </c>
      <c r="ABC5" s="5">
        <f>IFERROR(VLOOKUP(ABC$1,'Renta Fija Mixta + Metales Mode'!$B$22:$C$36,2,FALSE),0%)</f>
        <v>0</v>
      </c>
      <c r="ABD5" s="5">
        <f>IFERROR(VLOOKUP(ABD$1,'Renta Fija Mixta + Metales Mode'!$B$22:$C$36,2,FALSE),0%)</f>
        <v>0</v>
      </c>
      <c r="ABE5" s="5">
        <f>IFERROR(VLOOKUP(ABE$1,'Renta Fija Mixta + Metales Mode'!$B$22:$C$36,2,FALSE),0%)</f>
        <v>0</v>
      </c>
      <c r="ABF5" s="5">
        <f>IFERROR(VLOOKUP(ABF$1,'Renta Fija Mixta + Metales Mode'!$B$22:$C$36,2,FALSE),0%)</f>
        <v>0</v>
      </c>
      <c r="ABG5" s="5">
        <f>IFERROR(VLOOKUP(ABG$1,'Renta Fija Mixta + Metales Mode'!$B$22:$C$36,2,FALSE),0%)</f>
        <v>0</v>
      </c>
      <c r="ABH5" s="5">
        <f>IFERROR(VLOOKUP(ABH$1,'Renta Fija Mixta + Metales Mode'!$B$22:$C$36,2,FALSE),0%)</f>
        <v>0</v>
      </c>
      <c r="ABI5" s="5">
        <f>IFERROR(VLOOKUP(ABI$1,'Renta Fija Mixta + Metales Mode'!$B$22:$C$36,2,FALSE),0%)</f>
        <v>0</v>
      </c>
      <c r="ABJ5" s="5">
        <f>IFERROR(VLOOKUP(ABJ$1,'Renta Fija Mixta + Metales Mode'!$B$22:$C$36,2,FALSE),0%)</f>
        <v>0</v>
      </c>
      <c r="ABK5" s="5">
        <f>IFERROR(VLOOKUP(ABK$1,'Renta Fija Mixta + Metales Mode'!$B$22:$C$36,2,FALSE),0%)</f>
        <v>0</v>
      </c>
      <c r="ABL5" s="5">
        <f>IFERROR(VLOOKUP(ABL$1,'Renta Fija Mixta + Metales Mode'!$B$22:$C$36,2,FALSE),0%)</f>
        <v>0</v>
      </c>
      <c r="ABM5" s="5">
        <f>IFERROR(VLOOKUP(ABM$1,'Renta Fija Mixta + Metales Mode'!$B$22:$C$36,2,FALSE),0%)</f>
        <v>0</v>
      </c>
      <c r="ABN5" s="5">
        <f>IFERROR(VLOOKUP(ABN$1,'Renta Fija Mixta + Metales Mode'!$B$22:$C$36,2,FALSE),0%)</f>
        <v>0</v>
      </c>
      <c r="ABO5" s="5">
        <f>IFERROR(VLOOKUP(ABO$1,'Renta Fija Mixta + Metales Mode'!$B$22:$C$36,2,FALSE),0%)</f>
        <v>0</v>
      </c>
      <c r="ABP5" s="5">
        <f>IFERROR(VLOOKUP(ABP$1,'Renta Fija Mixta + Metales Mode'!$B$22:$C$36,2,FALSE),0%)</f>
        <v>0</v>
      </c>
      <c r="ABQ5" s="5">
        <f>IFERROR(VLOOKUP(ABQ$1,'Renta Fija Mixta + Metales Mode'!$B$22:$C$36,2,FALSE),0%)</f>
        <v>0</v>
      </c>
      <c r="ABR5" s="5">
        <f>IFERROR(VLOOKUP(ABR$1,'Renta Fija Mixta + Metales Mode'!$B$22:$C$36,2,FALSE),0%)</f>
        <v>0</v>
      </c>
      <c r="ABS5" s="5">
        <f>IFERROR(VLOOKUP(ABS$1,'Renta Fija Mixta + Metales Mode'!$B$22:$C$36,2,FALSE),0%)</f>
        <v>0</v>
      </c>
      <c r="ABT5" s="5">
        <f>IFERROR(VLOOKUP(ABT$1,'Renta Fija Mixta + Metales Mode'!$B$22:$C$36,2,FALSE),0%)</f>
        <v>0</v>
      </c>
      <c r="ABU5" s="5">
        <f>IFERROR(VLOOKUP(ABU$1,'Renta Fija Mixta + Metales Mode'!$B$22:$C$36,2,FALSE),0%)</f>
        <v>0</v>
      </c>
      <c r="ABV5" s="5">
        <f>IFERROR(VLOOKUP(ABV$1,'Renta Fija Mixta + Metales Mode'!$B$22:$C$36,2,FALSE),0%)</f>
        <v>0</v>
      </c>
      <c r="ABW5" s="5">
        <f>IFERROR(VLOOKUP(ABW$1,'Renta Fija Mixta + Metales Mode'!$B$22:$C$36,2,FALSE),0%)</f>
        <v>0</v>
      </c>
      <c r="ABX5" s="5">
        <f>IFERROR(VLOOKUP(ABX$1,'Renta Fija Mixta + Metales Mode'!$B$22:$C$36,2,FALSE),0%)</f>
        <v>0</v>
      </c>
      <c r="ABY5" s="5">
        <f>IFERROR(VLOOKUP(ABY$1,'Renta Fija Mixta + Metales Mode'!$B$22:$C$36,2,FALSE),0%)</f>
        <v>0</v>
      </c>
      <c r="ABZ5" s="5">
        <f>IFERROR(VLOOKUP(ABZ$1,'Renta Fija Mixta + Metales Mode'!$B$22:$C$36,2,FALSE),0%)</f>
        <v>0</v>
      </c>
      <c r="ACA5" s="5">
        <f>IFERROR(VLOOKUP(ACA$1,'Renta Fija Mixta + Metales Mode'!$B$22:$C$36,2,FALSE),0%)</f>
        <v>0</v>
      </c>
      <c r="ACB5" s="5">
        <f>IFERROR(VLOOKUP(ACB$1,'Renta Fija Mixta + Metales Mode'!$B$22:$C$36,2,FALSE),0%)</f>
        <v>0</v>
      </c>
      <c r="ACC5" s="5">
        <f>IFERROR(VLOOKUP(ACC$1,'Renta Fija Mixta + Metales Mode'!$B$22:$C$36,2,FALSE),0%)</f>
        <v>0</v>
      </c>
      <c r="ACD5" s="5">
        <f>IFERROR(VLOOKUP(ACD$1,'Renta Fija Mixta + Metales Mode'!$B$22:$C$36,2,FALSE),0%)</f>
        <v>0</v>
      </c>
      <c r="ACE5" s="5">
        <f>IFERROR(VLOOKUP(ACE$1,'Renta Fija Mixta + Metales Mode'!$B$22:$C$36,2,FALSE),0%)</f>
        <v>0</v>
      </c>
      <c r="ACF5" s="5">
        <f>IFERROR(VLOOKUP(ACF$1,'Renta Fija Mixta + Metales Mode'!$B$22:$C$36,2,FALSE),0%)</f>
        <v>0</v>
      </c>
      <c r="ACG5" s="5">
        <f>IFERROR(VLOOKUP(ACG$1,'Renta Fija Mixta + Metales Mode'!$B$22:$C$36,2,FALSE),0%)</f>
        <v>0</v>
      </c>
      <c r="ACH5" s="5">
        <f>IFERROR(VLOOKUP(ACH$1,'Renta Fija Mixta + Metales Mode'!$B$22:$C$36,2,FALSE),0%)</f>
        <v>0</v>
      </c>
      <c r="ACI5" s="5">
        <f>IFERROR(VLOOKUP(ACI$1,'Renta Fija Mixta + Metales Mode'!$B$22:$C$36,2,FALSE),0%)</f>
        <v>0</v>
      </c>
      <c r="ACJ5" s="5">
        <f>IFERROR(VLOOKUP(ACJ$1,'Renta Fija Mixta + Metales Mode'!$B$22:$C$36,2,FALSE),0%)</f>
        <v>0</v>
      </c>
      <c r="ACK5" s="5">
        <f>IFERROR(VLOOKUP(ACK$1,'Renta Fija Mixta + Metales Mode'!$B$22:$C$36,2,FALSE),0%)</f>
        <v>0</v>
      </c>
      <c r="ACL5" s="5">
        <f>IFERROR(VLOOKUP(ACL$1,'Renta Fija Mixta + Metales Mode'!$B$22:$C$36,2,FALSE),0%)</f>
        <v>0</v>
      </c>
      <c r="ACM5" s="5">
        <f>IFERROR(VLOOKUP(ACM$1,'Renta Fija Mixta + Metales Mode'!$B$22:$C$36,2,FALSE),0%)</f>
        <v>0</v>
      </c>
      <c r="ACN5" s="5">
        <f>IFERROR(VLOOKUP(ACN$1,'Renta Fija Mixta + Metales Mode'!$B$22:$C$36,2,FALSE),0%)</f>
        <v>0</v>
      </c>
      <c r="ACO5" s="5">
        <f>IFERROR(VLOOKUP(ACO$1,'Renta Fija Mixta + Metales Mode'!$B$22:$C$36,2,FALSE),0%)</f>
        <v>0</v>
      </c>
      <c r="ACP5" s="5">
        <f>IFERROR(VLOOKUP(ACP$1,'Renta Fija Mixta + Metales Mode'!$B$22:$C$36,2,FALSE),0%)</f>
        <v>0</v>
      </c>
      <c r="ACQ5" s="5">
        <f>IFERROR(VLOOKUP(ACQ$1,'Renta Fija Mixta + Metales Mode'!$B$22:$C$36,2,FALSE),0%)</f>
        <v>0</v>
      </c>
      <c r="ACR5" s="5">
        <f>IFERROR(VLOOKUP(ACR$1,'Renta Fija Mixta + Metales Mode'!$B$22:$C$36,2,FALSE),0%)</f>
        <v>0</v>
      </c>
      <c r="ACS5" s="5">
        <f>IFERROR(VLOOKUP(ACS$1,'Renta Fija Mixta + Metales Mode'!$B$22:$C$36,2,FALSE),0%)</f>
        <v>0</v>
      </c>
      <c r="ACT5" s="5">
        <f>IFERROR(VLOOKUP(ACT$1,'Renta Fija Mixta + Metales Mode'!$B$22:$C$36,2,FALSE),0%)</f>
        <v>0</v>
      </c>
      <c r="ACU5" s="5">
        <f>IFERROR(VLOOKUP(ACU$1,'Renta Fija Mixta + Metales Mode'!$B$22:$C$36,2,FALSE),0%)</f>
        <v>0</v>
      </c>
      <c r="ACV5" s="5">
        <f>IFERROR(VLOOKUP(ACV$1,'Renta Fija Mixta + Metales Mode'!$B$22:$C$36,2,FALSE),0%)</f>
        <v>0</v>
      </c>
      <c r="ACW5" s="5">
        <f>IFERROR(VLOOKUP(ACW$1,'Renta Fija Mixta + Metales Mode'!$B$22:$C$36,2,FALSE),0%)</f>
        <v>0</v>
      </c>
      <c r="ACX5" s="5">
        <f>IFERROR(VLOOKUP(ACX$1,'Renta Fija Mixta + Metales Mode'!$B$22:$C$36,2,FALSE),0%)</f>
        <v>0</v>
      </c>
      <c r="ACY5" s="5">
        <f>IFERROR(VLOOKUP(ACY$1,'Renta Fija Mixta + Metales Mode'!$B$22:$C$36,2,FALSE),0%)</f>
        <v>0</v>
      </c>
      <c r="ACZ5" s="5">
        <f>IFERROR(VLOOKUP(ACZ$1,'Renta Fija Mixta + Metales Mode'!$B$22:$C$36,2,FALSE),0%)</f>
        <v>0</v>
      </c>
      <c r="ADA5" s="5">
        <f>IFERROR(VLOOKUP(ADA$1,'Renta Fija Mixta + Metales Mode'!$B$22:$C$36,2,FALSE),0%)</f>
        <v>0</v>
      </c>
      <c r="ADB5" s="5">
        <f>IFERROR(VLOOKUP(ADB$1,'Renta Fija Mixta + Metales Mode'!$B$22:$C$36,2,FALSE),0%)</f>
        <v>0</v>
      </c>
      <c r="ADC5" s="5">
        <f>IFERROR(VLOOKUP(ADC$1,'Renta Fija Mixta + Metales Mode'!$B$22:$C$36,2,FALSE),0%)</f>
        <v>0</v>
      </c>
      <c r="ADD5" s="5">
        <f>IFERROR(VLOOKUP(ADD$1,'Renta Fija Mixta + Metales Mode'!$B$22:$C$36,2,FALSE),0%)</f>
        <v>0</v>
      </c>
      <c r="ADE5" s="5">
        <f>IFERROR(VLOOKUP(ADE$1,'Renta Fija Mixta + Metales Mode'!$B$22:$C$36,2,FALSE),0%)</f>
        <v>0</v>
      </c>
      <c r="ADF5" s="5">
        <f>IFERROR(VLOOKUP(ADF$1,'Renta Fija Mixta + Metales Mode'!$B$22:$C$36,2,FALSE),0%)</f>
        <v>0</v>
      </c>
      <c r="ADG5" s="5">
        <f>IFERROR(VLOOKUP(ADG$1,'Renta Fija Mixta + Metales Mode'!$B$22:$C$36,2,FALSE),0%)</f>
        <v>0</v>
      </c>
      <c r="ADH5" s="5">
        <f>IFERROR(VLOOKUP(ADH$1,'Renta Fija Mixta + Metales Mode'!$B$22:$C$36,2,FALSE),0%)</f>
        <v>0</v>
      </c>
      <c r="ADI5" s="5">
        <f>IFERROR(VLOOKUP(ADI$1,'Renta Fija Mixta + Metales Mode'!$B$22:$C$36,2,FALSE),0%)</f>
        <v>0</v>
      </c>
      <c r="ADJ5" s="5">
        <f>IFERROR(VLOOKUP(ADJ$1,'Renta Fija Mixta + Metales Mode'!$B$22:$C$36,2,FALSE),0%)</f>
        <v>0</v>
      </c>
      <c r="ADK5" s="5">
        <f>IFERROR(VLOOKUP(ADK$1,'Renta Fija Mixta + Metales Mode'!$B$22:$C$36,2,FALSE),0%)</f>
        <v>0</v>
      </c>
      <c r="ADL5" s="5">
        <f>IFERROR(VLOOKUP(ADL$1,'Renta Fija Mixta + Metales Mode'!$B$22:$C$36,2,FALSE),0%)</f>
        <v>0</v>
      </c>
      <c r="ADM5" s="5">
        <f>IFERROR(VLOOKUP(ADM$1,'Renta Fija Mixta + Metales Mode'!$B$22:$C$36,2,FALSE),0%)</f>
        <v>0</v>
      </c>
      <c r="ADN5" s="5">
        <f>IFERROR(VLOOKUP(ADN$1,'Renta Fija Mixta + Metales Mode'!$B$22:$C$36,2,FALSE),0%)</f>
        <v>0</v>
      </c>
      <c r="ADO5" s="5">
        <f>IFERROR(VLOOKUP(ADO$1,'Renta Fija Mixta + Metales Mode'!$B$22:$C$36,2,FALSE),0%)</f>
        <v>0</v>
      </c>
      <c r="ADP5" s="5">
        <f>IFERROR(VLOOKUP(ADP$1,'Renta Fija Mixta + Metales Mode'!$B$22:$C$36,2,FALSE),0%)</f>
        <v>0</v>
      </c>
      <c r="ADQ5" s="5">
        <f>IFERROR(VLOOKUP(ADQ$1,'Renta Fija Mixta + Metales Mode'!$B$22:$C$36,2,FALSE),0%)</f>
        <v>0</v>
      </c>
      <c r="ADR5" s="5">
        <f>IFERROR(VLOOKUP(ADR$1,'Renta Fija Mixta + Metales Mode'!$B$22:$C$36,2,FALSE),0%)</f>
        <v>0</v>
      </c>
      <c r="ADS5" s="5">
        <f>IFERROR(VLOOKUP(ADS$1,'Renta Fija Mixta + Metales Mode'!$B$22:$C$36,2,FALSE),0%)</f>
        <v>0</v>
      </c>
      <c r="ADT5" s="5">
        <f>IFERROR(VLOOKUP(ADT$1,'Renta Fija Mixta + Metales Mode'!$B$22:$C$36,2,FALSE),0%)</f>
        <v>0</v>
      </c>
      <c r="ADU5" s="5">
        <f>IFERROR(VLOOKUP(ADU$1,'Renta Fija Mixta + Metales Mode'!$B$22:$C$36,2,FALSE),0%)</f>
        <v>0</v>
      </c>
      <c r="ADV5" s="5">
        <f>IFERROR(VLOOKUP(ADV$1,'Renta Fija Mixta + Metales Mode'!$B$22:$C$36,2,FALSE),0%)</f>
        <v>0</v>
      </c>
      <c r="ADW5" s="5">
        <f>IFERROR(VLOOKUP(ADW$1,'Renta Fija Mixta + Metales Mode'!$B$22:$C$36,2,FALSE),0%)</f>
        <v>0</v>
      </c>
      <c r="ADX5" s="5">
        <f>IFERROR(VLOOKUP(ADX$1,'Renta Fija Mixta + Metales Mode'!$B$22:$C$36,2,FALSE),0%)</f>
        <v>0</v>
      </c>
      <c r="ADY5" s="5">
        <f>IFERROR(VLOOKUP(ADY$1,'Renta Fija Mixta + Metales Mode'!$B$22:$C$36,2,FALSE),0%)</f>
        <v>0</v>
      </c>
      <c r="ADZ5" s="5">
        <f>IFERROR(VLOOKUP(ADZ$1,'Renta Fija Mixta + Metales Mode'!$B$22:$C$36,2,FALSE),0%)</f>
        <v>0</v>
      </c>
      <c r="AEA5" s="5">
        <f>IFERROR(VLOOKUP(AEA$1,'Renta Fija Mixta + Metales Mode'!$B$22:$C$36,2,FALSE),0%)</f>
        <v>0</v>
      </c>
      <c r="AEB5" s="5">
        <f>IFERROR(VLOOKUP(AEB$1,'Renta Fija Mixta + Metales Mode'!$B$22:$C$36,2,FALSE),0%)</f>
        <v>0</v>
      </c>
      <c r="AEC5" s="5">
        <f>IFERROR(VLOOKUP(AEC$1,'Renta Fija Mixta + Metales Mode'!$B$22:$C$36,2,FALSE),0%)</f>
        <v>0</v>
      </c>
      <c r="AED5" s="5">
        <f>IFERROR(VLOOKUP(AED$1,'Renta Fija Mixta + Metales Mode'!$B$22:$C$36,2,FALSE),0%)</f>
        <v>0</v>
      </c>
      <c r="AEE5" s="5">
        <f>IFERROR(VLOOKUP(AEE$1,'Renta Fija Mixta + Metales Mode'!$B$22:$C$36,2,FALSE),0%)</f>
        <v>0</v>
      </c>
      <c r="AEF5" s="5">
        <f>IFERROR(VLOOKUP(AEF$1,'Renta Fija Mixta + Metales Mode'!$B$22:$C$36,2,FALSE),0%)</f>
        <v>0</v>
      </c>
      <c r="AEG5" s="5">
        <f>IFERROR(VLOOKUP(AEG$1,'Renta Fija Mixta + Metales Mode'!$B$22:$C$36,2,FALSE),0%)</f>
        <v>0</v>
      </c>
      <c r="AEH5" s="5">
        <f>IFERROR(VLOOKUP(AEH$1,'Renta Fija Mixta + Metales Mode'!$B$22:$C$36,2,FALSE),0%)</f>
        <v>0</v>
      </c>
      <c r="AEI5" s="5">
        <f>IFERROR(VLOOKUP(AEI$1,'Renta Fija Mixta + Metales Mode'!$B$22:$C$36,2,FALSE),0%)</f>
        <v>0</v>
      </c>
      <c r="AEJ5" s="5">
        <f>IFERROR(VLOOKUP(AEJ$1,'Renta Fija Mixta + Metales Mode'!$B$22:$C$36,2,FALSE),0%)</f>
        <v>0</v>
      </c>
      <c r="AEK5" s="5">
        <f>IFERROR(VLOOKUP(AEK$1,'Renta Fija Mixta + Metales Mode'!$B$22:$C$36,2,FALSE),0%)</f>
        <v>0</v>
      </c>
      <c r="AEL5" s="5">
        <f>IFERROR(VLOOKUP(AEL$1,'Renta Fija Mixta + Metales Mode'!$B$22:$C$36,2,FALSE),0%)</f>
        <v>0</v>
      </c>
      <c r="AEM5" s="5">
        <f>IFERROR(VLOOKUP(AEM$1,'Renta Fija Mixta + Metales Mode'!$B$22:$C$36,2,FALSE),0%)</f>
        <v>0</v>
      </c>
      <c r="AEN5" s="5">
        <f>IFERROR(VLOOKUP(AEN$1,'Renta Fija Mixta + Metales Mode'!$B$22:$C$36,2,FALSE),0%)</f>
        <v>0</v>
      </c>
      <c r="AEO5" s="5">
        <f>IFERROR(VLOOKUP(AEO$1,'Renta Fija Mixta + Metales Mode'!$B$22:$C$36,2,FALSE),0%)</f>
        <v>0</v>
      </c>
      <c r="AEP5" s="5">
        <f>IFERROR(VLOOKUP(AEP$1,'Renta Fija Mixta + Metales Mode'!$B$22:$C$36,2,FALSE),0%)</f>
        <v>0</v>
      </c>
      <c r="AEQ5" s="5">
        <f>IFERROR(VLOOKUP(AEQ$1,'Renta Fija Mixta + Metales Mode'!$B$22:$C$36,2,FALSE),0%)</f>
        <v>0</v>
      </c>
      <c r="AER5" s="5">
        <f>IFERROR(VLOOKUP(AER$1,'Renta Fija Mixta + Metales Mode'!$B$22:$C$36,2,FALSE),0%)</f>
        <v>0</v>
      </c>
      <c r="AES5" s="5">
        <f>IFERROR(VLOOKUP(AES$1,'Renta Fija Mixta + Metales Mode'!$B$22:$C$36,2,FALSE),0%)</f>
        <v>0</v>
      </c>
      <c r="AET5" s="5">
        <f>IFERROR(VLOOKUP(AET$1,'Renta Fija Mixta + Metales Mode'!$B$22:$C$36,2,FALSE),0%)</f>
        <v>0</v>
      </c>
      <c r="AEU5" s="5">
        <f>IFERROR(VLOOKUP(AEU$1,'Renta Fija Mixta + Metales Mode'!$B$22:$C$36,2,FALSE),0%)</f>
        <v>0</v>
      </c>
      <c r="AEV5" s="5">
        <f>IFERROR(VLOOKUP(AEV$1,'Renta Fija Mixta + Metales Mode'!$B$22:$C$36,2,FALSE),0%)</f>
        <v>0</v>
      </c>
      <c r="AEW5" s="5">
        <f>IFERROR(VLOOKUP(AEW$1,'Renta Fija Mixta + Metales Mode'!$B$22:$C$36,2,FALSE),0%)</f>
        <v>0</v>
      </c>
      <c r="AEX5" s="5">
        <f>IFERROR(VLOOKUP(AEX$1,'Renta Fija Mixta + Metales Mode'!$B$22:$C$36,2,FALSE),0%)</f>
        <v>0</v>
      </c>
      <c r="AEY5" s="5">
        <f>IFERROR(VLOOKUP(AEY$1,'Renta Fija Mixta + Metales Mode'!$B$22:$C$36,2,FALSE),0%)</f>
        <v>0</v>
      </c>
      <c r="AEZ5" s="5">
        <f>IFERROR(VLOOKUP(AEZ$1,'Renta Fija Mixta + Metales Mode'!$B$22:$C$36,2,FALSE),0%)</f>
        <v>0</v>
      </c>
      <c r="AFA5" s="5">
        <f>IFERROR(VLOOKUP(AFA$1,'Renta Fija Mixta + Metales Mode'!$B$22:$C$36,2,FALSE),0%)</f>
        <v>0</v>
      </c>
      <c r="AFB5" s="5">
        <f>IFERROR(VLOOKUP(AFB$1,'Renta Fija Mixta + Metales Mode'!$B$22:$C$36,2,FALSE),0%)</f>
        <v>0</v>
      </c>
      <c r="AFC5" s="5">
        <f>IFERROR(VLOOKUP(AFC$1,'Renta Fija Mixta + Metales Mode'!$B$22:$C$36,2,FALSE),0%)</f>
        <v>0</v>
      </c>
      <c r="AFD5" s="5">
        <f>IFERROR(VLOOKUP(AFD$1,'Renta Fija Mixta + Metales Mode'!$B$22:$C$36,2,FALSE),0%)</f>
        <v>0</v>
      </c>
      <c r="AFE5" s="5">
        <f>IFERROR(VLOOKUP(AFE$1,'Renta Fija Mixta + Metales Mode'!$B$22:$C$36,2,FALSE),0%)</f>
        <v>0</v>
      </c>
      <c r="AFF5" s="5">
        <f>IFERROR(VLOOKUP(AFF$1,'Renta Fija Mixta + Metales Mode'!$B$22:$C$36,2,FALSE),0%)</f>
        <v>0</v>
      </c>
      <c r="AFG5" s="5">
        <f>IFERROR(VLOOKUP(AFG$1,'Renta Fija Mixta + Metales Mode'!$B$22:$C$36,2,FALSE),0%)</f>
        <v>0</v>
      </c>
      <c r="AFH5" s="5">
        <f>IFERROR(VLOOKUP(AFH$1,'Renta Fija Mixta + Metales Mode'!$B$22:$C$36,2,FALSE),0%)</f>
        <v>0</v>
      </c>
      <c r="AFI5" s="5">
        <f>IFERROR(VLOOKUP(AFI$1,'Renta Fija Mixta + Metales Mode'!$B$22:$C$36,2,FALSE),0%)</f>
        <v>0</v>
      </c>
      <c r="AFJ5" s="5">
        <f>IFERROR(VLOOKUP(AFJ$1,'Renta Fija Mixta + Metales Mode'!$B$22:$C$36,2,FALSE),0%)</f>
        <v>0</v>
      </c>
      <c r="AFK5" s="5">
        <f>IFERROR(VLOOKUP(AFK$1,'Renta Fija Mixta + Metales Mode'!$B$22:$C$36,2,FALSE),0%)</f>
        <v>0</v>
      </c>
      <c r="AFL5" s="5">
        <f>IFERROR(VLOOKUP(AFL$1,'Renta Fija Mixta + Metales Mode'!$B$22:$C$36,2,FALSE),0%)</f>
        <v>0</v>
      </c>
      <c r="AFM5" s="5">
        <f>IFERROR(VLOOKUP(AFM$1,'Renta Fija Mixta + Metales Mode'!$B$22:$C$36,2,FALSE),0%)</f>
        <v>0</v>
      </c>
      <c r="AFN5" s="5">
        <f>IFERROR(VLOOKUP(AFN$1,'Renta Fija Mixta + Metales Mode'!$B$22:$C$36,2,FALSE),0%)</f>
        <v>0</v>
      </c>
      <c r="AFO5" s="5">
        <f>IFERROR(VLOOKUP(AFO$1,'Renta Fija Mixta + Metales Mode'!$B$22:$C$36,2,FALSE),0%)</f>
        <v>0</v>
      </c>
      <c r="AFP5" s="5">
        <f>IFERROR(VLOOKUP(AFP$1,'Renta Fija Mixta + Metales Mode'!$B$22:$C$36,2,FALSE),0%)</f>
        <v>0</v>
      </c>
      <c r="AFQ5" s="5">
        <f>IFERROR(VLOOKUP(AFQ$1,'Renta Fija Mixta + Metales Mode'!$B$22:$C$36,2,FALSE),0%)</f>
        <v>0</v>
      </c>
      <c r="AFR5" s="5">
        <f>IFERROR(VLOOKUP(AFR$1,'Renta Fija Mixta + Metales Mode'!$B$22:$C$36,2,FALSE),0%)</f>
        <v>0</v>
      </c>
      <c r="AFS5" s="5">
        <f>IFERROR(VLOOKUP(AFS$1,'Renta Fija Mixta + Metales Mode'!$B$22:$C$36,2,FALSE),0%)</f>
        <v>0</v>
      </c>
      <c r="AFT5" s="5">
        <f>IFERROR(VLOOKUP(AFT$1,'Renta Fija Mixta + Metales Mode'!$B$22:$C$36,2,FALSE),0%)</f>
        <v>0</v>
      </c>
      <c r="AFU5" s="5">
        <f>IFERROR(VLOOKUP(AFU$1,'Renta Fija Mixta + Metales Mode'!$B$22:$C$36,2,FALSE),0%)</f>
        <v>0</v>
      </c>
      <c r="AFV5" s="5">
        <f>IFERROR(VLOOKUP(AFV$1,'Renta Fija Mixta + Metales Mode'!$B$22:$C$36,2,FALSE),0%)</f>
        <v>0</v>
      </c>
      <c r="AFW5" s="5">
        <f>IFERROR(VLOOKUP(AFW$1,'Renta Fija Mixta + Metales Mode'!$B$22:$C$36,2,FALSE),0%)</f>
        <v>0</v>
      </c>
      <c r="AFX5" s="5">
        <f>IFERROR(VLOOKUP(AFX$1,'Renta Fija Mixta + Metales Mode'!$B$22:$C$36,2,FALSE),0%)</f>
        <v>0</v>
      </c>
      <c r="AFY5" s="5">
        <f>IFERROR(VLOOKUP(AFY$1,'Renta Fija Mixta + Metales Mode'!$B$22:$C$36,2,FALSE),0%)</f>
        <v>0</v>
      </c>
      <c r="AFZ5" s="5">
        <f>IFERROR(VLOOKUP(AFZ$1,'Renta Fija Mixta + Metales Mode'!$B$22:$C$36,2,FALSE),0%)</f>
        <v>0</v>
      </c>
      <c r="AGA5" s="5">
        <f>IFERROR(VLOOKUP(AGA$1,'Renta Fija Mixta + Metales Mode'!$B$22:$C$36,2,FALSE),0%)</f>
        <v>0</v>
      </c>
      <c r="AGB5" s="5">
        <f>IFERROR(VLOOKUP(AGB$1,'Renta Fija Mixta + Metales Mode'!$B$22:$C$36,2,FALSE),0%)</f>
        <v>0</v>
      </c>
      <c r="AGC5" s="5">
        <f>IFERROR(VLOOKUP(AGC$1,'Renta Fija Mixta + Metales Mode'!$B$22:$C$36,2,FALSE),0%)</f>
        <v>0</v>
      </c>
      <c r="AGD5" s="5">
        <f>IFERROR(VLOOKUP(AGD$1,'Renta Fija Mixta + Metales Mode'!$B$22:$C$36,2,FALSE),0%)</f>
        <v>0</v>
      </c>
      <c r="AGE5" s="5">
        <f>IFERROR(VLOOKUP(AGE$1,'Renta Fija Mixta + Metales Mode'!$B$22:$C$36,2,FALSE),0%)</f>
        <v>0</v>
      </c>
      <c r="AGF5" s="5">
        <f>IFERROR(VLOOKUP(AGF$1,'Renta Fija Mixta + Metales Mode'!$B$22:$C$36,2,FALSE),0%)</f>
        <v>0</v>
      </c>
      <c r="AGG5" s="5">
        <f>IFERROR(VLOOKUP(AGG$1,'Renta Fija Mixta + Metales Mode'!$B$22:$C$36,2,FALSE),0%)</f>
        <v>0</v>
      </c>
      <c r="AGH5" s="5">
        <f>IFERROR(VLOOKUP(AGH$1,'Renta Fija Mixta + Metales Mode'!$B$22:$C$36,2,FALSE),0%)</f>
        <v>0</v>
      </c>
      <c r="AGI5" s="5">
        <f>IFERROR(VLOOKUP(AGI$1,'Renta Fija Mixta + Metales Mode'!$B$22:$C$36,2,FALSE),0%)</f>
        <v>0</v>
      </c>
      <c r="AGJ5" s="5">
        <f>IFERROR(VLOOKUP(AGJ$1,'Renta Fija Mixta + Metales Mode'!$B$22:$C$36,2,FALSE),0%)</f>
        <v>0</v>
      </c>
      <c r="AGK5" s="5">
        <f>IFERROR(VLOOKUP(AGK$1,'Renta Fija Mixta + Metales Mode'!$B$22:$C$36,2,FALSE),0%)</f>
        <v>0</v>
      </c>
      <c r="AGL5" s="5">
        <f>IFERROR(VLOOKUP(AGL$1,'Renta Fija Mixta + Metales Mode'!$B$22:$C$36,2,FALSE),0%)</f>
        <v>0</v>
      </c>
      <c r="AGM5" s="5">
        <f>IFERROR(VLOOKUP(AGM$1,'Renta Fija Mixta + Metales Mode'!$B$22:$C$36,2,FALSE),0%)</f>
        <v>0</v>
      </c>
      <c r="AGN5" s="5">
        <f>IFERROR(VLOOKUP(AGN$1,'Renta Fija Mixta + Metales Mode'!$B$22:$C$36,2,FALSE),0%)</f>
        <v>0</v>
      </c>
      <c r="AGO5" s="5">
        <f>IFERROR(VLOOKUP(AGO$1,'Renta Fija Mixta + Metales Mode'!$B$22:$C$36,2,FALSE),0%)</f>
        <v>0</v>
      </c>
      <c r="AGP5" s="5">
        <f>IFERROR(VLOOKUP(AGP$1,'Renta Fija Mixta + Metales Mode'!$B$22:$C$36,2,FALSE),0%)</f>
        <v>0</v>
      </c>
      <c r="AGQ5" s="5">
        <f>IFERROR(VLOOKUP(AGQ$1,'Renta Fija Mixta + Metales Mode'!$B$22:$C$36,2,FALSE),0%)</f>
        <v>0</v>
      </c>
      <c r="AGR5" s="5">
        <f>IFERROR(VLOOKUP(AGR$1,'Renta Fija Mixta + Metales Mode'!$B$22:$C$36,2,FALSE),0%)</f>
        <v>0</v>
      </c>
      <c r="AGS5" s="5">
        <f>IFERROR(VLOOKUP(AGS$1,'Renta Fija Mixta + Metales Mode'!$B$22:$C$36,2,FALSE),0%)</f>
        <v>0</v>
      </c>
      <c r="AGT5" s="5">
        <f>IFERROR(VLOOKUP(AGT$1,'Renta Fija Mixta + Metales Mode'!$B$22:$C$36,2,FALSE),0%)</f>
        <v>0</v>
      </c>
      <c r="AGU5" s="5">
        <f>IFERROR(VLOOKUP(AGU$1,'Renta Fija Mixta + Metales Mode'!$B$22:$C$36,2,FALSE),0%)</f>
        <v>0</v>
      </c>
      <c r="AGV5" s="5">
        <f>IFERROR(VLOOKUP(AGV$1,'Renta Fija Mixta + Metales Mode'!$B$22:$C$36,2,FALSE),0%)</f>
        <v>0</v>
      </c>
      <c r="AGW5" s="5">
        <f>IFERROR(VLOOKUP(AGW$1,'Renta Fija Mixta + Metales Mode'!$B$22:$C$36,2,FALSE),0%)</f>
        <v>0</v>
      </c>
      <c r="AGX5" s="5">
        <f>IFERROR(VLOOKUP(AGX$1,'Renta Fija Mixta + Metales Mode'!$B$22:$C$36,2,FALSE),0%)</f>
        <v>0</v>
      </c>
      <c r="AGY5" s="5">
        <f>IFERROR(VLOOKUP(AGY$1,'Renta Fija Mixta + Metales Mode'!$B$22:$C$36,2,FALSE),0%)</f>
        <v>0</v>
      </c>
      <c r="AGZ5" s="5">
        <f>IFERROR(VLOOKUP(AGZ$1,'Renta Fija Mixta + Metales Mode'!$B$22:$C$36,2,FALSE),0%)</f>
        <v>0</v>
      </c>
      <c r="AHA5" s="5">
        <f>IFERROR(VLOOKUP(AHA$1,'Renta Fija Mixta + Metales Mode'!$B$22:$C$36,2,FALSE),0%)</f>
        <v>0</v>
      </c>
      <c r="AHB5" s="5">
        <f>IFERROR(VLOOKUP(AHB$1,'Renta Fija Mixta + Metales Mode'!$B$22:$C$36,2,FALSE),0%)</f>
        <v>0</v>
      </c>
      <c r="AHC5" s="5">
        <f>IFERROR(VLOOKUP(AHC$1,'Renta Fija Mixta + Metales Mode'!$B$22:$C$36,2,FALSE),0%)</f>
        <v>0</v>
      </c>
      <c r="AHD5" s="5">
        <f>IFERROR(VLOOKUP(AHD$1,'Renta Fija Mixta + Metales Mode'!$B$22:$C$36,2,FALSE),0%)</f>
        <v>0</v>
      </c>
      <c r="AHE5" s="5">
        <f>IFERROR(VLOOKUP(AHE$1,'Renta Fija Mixta + Metales Mode'!$B$22:$C$36,2,FALSE),0%)</f>
        <v>0</v>
      </c>
      <c r="AHF5" s="5">
        <f>IFERROR(VLOOKUP(AHF$1,'Renta Fija Mixta + Metales Mode'!$B$22:$C$36,2,FALSE),0%)</f>
        <v>0</v>
      </c>
      <c r="AHG5" s="5">
        <f>IFERROR(VLOOKUP(AHG$1,'Renta Fija Mixta + Metales Mode'!$B$22:$C$36,2,FALSE),0%)</f>
        <v>0</v>
      </c>
      <c r="AHH5" s="5">
        <f>IFERROR(VLOOKUP(AHH$1,'Renta Fija Mixta + Metales Mode'!$B$22:$C$36,2,FALSE),0%)</f>
        <v>0</v>
      </c>
      <c r="AHI5" s="5">
        <f>IFERROR(VLOOKUP(AHI$1,'Renta Fija Mixta + Metales Mode'!$B$22:$C$36,2,FALSE),0%)</f>
        <v>0</v>
      </c>
      <c r="AHJ5" s="5">
        <f>IFERROR(VLOOKUP(AHJ$1,'Renta Fija Mixta + Metales Mode'!$B$22:$C$36,2,FALSE),0%)</f>
        <v>0</v>
      </c>
      <c r="AHK5" s="5">
        <f>IFERROR(VLOOKUP(AHK$1,'Renta Fija Mixta + Metales Mode'!$B$22:$C$36,2,FALSE),0%)</f>
        <v>0</v>
      </c>
      <c r="AHL5" s="5">
        <f>IFERROR(VLOOKUP(AHL$1,'Renta Fija Mixta + Metales Mode'!$B$22:$C$36,2,FALSE),0%)</f>
        <v>0</v>
      </c>
      <c r="AHM5" s="5">
        <f>IFERROR(VLOOKUP(AHM$1,'Renta Fija Mixta + Metales Mode'!$B$22:$C$36,2,FALSE),0%)</f>
        <v>0</v>
      </c>
      <c r="AHN5" s="5">
        <f>IFERROR(VLOOKUP(AHN$1,'Renta Fija Mixta + Metales Mode'!$B$22:$C$36,2,FALSE),0%)</f>
        <v>0</v>
      </c>
      <c r="AHO5" s="5">
        <f>IFERROR(VLOOKUP(AHO$1,'Renta Fija Mixta + Metales Mode'!$B$22:$C$36,2,FALSE),0%)</f>
        <v>0</v>
      </c>
      <c r="AHP5" s="5">
        <f>IFERROR(VLOOKUP(AHP$1,'Renta Fija Mixta + Metales Mode'!$B$22:$C$36,2,FALSE),0%)</f>
        <v>0</v>
      </c>
      <c r="AHQ5" s="5">
        <f>IFERROR(VLOOKUP(AHQ$1,'Renta Fija Mixta + Metales Mode'!$B$22:$C$36,2,FALSE),0%)</f>
        <v>0</v>
      </c>
      <c r="AHR5" s="5">
        <f>IFERROR(VLOOKUP(AHR$1,'Renta Fija Mixta + Metales Mode'!$B$22:$C$36,2,FALSE),0%)</f>
        <v>0</v>
      </c>
      <c r="AHS5" s="5">
        <f>IFERROR(VLOOKUP(AHS$1,'Renta Fija Mixta + Metales Mode'!$B$22:$C$36,2,FALSE),0%)</f>
        <v>0</v>
      </c>
      <c r="AHT5" s="5">
        <f>IFERROR(VLOOKUP(AHT$1,'Renta Fija Mixta + Metales Mode'!$B$22:$C$36,2,FALSE),0%)</f>
        <v>0</v>
      </c>
      <c r="AHU5" s="5">
        <f>IFERROR(VLOOKUP(AHU$1,'Renta Fija Mixta + Metales Mode'!$B$22:$C$36,2,FALSE),0%)</f>
        <v>0</v>
      </c>
      <c r="AHV5" s="5">
        <f>IFERROR(VLOOKUP(AHV$1,'Renta Fija Mixta + Metales Mode'!$B$22:$C$36,2,FALSE),0%)</f>
        <v>0</v>
      </c>
      <c r="AHW5" s="5">
        <f>IFERROR(VLOOKUP(AHW$1,'Renta Fija Mixta + Metales Mode'!$B$22:$C$36,2,FALSE),0%)</f>
        <v>0</v>
      </c>
      <c r="AHX5" s="5">
        <f>IFERROR(VLOOKUP(AHX$1,'Renta Fija Mixta + Metales Mode'!$B$22:$C$36,2,FALSE),0%)</f>
        <v>0</v>
      </c>
      <c r="AHY5" s="5">
        <f>IFERROR(VLOOKUP(AHY$1,'Renta Fija Mixta + Metales Mode'!$B$22:$C$36,2,FALSE),0%)</f>
        <v>0</v>
      </c>
      <c r="AHZ5" s="5">
        <f>IFERROR(VLOOKUP(AHZ$1,'Renta Fija Mixta + Metales Mode'!$B$22:$C$36,2,FALSE),0%)</f>
        <v>0</v>
      </c>
      <c r="AIA5" s="5">
        <f>IFERROR(VLOOKUP(AIA$1,'Renta Fija Mixta + Metales Mode'!$B$22:$C$36,2,FALSE),0%)</f>
        <v>0</v>
      </c>
      <c r="AIB5" s="5">
        <f>IFERROR(VLOOKUP(AIB$1,'Renta Fija Mixta + Metales Mode'!$B$22:$C$36,2,FALSE),0%)</f>
        <v>0</v>
      </c>
      <c r="AIC5" s="5">
        <f>IFERROR(VLOOKUP(AIC$1,'Renta Fija Mixta + Metales Mode'!$B$22:$C$36,2,FALSE),0%)</f>
        <v>0</v>
      </c>
      <c r="AID5" s="5">
        <f>IFERROR(VLOOKUP(AID$1,'Renta Fija Mixta + Metales Mode'!$B$22:$C$36,2,FALSE),0%)</f>
        <v>0</v>
      </c>
      <c r="AIE5" s="5">
        <f>IFERROR(VLOOKUP(AIE$1,'Renta Fija Mixta + Metales Mode'!$B$22:$C$36,2,FALSE),0%)</f>
        <v>0</v>
      </c>
      <c r="AIF5" s="5">
        <f>IFERROR(VLOOKUP(AIF$1,'Renta Fija Mixta + Metales Mode'!$B$22:$C$36,2,FALSE),0%)</f>
        <v>0</v>
      </c>
      <c r="AIG5" s="5">
        <f>IFERROR(VLOOKUP(AIG$1,'Renta Fija Mixta + Metales Mode'!$B$22:$C$36,2,FALSE),0%)</f>
        <v>0</v>
      </c>
      <c r="AIH5" s="5">
        <f>IFERROR(VLOOKUP(AIH$1,'Renta Fija Mixta + Metales Mode'!$B$22:$C$36,2,FALSE),0%)</f>
        <v>0</v>
      </c>
      <c r="AII5" s="5">
        <f>IFERROR(VLOOKUP(AII$1,'Renta Fija Mixta + Metales Mode'!$B$22:$C$36,2,FALSE),0%)</f>
        <v>0</v>
      </c>
      <c r="AIJ5" s="5">
        <f>IFERROR(VLOOKUP(AIJ$1,'Renta Fija Mixta + Metales Mode'!$B$22:$C$36,2,FALSE),0%)</f>
        <v>0</v>
      </c>
      <c r="AIK5" s="5">
        <f>IFERROR(VLOOKUP(AIK$1,'Renta Fija Mixta + Metales Mode'!$B$22:$C$36,2,FALSE),0%)</f>
        <v>0</v>
      </c>
      <c r="AIL5" s="5">
        <f>IFERROR(VLOOKUP(AIL$1,'Renta Fija Mixta + Metales Mode'!$B$22:$C$36,2,FALSE),0%)</f>
        <v>0</v>
      </c>
      <c r="AIM5" s="5">
        <f>IFERROR(VLOOKUP(AIM$1,'Renta Fija Mixta + Metales Mode'!$B$22:$C$36,2,FALSE),0%)</f>
        <v>0</v>
      </c>
      <c r="AIN5" s="5">
        <f>IFERROR(VLOOKUP(AIN$1,'Renta Fija Mixta + Metales Mode'!$B$22:$C$36,2,FALSE),0%)</f>
        <v>0</v>
      </c>
      <c r="AIO5" s="5">
        <f>IFERROR(VLOOKUP(AIO$1,'Renta Fija Mixta + Metales Mode'!$B$22:$C$36,2,FALSE),0%)</f>
        <v>0</v>
      </c>
      <c r="AIP5" s="5">
        <f>IFERROR(VLOOKUP(AIP$1,'Renta Fija Mixta + Metales Mode'!$B$22:$C$36,2,FALSE),0%)</f>
        <v>0</v>
      </c>
      <c r="AIQ5" s="5">
        <f>IFERROR(VLOOKUP(AIQ$1,'Renta Fija Mixta + Metales Mode'!$B$22:$C$36,2,FALSE),0%)</f>
        <v>0</v>
      </c>
      <c r="AIR5" s="5">
        <f>IFERROR(VLOOKUP(AIR$1,'Renta Fija Mixta + Metales Mode'!$B$22:$C$36,2,FALSE),0%)</f>
        <v>0</v>
      </c>
      <c r="AIS5" s="5">
        <f>IFERROR(VLOOKUP(AIS$1,'Renta Fija Mixta + Metales Mode'!$B$22:$C$36,2,FALSE),0%)</f>
        <v>0</v>
      </c>
      <c r="AIT5" s="5">
        <f>IFERROR(VLOOKUP(AIT$1,'Renta Fija Mixta + Metales Mode'!$B$22:$C$36,2,FALSE),0%)</f>
        <v>0</v>
      </c>
      <c r="AIU5" s="5">
        <f>IFERROR(VLOOKUP(AIU$1,'Renta Fija Mixta + Metales Mode'!$B$22:$C$36,2,FALSE),0%)</f>
        <v>0</v>
      </c>
      <c r="AIV5" s="5">
        <f>IFERROR(VLOOKUP(AIV$1,'Renta Fija Mixta + Metales Mode'!$B$22:$C$36,2,FALSE),0%)</f>
        <v>0</v>
      </c>
      <c r="AIW5" s="5">
        <f>IFERROR(VLOOKUP(AIW$1,'Renta Fija Mixta + Metales Mode'!$B$22:$C$36,2,FALSE),0%)</f>
        <v>0</v>
      </c>
      <c r="AIX5" s="5">
        <f>IFERROR(VLOOKUP(AIX$1,'Renta Fija Mixta + Metales Mode'!$B$22:$C$36,2,FALSE),0%)</f>
        <v>0</v>
      </c>
      <c r="AIY5" s="5">
        <f>IFERROR(VLOOKUP(AIY$1,'Renta Fija Mixta + Metales Mode'!$B$22:$C$36,2,FALSE),0%)</f>
        <v>0</v>
      </c>
      <c r="AIZ5" s="5">
        <f>IFERROR(VLOOKUP(AIZ$1,'Renta Fija Mixta + Metales Mode'!$B$22:$C$36,2,FALSE),0%)</f>
        <v>0</v>
      </c>
      <c r="AJA5" s="5">
        <f>IFERROR(VLOOKUP(AJA$1,'Renta Fija Mixta + Metales Mode'!$B$22:$C$36,2,FALSE),0%)</f>
        <v>0</v>
      </c>
      <c r="AJB5" s="5">
        <f>IFERROR(VLOOKUP(AJB$1,'Renta Fija Mixta + Metales Mode'!$B$22:$C$36,2,FALSE),0%)</f>
        <v>0</v>
      </c>
      <c r="AJC5" s="5">
        <f>IFERROR(VLOOKUP(AJC$1,'Renta Fija Mixta + Metales Mode'!$B$22:$C$36,2,FALSE),0%)</f>
        <v>0</v>
      </c>
      <c r="AJD5" s="5">
        <f>IFERROR(VLOOKUP(AJD$1,'Renta Fija Mixta + Metales Mode'!$B$22:$C$36,2,FALSE),0%)</f>
        <v>0</v>
      </c>
      <c r="AJE5" s="5">
        <f>IFERROR(VLOOKUP(AJE$1,'Renta Fija Mixta + Metales Mode'!$B$22:$C$36,2,FALSE),0%)</f>
        <v>0</v>
      </c>
      <c r="AJF5" s="5">
        <f>IFERROR(VLOOKUP(AJF$1,'Renta Fija Mixta + Metales Mode'!$B$22:$C$36,2,FALSE),0%)</f>
        <v>0</v>
      </c>
      <c r="AJG5" s="5">
        <f>IFERROR(VLOOKUP(AJG$1,'Renta Fija Mixta + Metales Mode'!$B$22:$C$36,2,FALSE),0%)</f>
        <v>0</v>
      </c>
      <c r="AJH5" s="5">
        <f>IFERROR(VLOOKUP(AJH$1,'Renta Fija Mixta + Metales Mode'!$B$22:$C$36,2,FALSE),0%)</f>
        <v>0</v>
      </c>
      <c r="AJI5" s="5">
        <f>IFERROR(VLOOKUP(AJI$1,'Renta Fija Mixta + Metales Mode'!$B$22:$C$36,2,FALSE),0%)</f>
        <v>0</v>
      </c>
      <c r="AJJ5" s="5">
        <f>IFERROR(VLOOKUP(AJJ$1,'Renta Fija Mixta + Metales Mode'!$B$22:$C$36,2,FALSE),0%)</f>
        <v>0</v>
      </c>
      <c r="AJK5" s="5">
        <f>IFERROR(VLOOKUP(AJK$1,'Renta Fija Mixta + Metales Mode'!$B$22:$C$36,2,FALSE),0%)</f>
        <v>0</v>
      </c>
      <c r="AJL5" s="5">
        <f>IFERROR(VLOOKUP(AJL$1,'Renta Fija Mixta + Metales Mode'!$B$22:$C$36,2,FALSE),0%)</f>
        <v>0</v>
      </c>
      <c r="AJM5" s="5">
        <f>IFERROR(VLOOKUP(AJM$1,'Renta Fija Mixta + Metales Mode'!$B$22:$C$36,2,FALSE),0%)</f>
        <v>0</v>
      </c>
      <c r="AJN5" s="5">
        <f>IFERROR(VLOOKUP(AJN$1,'Renta Fija Mixta + Metales Mode'!$B$22:$C$36,2,FALSE),0%)</f>
        <v>0</v>
      </c>
      <c r="AJO5" s="5">
        <f>IFERROR(VLOOKUP(AJO$1,'Renta Fija Mixta + Metales Mode'!$B$22:$C$36,2,FALSE),0%)</f>
        <v>0</v>
      </c>
      <c r="AJP5" s="5">
        <f>IFERROR(VLOOKUP(AJP$1,'Renta Fija Mixta + Metales Mode'!$B$22:$C$36,2,FALSE),0%)</f>
        <v>0</v>
      </c>
      <c r="AJQ5" s="5">
        <f>IFERROR(VLOOKUP(AJQ$1,'Renta Fija Mixta + Metales Mode'!$B$22:$C$36,2,FALSE),0%)</f>
        <v>0</v>
      </c>
      <c r="AJR5" s="5">
        <f>IFERROR(VLOOKUP(AJR$1,'Renta Fija Mixta + Metales Mode'!$B$22:$C$36,2,FALSE),0%)</f>
        <v>0</v>
      </c>
      <c r="AJS5" s="5">
        <f>IFERROR(VLOOKUP(AJS$1,'Renta Fija Mixta + Metales Mode'!$B$22:$C$36,2,FALSE),0%)</f>
        <v>0</v>
      </c>
      <c r="AJT5" s="5">
        <f>IFERROR(VLOOKUP(AJT$1,'Renta Fija Mixta + Metales Mode'!$B$22:$C$36,2,FALSE),0%)</f>
        <v>0</v>
      </c>
      <c r="AJU5" s="5">
        <f>IFERROR(VLOOKUP(AJU$1,'Renta Fija Mixta + Metales Mode'!$B$22:$C$36,2,FALSE),0%)</f>
        <v>0</v>
      </c>
      <c r="AJV5" s="5">
        <f>IFERROR(VLOOKUP(AJV$1,'Renta Fija Mixta + Metales Mode'!$B$22:$C$36,2,FALSE),0%)</f>
        <v>0</v>
      </c>
      <c r="AJW5" s="5">
        <f>IFERROR(VLOOKUP(AJW$1,'Renta Fija Mixta + Metales Mode'!$B$22:$C$36,2,FALSE),0%)</f>
        <v>0</v>
      </c>
      <c r="AJX5" s="5">
        <f>IFERROR(VLOOKUP(AJX$1,'Renta Fija Mixta + Metales Mode'!$B$22:$C$36,2,FALSE),0%)</f>
        <v>0</v>
      </c>
      <c r="AJY5" s="5">
        <f>IFERROR(VLOOKUP(AJY$1,'Renta Fija Mixta + Metales Mode'!$B$22:$C$36,2,FALSE),0%)</f>
        <v>0</v>
      </c>
      <c r="AJZ5" s="5">
        <f>IFERROR(VLOOKUP(AJZ$1,'Renta Fija Mixta + Metales Mode'!$B$22:$C$36,2,FALSE),0%)</f>
        <v>0</v>
      </c>
      <c r="AKA5" s="5">
        <f>IFERROR(VLOOKUP(AKA$1,'Renta Fija Mixta + Metales Mode'!$B$22:$C$36,2,FALSE),0%)</f>
        <v>0</v>
      </c>
      <c r="AKB5" s="5">
        <f>IFERROR(VLOOKUP(AKB$1,'Renta Fija Mixta + Metales Mode'!$B$22:$C$36,2,FALSE),0%)</f>
        <v>0</v>
      </c>
      <c r="AKC5" s="5">
        <f>IFERROR(VLOOKUP(AKC$1,'Renta Fija Mixta + Metales Mode'!$B$22:$C$36,2,FALSE),0%)</f>
        <v>0</v>
      </c>
      <c r="AKD5" s="5">
        <f>IFERROR(VLOOKUP(AKD$1,'Renta Fija Mixta + Metales Mode'!$B$22:$C$36,2,FALSE),0%)</f>
        <v>0</v>
      </c>
      <c r="AKE5" s="5">
        <f>IFERROR(VLOOKUP(AKE$1,'Renta Fija Mixta + Metales Mode'!$B$22:$C$36,2,FALSE),0%)</f>
        <v>0</v>
      </c>
      <c r="AKF5" s="5">
        <f>IFERROR(VLOOKUP(AKF$1,'Renta Fija Mixta + Metales Mode'!$B$22:$C$36,2,FALSE),0%)</f>
        <v>0</v>
      </c>
      <c r="AKG5" s="5">
        <f>IFERROR(VLOOKUP(AKG$1,'Renta Fija Mixta + Metales Mode'!$B$22:$C$36,2,FALSE),0%)</f>
        <v>0</v>
      </c>
      <c r="AKH5" s="5">
        <f>IFERROR(VLOOKUP(AKH$1,'Renta Fija Mixta + Metales Mode'!$B$22:$C$36,2,FALSE),0%)</f>
        <v>0</v>
      </c>
      <c r="AKI5" s="5">
        <f>IFERROR(VLOOKUP(AKI$1,'Renta Fija Mixta + Metales Mode'!$B$22:$C$36,2,FALSE),0%)</f>
        <v>0</v>
      </c>
      <c r="AKJ5" s="5">
        <f>IFERROR(VLOOKUP(AKJ$1,'Renta Fija Mixta + Metales Mode'!$B$22:$C$36,2,FALSE),0%)</f>
        <v>0</v>
      </c>
      <c r="AKK5" s="5">
        <f>IFERROR(VLOOKUP(AKK$1,'Renta Fija Mixta + Metales Mode'!$B$22:$C$36,2,FALSE),0%)</f>
        <v>0</v>
      </c>
      <c r="AKL5" s="5">
        <f>IFERROR(VLOOKUP(AKL$1,'Renta Fija Mixta + Metales Mode'!$B$22:$C$36,2,FALSE),0%)</f>
        <v>0</v>
      </c>
      <c r="AKM5" s="5">
        <f>IFERROR(VLOOKUP(AKM$1,'Renta Fija Mixta + Metales Mode'!$B$22:$C$36,2,FALSE),0%)</f>
        <v>0</v>
      </c>
      <c r="AKN5" s="5">
        <f>IFERROR(VLOOKUP(AKN$1,'Renta Fija Mixta + Metales Mode'!$B$22:$C$36,2,FALSE),0%)</f>
        <v>0</v>
      </c>
      <c r="AKO5" s="5">
        <f>IFERROR(VLOOKUP(AKO$1,'Renta Fija Mixta + Metales Mode'!$B$22:$C$36,2,FALSE),0%)</f>
        <v>0</v>
      </c>
      <c r="AKP5" s="5">
        <f>IFERROR(VLOOKUP(AKP$1,'Renta Fija Mixta + Metales Mode'!$B$22:$C$36,2,FALSE),0%)</f>
        <v>0</v>
      </c>
      <c r="AKQ5" s="5">
        <f>IFERROR(VLOOKUP(AKQ$1,'Renta Fija Mixta + Metales Mode'!$B$22:$C$36,2,FALSE),0%)</f>
        <v>0</v>
      </c>
      <c r="AKR5" s="5">
        <f>IFERROR(VLOOKUP(AKR$1,'Renta Fija Mixta + Metales Mode'!$B$22:$C$36,2,FALSE),0%)</f>
        <v>0</v>
      </c>
      <c r="AKS5" s="5">
        <f>IFERROR(VLOOKUP(AKS$1,'Renta Fija Mixta + Metales Mode'!$B$22:$C$36,2,FALSE),0%)</f>
        <v>0</v>
      </c>
      <c r="AKT5" s="5">
        <f>IFERROR(VLOOKUP(AKT$1,'Renta Fija Mixta + Metales Mode'!$B$22:$C$36,2,FALSE),0%)</f>
        <v>0</v>
      </c>
      <c r="AKU5" s="5">
        <f>IFERROR(VLOOKUP(AKU$1,'Renta Fija Mixta + Metales Mode'!$B$22:$C$36,2,FALSE),0%)</f>
        <v>0</v>
      </c>
      <c r="AKV5" s="5">
        <f>IFERROR(VLOOKUP(AKV$1,'Renta Fija Mixta + Metales Mode'!$B$22:$C$36,2,FALSE),0%)</f>
        <v>0</v>
      </c>
      <c r="AKW5" s="5">
        <f>IFERROR(VLOOKUP(AKW$1,'Renta Fija Mixta + Metales Mode'!$B$22:$C$36,2,FALSE),0%)</f>
        <v>0</v>
      </c>
      <c r="AKX5" s="5">
        <f>IFERROR(VLOOKUP(AKX$1,'Renta Fija Mixta + Metales Mode'!$B$22:$C$36,2,FALSE),0%)</f>
        <v>0</v>
      </c>
      <c r="AKY5" s="5">
        <f>IFERROR(VLOOKUP(AKY$1,'Renta Fija Mixta + Metales Mode'!$B$22:$C$36,2,FALSE),0%)</f>
        <v>0</v>
      </c>
      <c r="AKZ5" s="5">
        <f>IFERROR(VLOOKUP(AKZ$1,'Renta Fija Mixta + Metales Mode'!$B$22:$C$36,2,FALSE),0%)</f>
        <v>0</v>
      </c>
      <c r="ALA5" s="5">
        <f>IFERROR(VLOOKUP(ALA$1,'Renta Fija Mixta + Metales Mode'!$B$22:$C$36,2,FALSE),0%)</f>
        <v>0</v>
      </c>
      <c r="ALB5" s="5">
        <f>IFERROR(VLOOKUP(ALB$1,'Renta Fija Mixta + Metales Mode'!$B$22:$C$36,2,FALSE),0%)</f>
        <v>0</v>
      </c>
      <c r="ALC5" s="5">
        <f>IFERROR(VLOOKUP(ALC$1,'Renta Fija Mixta + Metales Mode'!$B$22:$C$36,2,FALSE),0%)</f>
        <v>0</v>
      </c>
      <c r="ALD5" s="5">
        <f>IFERROR(VLOOKUP(ALD$1,'Renta Fija Mixta + Metales Mode'!$B$22:$C$36,2,FALSE),0%)</f>
        <v>0</v>
      </c>
      <c r="ALE5" s="5">
        <f>IFERROR(VLOOKUP(ALE$1,'Renta Fija Mixta + Metales Mode'!$B$22:$C$36,2,FALSE),0%)</f>
        <v>0</v>
      </c>
      <c r="ALF5" s="5">
        <f>IFERROR(VLOOKUP(ALF$1,'Renta Fija Mixta + Metales Mode'!$B$22:$C$36,2,FALSE),0%)</f>
        <v>0</v>
      </c>
      <c r="ALG5" s="5">
        <f>IFERROR(VLOOKUP(ALG$1,'Renta Fija Mixta + Metales Mode'!$B$22:$C$36,2,FALSE),0%)</f>
        <v>0</v>
      </c>
      <c r="ALH5" s="5">
        <f>IFERROR(VLOOKUP(ALH$1,'Renta Fija Mixta + Metales Mode'!$B$22:$C$36,2,FALSE),0%)</f>
        <v>0</v>
      </c>
      <c r="ALI5" s="5">
        <f>IFERROR(VLOOKUP(ALI$1,'Renta Fija Mixta + Metales Mode'!$B$22:$C$36,2,FALSE),0%)</f>
        <v>0</v>
      </c>
      <c r="ALJ5" s="5">
        <f>IFERROR(VLOOKUP(ALJ$1,'Renta Fija Mixta + Metales Mode'!$B$22:$C$36,2,FALSE),0%)</f>
        <v>0</v>
      </c>
      <c r="ALK5" s="5">
        <f>IFERROR(VLOOKUP(ALK$1,'Renta Fija Mixta + Metales Mode'!$B$22:$C$36,2,FALSE),0%)</f>
        <v>0</v>
      </c>
      <c r="ALL5" s="5">
        <f>IFERROR(VLOOKUP(ALL$1,'Renta Fija Mixta + Metales Mode'!$B$22:$C$36,2,FALSE),0%)</f>
        <v>0</v>
      </c>
      <c r="ALM5" s="5">
        <f>IFERROR(VLOOKUP(ALM$1,'Renta Fija Mixta + Metales Mode'!$B$22:$C$36,2,FALSE),0%)</f>
        <v>0</v>
      </c>
      <c r="ALN5" s="5">
        <f>IFERROR(VLOOKUP(ALN$1,'Renta Fija Mixta + Metales Mode'!$B$22:$C$36,2,FALSE),0%)</f>
        <v>0</v>
      </c>
      <c r="ALO5" s="5">
        <f>IFERROR(VLOOKUP(ALO$1,'Renta Fija Mixta + Metales Mode'!$B$22:$C$36,2,FALSE),0%)</f>
        <v>0</v>
      </c>
      <c r="ALP5" s="5">
        <f>IFERROR(VLOOKUP(ALP$1,'Renta Fija Mixta + Metales Mode'!$B$22:$C$36,2,FALSE),0%)</f>
        <v>0</v>
      </c>
      <c r="ALQ5" s="5">
        <f>IFERROR(VLOOKUP(ALQ$1,'Renta Fija Mixta + Metales Mode'!$B$22:$C$36,2,FALSE),0%)</f>
        <v>0</v>
      </c>
      <c r="ALR5" s="5">
        <f>IFERROR(VLOOKUP(ALR$1,'Renta Fija Mixta + Metales Mode'!$B$22:$C$36,2,FALSE),0%)</f>
        <v>0</v>
      </c>
      <c r="ALS5" s="5">
        <f>IFERROR(VLOOKUP(ALS$1,'Renta Fija Mixta + Metales Mode'!$B$22:$C$36,2,FALSE),0%)</f>
        <v>0</v>
      </c>
      <c r="ALT5" s="5">
        <f>IFERROR(VLOOKUP(ALT$1,'Renta Fija Mixta + Metales Mode'!$B$22:$C$36,2,FALSE),0%)</f>
        <v>0</v>
      </c>
      <c r="ALU5" s="5">
        <f>IFERROR(VLOOKUP(ALU$1,'Renta Fija Mixta + Metales Mode'!$B$22:$C$36,2,FALSE),0%)</f>
        <v>0</v>
      </c>
      <c r="ALV5" s="5">
        <f>IFERROR(VLOOKUP(ALV$1,'Renta Fija Mixta + Metales Mode'!$B$22:$C$36,2,FALSE),0%)</f>
        <v>0</v>
      </c>
      <c r="ALW5" s="5">
        <f>IFERROR(VLOOKUP(ALW$1,'Renta Fija Mixta + Metales Mode'!$B$22:$C$36,2,FALSE),0%)</f>
        <v>0</v>
      </c>
      <c r="ALX5" s="5">
        <f>IFERROR(VLOOKUP(ALX$1,'Renta Fija Mixta + Metales Mode'!$B$22:$C$36,2,FALSE),0%)</f>
        <v>0</v>
      </c>
      <c r="ALY5" s="5">
        <f>IFERROR(VLOOKUP(ALY$1,'Renta Fija Mixta + Metales Mode'!$B$22:$C$36,2,FALSE),0%)</f>
        <v>0</v>
      </c>
      <c r="ALZ5" s="5">
        <f>IFERROR(VLOOKUP(ALZ$1,'Renta Fija Mixta + Metales Mode'!$B$22:$C$36,2,FALSE),0%)</f>
        <v>0</v>
      </c>
      <c r="AMA5" s="5">
        <f>IFERROR(VLOOKUP(AMA$1,'Renta Fija Mixta + Metales Mode'!$B$22:$C$36,2,FALSE),0%)</f>
        <v>0</v>
      </c>
      <c r="AMB5" s="5">
        <f>IFERROR(VLOOKUP(AMB$1,'Renta Fija Mixta + Metales Mode'!$B$22:$C$36,2,FALSE),0%)</f>
        <v>0</v>
      </c>
      <c r="AMC5" s="5">
        <f>IFERROR(VLOOKUP(AMC$1,'Renta Fija Mixta + Metales Mode'!$B$22:$C$36,2,FALSE),0%)</f>
        <v>0</v>
      </c>
      <c r="AMD5" s="5">
        <f>IFERROR(VLOOKUP(AMD$1,'Renta Fija Mixta + Metales Mode'!$B$22:$C$36,2,FALSE),0%)</f>
        <v>0</v>
      </c>
      <c r="AME5" s="5">
        <f>IFERROR(VLOOKUP(AME$1,'Renta Fija Mixta + Metales Mode'!$B$22:$C$36,2,FALSE),0%)</f>
        <v>0</v>
      </c>
      <c r="AMF5" s="5">
        <f>IFERROR(VLOOKUP(AMF$1,'Renta Fija Mixta + Metales Mode'!$B$22:$C$36,2,FALSE),0%)</f>
        <v>0</v>
      </c>
      <c r="AMG5" s="5">
        <f>IFERROR(VLOOKUP(AMG$1,'Renta Fija Mixta + Metales Mode'!$B$22:$C$36,2,FALSE),0%)</f>
        <v>0</v>
      </c>
      <c r="AMH5" s="5">
        <f>IFERROR(VLOOKUP(AMH$1,'Renta Fija Mixta + Metales Mode'!$B$22:$C$36,2,FALSE),0%)</f>
        <v>0</v>
      </c>
      <c r="AMI5" s="5">
        <f>IFERROR(VLOOKUP(AMI$1,'Renta Fija Mixta + Metales Mode'!$B$22:$C$36,2,FALSE),0%)</f>
        <v>0</v>
      </c>
      <c r="AMJ5" s="5">
        <f>IFERROR(VLOOKUP(AMJ$1,'Renta Fija Mixta + Metales Mode'!$B$22:$C$36,2,FALSE),0%)</f>
        <v>0</v>
      </c>
      <c r="AMK5" s="5">
        <f>IFERROR(VLOOKUP(AMK$1,'Renta Fija Mixta + Metales Mode'!$B$22:$C$36,2,FALSE),0%)</f>
        <v>0</v>
      </c>
      <c r="AML5" s="5">
        <f>IFERROR(VLOOKUP(AML$1,'Renta Fija Mixta + Metales Mode'!$B$22:$C$36,2,FALSE),0%)</f>
        <v>0</v>
      </c>
      <c r="AMM5" s="5">
        <f>IFERROR(VLOOKUP(AMM$1,'Renta Fija Mixta + Metales Mode'!$B$22:$C$36,2,FALSE),0%)</f>
        <v>0</v>
      </c>
      <c r="AMN5" s="5">
        <f>IFERROR(VLOOKUP(AMN$1,'Renta Fija Mixta + Metales Mode'!$B$22:$C$36,2,FALSE),0%)</f>
        <v>0</v>
      </c>
      <c r="AMO5" s="5">
        <f>IFERROR(VLOOKUP(AMO$1,'Renta Fija Mixta + Metales Mode'!$B$22:$C$36,2,FALSE),0%)</f>
        <v>0</v>
      </c>
      <c r="AMP5" s="5">
        <f>IFERROR(VLOOKUP(AMP$1,'Renta Fija Mixta + Metales Mode'!$B$22:$C$36,2,FALSE),0%)</f>
        <v>0</v>
      </c>
      <c r="AMQ5" s="5">
        <f>IFERROR(VLOOKUP(AMQ$1,'Renta Fija Mixta + Metales Mode'!$B$22:$C$36,2,FALSE),0%)</f>
        <v>0</v>
      </c>
      <c r="AMR5" s="5">
        <f>IFERROR(VLOOKUP(AMR$1,'Renta Fija Mixta + Metales Mode'!$B$22:$C$36,2,FALSE),0%)</f>
        <v>0</v>
      </c>
      <c r="AMS5" s="5">
        <f>IFERROR(VLOOKUP(AMS$1,'Renta Fija Mixta + Metales Mode'!$B$22:$C$36,2,FALSE),0%)</f>
        <v>0</v>
      </c>
      <c r="AMT5" s="5">
        <f>IFERROR(VLOOKUP(AMT$1,'Renta Fija Mixta + Metales Mode'!$B$22:$C$36,2,FALSE),0%)</f>
        <v>0</v>
      </c>
      <c r="AMU5" s="5">
        <f>IFERROR(VLOOKUP(AMU$1,'Renta Fija Mixta + Metales Mode'!$B$22:$C$36,2,FALSE),0%)</f>
        <v>0</v>
      </c>
      <c r="AMV5" s="5">
        <f>IFERROR(VLOOKUP(AMV$1,'Renta Fija Mixta + Metales Mode'!$B$22:$C$36,2,FALSE),0%)</f>
        <v>0</v>
      </c>
      <c r="AMW5" s="5">
        <f>IFERROR(VLOOKUP(AMW$1,'Renta Fija Mixta + Metales Mode'!$B$22:$C$36,2,FALSE),0%)</f>
        <v>0</v>
      </c>
      <c r="AMX5" s="5">
        <f>IFERROR(VLOOKUP(AMX$1,'Renta Fija Mixta + Metales Mode'!$B$22:$C$36,2,FALSE),0%)</f>
        <v>0</v>
      </c>
      <c r="AMY5" s="5">
        <f>IFERROR(VLOOKUP(AMY$1,'Renta Fija Mixta + Metales Mode'!$B$22:$C$36,2,FALSE),0%)</f>
        <v>0</v>
      </c>
      <c r="AMZ5" s="5">
        <f>IFERROR(VLOOKUP(AMZ$1,'Renta Fija Mixta + Metales Mode'!$B$22:$C$36,2,FALSE),0%)</f>
        <v>0</v>
      </c>
      <c r="ANA5" s="5">
        <f>IFERROR(VLOOKUP(ANA$1,'Renta Fija Mixta + Metales Mode'!$B$22:$C$36,2,FALSE),0%)</f>
        <v>0</v>
      </c>
      <c r="ANB5" s="5">
        <f>IFERROR(VLOOKUP(ANB$1,'Renta Fija Mixta + Metales Mode'!$B$22:$C$36,2,FALSE),0%)</f>
        <v>0</v>
      </c>
      <c r="ANC5" s="5">
        <f>IFERROR(VLOOKUP(ANC$1,'Renta Fija Mixta + Metales Mode'!$B$22:$C$36,2,FALSE),0%)</f>
        <v>0</v>
      </c>
      <c r="AND5" s="5">
        <f>IFERROR(VLOOKUP(AND$1,'Renta Fija Mixta + Metales Mode'!$B$22:$C$36,2,FALSE),0%)</f>
        <v>0</v>
      </c>
      <c r="ANE5" s="5">
        <f>IFERROR(VLOOKUP(ANE$1,'Renta Fija Mixta + Metales Mode'!$B$22:$C$36,2,FALSE),0%)</f>
        <v>0</v>
      </c>
      <c r="ANF5" s="5">
        <f>IFERROR(VLOOKUP(ANF$1,'Renta Fija Mixta + Metales Mode'!$B$22:$C$36,2,FALSE),0%)</f>
        <v>0</v>
      </c>
      <c r="ANG5" s="5">
        <f>IFERROR(VLOOKUP(ANG$1,'Renta Fija Mixta + Metales Mode'!$B$22:$C$36,2,FALSE),0%)</f>
        <v>0</v>
      </c>
      <c r="ANH5" s="5">
        <f>IFERROR(VLOOKUP(ANH$1,'Renta Fija Mixta + Metales Mode'!$B$22:$C$36,2,FALSE),0%)</f>
        <v>0</v>
      </c>
      <c r="ANI5" s="5">
        <f>IFERROR(VLOOKUP(ANI$1,'Renta Fija Mixta + Metales Mode'!$B$22:$C$36,2,FALSE),0%)</f>
        <v>0</v>
      </c>
      <c r="ANJ5" s="5">
        <f>IFERROR(VLOOKUP(ANJ$1,'Renta Fija Mixta + Metales Mode'!$B$22:$C$36,2,FALSE),0%)</f>
        <v>0</v>
      </c>
      <c r="ANK5" s="5">
        <f>IFERROR(VLOOKUP(ANK$1,'Renta Fija Mixta + Metales Mode'!$B$22:$C$36,2,FALSE),0%)</f>
        <v>0</v>
      </c>
      <c r="ANL5" s="5">
        <f>IFERROR(VLOOKUP(ANL$1,'Renta Fija Mixta + Metales Mode'!$B$22:$C$36,2,FALSE),0%)</f>
        <v>0</v>
      </c>
      <c r="ANM5" s="5">
        <f>IFERROR(VLOOKUP(ANM$1,'Renta Fija Mixta + Metales Mode'!$B$22:$C$36,2,FALSE),0%)</f>
        <v>0</v>
      </c>
      <c r="ANN5" s="5">
        <f>IFERROR(VLOOKUP(ANN$1,'Renta Fija Mixta + Metales Mode'!$B$22:$C$36,2,FALSE),0%)</f>
        <v>0</v>
      </c>
      <c r="ANO5" s="5">
        <f>IFERROR(VLOOKUP(ANO$1,'Renta Fija Mixta + Metales Mode'!$B$22:$C$36,2,FALSE),0%)</f>
        <v>0</v>
      </c>
      <c r="ANP5" s="5">
        <f>IFERROR(VLOOKUP(ANP$1,'Renta Fija Mixta + Metales Mode'!$B$22:$C$36,2,FALSE),0%)</f>
        <v>0</v>
      </c>
      <c r="ANQ5" s="5">
        <f>IFERROR(VLOOKUP(ANQ$1,'Renta Fija Mixta + Metales Mode'!$B$22:$C$36,2,FALSE),0%)</f>
        <v>0</v>
      </c>
      <c r="ANR5" s="5">
        <f>IFERROR(VLOOKUP(ANR$1,'Renta Fija Mixta + Metales Mode'!$B$22:$C$36,2,FALSE),0%)</f>
        <v>0</v>
      </c>
      <c r="ANS5" s="5">
        <f>IFERROR(VLOOKUP(ANS$1,'Renta Fija Mixta + Metales Mode'!$B$22:$C$36,2,FALSE),0%)</f>
        <v>0</v>
      </c>
      <c r="ANT5" s="5">
        <f>IFERROR(VLOOKUP(ANT$1,'Renta Fija Mixta + Metales Mode'!$B$22:$C$36,2,FALSE),0%)</f>
        <v>0</v>
      </c>
      <c r="ANU5" s="5">
        <f>IFERROR(VLOOKUP(ANU$1,'Renta Fija Mixta + Metales Mode'!$B$22:$C$36,2,FALSE),0%)</f>
        <v>0</v>
      </c>
      <c r="ANV5" s="5">
        <f>IFERROR(VLOOKUP(ANV$1,'Renta Fija Mixta + Metales Mode'!$B$22:$C$36,2,FALSE),0%)</f>
        <v>0</v>
      </c>
      <c r="ANW5" s="5">
        <f>IFERROR(VLOOKUP(ANW$1,'Renta Fija Mixta + Metales Mode'!$B$22:$C$36,2,FALSE),0%)</f>
        <v>0</v>
      </c>
      <c r="ANX5" s="5">
        <f>IFERROR(VLOOKUP(ANX$1,'Renta Fija Mixta + Metales Mode'!$B$22:$C$36,2,FALSE),0%)</f>
        <v>0</v>
      </c>
      <c r="ANY5" s="5">
        <f>IFERROR(VLOOKUP(ANY$1,'Renta Fija Mixta + Metales Mode'!$B$22:$C$36,2,FALSE),0%)</f>
        <v>0</v>
      </c>
      <c r="ANZ5" s="5">
        <f>IFERROR(VLOOKUP(ANZ$1,'Renta Fija Mixta + Metales Mode'!$B$22:$C$36,2,FALSE),0%)</f>
        <v>0</v>
      </c>
      <c r="AOA5" s="5">
        <f>IFERROR(VLOOKUP(AOA$1,'Renta Fija Mixta + Metales Mode'!$B$22:$C$36,2,FALSE),0%)</f>
        <v>0</v>
      </c>
      <c r="AOB5" s="5">
        <f>IFERROR(VLOOKUP(AOB$1,'Renta Fija Mixta + Metales Mode'!$B$22:$C$36,2,FALSE),0%)</f>
        <v>0</v>
      </c>
      <c r="AOC5" s="5">
        <f>IFERROR(VLOOKUP(AOC$1,'Renta Fija Mixta + Metales Mode'!$B$22:$C$36,2,FALSE),0%)</f>
        <v>0</v>
      </c>
      <c r="AOD5" s="5">
        <f>IFERROR(VLOOKUP(AOD$1,'Renta Fija Mixta + Metales Mode'!$B$22:$C$36,2,FALSE),0%)</f>
        <v>0</v>
      </c>
      <c r="AOE5" s="5">
        <f>IFERROR(VLOOKUP(AOE$1,'Renta Fija Mixta + Metales Mode'!$B$22:$C$36,2,FALSE),0%)</f>
        <v>0</v>
      </c>
      <c r="AOF5" s="5">
        <f>IFERROR(VLOOKUP(AOF$1,'Renta Fija Mixta + Metales Mode'!$B$22:$C$36,2,FALSE),0%)</f>
        <v>0</v>
      </c>
      <c r="AOG5" s="5">
        <f>IFERROR(VLOOKUP(AOG$1,'Renta Fija Mixta + Metales Mode'!$B$22:$C$36,2,FALSE),0%)</f>
        <v>0</v>
      </c>
      <c r="AOH5" s="5">
        <f>IFERROR(VLOOKUP(AOH$1,'Renta Fija Mixta + Metales Mode'!$B$22:$C$36,2,FALSE),0%)</f>
        <v>0</v>
      </c>
      <c r="AOI5" s="5">
        <f>IFERROR(VLOOKUP(AOI$1,'Renta Fija Mixta + Metales Mode'!$B$22:$C$36,2,FALSE),0%)</f>
        <v>0</v>
      </c>
      <c r="AOJ5" s="5">
        <f>IFERROR(VLOOKUP(AOJ$1,'Renta Fija Mixta + Metales Mode'!$B$22:$C$36,2,FALSE),0%)</f>
        <v>0</v>
      </c>
      <c r="AOK5" s="5">
        <f>IFERROR(VLOOKUP(AOK$1,'Renta Fija Mixta + Metales Mode'!$B$22:$C$36,2,FALSE),0%)</f>
        <v>0</v>
      </c>
      <c r="AOL5" s="5">
        <f>IFERROR(VLOOKUP(AOL$1,'Renta Fija Mixta + Metales Mode'!$B$22:$C$36,2,FALSE),0%)</f>
        <v>0</v>
      </c>
      <c r="AOM5" s="5">
        <f>IFERROR(VLOOKUP(AOM$1,'Renta Fija Mixta + Metales Mode'!$B$22:$C$36,2,FALSE),0%)</f>
        <v>0</v>
      </c>
      <c r="AON5" s="5">
        <f>IFERROR(VLOOKUP(AON$1,'Renta Fija Mixta + Metales Mode'!$B$22:$C$36,2,FALSE),0%)</f>
        <v>0</v>
      </c>
      <c r="AOO5" s="5">
        <f>IFERROR(VLOOKUP(AOO$1,'Renta Fija Mixta + Metales Mode'!$B$22:$C$36,2,FALSE),0%)</f>
        <v>0</v>
      </c>
      <c r="AOP5" s="5">
        <f>IFERROR(VLOOKUP(AOP$1,'Renta Fija Mixta + Metales Mode'!$B$22:$C$36,2,FALSE),0%)</f>
        <v>0</v>
      </c>
      <c r="AOQ5" s="5">
        <f>IFERROR(VLOOKUP(AOQ$1,'Renta Fija Mixta + Metales Mode'!$B$22:$C$36,2,FALSE),0%)</f>
        <v>0</v>
      </c>
      <c r="AOR5" s="5">
        <f>IFERROR(VLOOKUP(AOR$1,'Renta Fija Mixta + Metales Mode'!$B$22:$C$36,2,FALSE),0%)</f>
        <v>0</v>
      </c>
      <c r="AOS5" s="5">
        <f>IFERROR(VLOOKUP(AOS$1,'Renta Fija Mixta + Metales Mode'!$B$22:$C$36,2,FALSE),0%)</f>
        <v>0</v>
      </c>
      <c r="AOT5" s="5">
        <f>IFERROR(VLOOKUP(AOT$1,'Renta Fija Mixta + Metales Mode'!$B$22:$C$36,2,FALSE),0%)</f>
        <v>0</v>
      </c>
      <c r="AOU5" s="5">
        <f>IFERROR(VLOOKUP(AOU$1,'Renta Fija Mixta + Metales Mode'!$B$22:$C$36,2,FALSE),0%)</f>
        <v>0</v>
      </c>
      <c r="AOV5" s="5">
        <f>IFERROR(VLOOKUP(AOV$1,'Renta Fija Mixta + Metales Mode'!$B$22:$C$36,2,FALSE),0%)</f>
        <v>0</v>
      </c>
      <c r="AOW5" s="5">
        <f>IFERROR(VLOOKUP(AOW$1,'Renta Fija Mixta + Metales Mode'!$B$22:$C$36,2,FALSE),0%)</f>
        <v>0</v>
      </c>
      <c r="AOX5" s="5">
        <f>IFERROR(VLOOKUP(AOX$1,'Renta Fija Mixta + Metales Mode'!$B$22:$C$36,2,FALSE),0%)</f>
        <v>0</v>
      </c>
      <c r="AOY5" s="5">
        <f>IFERROR(VLOOKUP(AOY$1,'Renta Fija Mixta + Metales Mode'!$B$22:$C$36,2,FALSE),0%)</f>
        <v>0</v>
      </c>
      <c r="AOZ5" s="5">
        <f>IFERROR(VLOOKUP(AOZ$1,'Renta Fija Mixta + Metales Mode'!$B$22:$C$36,2,FALSE),0%)</f>
        <v>0</v>
      </c>
      <c r="APA5" s="5">
        <f>IFERROR(VLOOKUP(APA$1,'Renta Fija Mixta + Metales Mode'!$B$22:$C$36,2,FALSE),0%)</f>
        <v>0</v>
      </c>
      <c r="APB5" s="5">
        <f>IFERROR(VLOOKUP(APB$1,'Renta Fija Mixta + Metales Mode'!$B$22:$C$36,2,FALSE),0%)</f>
        <v>0</v>
      </c>
      <c r="APC5" s="5">
        <f>IFERROR(VLOOKUP(APC$1,'Renta Fija Mixta + Metales Mode'!$B$22:$C$36,2,FALSE),0%)</f>
        <v>0</v>
      </c>
      <c r="APD5" s="5">
        <f>IFERROR(VLOOKUP(APD$1,'Renta Fija Mixta + Metales Mode'!$B$22:$C$36,2,FALSE),0%)</f>
        <v>0</v>
      </c>
      <c r="APE5" s="5">
        <f>IFERROR(VLOOKUP(APE$1,'Renta Fija Mixta + Metales Mode'!$B$22:$C$36,2,FALSE),0%)</f>
        <v>0</v>
      </c>
      <c r="APF5" s="5">
        <f>IFERROR(VLOOKUP(APF$1,'Renta Fija Mixta + Metales Mode'!$B$22:$C$36,2,FALSE),0%)</f>
        <v>0</v>
      </c>
      <c r="APG5" s="5">
        <f>IFERROR(VLOOKUP(APG$1,'Renta Fija Mixta + Metales Mode'!$B$22:$C$36,2,FALSE),0%)</f>
        <v>0</v>
      </c>
      <c r="APH5" s="5">
        <f>IFERROR(VLOOKUP(APH$1,'Renta Fija Mixta + Metales Mode'!$B$22:$C$36,2,FALSE),0%)</f>
        <v>0</v>
      </c>
      <c r="API5" s="5">
        <f>IFERROR(VLOOKUP(API$1,'Renta Fija Mixta + Metales Mode'!$B$22:$C$36,2,FALSE),0%)</f>
        <v>0</v>
      </c>
      <c r="APJ5" s="5">
        <f>IFERROR(VLOOKUP(APJ$1,'Renta Fija Mixta + Metales Mode'!$B$22:$C$36,2,FALSE),0%)</f>
        <v>0</v>
      </c>
      <c r="APK5" s="5">
        <f>IFERROR(VLOOKUP(APK$1,'Renta Fija Mixta + Metales Mode'!$B$22:$C$36,2,FALSE),0%)</f>
        <v>0</v>
      </c>
      <c r="APL5" s="5">
        <f>IFERROR(VLOOKUP(APL$1,'Renta Fija Mixta + Metales Mode'!$B$22:$C$36,2,FALSE),0%)</f>
        <v>0</v>
      </c>
      <c r="APM5" s="5">
        <f>IFERROR(VLOOKUP(APM$1,'Renta Fija Mixta + Metales Mode'!$B$22:$C$36,2,FALSE),0%)</f>
        <v>0</v>
      </c>
      <c r="APN5" s="5">
        <f>IFERROR(VLOOKUP(APN$1,'Renta Fija Mixta + Metales Mode'!$B$22:$C$36,2,FALSE),0%)</f>
        <v>0</v>
      </c>
      <c r="APO5" s="5">
        <f>IFERROR(VLOOKUP(APO$1,'Renta Fija Mixta + Metales Mode'!$B$22:$C$36,2,FALSE),0%)</f>
        <v>0</v>
      </c>
      <c r="APP5" s="5">
        <f>IFERROR(VLOOKUP(APP$1,'Renta Fija Mixta + Metales Mode'!$B$22:$C$36,2,FALSE),0%)</f>
        <v>0</v>
      </c>
      <c r="APQ5" s="5">
        <f>IFERROR(VLOOKUP(APQ$1,'Renta Fija Mixta + Metales Mode'!$B$22:$C$36,2,FALSE),0%)</f>
        <v>0</v>
      </c>
      <c r="APR5" s="5">
        <f>IFERROR(VLOOKUP(APR$1,'Renta Fija Mixta + Metales Mode'!$B$22:$C$36,2,FALSE),0%)</f>
        <v>0</v>
      </c>
      <c r="APS5" s="5">
        <f>IFERROR(VLOOKUP(APS$1,'Renta Fija Mixta + Metales Mode'!$B$22:$C$36,2,FALSE),0%)</f>
        <v>0</v>
      </c>
      <c r="APT5" s="5">
        <f>IFERROR(VLOOKUP(APT$1,'Renta Fija Mixta + Metales Mode'!$B$22:$C$36,2,FALSE),0%)</f>
        <v>0</v>
      </c>
      <c r="APU5" s="5">
        <f>IFERROR(VLOOKUP(APU$1,'Renta Fija Mixta + Metales Mode'!$B$22:$C$36,2,FALSE),0%)</f>
        <v>0</v>
      </c>
      <c r="APV5" s="5">
        <f>IFERROR(VLOOKUP(APV$1,'Renta Fija Mixta + Metales Mode'!$B$22:$C$36,2,FALSE),0%)</f>
        <v>0</v>
      </c>
      <c r="APW5" s="5">
        <f>IFERROR(VLOOKUP(APW$1,'Renta Fija Mixta + Metales Mode'!$B$22:$C$36,2,FALSE),0%)</f>
        <v>0</v>
      </c>
      <c r="APX5" s="5">
        <f>IFERROR(VLOOKUP(APX$1,'Renta Fija Mixta + Metales Mode'!$B$22:$C$36,2,FALSE),0%)</f>
        <v>0</v>
      </c>
      <c r="APY5" s="5">
        <f>IFERROR(VLOOKUP(APY$1,'Renta Fija Mixta + Metales Mode'!$B$22:$C$36,2,FALSE),0%)</f>
        <v>0</v>
      </c>
      <c r="APZ5" s="5">
        <f>IFERROR(VLOOKUP(APZ$1,'Renta Fija Mixta + Metales Mode'!$B$22:$C$36,2,FALSE),0%)</f>
        <v>0</v>
      </c>
      <c r="AQA5" s="5">
        <f>IFERROR(VLOOKUP(AQA$1,'Renta Fija Mixta + Metales Mode'!$B$22:$C$36,2,FALSE),0%)</f>
        <v>0</v>
      </c>
      <c r="AQB5" s="5">
        <f>IFERROR(VLOOKUP(AQB$1,'Renta Fija Mixta + Metales Mode'!$B$22:$C$36,2,FALSE),0%)</f>
        <v>0</v>
      </c>
      <c r="AQC5" s="5">
        <f>IFERROR(VLOOKUP(AQC$1,'Renta Fija Mixta + Metales Mode'!$B$22:$C$36,2,FALSE),0%)</f>
        <v>0</v>
      </c>
      <c r="AQD5" s="5">
        <f>IFERROR(VLOOKUP(AQD$1,'Renta Fija Mixta + Metales Mode'!$B$22:$C$36,2,FALSE),0%)</f>
        <v>0</v>
      </c>
      <c r="AQE5" s="5">
        <f>IFERROR(VLOOKUP(AQE$1,'Renta Fija Mixta + Metales Mode'!$B$22:$C$36,2,FALSE),0%)</f>
        <v>0</v>
      </c>
      <c r="AQF5" s="5">
        <f>IFERROR(VLOOKUP(AQF$1,'Renta Fija Mixta + Metales Mode'!$B$22:$C$36,2,FALSE),0%)</f>
        <v>0</v>
      </c>
      <c r="AQG5" s="5">
        <f>IFERROR(VLOOKUP(AQG$1,'Renta Fija Mixta + Metales Mode'!$B$22:$C$36,2,FALSE),0%)</f>
        <v>0</v>
      </c>
      <c r="AQH5" s="5">
        <f>IFERROR(VLOOKUP(AQH$1,'Renta Fija Mixta + Metales Mode'!$B$22:$C$36,2,FALSE),0%)</f>
        <v>0</v>
      </c>
      <c r="AQI5" s="5">
        <f>IFERROR(VLOOKUP(AQI$1,'Renta Fija Mixta + Metales Mode'!$B$22:$C$36,2,FALSE),0%)</f>
        <v>0</v>
      </c>
      <c r="AQJ5" s="5">
        <f>IFERROR(VLOOKUP(AQJ$1,'Renta Fija Mixta + Metales Mode'!$B$22:$C$36,2,FALSE),0%)</f>
        <v>0</v>
      </c>
      <c r="AQK5" s="5">
        <f>IFERROR(VLOOKUP(AQK$1,'Renta Fija Mixta + Metales Mode'!$B$22:$C$36,2,FALSE),0%)</f>
        <v>0</v>
      </c>
      <c r="AQL5" s="5">
        <f>IFERROR(VLOOKUP(AQL$1,'Renta Fija Mixta + Metales Mode'!$B$22:$C$36,2,FALSE),0%)</f>
        <v>0</v>
      </c>
      <c r="AQM5" s="5">
        <f>IFERROR(VLOOKUP(AQM$1,'Renta Fija Mixta + Metales Mode'!$B$22:$C$36,2,FALSE),0%)</f>
        <v>0</v>
      </c>
      <c r="AQN5" s="5">
        <f>IFERROR(VLOOKUP(AQN$1,'Renta Fija Mixta + Metales Mode'!$B$22:$C$36,2,FALSE),0%)</f>
        <v>0</v>
      </c>
      <c r="AQO5" s="5">
        <f>IFERROR(VLOOKUP(AQO$1,'Renta Fija Mixta + Metales Mode'!$B$22:$C$36,2,FALSE),0%)</f>
        <v>0</v>
      </c>
      <c r="AQP5" s="5">
        <f>IFERROR(VLOOKUP(AQP$1,'Renta Fija Mixta + Metales Mode'!$B$22:$C$36,2,FALSE),0%)</f>
        <v>0</v>
      </c>
      <c r="AQQ5" s="5">
        <f>IFERROR(VLOOKUP(AQQ$1,'Renta Fija Mixta + Metales Mode'!$B$22:$C$36,2,FALSE),0%)</f>
        <v>0</v>
      </c>
      <c r="AQR5" s="5">
        <f>IFERROR(VLOOKUP(AQR$1,'Renta Fija Mixta + Metales Mode'!$B$22:$C$36,2,FALSE),0%)</f>
        <v>0</v>
      </c>
      <c r="AQS5" s="5">
        <f>IFERROR(VLOOKUP(AQS$1,'Renta Fija Mixta + Metales Mode'!$B$22:$C$36,2,FALSE),0%)</f>
        <v>0</v>
      </c>
      <c r="AQT5" s="5">
        <f>IFERROR(VLOOKUP(AQT$1,'Renta Fija Mixta + Metales Mode'!$B$22:$C$36,2,FALSE),0%)</f>
        <v>0</v>
      </c>
      <c r="AQU5" s="5">
        <f>IFERROR(VLOOKUP(AQU$1,'Renta Fija Mixta + Metales Mode'!$B$22:$C$36,2,FALSE),0%)</f>
        <v>0</v>
      </c>
      <c r="AQV5" s="5">
        <f>IFERROR(VLOOKUP(AQV$1,'Renta Fija Mixta + Metales Mode'!$B$22:$C$36,2,FALSE),0%)</f>
        <v>0</v>
      </c>
      <c r="AQW5" s="5">
        <f>IFERROR(VLOOKUP(AQW$1,'Renta Fija Mixta + Metales Mode'!$B$22:$C$36,2,FALSE),0%)</f>
        <v>0</v>
      </c>
      <c r="AQX5" s="5">
        <f>IFERROR(VLOOKUP(AQX$1,'Renta Fija Mixta + Metales Mode'!$B$22:$C$36,2,FALSE),0%)</f>
        <v>0</v>
      </c>
      <c r="AQY5" s="5">
        <f>IFERROR(VLOOKUP(AQY$1,'Renta Fija Mixta + Metales Mode'!$B$22:$C$36,2,FALSE),0%)</f>
        <v>0</v>
      </c>
      <c r="AQZ5" s="5">
        <f>IFERROR(VLOOKUP(AQZ$1,'Renta Fija Mixta + Metales Mode'!$B$22:$C$36,2,FALSE),0%)</f>
        <v>0</v>
      </c>
      <c r="ARA5" s="5">
        <f>IFERROR(VLOOKUP(ARA$1,'Renta Fija Mixta + Metales Mode'!$B$22:$C$36,2,FALSE),0%)</f>
        <v>0</v>
      </c>
      <c r="ARB5" s="5">
        <f>IFERROR(VLOOKUP(ARB$1,'Renta Fija Mixta + Metales Mode'!$B$22:$C$36,2,FALSE),0%)</f>
        <v>0</v>
      </c>
      <c r="ARC5" s="5">
        <f>IFERROR(VLOOKUP(ARC$1,'Renta Fija Mixta + Metales Mode'!$B$22:$C$36,2,FALSE),0%)</f>
        <v>0</v>
      </c>
      <c r="ARD5" s="5">
        <f>IFERROR(VLOOKUP(ARD$1,'Renta Fija Mixta + Metales Mode'!$B$22:$C$36,2,FALSE),0%)</f>
        <v>0</v>
      </c>
      <c r="ARE5" s="5">
        <f>IFERROR(VLOOKUP(ARE$1,'Renta Fija Mixta + Metales Mode'!$B$22:$C$36,2,FALSE),0%)</f>
        <v>0</v>
      </c>
      <c r="ARF5" s="5">
        <f>IFERROR(VLOOKUP(ARF$1,'Renta Fija Mixta + Metales Mode'!$B$22:$C$36,2,FALSE),0%)</f>
        <v>0</v>
      </c>
      <c r="ARG5" s="5">
        <f>IFERROR(VLOOKUP(ARG$1,'Renta Fija Mixta + Metales Mode'!$B$22:$C$36,2,FALSE),0%)</f>
        <v>0</v>
      </c>
      <c r="ARH5" s="5">
        <f>IFERROR(VLOOKUP(ARH$1,'Renta Fija Mixta + Metales Mode'!$B$22:$C$36,2,FALSE),0%)</f>
        <v>0</v>
      </c>
      <c r="ARI5" s="5">
        <f>IFERROR(VLOOKUP(ARI$1,'Renta Fija Mixta + Metales Mode'!$B$22:$C$36,2,FALSE),0%)</f>
        <v>0</v>
      </c>
      <c r="ARJ5" s="5">
        <f>IFERROR(VLOOKUP(ARJ$1,'Renta Fija Mixta + Metales Mode'!$B$22:$C$36,2,FALSE),0%)</f>
        <v>0</v>
      </c>
      <c r="ARK5" s="5">
        <f>IFERROR(VLOOKUP(ARK$1,'Renta Fija Mixta + Metales Mode'!$B$22:$C$36,2,FALSE),0%)</f>
        <v>0</v>
      </c>
      <c r="ARL5" s="5">
        <f>IFERROR(VLOOKUP(ARL$1,'Renta Fija Mixta + Metales Mode'!$B$22:$C$36,2,FALSE),0%)</f>
        <v>0</v>
      </c>
      <c r="ARM5" s="5">
        <f>IFERROR(VLOOKUP(ARM$1,'Renta Fija Mixta + Metales Mode'!$B$22:$C$36,2,FALSE),0%)</f>
        <v>0</v>
      </c>
      <c r="ARN5" s="5">
        <f>IFERROR(VLOOKUP(ARN$1,'Renta Fija Mixta + Metales Mode'!$B$22:$C$36,2,FALSE),0%)</f>
        <v>0</v>
      </c>
      <c r="ARO5" s="5">
        <f>IFERROR(VLOOKUP(ARO$1,'Renta Fija Mixta + Metales Mode'!$B$22:$C$36,2,FALSE),0%)</f>
        <v>0</v>
      </c>
      <c r="ARP5" s="5">
        <f>IFERROR(VLOOKUP(ARP$1,'Renta Fija Mixta + Metales Mode'!$B$22:$C$36,2,FALSE),0%)</f>
        <v>0</v>
      </c>
      <c r="ARQ5" s="5">
        <f>IFERROR(VLOOKUP(ARQ$1,'Renta Fija Mixta + Metales Mode'!$B$22:$C$36,2,FALSE),0%)</f>
        <v>0</v>
      </c>
      <c r="ARR5" s="5">
        <f>IFERROR(VLOOKUP(ARR$1,'Renta Fija Mixta + Metales Mode'!$B$22:$C$36,2,FALSE),0%)</f>
        <v>0</v>
      </c>
      <c r="ARS5" s="5">
        <f>IFERROR(VLOOKUP(ARS$1,'Renta Fija Mixta + Metales Mode'!$B$22:$C$36,2,FALSE),0%)</f>
        <v>0</v>
      </c>
      <c r="ART5" s="5">
        <f>IFERROR(VLOOKUP(ART$1,'Renta Fija Mixta + Metales Mode'!$B$22:$C$36,2,FALSE),0%)</f>
        <v>0</v>
      </c>
      <c r="ARU5" s="5">
        <f>IFERROR(VLOOKUP(ARU$1,'Renta Fija Mixta + Metales Mode'!$B$22:$C$36,2,FALSE),0%)</f>
        <v>0</v>
      </c>
      <c r="ARV5" s="5">
        <f>IFERROR(VLOOKUP(ARV$1,'Renta Fija Mixta + Metales Mode'!$B$22:$C$36,2,FALSE),0%)</f>
        <v>0</v>
      </c>
      <c r="ARW5" s="5">
        <f>IFERROR(VLOOKUP(ARW$1,'Renta Fija Mixta + Metales Mode'!$B$22:$C$36,2,FALSE),0%)</f>
        <v>0</v>
      </c>
      <c r="ARX5" s="5">
        <f>IFERROR(VLOOKUP(ARX$1,'Renta Fija Mixta + Metales Mode'!$B$22:$C$36,2,FALSE),0%)</f>
        <v>0</v>
      </c>
      <c r="ARY5" s="5">
        <f>IFERROR(VLOOKUP(ARY$1,'Renta Fija Mixta + Metales Mode'!$B$22:$C$36,2,FALSE),0%)</f>
        <v>0</v>
      </c>
      <c r="ARZ5" s="5">
        <f>IFERROR(VLOOKUP(ARZ$1,'Renta Fija Mixta + Metales Mode'!$B$22:$C$36,2,FALSE),0%)</f>
        <v>0</v>
      </c>
      <c r="ASA5" s="5">
        <f>IFERROR(VLOOKUP(ASA$1,'Renta Fija Mixta + Metales Mode'!$B$22:$C$36,2,FALSE),0%)</f>
        <v>0</v>
      </c>
      <c r="ASB5" s="5">
        <f>IFERROR(VLOOKUP(ASB$1,'Renta Fija Mixta + Metales Mode'!$B$22:$C$36,2,FALSE),0%)</f>
        <v>0</v>
      </c>
      <c r="ASC5" s="5">
        <f>IFERROR(VLOOKUP(ASC$1,'Renta Fija Mixta + Metales Mode'!$B$22:$C$36,2,FALSE),0%)</f>
        <v>0</v>
      </c>
      <c r="ASD5" s="5">
        <f>IFERROR(VLOOKUP(ASD$1,'Renta Fija Mixta + Metales Mode'!$B$22:$C$36,2,FALSE),0%)</f>
        <v>0</v>
      </c>
      <c r="ASE5" s="5">
        <f>IFERROR(VLOOKUP(ASE$1,'Renta Fija Mixta + Metales Mode'!$B$22:$C$36,2,FALSE),0%)</f>
        <v>0</v>
      </c>
      <c r="ASF5" s="5">
        <f>IFERROR(VLOOKUP(ASF$1,'Renta Fija Mixta + Metales Mode'!$B$22:$C$36,2,FALSE),0%)</f>
        <v>0</v>
      </c>
      <c r="ASG5" s="5">
        <f>IFERROR(VLOOKUP(ASG$1,'Renta Fija Mixta + Metales Mode'!$B$22:$C$36,2,FALSE),0%)</f>
        <v>0</v>
      </c>
      <c r="ASH5" s="5">
        <f>IFERROR(VLOOKUP(ASH$1,'Renta Fija Mixta + Metales Mode'!$B$22:$C$36,2,FALSE),0%)</f>
        <v>0</v>
      </c>
      <c r="ASI5" s="5">
        <f>IFERROR(VLOOKUP(ASI$1,'Renta Fija Mixta + Metales Mode'!$B$22:$C$36,2,FALSE),0%)</f>
        <v>0</v>
      </c>
      <c r="ASJ5" s="5">
        <f>IFERROR(VLOOKUP(ASJ$1,'Renta Fija Mixta + Metales Mode'!$B$22:$C$36,2,FALSE),0%)</f>
        <v>0</v>
      </c>
      <c r="ASK5" s="5">
        <f>IFERROR(VLOOKUP(ASK$1,'Renta Fija Mixta + Metales Mode'!$B$22:$C$36,2,FALSE),0%)</f>
        <v>0</v>
      </c>
      <c r="ASL5" s="5">
        <f>IFERROR(VLOOKUP(ASL$1,'Renta Fija Mixta + Metales Mode'!$B$22:$C$36,2,FALSE),0%)</f>
        <v>0</v>
      </c>
      <c r="ASM5" s="5">
        <f>IFERROR(VLOOKUP(ASM$1,'Renta Fija Mixta + Metales Mode'!$B$22:$C$36,2,FALSE),0%)</f>
        <v>0</v>
      </c>
      <c r="ASN5" s="5">
        <f>IFERROR(VLOOKUP(ASN$1,'Renta Fija Mixta + Metales Mode'!$B$22:$C$36,2,FALSE),0%)</f>
        <v>0</v>
      </c>
      <c r="ASO5" s="5">
        <f>IFERROR(VLOOKUP(ASO$1,'Renta Fija Mixta + Metales Mode'!$B$22:$C$36,2,FALSE),0%)</f>
        <v>0</v>
      </c>
      <c r="ASP5" s="5">
        <f>IFERROR(VLOOKUP(ASP$1,'Renta Fija Mixta + Metales Mode'!$B$22:$C$36,2,FALSE),0%)</f>
        <v>0</v>
      </c>
      <c r="ASQ5" s="5">
        <f>IFERROR(VLOOKUP(ASQ$1,'Renta Fija Mixta + Metales Mode'!$B$22:$C$36,2,FALSE),0%)</f>
        <v>0</v>
      </c>
      <c r="ASR5" s="5">
        <f>IFERROR(VLOOKUP(ASR$1,'Renta Fija Mixta + Metales Mode'!$B$22:$C$36,2,FALSE),0%)</f>
        <v>0</v>
      </c>
      <c r="ASS5" s="5">
        <f>IFERROR(VLOOKUP(ASS$1,'Renta Fija Mixta + Metales Mode'!$B$22:$C$36,2,FALSE),0%)</f>
        <v>0</v>
      </c>
      <c r="AST5" s="5">
        <f>IFERROR(VLOOKUP(AST$1,'Renta Fija Mixta + Metales Mode'!$B$22:$C$36,2,FALSE),0%)</f>
        <v>0</v>
      </c>
      <c r="ASU5" s="5">
        <f>IFERROR(VLOOKUP(ASU$1,'Renta Fija Mixta + Metales Mode'!$B$22:$C$36,2,FALSE),0%)</f>
        <v>0</v>
      </c>
      <c r="ASV5" s="5">
        <f>IFERROR(VLOOKUP(ASV$1,'Renta Fija Mixta + Metales Mode'!$B$22:$C$36,2,FALSE),0%)</f>
        <v>0</v>
      </c>
      <c r="ASW5" s="5">
        <f>IFERROR(VLOOKUP(ASW$1,'Renta Fija Mixta + Metales Mode'!$B$22:$C$36,2,FALSE),0%)</f>
        <v>0</v>
      </c>
      <c r="ASX5" s="5">
        <f>IFERROR(VLOOKUP(ASX$1,'Renta Fija Mixta + Metales Mode'!$B$22:$C$36,2,FALSE),0%)</f>
        <v>0</v>
      </c>
      <c r="ASY5" s="5">
        <f>IFERROR(VLOOKUP(ASY$1,'Renta Fija Mixta + Metales Mode'!$B$22:$C$36,2,FALSE),0%)</f>
        <v>0</v>
      </c>
      <c r="ASZ5" s="5">
        <f>IFERROR(VLOOKUP(ASZ$1,'Renta Fija Mixta + Metales Mode'!$B$22:$C$36,2,FALSE),0%)</f>
        <v>0</v>
      </c>
      <c r="ATA5" s="5">
        <f>IFERROR(VLOOKUP(ATA$1,'Renta Fija Mixta + Metales Mode'!$B$22:$C$36,2,FALSE),0%)</f>
        <v>0</v>
      </c>
      <c r="ATB5" s="5">
        <f>IFERROR(VLOOKUP(ATB$1,'Renta Fija Mixta + Metales Mode'!$B$22:$C$36,2,FALSE),0%)</f>
        <v>0</v>
      </c>
      <c r="ATC5" s="5">
        <f>IFERROR(VLOOKUP(ATC$1,'Renta Fija Mixta + Metales Mode'!$B$22:$C$36,2,FALSE),0%)</f>
        <v>0</v>
      </c>
      <c r="ATD5" s="5">
        <f>IFERROR(VLOOKUP(ATD$1,'Renta Fija Mixta + Metales Mode'!$B$22:$C$36,2,FALSE),0%)</f>
        <v>0</v>
      </c>
      <c r="ATE5" s="5">
        <f>IFERROR(VLOOKUP(ATE$1,'Renta Fija Mixta + Metales Mode'!$B$22:$C$36,2,FALSE),0%)</f>
        <v>0</v>
      </c>
      <c r="ATF5" s="5">
        <f>IFERROR(VLOOKUP(ATF$1,'Renta Fija Mixta + Metales Mode'!$B$22:$C$36,2,FALSE),0%)</f>
        <v>0</v>
      </c>
      <c r="ATG5" s="5">
        <f>IFERROR(VLOOKUP(ATG$1,'Renta Fija Mixta + Metales Mode'!$B$22:$C$36,2,FALSE),0%)</f>
        <v>0</v>
      </c>
      <c r="ATH5" s="5">
        <f>IFERROR(VLOOKUP(ATH$1,'Renta Fija Mixta + Metales Mode'!$B$22:$C$36,2,FALSE),0%)</f>
        <v>0</v>
      </c>
      <c r="ATI5" s="5">
        <f>IFERROR(VLOOKUP(ATI$1,'Renta Fija Mixta + Metales Mode'!$B$22:$C$36,2,FALSE),0%)</f>
        <v>0</v>
      </c>
      <c r="ATJ5" s="5">
        <f>IFERROR(VLOOKUP(ATJ$1,'Renta Fija Mixta + Metales Mode'!$B$22:$C$36,2,FALSE),0%)</f>
        <v>0</v>
      </c>
      <c r="ATK5" s="5">
        <f>IFERROR(VLOOKUP(ATK$1,'Renta Fija Mixta + Metales Mode'!$B$22:$C$36,2,FALSE),0%)</f>
        <v>0</v>
      </c>
      <c r="ATL5" s="5">
        <f>IFERROR(VLOOKUP(ATL$1,'Renta Fija Mixta + Metales Mode'!$B$22:$C$36,2,FALSE),0%)</f>
        <v>0</v>
      </c>
      <c r="ATM5" s="5">
        <f>IFERROR(VLOOKUP(ATM$1,'Renta Fija Mixta + Metales Mode'!$B$22:$C$36,2,FALSE),0%)</f>
        <v>0</v>
      </c>
      <c r="ATN5" s="5">
        <f>IFERROR(VLOOKUP(ATN$1,'Renta Fija Mixta + Metales Mode'!$B$22:$C$36,2,FALSE),0%)</f>
        <v>0</v>
      </c>
      <c r="ATO5" s="5">
        <f>IFERROR(VLOOKUP(ATO$1,'Renta Fija Mixta + Metales Mode'!$B$22:$C$36,2,FALSE),0%)</f>
        <v>0</v>
      </c>
      <c r="ATP5" s="5">
        <f>IFERROR(VLOOKUP(ATP$1,'Renta Fija Mixta + Metales Mode'!$B$22:$C$36,2,FALSE),0%)</f>
        <v>0</v>
      </c>
      <c r="ATQ5" s="5">
        <f>IFERROR(VLOOKUP(ATQ$1,'Renta Fija Mixta + Metales Mode'!$B$22:$C$36,2,FALSE),0%)</f>
        <v>0</v>
      </c>
      <c r="ATR5" s="5">
        <f>IFERROR(VLOOKUP(ATR$1,'Renta Fija Mixta + Metales Mode'!$B$22:$C$36,2,FALSE),0%)</f>
        <v>0</v>
      </c>
      <c r="ATS5" s="5">
        <f>IFERROR(VLOOKUP(ATS$1,'Renta Fija Mixta + Metales Mode'!$B$22:$C$36,2,FALSE),0%)</f>
        <v>0</v>
      </c>
      <c r="ATT5" s="5">
        <f>IFERROR(VLOOKUP(ATT$1,'Renta Fija Mixta + Metales Mode'!$B$22:$C$36,2,FALSE),0%)</f>
        <v>0</v>
      </c>
      <c r="ATU5" s="5">
        <f>IFERROR(VLOOKUP(ATU$1,'Renta Fija Mixta + Metales Mode'!$B$22:$C$36,2,FALSE),0%)</f>
        <v>0</v>
      </c>
      <c r="ATV5" s="5">
        <f>IFERROR(VLOOKUP(ATV$1,'Renta Fija Mixta + Metales Mode'!$B$22:$C$36,2,FALSE),0%)</f>
        <v>0</v>
      </c>
      <c r="ATW5" s="5">
        <f>IFERROR(VLOOKUP(ATW$1,'Renta Fija Mixta + Metales Mode'!$B$22:$C$36,2,FALSE),0%)</f>
        <v>0</v>
      </c>
      <c r="ATX5" s="5">
        <f>IFERROR(VLOOKUP(ATX$1,'Renta Fija Mixta + Metales Mode'!$B$22:$C$36,2,FALSE),0%)</f>
        <v>0</v>
      </c>
      <c r="ATY5" s="5">
        <f>IFERROR(VLOOKUP(ATY$1,'Renta Fija Mixta + Metales Mode'!$B$22:$C$36,2,FALSE),0%)</f>
        <v>0</v>
      </c>
      <c r="ATZ5" s="5">
        <f>IFERROR(VLOOKUP(ATZ$1,'Renta Fija Mixta + Metales Mode'!$B$22:$C$36,2,FALSE),0%)</f>
        <v>0</v>
      </c>
      <c r="AUA5" s="5">
        <f>IFERROR(VLOOKUP(AUA$1,'Renta Fija Mixta + Metales Mode'!$B$22:$C$36,2,FALSE),0%)</f>
        <v>0</v>
      </c>
      <c r="AUB5" s="5">
        <f>IFERROR(VLOOKUP(AUB$1,'Renta Fija Mixta + Metales Mode'!$B$22:$C$36,2,FALSE),0%)</f>
        <v>0</v>
      </c>
      <c r="AUC5" s="5">
        <f>IFERROR(VLOOKUP(AUC$1,'Renta Fija Mixta + Metales Mode'!$B$22:$C$36,2,FALSE),0%)</f>
        <v>0</v>
      </c>
      <c r="AUD5" s="5">
        <f>IFERROR(VLOOKUP(AUD$1,'Renta Fija Mixta + Metales Mode'!$B$22:$C$36,2,FALSE),0%)</f>
        <v>0</v>
      </c>
      <c r="AUE5" s="5">
        <f>IFERROR(VLOOKUP(AUE$1,'Renta Fija Mixta + Metales Mode'!$B$22:$C$36,2,FALSE),0%)</f>
        <v>0</v>
      </c>
      <c r="AUF5" s="5">
        <f>IFERROR(VLOOKUP(AUF$1,'Renta Fija Mixta + Metales Mode'!$B$22:$C$36,2,FALSE),0%)</f>
        <v>0</v>
      </c>
      <c r="AUG5" s="5">
        <f>IFERROR(VLOOKUP(AUG$1,'Renta Fija Mixta + Metales Mode'!$B$22:$C$36,2,FALSE),0%)</f>
        <v>0</v>
      </c>
      <c r="AUH5" s="5">
        <f>IFERROR(VLOOKUP(AUH$1,'Renta Fija Mixta + Metales Mode'!$B$22:$C$36,2,FALSE),0%)</f>
        <v>0</v>
      </c>
      <c r="AUI5" s="5">
        <f>IFERROR(VLOOKUP(AUI$1,'Renta Fija Mixta + Metales Mode'!$B$22:$C$36,2,FALSE),0%)</f>
        <v>0</v>
      </c>
      <c r="AUJ5" s="5">
        <f>IFERROR(VLOOKUP(AUJ$1,'Renta Fija Mixta + Metales Mode'!$B$22:$C$36,2,FALSE),0%)</f>
        <v>0</v>
      </c>
      <c r="AUK5" s="5">
        <f>IFERROR(VLOOKUP(AUK$1,'Renta Fija Mixta + Metales Mode'!$B$22:$C$36,2,FALSE),0%)</f>
        <v>0</v>
      </c>
      <c r="AUL5" s="5">
        <f>IFERROR(VLOOKUP(AUL$1,'Renta Fija Mixta + Metales Mode'!$B$22:$C$36,2,FALSE),0%)</f>
        <v>0</v>
      </c>
      <c r="AUM5" s="5">
        <f>IFERROR(VLOOKUP(AUM$1,'Renta Fija Mixta + Metales Mode'!$B$22:$C$36,2,FALSE),0%)</f>
        <v>0</v>
      </c>
      <c r="AUN5" s="5">
        <f>IFERROR(VLOOKUP(AUN$1,'Renta Fija Mixta + Metales Mode'!$B$22:$C$36,2,FALSE),0%)</f>
        <v>0</v>
      </c>
      <c r="AUO5" s="5">
        <f>IFERROR(VLOOKUP(AUO$1,'Renta Fija Mixta + Metales Mode'!$B$22:$C$36,2,FALSE),0%)</f>
        <v>0</v>
      </c>
      <c r="AUP5" s="5">
        <f>IFERROR(VLOOKUP(AUP$1,'Renta Fija Mixta + Metales Mode'!$B$22:$C$36,2,FALSE),0%)</f>
        <v>0</v>
      </c>
      <c r="AUQ5" s="5">
        <f>IFERROR(VLOOKUP(AUQ$1,'Renta Fija Mixta + Metales Mode'!$B$22:$C$36,2,FALSE),0%)</f>
        <v>0</v>
      </c>
      <c r="AUR5" s="5">
        <f>IFERROR(VLOOKUP(AUR$1,'Renta Fija Mixta + Metales Mode'!$B$22:$C$36,2,FALSE),0%)</f>
        <v>0</v>
      </c>
      <c r="AUS5" s="5">
        <f>IFERROR(VLOOKUP(AUS$1,'Renta Fija Mixta + Metales Mode'!$B$22:$C$36,2,FALSE),0%)</f>
        <v>0</v>
      </c>
      <c r="AUT5" s="5">
        <f>IFERROR(VLOOKUP(AUT$1,'Renta Fija Mixta + Metales Mode'!$B$22:$C$36,2,FALSE),0%)</f>
        <v>0</v>
      </c>
      <c r="AUU5" s="5">
        <f>IFERROR(VLOOKUP(AUU$1,'Renta Fija Mixta + Metales Mode'!$B$22:$C$36,2,FALSE),0%)</f>
        <v>0</v>
      </c>
      <c r="AUV5" s="5">
        <f>IFERROR(VLOOKUP(AUV$1,'Renta Fija Mixta + Metales Mode'!$B$22:$C$36,2,FALSE),0%)</f>
        <v>0</v>
      </c>
      <c r="AUW5" s="5">
        <f>IFERROR(VLOOKUP(AUW$1,'Renta Fija Mixta + Metales Mode'!$B$22:$C$36,2,FALSE),0%)</f>
        <v>0</v>
      </c>
      <c r="AUX5" s="5">
        <f>IFERROR(VLOOKUP(AUX$1,'Renta Fija Mixta + Metales Mode'!$B$22:$C$36,2,FALSE),0%)</f>
        <v>0</v>
      </c>
      <c r="AUY5" s="5">
        <f>IFERROR(VLOOKUP(AUY$1,'Renta Fija Mixta + Metales Mode'!$B$22:$C$36,2,FALSE),0%)</f>
        <v>0</v>
      </c>
      <c r="AUZ5" s="5">
        <f>IFERROR(VLOOKUP(AUZ$1,'Renta Fija Mixta + Metales Mode'!$B$22:$C$36,2,FALSE),0%)</f>
        <v>0</v>
      </c>
      <c r="AVA5" s="5">
        <f>IFERROR(VLOOKUP(AVA$1,'Renta Fija Mixta + Metales Mode'!$B$22:$C$36,2,FALSE),0%)</f>
        <v>0</v>
      </c>
      <c r="AVB5" s="5">
        <f>IFERROR(VLOOKUP(AVB$1,'Renta Fija Mixta + Metales Mode'!$B$22:$C$36,2,FALSE),0%)</f>
        <v>0</v>
      </c>
      <c r="AVC5" s="5">
        <f>IFERROR(VLOOKUP(AVC$1,'Renta Fija Mixta + Metales Mode'!$B$22:$C$36,2,FALSE),0%)</f>
        <v>0</v>
      </c>
      <c r="AVD5" s="5">
        <f>IFERROR(VLOOKUP(AVD$1,'Renta Fija Mixta + Metales Mode'!$B$22:$C$36,2,FALSE),0%)</f>
        <v>0</v>
      </c>
      <c r="AVE5" s="5">
        <f>IFERROR(VLOOKUP(AVE$1,'Renta Fija Mixta + Metales Mode'!$B$22:$C$36,2,FALSE),0%)</f>
        <v>0</v>
      </c>
      <c r="AVF5" s="5">
        <f>IFERROR(VLOOKUP(AVF$1,'Renta Fija Mixta + Metales Mode'!$B$22:$C$36,2,FALSE),0%)</f>
        <v>0</v>
      </c>
      <c r="AVG5" s="5">
        <f>IFERROR(VLOOKUP(AVG$1,'Renta Fija Mixta + Metales Mode'!$B$22:$C$36,2,FALSE),0%)</f>
        <v>0</v>
      </c>
      <c r="AVH5" s="5">
        <f>IFERROR(VLOOKUP(AVH$1,'Renta Fija Mixta + Metales Mode'!$B$22:$C$36,2,FALSE),0%)</f>
        <v>0</v>
      </c>
      <c r="AVI5" s="5">
        <f>IFERROR(VLOOKUP(AVI$1,'Renta Fija Mixta + Metales Mode'!$B$22:$C$36,2,FALSE),0%)</f>
        <v>0</v>
      </c>
      <c r="AVJ5" s="5">
        <f>IFERROR(VLOOKUP(AVJ$1,'Renta Fija Mixta + Metales Mode'!$B$22:$C$36,2,FALSE),0%)</f>
        <v>0</v>
      </c>
      <c r="AVK5" s="5">
        <f>IFERROR(VLOOKUP(AVK$1,'Renta Fija Mixta + Metales Mode'!$B$22:$C$36,2,FALSE),0%)</f>
        <v>0</v>
      </c>
      <c r="AVL5" s="5">
        <f>IFERROR(VLOOKUP(AVL$1,'Renta Fija Mixta + Metales Mode'!$B$22:$C$36,2,FALSE),0%)</f>
        <v>0</v>
      </c>
      <c r="AVM5" s="5">
        <f>IFERROR(VLOOKUP(AVM$1,'Renta Fija Mixta + Metales Mode'!$B$22:$C$36,2,FALSE),0%)</f>
        <v>0</v>
      </c>
      <c r="AVN5" s="5">
        <f>IFERROR(VLOOKUP(AVN$1,'Renta Fija Mixta + Metales Mode'!$B$22:$C$36,2,FALSE),0%)</f>
        <v>0</v>
      </c>
      <c r="AVO5" s="5">
        <f>IFERROR(VLOOKUP(AVO$1,'Renta Fija Mixta + Metales Mode'!$B$22:$C$36,2,FALSE),0%)</f>
        <v>0</v>
      </c>
      <c r="AVP5" s="5">
        <f>IFERROR(VLOOKUP(AVP$1,'Renta Fija Mixta + Metales Mode'!$B$22:$C$36,2,FALSE),0%)</f>
        <v>0</v>
      </c>
      <c r="AVQ5" s="5">
        <f>IFERROR(VLOOKUP(AVQ$1,'Renta Fija Mixta + Metales Mode'!$B$22:$C$36,2,FALSE),0%)</f>
        <v>0</v>
      </c>
      <c r="AVR5" s="5">
        <f>IFERROR(VLOOKUP(AVR$1,'Renta Fija Mixta + Metales Mode'!$B$22:$C$36,2,FALSE),0%)</f>
        <v>0</v>
      </c>
      <c r="AVS5" s="5">
        <f>IFERROR(VLOOKUP(AVS$1,'Renta Fija Mixta + Metales Mode'!$B$22:$C$36,2,FALSE),0%)</f>
        <v>0</v>
      </c>
      <c r="AVT5" s="5">
        <f>IFERROR(VLOOKUP(AVT$1,'Renta Fija Mixta + Metales Mode'!$B$22:$C$36,2,FALSE),0%)</f>
        <v>0</v>
      </c>
      <c r="AVU5" s="5">
        <f>IFERROR(VLOOKUP(AVU$1,'Renta Fija Mixta + Metales Mode'!$B$22:$C$36,2,FALSE),0%)</f>
        <v>0</v>
      </c>
      <c r="AVV5" s="5">
        <f>IFERROR(VLOOKUP(AVV$1,'Renta Fija Mixta + Metales Mode'!$B$22:$C$36,2,FALSE),0%)</f>
        <v>0</v>
      </c>
      <c r="AVW5" s="5">
        <f>IFERROR(VLOOKUP(AVW$1,'Renta Fija Mixta + Metales Mode'!$B$22:$C$36,2,FALSE),0%)</f>
        <v>0</v>
      </c>
      <c r="AVX5" s="5">
        <f>IFERROR(VLOOKUP(AVX$1,'Renta Fija Mixta + Metales Mode'!$B$22:$C$36,2,FALSE),0%)</f>
        <v>0</v>
      </c>
      <c r="AVY5" s="5">
        <f>IFERROR(VLOOKUP(AVY$1,'Renta Fija Mixta + Metales Mode'!$B$22:$C$36,2,FALSE),0%)</f>
        <v>0</v>
      </c>
      <c r="AVZ5" s="5">
        <f>IFERROR(VLOOKUP(AVZ$1,'Renta Fija Mixta + Metales Mode'!$B$22:$C$36,2,FALSE),0%)</f>
        <v>0</v>
      </c>
      <c r="AWA5" s="5">
        <f>IFERROR(VLOOKUP(AWA$1,'Renta Fija Mixta + Metales Mode'!$B$22:$C$36,2,FALSE),0%)</f>
        <v>0</v>
      </c>
      <c r="AWB5" s="5">
        <f>IFERROR(VLOOKUP(AWB$1,'Renta Fija Mixta + Metales Mode'!$B$22:$C$36,2,FALSE),0%)</f>
        <v>0</v>
      </c>
      <c r="AWC5" s="5">
        <f>IFERROR(VLOOKUP(AWC$1,'Renta Fija Mixta + Metales Mode'!$B$22:$C$36,2,FALSE),0%)</f>
        <v>0</v>
      </c>
      <c r="AWD5" s="5">
        <f>IFERROR(VLOOKUP(AWD$1,'Renta Fija Mixta + Metales Mode'!$B$22:$C$36,2,FALSE),0%)</f>
        <v>0</v>
      </c>
      <c r="AWE5" s="5">
        <f>IFERROR(VLOOKUP(AWE$1,'Renta Fija Mixta + Metales Mode'!$B$22:$C$36,2,FALSE),0%)</f>
        <v>0</v>
      </c>
      <c r="AWF5" s="5">
        <f>IFERROR(VLOOKUP(AWF$1,'Renta Fija Mixta + Metales Mode'!$B$22:$C$36,2,FALSE),0%)</f>
        <v>0</v>
      </c>
      <c r="AWG5" s="5">
        <f>IFERROR(VLOOKUP(AWG$1,'Renta Fija Mixta + Metales Mode'!$B$22:$C$36,2,FALSE),0%)</f>
        <v>0</v>
      </c>
      <c r="AWH5" s="5">
        <f>IFERROR(VLOOKUP(AWH$1,'Renta Fija Mixta + Metales Mode'!$B$22:$C$36,2,FALSE),0%)</f>
        <v>0</v>
      </c>
      <c r="AWI5" s="5">
        <f>IFERROR(VLOOKUP(AWI$1,'Renta Fija Mixta + Metales Mode'!$B$22:$C$36,2,FALSE),0%)</f>
        <v>0</v>
      </c>
      <c r="AWJ5" s="5">
        <f>IFERROR(VLOOKUP(AWJ$1,'Renta Fija Mixta + Metales Mode'!$B$22:$C$36,2,FALSE),0%)</f>
        <v>0</v>
      </c>
      <c r="AWK5" s="5">
        <f>IFERROR(VLOOKUP(AWK$1,'Renta Fija Mixta + Metales Mode'!$B$22:$C$36,2,FALSE),0%)</f>
        <v>0</v>
      </c>
      <c r="AWL5" s="5">
        <f>IFERROR(VLOOKUP(AWL$1,'Renta Fija Mixta + Metales Mode'!$B$22:$C$36,2,FALSE),0%)</f>
        <v>0</v>
      </c>
      <c r="AWM5" s="5">
        <f>IFERROR(VLOOKUP(AWM$1,'Renta Fija Mixta + Metales Mode'!$B$22:$C$36,2,FALSE),0%)</f>
        <v>0</v>
      </c>
      <c r="AWN5" s="5">
        <f>IFERROR(VLOOKUP(AWN$1,'Renta Fija Mixta + Metales Mode'!$B$22:$C$36,2,FALSE),0%)</f>
        <v>0</v>
      </c>
      <c r="AWO5" s="5">
        <f>IFERROR(VLOOKUP(AWO$1,'Renta Fija Mixta + Metales Mode'!$B$22:$C$36,2,FALSE),0%)</f>
        <v>0</v>
      </c>
      <c r="AWP5" s="5">
        <f>IFERROR(VLOOKUP(AWP$1,'Renta Fija Mixta + Metales Mode'!$B$22:$C$36,2,FALSE),0%)</f>
        <v>0</v>
      </c>
      <c r="AWQ5" s="5">
        <f>IFERROR(VLOOKUP(AWQ$1,'Renta Fija Mixta + Metales Mode'!$B$22:$C$36,2,FALSE),0%)</f>
        <v>0</v>
      </c>
      <c r="AWR5" s="5">
        <f>IFERROR(VLOOKUP(AWR$1,'Renta Fija Mixta + Metales Mode'!$B$22:$C$36,2,FALSE),0%)</f>
        <v>0</v>
      </c>
      <c r="AWS5" s="5">
        <f>IFERROR(VLOOKUP(AWS$1,'Renta Fija Mixta + Metales Mode'!$B$22:$C$36,2,FALSE),0%)</f>
        <v>0</v>
      </c>
      <c r="AWT5" s="5">
        <f>IFERROR(VLOOKUP(AWT$1,'Renta Fija Mixta + Metales Mode'!$B$22:$C$36,2,FALSE),0%)</f>
        <v>0</v>
      </c>
      <c r="AWU5" s="5">
        <f>IFERROR(VLOOKUP(AWU$1,'Renta Fija Mixta + Metales Mode'!$B$22:$C$36,2,FALSE),0%)</f>
        <v>0</v>
      </c>
      <c r="AWV5" s="5">
        <f>IFERROR(VLOOKUP(AWV$1,'Renta Fija Mixta + Metales Mode'!$B$22:$C$36,2,FALSE),0%)</f>
        <v>0</v>
      </c>
      <c r="AWW5" s="5">
        <f>IFERROR(VLOOKUP(AWW$1,'Renta Fija Mixta + Metales Mode'!$B$22:$C$36,2,FALSE),0%)</f>
        <v>0</v>
      </c>
      <c r="AWX5" s="5">
        <f>IFERROR(VLOOKUP(AWX$1,'Renta Fija Mixta + Metales Mode'!$B$22:$C$36,2,FALSE),0%)</f>
        <v>0</v>
      </c>
      <c r="AWY5" s="5">
        <f>IFERROR(VLOOKUP(AWY$1,'Renta Fija Mixta + Metales Mode'!$B$22:$C$36,2,FALSE),0%)</f>
        <v>0</v>
      </c>
      <c r="AWZ5" s="5">
        <f>IFERROR(VLOOKUP(AWZ$1,'Renta Fija Mixta + Metales Mode'!$B$22:$C$36,2,FALSE),0%)</f>
        <v>0</v>
      </c>
      <c r="AXA5" s="5">
        <f>IFERROR(VLOOKUP(AXA$1,'Renta Fija Mixta + Metales Mode'!$B$22:$C$36,2,FALSE),0%)</f>
        <v>0</v>
      </c>
      <c r="AXB5" s="5">
        <f>IFERROR(VLOOKUP(AXB$1,'Renta Fija Mixta + Metales Mode'!$B$22:$C$36,2,FALSE),0%)</f>
        <v>0</v>
      </c>
      <c r="AXC5" s="5">
        <f>IFERROR(VLOOKUP(AXC$1,'Renta Fija Mixta + Metales Mode'!$B$22:$C$36,2,FALSE),0%)</f>
        <v>0</v>
      </c>
      <c r="AXD5" s="5">
        <f>IFERROR(VLOOKUP(AXD$1,'Renta Fija Mixta + Metales Mode'!$B$22:$C$36,2,FALSE),0%)</f>
        <v>0</v>
      </c>
      <c r="AXE5" s="5">
        <f>IFERROR(VLOOKUP(AXE$1,'Renta Fija Mixta + Metales Mode'!$B$22:$C$36,2,FALSE),0%)</f>
        <v>0</v>
      </c>
      <c r="AXF5" s="5">
        <f>IFERROR(VLOOKUP(AXF$1,'Renta Fija Mixta + Metales Mode'!$B$22:$C$36,2,FALSE),0%)</f>
        <v>0</v>
      </c>
      <c r="AXG5" s="5">
        <f>IFERROR(VLOOKUP(AXG$1,'Renta Fija Mixta + Metales Mode'!$B$22:$C$36,2,FALSE),0%)</f>
        <v>0</v>
      </c>
      <c r="AXH5" s="5">
        <f>IFERROR(VLOOKUP(AXH$1,'Renta Fija Mixta + Metales Mode'!$B$22:$C$36,2,FALSE),0%)</f>
        <v>0</v>
      </c>
      <c r="AXI5" s="5">
        <f>IFERROR(VLOOKUP(AXI$1,'Renta Fija Mixta + Metales Mode'!$B$22:$C$36,2,FALSE),0%)</f>
        <v>0</v>
      </c>
      <c r="AXJ5" s="5">
        <f>IFERROR(VLOOKUP(AXJ$1,'Renta Fija Mixta + Metales Mode'!$B$22:$C$36,2,FALSE),0%)</f>
        <v>0</v>
      </c>
      <c r="AXK5" s="5">
        <f>IFERROR(VLOOKUP(AXK$1,'Renta Fija Mixta + Metales Mode'!$B$22:$C$36,2,FALSE),0%)</f>
        <v>0</v>
      </c>
      <c r="AXL5" s="5">
        <f>IFERROR(VLOOKUP(AXL$1,'Renta Fija Mixta + Metales Mode'!$B$22:$C$36,2,FALSE),0%)</f>
        <v>0</v>
      </c>
      <c r="AXM5" s="5">
        <f>IFERROR(VLOOKUP(AXM$1,'Renta Fija Mixta + Metales Mode'!$B$22:$C$36,2,FALSE),0%)</f>
        <v>0</v>
      </c>
      <c r="AXN5" s="5">
        <f>IFERROR(VLOOKUP(AXN$1,'Renta Fija Mixta + Metales Mode'!$B$22:$C$36,2,FALSE),0%)</f>
        <v>0</v>
      </c>
      <c r="AXO5" s="5">
        <f>IFERROR(VLOOKUP(AXO$1,'Renta Fija Mixta + Metales Mode'!$B$22:$C$36,2,FALSE),0%)</f>
        <v>0</v>
      </c>
      <c r="AXP5" s="5">
        <f>IFERROR(VLOOKUP(AXP$1,'Renta Fija Mixta + Metales Mode'!$B$22:$C$36,2,FALSE),0%)</f>
        <v>0</v>
      </c>
      <c r="AXQ5" s="5">
        <f>IFERROR(VLOOKUP(AXQ$1,'Renta Fija Mixta + Metales Mode'!$B$22:$C$36,2,FALSE),0%)</f>
        <v>0</v>
      </c>
      <c r="AXR5" s="5">
        <f>IFERROR(VLOOKUP(AXR$1,'Renta Fija Mixta + Metales Mode'!$B$22:$C$36,2,FALSE),0%)</f>
        <v>0</v>
      </c>
      <c r="AXS5" s="5">
        <f>IFERROR(VLOOKUP(AXS$1,'Renta Fija Mixta + Metales Mode'!$B$22:$C$36,2,FALSE),0%)</f>
        <v>0</v>
      </c>
      <c r="AXT5" s="5">
        <f>IFERROR(VLOOKUP(AXT$1,'Renta Fija Mixta + Metales Mode'!$B$22:$C$36,2,FALSE),0%)</f>
        <v>0</v>
      </c>
      <c r="AXU5" s="5">
        <f>IFERROR(VLOOKUP(AXU$1,'Renta Fija Mixta + Metales Mode'!$B$22:$C$36,2,FALSE),0%)</f>
        <v>0</v>
      </c>
      <c r="AXV5" s="5">
        <f>IFERROR(VLOOKUP(AXV$1,'Renta Fija Mixta + Metales Mode'!$B$22:$C$36,2,FALSE),0%)</f>
        <v>0</v>
      </c>
      <c r="AXW5" s="5">
        <f>IFERROR(VLOOKUP(AXW$1,'Renta Fija Mixta + Metales Mode'!$B$22:$C$36,2,FALSE),0%)</f>
        <v>0</v>
      </c>
      <c r="AXX5" s="5">
        <f>IFERROR(VLOOKUP(AXX$1,'Renta Fija Mixta + Metales Mode'!$B$22:$C$36,2,FALSE),0%)</f>
        <v>0</v>
      </c>
      <c r="AXY5" s="5">
        <f>IFERROR(VLOOKUP(AXY$1,'Renta Fija Mixta + Metales Mode'!$B$22:$C$36,2,FALSE),0%)</f>
        <v>0</v>
      </c>
      <c r="AXZ5" s="5">
        <f>IFERROR(VLOOKUP(AXZ$1,'Renta Fija Mixta + Metales Mode'!$B$22:$C$36,2,FALSE),0%)</f>
        <v>0</v>
      </c>
      <c r="AYA5" s="5">
        <f>IFERROR(VLOOKUP(AYA$1,'Renta Fija Mixta + Metales Mode'!$B$22:$C$36,2,FALSE),0%)</f>
        <v>0</v>
      </c>
      <c r="AYB5" s="5">
        <f>IFERROR(VLOOKUP(AYB$1,'Renta Fija Mixta + Metales Mode'!$B$22:$C$36,2,FALSE),0%)</f>
        <v>0</v>
      </c>
      <c r="AYC5" s="5">
        <f>IFERROR(VLOOKUP(AYC$1,'Renta Fija Mixta + Metales Mode'!$B$22:$C$36,2,FALSE),0%)</f>
        <v>0</v>
      </c>
      <c r="AYD5" s="5">
        <f>IFERROR(VLOOKUP(AYD$1,'Renta Fija Mixta + Metales Mode'!$B$22:$C$36,2,FALSE),0%)</f>
        <v>0</v>
      </c>
      <c r="AYE5" s="5">
        <f>IFERROR(VLOOKUP(AYE$1,'Renta Fija Mixta + Metales Mode'!$B$22:$C$36,2,FALSE),0%)</f>
        <v>0</v>
      </c>
      <c r="AYF5" s="5">
        <f>IFERROR(VLOOKUP(AYF$1,'Renta Fija Mixta + Metales Mode'!$B$22:$C$36,2,FALSE),0%)</f>
        <v>0</v>
      </c>
      <c r="AYG5" s="5">
        <f>IFERROR(VLOOKUP(AYG$1,'Renta Fija Mixta + Metales Mode'!$B$22:$C$36,2,FALSE),0%)</f>
        <v>0</v>
      </c>
      <c r="AYH5" s="5">
        <f>IFERROR(VLOOKUP(AYH$1,'Renta Fija Mixta + Metales Mode'!$B$22:$C$36,2,FALSE),0%)</f>
        <v>0</v>
      </c>
      <c r="AYI5" s="5">
        <f>IFERROR(VLOOKUP(AYI$1,'Renta Fija Mixta + Metales Mode'!$B$22:$C$36,2,FALSE),0%)</f>
        <v>0</v>
      </c>
      <c r="AYJ5" s="5">
        <f>IFERROR(VLOOKUP(AYJ$1,'Renta Fija Mixta + Metales Mode'!$B$22:$C$36,2,FALSE),0%)</f>
        <v>0</v>
      </c>
      <c r="AYK5" s="5">
        <f>IFERROR(VLOOKUP(AYK$1,'Renta Fija Mixta + Metales Mode'!$B$22:$C$36,2,FALSE),0%)</f>
        <v>0</v>
      </c>
      <c r="AYL5" s="5">
        <f>IFERROR(VLOOKUP(AYL$1,'Renta Fija Mixta + Metales Mode'!$B$22:$C$36,2,FALSE),0%)</f>
        <v>0</v>
      </c>
      <c r="AYM5" s="5">
        <f>IFERROR(VLOOKUP(AYM$1,'Renta Fija Mixta + Metales Mode'!$B$22:$C$36,2,FALSE),0%)</f>
        <v>0</v>
      </c>
      <c r="AYN5" s="5">
        <f>IFERROR(VLOOKUP(AYN$1,'Renta Fija Mixta + Metales Mode'!$B$22:$C$36,2,FALSE),0%)</f>
        <v>0</v>
      </c>
      <c r="AYO5" s="5">
        <f>IFERROR(VLOOKUP(AYO$1,'Renta Fija Mixta + Metales Mode'!$B$22:$C$36,2,FALSE),0%)</f>
        <v>0</v>
      </c>
      <c r="AYP5" s="5">
        <f>IFERROR(VLOOKUP(AYP$1,'Renta Fija Mixta + Metales Mode'!$B$22:$C$36,2,FALSE),0%)</f>
        <v>0</v>
      </c>
      <c r="AYQ5" s="5">
        <f>IFERROR(VLOOKUP(AYQ$1,'Renta Fija Mixta + Metales Mode'!$B$22:$C$36,2,FALSE),0%)</f>
        <v>0</v>
      </c>
      <c r="AYR5" s="5">
        <f>IFERROR(VLOOKUP(AYR$1,'Renta Fija Mixta + Metales Mode'!$B$22:$C$36,2,FALSE),0%)</f>
        <v>0</v>
      </c>
      <c r="AYS5" s="5">
        <f>IFERROR(VLOOKUP(AYS$1,'Renta Fija Mixta + Metales Mode'!$B$22:$C$36,2,FALSE),0%)</f>
        <v>0</v>
      </c>
      <c r="AYT5" s="5">
        <f>IFERROR(VLOOKUP(AYT$1,'Renta Fija Mixta + Metales Mode'!$B$22:$C$36,2,FALSE),0%)</f>
        <v>0</v>
      </c>
      <c r="AYU5" s="5">
        <f>IFERROR(VLOOKUP(AYU$1,'Renta Fija Mixta + Metales Mode'!$B$22:$C$36,2,FALSE),0%)</f>
        <v>0</v>
      </c>
      <c r="AYV5" s="5">
        <f>IFERROR(VLOOKUP(AYV$1,'Renta Fija Mixta + Metales Mode'!$B$22:$C$36,2,FALSE),0%)</f>
        <v>0</v>
      </c>
      <c r="AYW5" s="5">
        <f>IFERROR(VLOOKUP(AYW$1,'Renta Fija Mixta + Metales Mode'!$B$22:$C$36,2,FALSE),0%)</f>
        <v>0</v>
      </c>
      <c r="AYX5" s="5">
        <f>IFERROR(VLOOKUP(AYX$1,'Renta Fija Mixta + Metales Mode'!$B$22:$C$36,2,FALSE),0%)</f>
        <v>0</v>
      </c>
      <c r="AYY5" s="5">
        <f>IFERROR(VLOOKUP(AYY$1,'Renta Fija Mixta + Metales Mode'!$B$22:$C$36,2,FALSE),0%)</f>
        <v>0</v>
      </c>
      <c r="AYZ5" s="5">
        <f>IFERROR(VLOOKUP(AYZ$1,'Renta Fija Mixta + Metales Mode'!$B$22:$C$36,2,FALSE),0%)</f>
        <v>0</v>
      </c>
      <c r="AZA5" s="5">
        <f>IFERROR(VLOOKUP(AZA$1,'Renta Fija Mixta + Metales Mode'!$B$22:$C$36,2,FALSE),0%)</f>
        <v>0</v>
      </c>
      <c r="AZB5" s="5">
        <f>IFERROR(VLOOKUP(AZB$1,'Renta Fija Mixta + Metales Mode'!$B$22:$C$36,2,FALSE),0%)</f>
        <v>0</v>
      </c>
      <c r="AZC5" s="5">
        <f>IFERROR(VLOOKUP(AZC$1,'Renta Fija Mixta + Metales Mode'!$B$22:$C$36,2,FALSE),0%)</f>
        <v>0</v>
      </c>
      <c r="AZD5" s="5">
        <f>IFERROR(VLOOKUP(AZD$1,'Renta Fija Mixta + Metales Mode'!$B$22:$C$36,2,FALSE),0%)</f>
        <v>0</v>
      </c>
      <c r="AZE5" s="5">
        <f>IFERROR(VLOOKUP(AZE$1,'Renta Fija Mixta + Metales Mode'!$B$22:$C$36,2,FALSE),0%)</f>
        <v>0</v>
      </c>
      <c r="AZF5" s="5">
        <f>IFERROR(VLOOKUP(AZF$1,'Renta Fija Mixta + Metales Mode'!$B$22:$C$36,2,FALSE),0%)</f>
        <v>0</v>
      </c>
      <c r="AZG5" s="5">
        <f>IFERROR(VLOOKUP(AZG$1,'Renta Fija Mixta + Metales Mode'!$B$22:$C$36,2,FALSE),0%)</f>
        <v>0</v>
      </c>
      <c r="AZH5" s="5">
        <f>IFERROR(VLOOKUP(AZH$1,'Renta Fija Mixta + Metales Mode'!$B$22:$C$36,2,FALSE),0%)</f>
        <v>0</v>
      </c>
      <c r="AZI5" s="5">
        <f>IFERROR(VLOOKUP(AZI$1,'Renta Fija Mixta + Metales Mode'!$B$22:$C$36,2,FALSE),0%)</f>
        <v>0</v>
      </c>
      <c r="AZJ5" s="5">
        <f>IFERROR(VLOOKUP(AZJ$1,'Renta Fija Mixta + Metales Mode'!$B$22:$C$36,2,FALSE),0%)</f>
        <v>0</v>
      </c>
      <c r="AZK5" s="5">
        <f>IFERROR(VLOOKUP(AZK$1,'Renta Fija Mixta + Metales Mode'!$B$22:$C$36,2,FALSE),0%)</f>
        <v>0</v>
      </c>
      <c r="AZL5" s="5">
        <f>IFERROR(VLOOKUP(AZL$1,'Renta Fija Mixta + Metales Mode'!$B$22:$C$36,2,FALSE),0%)</f>
        <v>0</v>
      </c>
      <c r="AZM5" s="5">
        <f>IFERROR(VLOOKUP(AZM$1,'Renta Fija Mixta + Metales Mode'!$B$22:$C$36,2,FALSE),0%)</f>
        <v>0</v>
      </c>
      <c r="AZN5" s="5">
        <f>IFERROR(VLOOKUP(AZN$1,'Renta Fija Mixta + Metales Mode'!$B$22:$C$36,2,FALSE),0%)</f>
        <v>0</v>
      </c>
      <c r="AZO5" s="5">
        <f>IFERROR(VLOOKUP(AZO$1,'Renta Fija Mixta + Metales Mode'!$B$22:$C$36,2,FALSE),0%)</f>
        <v>0</v>
      </c>
      <c r="AZP5" s="5">
        <f>IFERROR(VLOOKUP(AZP$1,'Renta Fija Mixta + Metales Mode'!$B$22:$C$36,2,FALSE),0%)</f>
        <v>0</v>
      </c>
      <c r="AZQ5" s="5">
        <f>IFERROR(VLOOKUP(AZQ$1,'Renta Fija Mixta + Metales Mode'!$B$22:$C$36,2,FALSE),0%)</f>
        <v>0</v>
      </c>
      <c r="AZR5" s="5">
        <f>IFERROR(VLOOKUP(AZR$1,'Renta Fija Mixta + Metales Mode'!$B$22:$C$36,2,FALSE),0%)</f>
        <v>0</v>
      </c>
      <c r="AZS5" s="5">
        <f>IFERROR(VLOOKUP(AZS$1,'Renta Fija Mixta + Metales Mode'!$B$22:$C$36,2,FALSE),0%)</f>
        <v>0</v>
      </c>
      <c r="AZT5" s="5">
        <f>IFERROR(VLOOKUP(AZT$1,'Renta Fija Mixta + Metales Mode'!$B$22:$C$36,2,FALSE),0%)</f>
        <v>0</v>
      </c>
      <c r="AZU5" s="5">
        <f>IFERROR(VLOOKUP(AZU$1,'Renta Fija Mixta + Metales Mode'!$B$22:$C$36,2,FALSE),0%)</f>
        <v>0</v>
      </c>
      <c r="AZV5" s="5">
        <f>IFERROR(VLOOKUP(AZV$1,'Renta Fija Mixta + Metales Mode'!$B$22:$C$36,2,FALSE),0%)</f>
        <v>0</v>
      </c>
      <c r="AZW5" s="5">
        <f>IFERROR(VLOOKUP(AZW$1,'Renta Fija Mixta + Metales Mode'!$B$22:$C$36,2,FALSE),0%)</f>
        <v>0</v>
      </c>
      <c r="AZX5" s="5">
        <f>IFERROR(VLOOKUP(AZX$1,'Renta Fija Mixta + Metales Mode'!$B$22:$C$36,2,FALSE),0%)</f>
        <v>0</v>
      </c>
      <c r="AZY5" s="5">
        <f>IFERROR(VLOOKUP(AZY$1,'Renta Fija Mixta + Metales Mode'!$B$22:$C$36,2,FALSE),0%)</f>
        <v>0</v>
      </c>
      <c r="AZZ5" s="5">
        <f>IFERROR(VLOOKUP(AZZ$1,'Renta Fija Mixta + Metales Mode'!$B$22:$C$36,2,FALSE),0%)</f>
        <v>0.01961809571</v>
      </c>
      <c r="BAA5" s="5">
        <f>IFERROR(VLOOKUP(BAA$1,'Renta Fija Mixta + Metales Mode'!$B$22:$C$36,2,FALSE),0%)</f>
        <v>0</v>
      </c>
      <c r="BAB5" s="5">
        <f>IFERROR(VLOOKUP(BAB$1,'Renta Fija Mixta + Metales Mode'!$B$22:$C$36,2,FALSE),0%)</f>
        <v>0</v>
      </c>
      <c r="BAC5" s="5">
        <f>IFERROR(VLOOKUP(BAC$1,'Renta Fija Mixta + Metales Mode'!$B$22:$C$36,2,FALSE),0%)</f>
        <v>0</v>
      </c>
      <c r="BAD5" s="5">
        <f>IFERROR(VLOOKUP(BAD$1,'Renta Fija Mixta + Metales Mode'!$B$22:$C$36,2,FALSE),0%)</f>
        <v>0</v>
      </c>
      <c r="BAE5" s="5">
        <f>IFERROR(VLOOKUP(BAE$1,'Renta Fija Mixta + Metales Mode'!$B$22:$C$36,2,FALSE),0%)</f>
        <v>0</v>
      </c>
      <c r="BAF5" s="5">
        <f>IFERROR(VLOOKUP(BAF$1,'Renta Fija Mixta + Metales Mode'!$B$22:$C$36,2,FALSE),0%)</f>
        <v>0</v>
      </c>
      <c r="BAG5" s="5">
        <f>IFERROR(VLOOKUP(BAG$1,'Renta Fija Mixta + Metales Mode'!$B$22:$C$36,2,FALSE),0%)</f>
        <v>0</v>
      </c>
      <c r="BAH5" s="5">
        <f>IFERROR(VLOOKUP(BAH$1,'Renta Fija Mixta + Metales Mode'!$B$22:$C$36,2,FALSE),0%)</f>
        <v>0</v>
      </c>
      <c r="BAI5" s="5">
        <f>IFERROR(VLOOKUP(BAI$1,'Renta Fija Mixta + Metales Mode'!$B$22:$C$36,2,FALSE),0%)</f>
        <v>0</v>
      </c>
      <c r="BAJ5" s="5">
        <f>IFERROR(VLOOKUP(BAJ$1,'Renta Fija Mixta + Metales Mode'!$B$22:$C$36,2,FALSE),0%)</f>
        <v>0</v>
      </c>
      <c r="BAK5" s="5">
        <f>IFERROR(VLOOKUP(BAK$1,'Renta Fija Mixta + Metales Mode'!$B$22:$C$36,2,FALSE),0%)</f>
        <v>0</v>
      </c>
      <c r="BAL5" s="5">
        <f>IFERROR(VLOOKUP(BAL$1,'Renta Fija Mixta + Metales Mode'!$B$22:$C$36,2,FALSE),0%)</f>
        <v>0</v>
      </c>
      <c r="BAM5" s="5">
        <f>IFERROR(VLOOKUP(BAM$1,'Renta Fija Mixta + Metales Mode'!$B$22:$C$36,2,FALSE),0%)</f>
        <v>0</v>
      </c>
      <c r="BAN5" s="5">
        <f>IFERROR(VLOOKUP(BAN$1,'Renta Fija Mixta + Metales Mode'!$B$22:$C$36,2,FALSE),0%)</f>
        <v>0</v>
      </c>
      <c r="BAO5" s="5">
        <f>IFERROR(VLOOKUP(BAO$1,'Renta Fija Mixta + Metales Mode'!$B$22:$C$36,2,FALSE),0%)</f>
        <v>0</v>
      </c>
      <c r="BAP5" s="5">
        <f>IFERROR(VLOOKUP(BAP$1,'Renta Fija Mixta + Metales Mode'!$B$22:$C$36,2,FALSE),0%)</f>
        <v>0</v>
      </c>
      <c r="BAQ5" s="5">
        <f>IFERROR(VLOOKUP(BAQ$1,'Renta Fija Mixta + Metales Mode'!$B$22:$C$36,2,FALSE),0%)</f>
        <v>0</v>
      </c>
      <c r="BAR5" s="5">
        <f>IFERROR(VLOOKUP(BAR$1,'Renta Fija Mixta + Metales Mode'!$B$22:$C$36,2,FALSE),0%)</f>
        <v>0</v>
      </c>
      <c r="BAS5" s="5">
        <f>IFERROR(VLOOKUP(BAS$1,'Renta Fija Mixta + Metales Mode'!$B$22:$C$36,2,FALSE),0%)</f>
        <v>0</v>
      </c>
      <c r="BAT5" s="5">
        <f>IFERROR(VLOOKUP(BAT$1,'Renta Fija Mixta + Metales Mode'!$B$22:$C$36,2,FALSE),0%)</f>
        <v>0</v>
      </c>
      <c r="BAU5" s="5">
        <f>IFERROR(VLOOKUP(BAU$1,'Renta Fija Mixta + Metales Mode'!$B$22:$C$36,2,FALSE),0%)</f>
        <v>0</v>
      </c>
      <c r="BAV5" s="5">
        <f>IFERROR(VLOOKUP(BAV$1,'Renta Fija Mixta + Metales Mode'!$B$22:$C$36,2,FALSE),0%)</f>
        <v>0</v>
      </c>
      <c r="BAW5" s="5">
        <f>IFERROR(VLOOKUP(BAW$1,'Renta Fija Mixta + Metales Mode'!$B$22:$C$36,2,FALSE),0%)</f>
        <v>0</v>
      </c>
      <c r="BAX5" s="5">
        <f>IFERROR(VLOOKUP(BAX$1,'Renta Fija Mixta + Metales Mode'!$B$22:$C$36,2,FALSE),0%)</f>
        <v>0</v>
      </c>
      <c r="BAY5" s="5">
        <f>IFERROR(VLOOKUP(BAY$1,'Renta Fija Mixta + Metales Mode'!$B$22:$C$36,2,FALSE),0%)</f>
        <v>0</v>
      </c>
      <c r="BAZ5" s="5">
        <f>IFERROR(VLOOKUP(BAZ$1,'Renta Fija Mixta + Metales Mode'!$B$22:$C$36,2,FALSE),0%)</f>
        <v>0</v>
      </c>
      <c r="BBA5" s="5">
        <f>IFERROR(VLOOKUP(BBA$1,'Renta Fija Mixta + Metales Mode'!$B$22:$C$36,2,FALSE),0%)</f>
        <v>0</v>
      </c>
      <c r="BBB5" s="5">
        <f>IFERROR(VLOOKUP(BBB$1,'Renta Fija Mixta + Metales Mode'!$B$22:$C$36,2,FALSE),0%)</f>
        <v>0</v>
      </c>
      <c r="BBC5" s="5">
        <f>IFERROR(VLOOKUP(BBC$1,'Renta Fija Mixta + Metales Mode'!$B$22:$C$36,2,FALSE),0%)</f>
        <v>0</v>
      </c>
      <c r="BBD5" s="5">
        <f>IFERROR(VLOOKUP(BBD$1,'Renta Fija Mixta + Metales Mode'!$B$22:$C$36,2,FALSE),0%)</f>
        <v>0</v>
      </c>
      <c r="BBE5" s="5">
        <f>IFERROR(VLOOKUP(BBE$1,'Renta Fija Mixta + Metales Mode'!$B$22:$C$36,2,FALSE),0%)</f>
        <v>0</v>
      </c>
      <c r="BBF5" s="5">
        <f>IFERROR(VLOOKUP(BBF$1,'Renta Fija Mixta + Metales Mode'!$B$22:$C$36,2,FALSE),0%)</f>
        <v>0</v>
      </c>
      <c r="BBG5" s="5">
        <f>IFERROR(VLOOKUP(BBG$1,'Renta Fija Mixta + Metales Mode'!$B$22:$C$36,2,FALSE),0%)</f>
        <v>0</v>
      </c>
      <c r="BBH5" s="5">
        <f>IFERROR(VLOOKUP(BBH$1,'Renta Fija Mixta + Metales Mode'!$B$22:$C$36,2,FALSE),0%)</f>
        <v>0</v>
      </c>
      <c r="BBI5" s="5">
        <f>IFERROR(VLOOKUP(BBI$1,'Renta Fija Mixta + Metales Mode'!$B$22:$C$36,2,FALSE),0%)</f>
        <v>0</v>
      </c>
      <c r="BBJ5" s="5">
        <f>IFERROR(VLOOKUP(BBJ$1,'Renta Fija Mixta + Metales Mode'!$B$22:$C$36,2,FALSE),0%)</f>
        <v>0</v>
      </c>
      <c r="BBK5" s="5">
        <f>IFERROR(VLOOKUP(BBK$1,'Renta Fija Mixta + Metales Mode'!$B$22:$C$36,2,FALSE),0%)</f>
        <v>0</v>
      </c>
      <c r="BBL5" s="5">
        <f>IFERROR(VLOOKUP(BBL$1,'Renta Fija Mixta + Metales Mode'!$B$22:$C$36,2,FALSE),0%)</f>
        <v>0</v>
      </c>
      <c r="BBM5" s="5">
        <f>IFERROR(VLOOKUP(BBM$1,'Renta Fija Mixta + Metales Mode'!$B$22:$C$36,2,FALSE),0%)</f>
        <v>0</v>
      </c>
      <c r="BBN5" s="5">
        <f>IFERROR(VLOOKUP(BBN$1,'Renta Fija Mixta + Metales Mode'!$B$22:$C$36,2,FALSE),0%)</f>
        <v>0</v>
      </c>
      <c r="BBO5" s="5">
        <f>IFERROR(VLOOKUP(BBO$1,'Renta Fija Mixta + Metales Mode'!$B$22:$C$36,2,FALSE),0%)</f>
        <v>0</v>
      </c>
      <c r="BBP5" s="5">
        <f>IFERROR(VLOOKUP(BBP$1,'Renta Fija Mixta + Metales Mode'!$B$22:$C$36,2,FALSE),0%)</f>
        <v>0</v>
      </c>
      <c r="BBQ5" s="5">
        <f>IFERROR(VLOOKUP(BBQ$1,'Renta Fija Mixta + Metales Mode'!$B$22:$C$36,2,FALSE),0%)</f>
        <v>0</v>
      </c>
      <c r="BBR5" s="5">
        <f>IFERROR(VLOOKUP(BBR$1,'Renta Fija Mixta + Metales Mode'!$B$22:$C$36,2,FALSE),0%)</f>
        <v>0</v>
      </c>
      <c r="BBS5" s="5">
        <f>IFERROR(VLOOKUP(BBS$1,'Renta Fija Mixta + Metales Mode'!$B$22:$C$36,2,FALSE),0%)</f>
        <v>0</v>
      </c>
      <c r="BBT5" s="5">
        <f>IFERROR(VLOOKUP(BBT$1,'Renta Fija Mixta + Metales Mode'!$B$22:$C$36,2,FALSE),0%)</f>
        <v>0</v>
      </c>
      <c r="BBU5" s="5">
        <f>IFERROR(VLOOKUP(BBU$1,'Renta Fija Mixta + Metales Mode'!$B$22:$C$36,2,FALSE),0%)</f>
        <v>0</v>
      </c>
      <c r="BBV5" s="5">
        <f>IFERROR(VLOOKUP(BBV$1,'Renta Fija Mixta + Metales Mode'!$B$22:$C$36,2,FALSE),0%)</f>
        <v>0</v>
      </c>
      <c r="BBW5" s="5">
        <f>IFERROR(VLOOKUP(BBW$1,'Renta Fija Mixta + Metales Mode'!$B$22:$C$36,2,FALSE),0%)</f>
        <v>0</v>
      </c>
      <c r="BBX5" s="5">
        <f>IFERROR(VLOOKUP(BBX$1,'Renta Fija Mixta + Metales Mode'!$B$22:$C$36,2,FALSE),0%)</f>
        <v>0</v>
      </c>
      <c r="BBY5" s="5">
        <f>IFERROR(VLOOKUP(BBY$1,'Renta Fija Mixta + Metales Mode'!$B$22:$C$36,2,FALSE),0%)</f>
        <v>0</v>
      </c>
      <c r="BBZ5" s="5">
        <f>IFERROR(VLOOKUP(BBZ$1,'Renta Fija Mixta + Metales Mode'!$B$22:$C$36,2,FALSE),0%)</f>
        <v>0</v>
      </c>
      <c r="BCA5" s="5">
        <f>IFERROR(VLOOKUP(BCA$1,'Renta Fija Mixta + Metales Mode'!$B$22:$C$36,2,FALSE),0%)</f>
        <v>0</v>
      </c>
      <c r="BCB5" s="5">
        <f>IFERROR(VLOOKUP(BCB$1,'Renta Fija Mixta + Metales Mode'!$B$22:$C$36,2,FALSE),0%)</f>
        <v>0</v>
      </c>
      <c r="BCC5" s="5">
        <f>IFERROR(VLOOKUP(BCC$1,'Renta Fija Mixta + Metales Mode'!$B$22:$C$36,2,FALSE),0%)</f>
        <v>0</v>
      </c>
      <c r="BCD5" s="5">
        <f>IFERROR(VLOOKUP(BCD$1,'Renta Fija Mixta + Metales Mode'!$B$22:$C$36,2,FALSE),0%)</f>
        <v>0</v>
      </c>
      <c r="BCE5" s="5">
        <f>IFERROR(VLOOKUP(BCE$1,'Renta Fija Mixta + Metales Mode'!$B$22:$C$36,2,FALSE),0%)</f>
        <v>0</v>
      </c>
      <c r="BCF5" s="5">
        <f>IFERROR(VLOOKUP(BCF$1,'Renta Fija Mixta + Metales Mode'!$B$22:$C$36,2,FALSE),0%)</f>
        <v>0</v>
      </c>
      <c r="BCG5" s="5">
        <f>IFERROR(VLOOKUP(BCG$1,'Renta Fija Mixta + Metales Mode'!$B$22:$C$36,2,FALSE),0%)</f>
        <v>0</v>
      </c>
      <c r="BCH5" s="5">
        <f>IFERROR(VLOOKUP(BCH$1,'Renta Fija Mixta + Metales Mode'!$B$22:$C$36,2,FALSE),0%)</f>
        <v>0</v>
      </c>
      <c r="BCI5" s="5">
        <f>IFERROR(VLOOKUP(BCI$1,'Renta Fija Mixta + Metales Mode'!$B$22:$C$36,2,FALSE),0%)</f>
        <v>0</v>
      </c>
      <c r="BCJ5" s="5">
        <f>IFERROR(VLOOKUP(BCJ$1,'Renta Fija Mixta + Metales Mode'!$B$22:$C$36,2,FALSE),0%)</f>
        <v>0</v>
      </c>
      <c r="BCK5" s="5">
        <f>IFERROR(VLOOKUP(BCK$1,'Renta Fija Mixta + Metales Mode'!$B$22:$C$36,2,FALSE),0%)</f>
        <v>0</v>
      </c>
      <c r="BCL5" s="5">
        <f>IFERROR(VLOOKUP(BCL$1,'Renta Fija Mixta + Metales Mode'!$B$22:$C$36,2,FALSE),0%)</f>
        <v>0</v>
      </c>
      <c r="BCM5" s="5">
        <f>IFERROR(VLOOKUP(BCM$1,'Renta Fija Mixta + Metales Mode'!$B$22:$C$36,2,FALSE),0%)</f>
        <v>0.0601</v>
      </c>
      <c r="BCN5" s="5">
        <f>IFERROR(VLOOKUP(BCN$1,'Renta Fija Mixta + Metales Mode'!$B$22:$C$36,2,FALSE),0%)</f>
        <v>0</v>
      </c>
      <c r="BCO5" s="5">
        <f>IFERROR(VLOOKUP(BCO$1,'Renta Fija Mixta + Metales Mode'!$B$22:$C$36,2,FALSE),0%)</f>
        <v>0</v>
      </c>
      <c r="BCP5" s="5">
        <f>IFERROR(VLOOKUP(BCP$1,'Renta Fija Mixta + Metales Mode'!$B$22:$C$36,2,FALSE),0%)</f>
        <v>0</v>
      </c>
      <c r="BCQ5" s="5">
        <f>IFERROR(VLOOKUP(BCQ$1,'Renta Fija Mixta + Metales Mode'!$B$22:$C$36,2,FALSE),0%)</f>
        <v>0</v>
      </c>
      <c r="BCR5" s="5">
        <f>IFERROR(VLOOKUP(BCR$1,'Renta Fija Mixta + Metales Mode'!$B$22:$C$36,2,FALSE),0%)</f>
        <v>0</v>
      </c>
      <c r="BCS5" s="5">
        <f>IFERROR(VLOOKUP(BCS$1,'Renta Fija Mixta + Metales Mode'!$B$22:$C$36,2,FALSE),0%)</f>
        <v>0</v>
      </c>
      <c r="BCT5" s="5">
        <f>IFERROR(VLOOKUP(BCT$1,'Renta Fija Mixta + Metales Mode'!$B$22:$C$36,2,FALSE),0%)</f>
        <v>0</v>
      </c>
      <c r="BCU5" s="5">
        <f>IFERROR(VLOOKUP(BCU$1,'Renta Fija Mixta + Metales Mode'!$B$22:$C$36,2,FALSE),0%)</f>
        <v>0</v>
      </c>
      <c r="BCV5" s="5">
        <f>IFERROR(VLOOKUP(BCV$1,'Renta Fija Mixta + Metales Mode'!$B$22:$C$36,2,FALSE),0%)</f>
        <v>0</v>
      </c>
      <c r="BCW5" s="5">
        <f>IFERROR(VLOOKUP(BCW$1,'Renta Fija Mixta + Metales Mode'!$B$22:$C$36,2,FALSE),0%)</f>
        <v>0</v>
      </c>
      <c r="BCX5" s="5">
        <f>IFERROR(VLOOKUP(BCX$1,'Renta Fija Mixta + Metales Mode'!$B$22:$C$36,2,FALSE),0%)</f>
        <v>0</v>
      </c>
      <c r="BCY5" s="5">
        <f>IFERROR(VLOOKUP(BCY$1,'Renta Fija Mixta + Metales Mode'!$B$22:$C$36,2,FALSE),0%)</f>
        <v>0</v>
      </c>
      <c r="BCZ5" s="5">
        <f>IFERROR(VLOOKUP(BCZ$1,'Renta Fija Mixta + Metales Mode'!$B$22:$C$36,2,FALSE),0%)</f>
        <v>0</v>
      </c>
      <c r="BDA5" s="5">
        <f>IFERROR(VLOOKUP(BDA$1,'Renta Fija Mixta + Metales Mode'!$B$22:$C$36,2,FALSE),0%)</f>
        <v>0</v>
      </c>
      <c r="BDB5" s="5">
        <f>IFERROR(VLOOKUP(BDB$1,'Renta Fija Mixta + Metales Mode'!$B$22:$C$36,2,FALSE),0%)</f>
        <v>0</v>
      </c>
      <c r="BDC5" s="5">
        <f>IFERROR(VLOOKUP(BDC$1,'Renta Fija Mixta + Metales Mode'!$B$22:$C$36,2,FALSE),0%)</f>
        <v>0</v>
      </c>
      <c r="BDD5" s="5">
        <f>IFERROR(VLOOKUP(BDD$1,'Renta Fija Mixta + Metales Mode'!$B$22:$C$36,2,FALSE),0%)</f>
        <v>0</v>
      </c>
      <c r="BDE5" s="5">
        <f>IFERROR(VLOOKUP(BDE$1,'Renta Fija Mixta + Metales Mode'!$B$22:$C$36,2,FALSE),0%)</f>
        <v>0</v>
      </c>
      <c r="BDF5" s="5">
        <f>IFERROR(VLOOKUP(BDF$1,'Renta Fija Mixta + Metales Mode'!$B$22:$C$36,2,FALSE),0%)</f>
        <v>0</v>
      </c>
      <c r="BDG5" s="5">
        <f>IFERROR(VLOOKUP(BDG$1,'Renta Fija Mixta + Metales Mode'!$B$22:$C$36,2,FALSE),0%)</f>
        <v>0</v>
      </c>
      <c r="BDH5" s="5">
        <f>IFERROR(VLOOKUP(BDH$1,'Renta Fija Mixta + Metales Mode'!$B$22:$C$36,2,FALSE),0%)</f>
        <v>0</v>
      </c>
      <c r="BDI5" s="5">
        <f>IFERROR(VLOOKUP(BDI$1,'Renta Fija Mixta + Metales Mode'!$B$22:$C$36,2,FALSE),0%)</f>
        <v>0</v>
      </c>
      <c r="BDJ5" s="5">
        <f>IFERROR(VLOOKUP(BDJ$1,'Renta Fija Mixta + Metales Mode'!$B$22:$C$36,2,FALSE),0%)</f>
        <v>0</v>
      </c>
      <c r="BDK5" s="5">
        <f>IFERROR(VLOOKUP(BDK$1,'Renta Fija Mixta + Metales Mode'!$B$22:$C$36,2,FALSE),0%)</f>
        <v>0</v>
      </c>
      <c r="BDL5" s="5">
        <f>IFERROR(VLOOKUP(BDL$1,'Renta Fija Mixta + Metales Mode'!$B$22:$C$36,2,FALSE),0%)</f>
        <v>0</v>
      </c>
      <c r="BDM5" s="5">
        <f>IFERROR(VLOOKUP(BDM$1,'Renta Fija Mixta + Metales Mode'!$B$22:$C$36,2,FALSE),0%)</f>
        <v>0</v>
      </c>
      <c r="BDN5" s="5">
        <f>IFERROR(VLOOKUP(BDN$1,'Renta Fija Mixta + Metales Mode'!$B$22:$C$36,2,FALSE),0%)</f>
        <v>0</v>
      </c>
      <c r="BDO5" s="5">
        <f>IFERROR(VLOOKUP(BDO$1,'Renta Fija Mixta + Metales Mode'!$B$22:$C$36,2,FALSE),0%)</f>
        <v>0</v>
      </c>
      <c r="BDP5" s="5">
        <f>IFERROR(VLOOKUP(BDP$1,'Renta Fija Mixta + Metales Mode'!$B$22:$C$36,2,FALSE),0%)</f>
        <v>0</v>
      </c>
      <c r="BDQ5" s="5">
        <f>IFERROR(VLOOKUP(BDQ$1,'Renta Fija Mixta + Metales Mode'!$B$22:$C$36,2,FALSE),0%)</f>
        <v>0</v>
      </c>
      <c r="BDR5" s="5">
        <f>IFERROR(VLOOKUP(BDR$1,'Renta Fija Mixta + Metales Mode'!$B$22:$C$36,2,FALSE),0%)</f>
        <v>0</v>
      </c>
      <c r="BDS5" s="5">
        <f>IFERROR(VLOOKUP(BDS$1,'Renta Fija Mixta + Metales Mode'!$B$22:$C$36,2,FALSE),0%)</f>
        <v>0</v>
      </c>
      <c r="BDT5" s="5">
        <f>IFERROR(VLOOKUP(BDT$1,'Renta Fija Mixta + Metales Mode'!$B$22:$C$36,2,FALSE),0%)</f>
        <v>0</v>
      </c>
      <c r="BDU5" s="5">
        <f>IFERROR(VLOOKUP(BDU$1,'Renta Fija Mixta + Metales Mode'!$B$22:$C$36,2,FALSE),0%)</f>
        <v>0</v>
      </c>
      <c r="BDV5" s="5">
        <f>IFERROR(VLOOKUP(BDV$1,'Renta Fija Mixta + Metales Mode'!$B$22:$C$36,2,FALSE),0%)</f>
        <v>0</v>
      </c>
      <c r="BDW5" s="5">
        <f>IFERROR(VLOOKUP(BDW$1,'Renta Fija Mixta + Metales Mode'!$B$22:$C$36,2,FALSE),0%)</f>
        <v>0</v>
      </c>
      <c r="BDX5" s="5">
        <f>IFERROR(VLOOKUP(BDX$1,'Renta Fija Mixta + Metales Mode'!$B$22:$C$36,2,FALSE),0%)</f>
        <v>0</v>
      </c>
      <c r="BDY5" s="5">
        <f>IFERROR(VLOOKUP(BDY$1,'Renta Fija Mixta + Metales Mode'!$B$22:$C$36,2,FALSE),0%)</f>
        <v>0</v>
      </c>
      <c r="BDZ5" s="5">
        <f>IFERROR(VLOOKUP(BDZ$1,'Renta Fija Mixta + Metales Mode'!$B$22:$C$36,2,FALSE),0%)</f>
        <v>0</v>
      </c>
      <c r="BEA5" s="5">
        <f>IFERROR(VLOOKUP(BEA$1,'Renta Fija Mixta + Metales Mode'!$B$22:$C$36,2,FALSE),0%)</f>
        <v>0</v>
      </c>
      <c r="BEB5" s="5">
        <f>IFERROR(VLOOKUP(BEB$1,'Renta Fija Mixta + Metales Mode'!$B$22:$C$36,2,FALSE),0%)</f>
        <v>0</v>
      </c>
      <c r="BEC5" s="5">
        <f>IFERROR(VLOOKUP(BEC$1,'Renta Fija Mixta + Metales Mode'!$B$22:$C$36,2,FALSE),0%)</f>
        <v>0</v>
      </c>
      <c r="BED5" s="5">
        <f>IFERROR(VLOOKUP(BED$1,'Renta Fija Mixta + Metales Mode'!$B$22:$C$36,2,FALSE),0%)</f>
        <v>0</v>
      </c>
      <c r="BEE5" s="5">
        <f>IFERROR(VLOOKUP(BEE$1,'Renta Fija Mixta + Metales Mode'!$B$22:$C$36,2,FALSE),0%)</f>
        <v>0</v>
      </c>
      <c r="BEF5" s="5">
        <f>IFERROR(VLOOKUP(BEF$1,'Renta Fija Mixta + Metales Mode'!$B$22:$C$36,2,FALSE),0%)</f>
        <v>0</v>
      </c>
      <c r="BEG5" s="5">
        <f>IFERROR(VLOOKUP(BEG$1,'Renta Fija Mixta + Metales Mode'!$B$22:$C$36,2,FALSE),0%)</f>
        <v>0</v>
      </c>
      <c r="BEH5" s="5">
        <f>IFERROR(VLOOKUP(BEH$1,'Renta Fija Mixta + Metales Mode'!$B$22:$C$36,2,FALSE),0%)</f>
        <v>0</v>
      </c>
      <c r="BEI5" s="5">
        <f>IFERROR(VLOOKUP(BEI$1,'Renta Fija Mixta + Metales Mode'!$B$22:$C$36,2,FALSE),0%)</f>
        <v>0</v>
      </c>
      <c r="BEJ5" s="5">
        <f>IFERROR(VLOOKUP(BEJ$1,'Renta Fija Mixta + Metales Mode'!$B$22:$C$36,2,FALSE),0%)</f>
        <v>0</v>
      </c>
      <c r="BEK5" s="5">
        <f>IFERROR(VLOOKUP(BEK$1,'Renta Fija Mixta + Metales Mode'!$B$22:$C$36,2,FALSE),0%)</f>
        <v>0</v>
      </c>
      <c r="BEL5" s="5">
        <f>IFERROR(VLOOKUP(BEL$1,'Renta Fija Mixta + Metales Mode'!$B$22:$C$36,2,FALSE),0%)</f>
        <v>0</v>
      </c>
      <c r="BEM5" s="5">
        <f>IFERROR(VLOOKUP(BEM$1,'Renta Fija Mixta + Metales Mode'!$B$22:$C$36,2,FALSE),0%)</f>
        <v>0</v>
      </c>
      <c r="BEN5" s="5">
        <f>IFERROR(VLOOKUP(BEN$1,'Renta Fija Mixta + Metales Mode'!$B$22:$C$36,2,FALSE),0%)</f>
        <v>0</v>
      </c>
      <c r="BEO5" s="5">
        <f>IFERROR(VLOOKUP(BEO$1,'Renta Fija Mixta + Metales Mode'!$B$22:$C$36,2,FALSE),0%)</f>
        <v>0</v>
      </c>
      <c r="BEP5" s="5">
        <f>IFERROR(VLOOKUP(BEP$1,'Renta Fija Mixta + Metales Mode'!$B$22:$C$36,2,FALSE),0%)</f>
        <v>0</v>
      </c>
      <c r="BEQ5" s="5">
        <f>IFERROR(VLOOKUP(BEQ$1,'Renta Fija Mixta + Metales Mode'!$B$22:$C$36,2,FALSE),0%)</f>
        <v>0</v>
      </c>
      <c r="BER5" s="5">
        <f>IFERROR(VLOOKUP(BER$1,'Renta Fija Mixta + Metales Mode'!$B$22:$C$36,2,FALSE),0%)</f>
        <v>0</v>
      </c>
      <c r="BES5" s="5">
        <f>IFERROR(VLOOKUP(BES$1,'Renta Fija Mixta + Metales Mode'!$B$22:$C$36,2,FALSE),0%)</f>
        <v>0</v>
      </c>
      <c r="BET5" s="5">
        <f>IFERROR(VLOOKUP(BET$1,'Renta Fija Mixta + Metales Mode'!$B$22:$C$36,2,FALSE),0%)</f>
        <v>0</v>
      </c>
      <c r="BEU5" s="5">
        <f>IFERROR(VLOOKUP(BEU$1,'Renta Fija Mixta + Metales Mode'!$B$22:$C$36,2,FALSE),0%)</f>
        <v>0</v>
      </c>
      <c r="BEV5" s="5">
        <f>IFERROR(VLOOKUP(BEV$1,'Renta Fija Mixta + Metales Mode'!$B$22:$C$36,2,FALSE),0%)</f>
        <v>0</v>
      </c>
      <c r="BEW5" s="5">
        <f>IFERROR(VLOOKUP(BEW$1,'Renta Fija Mixta + Metales Mode'!$B$22:$C$36,2,FALSE),0%)</f>
        <v>0</v>
      </c>
      <c r="BEX5" s="5">
        <f>IFERROR(VLOOKUP(BEX$1,'Renta Fija Mixta + Metales Mode'!$B$22:$C$36,2,FALSE),0%)</f>
        <v>0</v>
      </c>
      <c r="BEY5" s="5">
        <f>IFERROR(VLOOKUP(BEY$1,'Renta Fija Mixta + Metales Mode'!$B$22:$C$36,2,FALSE),0%)</f>
        <v>0</v>
      </c>
      <c r="BEZ5" s="5">
        <f>IFERROR(VLOOKUP(BEZ$1,'Renta Fija Mixta + Metales Mode'!$B$22:$C$36,2,FALSE),0%)</f>
        <v>0</v>
      </c>
      <c r="BFA5" s="5">
        <f>IFERROR(VLOOKUP(BFA$1,'Renta Fija Mixta + Metales Mode'!$B$22:$C$36,2,FALSE),0%)</f>
        <v>0</v>
      </c>
      <c r="BFB5" s="5">
        <f>IFERROR(VLOOKUP(BFB$1,'Renta Fija Mixta + Metales Mode'!$B$22:$C$36,2,FALSE),0%)</f>
        <v>0</v>
      </c>
      <c r="BFC5" s="5">
        <f>IFERROR(VLOOKUP(BFC$1,'Renta Fija Mixta + Metales Mode'!$B$22:$C$36,2,FALSE),0%)</f>
        <v>0</v>
      </c>
      <c r="BFD5" s="5">
        <f>IFERROR(VLOOKUP(BFD$1,'Renta Fija Mixta + Metales Mode'!$B$22:$C$36,2,FALSE),0%)</f>
        <v>0</v>
      </c>
      <c r="BFE5" s="5">
        <f>IFERROR(VLOOKUP(BFE$1,'Renta Fija Mixta + Metales Mode'!$B$22:$C$36,2,FALSE),0%)</f>
        <v>0</v>
      </c>
      <c r="BFF5" s="5">
        <f>IFERROR(VLOOKUP(BFF$1,'Renta Fija Mixta + Metales Mode'!$B$22:$C$36,2,FALSE),0%)</f>
        <v>0</v>
      </c>
      <c r="BFG5" s="5">
        <f>IFERROR(VLOOKUP(BFG$1,'Renta Fija Mixta + Metales Mode'!$B$22:$C$36,2,FALSE),0%)</f>
        <v>0</v>
      </c>
      <c r="BFH5" s="5">
        <f>IFERROR(VLOOKUP(BFH$1,'Renta Fija Mixta + Metales Mode'!$B$22:$C$36,2,FALSE),0%)</f>
        <v>0</v>
      </c>
      <c r="BFI5" s="5">
        <f>IFERROR(VLOOKUP(BFI$1,'Renta Fija Mixta + Metales Mode'!$B$22:$C$36,2,FALSE),0%)</f>
        <v>0</v>
      </c>
      <c r="BFJ5" s="5">
        <f>IFERROR(VLOOKUP(BFJ$1,'Renta Fija Mixta + Metales Mode'!$B$22:$C$36,2,FALSE),0%)</f>
        <v>0</v>
      </c>
      <c r="BFK5" s="5">
        <f>IFERROR(VLOOKUP(BFK$1,'Renta Fija Mixta + Metales Mode'!$B$22:$C$36,2,FALSE),0%)</f>
        <v>0</v>
      </c>
      <c r="BFL5" s="5">
        <f>IFERROR(VLOOKUP(BFL$1,'Renta Fija Mixta + Metales Mode'!$B$22:$C$36,2,FALSE),0%)</f>
        <v>0</v>
      </c>
      <c r="BFM5" s="5">
        <f>IFERROR(VLOOKUP(BFM$1,'Renta Fija Mixta + Metales Mode'!$B$22:$C$36,2,FALSE),0%)</f>
        <v>0</v>
      </c>
      <c r="BFN5" s="5">
        <f>IFERROR(VLOOKUP(BFN$1,'Renta Fija Mixta + Metales Mode'!$B$22:$C$36,2,FALSE),0%)</f>
        <v>0</v>
      </c>
      <c r="BFO5" s="5">
        <f>IFERROR(VLOOKUP(BFO$1,'Renta Fija Mixta + Metales Mode'!$B$22:$C$36,2,FALSE),0%)</f>
        <v>0</v>
      </c>
      <c r="BFP5" s="5">
        <f>IFERROR(VLOOKUP(BFP$1,'Renta Fija Mixta + Metales Mode'!$B$22:$C$36,2,FALSE),0%)</f>
        <v>0</v>
      </c>
      <c r="BFQ5" s="5">
        <f>IFERROR(VLOOKUP(BFQ$1,'Renta Fija Mixta + Metales Mode'!$B$22:$C$36,2,FALSE),0%)</f>
        <v>0</v>
      </c>
      <c r="BFR5" s="5">
        <f>IFERROR(VLOOKUP(BFR$1,'Renta Fija Mixta + Metales Mode'!$B$22:$C$36,2,FALSE),0%)</f>
        <v>0</v>
      </c>
      <c r="BFS5" s="5">
        <f>IFERROR(VLOOKUP(BFS$1,'Renta Fija Mixta + Metales Mode'!$B$22:$C$36,2,FALSE),0%)</f>
        <v>0</v>
      </c>
      <c r="BFT5" s="5">
        <f>IFERROR(VLOOKUP(BFT$1,'Renta Fija Mixta + Metales Mode'!$B$22:$C$36,2,FALSE),0%)</f>
        <v>0</v>
      </c>
      <c r="BFU5" s="5">
        <f>IFERROR(VLOOKUP(BFU$1,'Renta Fija Mixta + Metales Mode'!$B$22:$C$36,2,FALSE),0%)</f>
        <v>0</v>
      </c>
      <c r="BFV5" s="5">
        <f>IFERROR(VLOOKUP(BFV$1,'Renta Fija Mixta + Metales Mode'!$B$22:$C$36,2,FALSE),0%)</f>
        <v>0</v>
      </c>
      <c r="BFW5" s="5">
        <f>IFERROR(VLOOKUP(BFW$1,'Renta Fija Mixta + Metales Mode'!$B$22:$C$36,2,FALSE),0%)</f>
        <v>0</v>
      </c>
      <c r="BFX5" s="5">
        <f>IFERROR(VLOOKUP(BFX$1,'Renta Fija Mixta + Metales Mode'!$B$22:$C$36,2,FALSE),0%)</f>
        <v>0</v>
      </c>
      <c r="BFY5" s="5">
        <f>IFERROR(VLOOKUP(BFY$1,'Renta Fija Mixta + Metales Mode'!$B$22:$C$36,2,FALSE),0%)</f>
        <v>0</v>
      </c>
      <c r="BFZ5" s="5">
        <f>IFERROR(VLOOKUP(BFZ$1,'Renta Fija Mixta + Metales Mode'!$B$22:$C$36,2,FALSE),0%)</f>
        <v>0</v>
      </c>
      <c r="BGA5" s="5">
        <f>IFERROR(VLOOKUP(BGA$1,'Renta Fija Mixta + Metales Mode'!$B$22:$C$36,2,FALSE),0%)</f>
        <v>0</v>
      </c>
      <c r="BGB5" s="5">
        <f>IFERROR(VLOOKUP(BGB$1,'Renta Fija Mixta + Metales Mode'!$B$22:$C$36,2,FALSE),0%)</f>
        <v>0</v>
      </c>
      <c r="BGC5" s="5">
        <f>IFERROR(VLOOKUP(BGC$1,'Renta Fija Mixta + Metales Mode'!$B$22:$C$36,2,FALSE),0%)</f>
        <v>0</v>
      </c>
      <c r="BGD5" s="5">
        <f>IFERROR(VLOOKUP(BGD$1,'Renta Fija Mixta + Metales Mode'!$B$22:$C$36,2,FALSE),0%)</f>
        <v>0</v>
      </c>
      <c r="BGE5" s="5">
        <f>IFERROR(VLOOKUP(BGE$1,'Renta Fija Mixta + Metales Mode'!$B$22:$C$36,2,FALSE),0%)</f>
        <v>0</v>
      </c>
      <c r="BGF5" s="5">
        <f>IFERROR(VLOOKUP(BGF$1,'Renta Fija Mixta + Metales Mode'!$B$22:$C$36,2,FALSE),0%)</f>
        <v>0</v>
      </c>
      <c r="BGG5" s="5">
        <f>IFERROR(VLOOKUP(BGG$1,'Renta Fija Mixta + Metales Mode'!$B$22:$C$36,2,FALSE),0%)</f>
        <v>0</v>
      </c>
      <c r="BGH5" s="5">
        <f>IFERROR(VLOOKUP(BGH$1,'Renta Fija Mixta + Metales Mode'!$B$22:$C$36,2,FALSE),0%)</f>
        <v>0</v>
      </c>
      <c r="BGI5" s="5">
        <f>IFERROR(VLOOKUP(BGI$1,'Renta Fija Mixta + Metales Mode'!$B$22:$C$36,2,FALSE),0%)</f>
        <v>0</v>
      </c>
      <c r="BGJ5" s="5">
        <f>IFERROR(VLOOKUP(BGJ$1,'Renta Fija Mixta + Metales Mode'!$B$22:$C$36,2,FALSE),0%)</f>
        <v>0</v>
      </c>
      <c r="BGK5" s="5">
        <f>IFERROR(VLOOKUP(BGK$1,'Renta Fija Mixta + Metales Mode'!$B$22:$C$36,2,FALSE),0%)</f>
        <v>0</v>
      </c>
      <c r="BGL5" s="5">
        <f>IFERROR(VLOOKUP(BGL$1,'Renta Fija Mixta + Metales Mode'!$B$22:$C$36,2,FALSE),0%)</f>
        <v>0</v>
      </c>
      <c r="BGM5" s="5">
        <f>IFERROR(VLOOKUP(BGM$1,'Renta Fija Mixta + Metales Mode'!$B$22:$C$36,2,FALSE),0%)</f>
        <v>0</v>
      </c>
      <c r="BGN5" s="5">
        <f>IFERROR(VLOOKUP(BGN$1,'Renta Fija Mixta + Metales Mode'!$B$22:$C$36,2,FALSE),0%)</f>
        <v>0</v>
      </c>
      <c r="BGO5" s="5">
        <f>IFERROR(VLOOKUP(BGO$1,'Renta Fija Mixta + Metales Mode'!$B$22:$C$36,2,FALSE),0%)</f>
        <v>0</v>
      </c>
      <c r="BGP5" s="5">
        <f>IFERROR(VLOOKUP(BGP$1,'Renta Fija Mixta + Metales Mode'!$B$22:$C$36,2,FALSE),0%)</f>
        <v>0</v>
      </c>
      <c r="BGQ5" s="5">
        <f>IFERROR(VLOOKUP(BGQ$1,'Renta Fija Mixta + Metales Mode'!$B$22:$C$36,2,FALSE),0%)</f>
        <v>0</v>
      </c>
      <c r="BGR5" s="5">
        <f>IFERROR(VLOOKUP(BGR$1,'Renta Fija Mixta + Metales Mode'!$B$22:$C$36,2,FALSE),0%)</f>
        <v>0</v>
      </c>
      <c r="BGS5" s="5">
        <f>IFERROR(VLOOKUP(BGS$1,'Renta Fija Mixta + Metales Mode'!$B$22:$C$36,2,FALSE),0%)</f>
        <v>0</v>
      </c>
      <c r="BGT5" s="5">
        <f>IFERROR(VLOOKUP(BGT$1,'Renta Fija Mixta + Metales Mode'!$B$22:$C$36,2,FALSE),0%)</f>
        <v>0</v>
      </c>
      <c r="BGU5" s="5">
        <f>IFERROR(VLOOKUP(BGU$1,'Renta Fija Mixta + Metales Mode'!$B$22:$C$36,2,FALSE),0%)</f>
        <v>0</v>
      </c>
      <c r="BGV5" s="5">
        <f>IFERROR(VLOOKUP(BGV$1,'Renta Fija Mixta + Metales Mode'!$B$22:$C$36,2,FALSE),0%)</f>
        <v>0</v>
      </c>
      <c r="BGW5" s="5">
        <f>IFERROR(VLOOKUP(BGW$1,'Renta Fija Mixta + Metales Mode'!$B$22:$C$36,2,FALSE),0%)</f>
        <v>0</v>
      </c>
      <c r="BGX5" s="5">
        <f>IFERROR(VLOOKUP(BGX$1,'Renta Fija Mixta + Metales Mode'!$B$22:$C$36,2,FALSE),0%)</f>
        <v>0</v>
      </c>
      <c r="BGY5" s="5">
        <f>IFERROR(VLOOKUP(BGY$1,'Renta Fija Mixta + Metales Mode'!$B$22:$C$36,2,FALSE),0%)</f>
        <v>0</v>
      </c>
      <c r="BGZ5" s="5">
        <f>IFERROR(VLOOKUP(BGZ$1,'Renta Fija Mixta + Metales Mode'!$B$22:$C$36,2,FALSE),0%)</f>
        <v>0</v>
      </c>
      <c r="BHA5" s="5">
        <f>IFERROR(VLOOKUP(BHA$1,'Renta Fija Mixta + Metales Mode'!$B$22:$C$36,2,FALSE),0%)</f>
        <v>0</v>
      </c>
      <c r="BHB5" s="5">
        <f>IFERROR(VLOOKUP(BHB$1,'Renta Fija Mixta + Metales Mode'!$B$22:$C$36,2,FALSE),0%)</f>
        <v>0</v>
      </c>
      <c r="BHC5" s="5">
        <f>IFERROR(VLOOKUP(BHC$1,'Renta Fija Mixta + Metales Mode'!$B$22:$C$36,2,FALSE),0%)</f>
        <v>0</v>
      </c>
      <c r="BHD5" s="5">
        <f>IFERROR(VLOOKUP(BHD$1,'Renta Fija Mixta + Metales Mode'!$B$22:$C$36,2,FALSE),0%)</f>
        <v>0</v>
      </c>
      <c r="BHE5" s="5">
        <f>IFERROR(VLOOKUP(BHE$1,'Renta Fija Mixta + Metales Mode'!$B$22:$C$36,2,FALSE),0%)</f>
        <v>0</v>
      </c>
      <c r="BHF5" s="5">
        <f>IFERROR(VLOOKUP(BHF$1,'Renta Fija Mixta + Metales Mode'!$B$22:$C$36,2,FALSE),0%)</f>
        <v>0</v>
      </c>
      <c r="BHG5" s="5">
        <f>IFERROR(VLOOKUP(BHG$1,'Renta Fija Mixta + Metales Mode'!$B$22:$C$36,2,FALSE),0%)</f>
        <v>0</v>
      </c>
      <c r="BHH5" s="5">
        <f>IFERROR(VLOOKUP(BHH$1,'Renta Fija Mixta + Metales Mode'!$B$22:$C$36,2,FALSE),0%)</f>
        <v>0</v>
      </c>
      <c r="BHI5" s="5">
        <f>IFERROR(VLOOKUP(BHI$1,'Renta Fija Mixta + Metales Mode'!$B$22:$C$36,2,FALSE),0%)</f>
        <v>0</v>
      </c>
      <c r="BHJ5" s="5">
        <f>IFERROR(VLOOKUP(BHJ$1,'Renta Fija Mixta + Metales Mode'!$B$22:$C$36,2,FALSE),0%)</f>
        <v>0</v>
      </c>
      <c r="BHK5" s="5">
        <f>IFERROR(VLOOKUP(BHK$1,'Renta Fija Mixta + Metales Mode'!$B$22:$C$36,2,FALSE),0%)</f>
        <v>0</v>
      </c>
      <c r="BHL5" s="5">
        <f>IFERROR(VLOOKUP(BHL$1,'Renta Fija Mixta + Metales Mode'!$B$22:$C$36,2,FALSE),0%)</f>
        <v>0</v>
      </c>
      <c r="BHM5" s="5">
        <f>IFERROR(VLOOKUP(BHM$1,'Renta Fija Mixta + Metales Mode'!$B$22:$C$36,2,FALSE),0%)</f>
        <v>0</v>
      </c>
      <c r="BHN5" s="5">
        <f>IFERROR(VLOOKUP(BHN$1,'Renta Fija Mixta + Metales Mode'!$B$22:$C$36,2,FALSE),0%)</f>
        <v>0</v>
      </c>
      <c r="BHO5" s="5">
        <f>IFERROR(VLOOKUP(BHO$1,'Renta Fija Mixta + Metales Mode'!$B$22:$C$36,2,FALSE),0%)</f>
        <v>0</v>
      </c>
      <c r="BHP5" s="5">
        <f>IFERROR(VLOOKUP(BHP$1,'Renta Fija Mixta + Metales Mode'!$B$22:$C$36,2,FALSE),0%)</f>
        <v>0</v>
      </c>
      <c r="BHQ5" s="5">
        <f>IFERROR(VLOOKUP(BHQ$1,'Renta Fija Mixta + Metales Mode'!$B$22:$C$36,2,FALSE),0%)</f>
        <v>0</v>
      </c>
      <c r="BHR5" s="5">
        <f>IFERROR(VLOOKUP(BHR$1,'Renta Fija Mixta + Metales Mode'!$B$22:$C$36,2,FALSE),0%)</f>
        <v>0</v>
      </c>
      <c r="BHS5" s="5">
        <f>IFERROR(VLOOKUP(BHS$1,'Renta Fija Mixta + Metales Mode'!$B$22:$C$36,2,FALSE),0%)</f>
        <v>0</v>
      </c>
      <c r="BHT5" s="5">
        <f>IFERROR(VLOOKUP(BHT$1,'Renta Fija Mixta + Metales Mode'!$B$22:$C$36,2,FALSE),0%)</f>
        <v>0</v>
      </c>
      <c r="BHU5" s="5">
        <f>IFERROR(VLOOKUP(BHU$1,'Renta Fija Mixta + Metales Mode'!$B$22:$C$36,2,FALSE),0%)</f>
        <v>0</v>
      </c>
      <c r="BHV5" s="5">
        <f>IFERROR(VLOOKUP(BHV$1,'Renta Fija Mixta + Metales Mode'!$B$22:$C$36,2,FALSE),0%)</f>
        <v>0</v>
      </c>
      <c r="BHW5" s="5">
        <f>IFERROR(VLOOKUP(BHW$1,'Renta Fija Mixta + Metales Mode'!$B$22:$C$36,2,FALSE),0%)</f>
        <v>0</v>
      </c>
      <c r="BHX5" s="5">
        <f>IFERROR(VLOOKUP(BHX$1,'Renta Fija Mixta + Metales Mode'!$B$22:$C$36,2,FALSE),0%)</f>
        <v>0</v>
      </c>
      <c r="BHY5" s="5">
        <f>IFERROR(VLOOKUP(BHY$1,'Renta Fija Mixta + Metales Mode'!$B$22:$C$36,2,FALSE),0%)</f>
        <v>0</v>
      </c>
      <c r="BHZ5" s="5">
        <f>IFERROR(VLOOKUP(BHZ$1,'Renta Fija Mixta + Metales Mode'!$B$22:$C$36,2,FALSE),0%)</f>
        <v>0</v>
      </c>
      <c r="BIA5" s="5">
        <f>IFERROR(VLOOKUP(BIA$1,'Renta Fija Mixta + Metales Mode'!$B$22:$C$36,2,FALSE),0%)</f>
        <v>0</v>
      </c>
      <c r="BIB5" s="5">
        <f>IFERROR(VLOOKUP(BIB$1,'Renta Fija Mixta + Metales Mode'!$B$22:$C$36,2,FALSE),0%)</f>
        <v>0</v>
      </c>
      <c r="BIC5" s="5">
        <f>IFERROR(VLOOKUP(BIC$1,'Renta Fija Mixta + Metales Mode'!$B$22:$C$36,2,FALSE),0%)</f>
        <v>0</v>
      </c>
      <c r="BID5" s="5">
        <f>IFERROR(VLOOKUP(BID$1,'Renta Fija Mixta + Metales Mode'!$B$22:$C$36,2,FALSE),0%)</f>
        <v>0</v>
      </c>
      <c r="BIE5" s="5">
        <f>IFERROR(VLOOKUP(BIE$1,'Renta Fija Mixta + Metales Mode'!$B$22:$C$36,2,FALSE),0%)</f>
        <v>0</v>
      </c>
      <c r="BIF5" s="5">
        <f>IFERROR(VLOOKUP(BIF$1,'Renta Fija Mixta + Metales Mode'!$B$22:$C$36,2,FALSE),0%)</f>
        <v>0</v>
      </c>
      <c r="BIG5" s="5">
        <f>IFERROR(VLOOKUP(BIG$1,'Renta Fija Mixta + Metales Mode'!$B$22:$C$36,2,FALSE),0%)</f>
        <v>0</v>
      </c>
      <c r="BIH5" s="5">
        <f>IFERROR(VLOOKUP(BIH$1,'Renta Fija Mixta + Metales Mode'!$B$22:$C$36,2,FALSE),0%)</f>
        <v>0</v>
      </c>
      <c r="BII5" s="5">
        <f>IFERROR(VLOOKUP(BII$1,'Renta Fija Mixta + Metales Mode'!$B$22:$C$36,2,FALSE),0%)</f>
        <v>0</v>
      </c>
      <c r="BIJ5" s="5">
        <f>IFERROR(VLOOKUP(BIJ$1,'Renta Fija Mixta + Metales Mode'!$B$22:$C$36,2,FALSE),0%)</f>
        <v>0</v>
      </c>
      <c r="BIK5" s="5">
        <f>IFERROR(VLOOKUP(BIK$1,'Renta Fija Mixta + Metales Mode'!$B$22:$C$36,2,FALSE),0%)</f>
        <v>0.1623642373</v>
      </c>
      <c r="BIL5" s="5">
        <f>IFERROR(VLOOKUP(BIL$1,'Renta Fija Mixta + Metales Mode'!$B$22:$C$36,2,FALSE),0%)</f>
        <v>0</v>
      </c>
      <c r="BIM5" s="5">
        <f>IFERROR(VLOOKUP(BIM$1,'Renta Fija Mixta + Metales Mode'!$B$22:$C$36,2,FALSE),0%)</f>
        <v>0</v>
      </c>
      <c r="BIN5" s="5">
        <f>IFERROR(VLOOKUP(BIN$1,'Renta Fija Mixta + Metales Mode'!$B$22:$C$36,2,FALSE),0%)</f>
        <v>0</v>
      </c>
      <c r="BIO5" s="5">
        <f>IFERROR(VLOOKUP(BIO$1,'Renta Fija Mixta + Metales Mode'!$B$22:$C$36,2,FALSE),0%)</f>
        <v>0</v>
      </c>
      <c r="BIP5" s="5">
        <f>IFERROR(VLOOKUP(BIP$1,'Renta Fija Mixta + Metales Mode'!$B$22:$C$36,2,FALSE),0%)</f>
        <v>0</v>
      </c>
      <c r="BIQ5" s="5">
        <f>IFERROR(VLOOKUP(BIQ$1,'Renta Fija Mixta + Metales Mode'!$B$22:$C$36,2,FALSE),0%)</f>
        <v>0</v>
      </c>
      <c r="BIR5" s="5">
        <f>IFERROR(VLOOKUP(BIR$1,'Renta Fija Mixta + Metales Mode'!$B$22:$C$36,2,FALSE),0%)</f>
        <v>0</v>
      </c>
      <c r="BIS5" s="5">
        <f>IFERROR(VLOOKUP(BIS$1,'Renta Fija Mixta + Metales Mode'!$B$22:$C$36,2,FALSE),0%)</f>
        <v>0</v>
      </c>
      <c r="BIT5" s="5">
        <f>IFERROR(VLOOKUP(BIT$1,'Renta Fija Mixta + Metales Mode'!$B$22:$C$36,2,FALSE),0%)</f>
        <v>0</v>
      </c>
      <c r="BIU5" s="5">
        <f>IFERROR(VLOOKUP(BIU$1,'Renta Fija Mixta + Metales Mode'!$B$22:$C$36,2,FALSE),0%)</f>
        <v>0</v>
      </c>
      <c r="BIV5" s="5">
        <f>IFERROR(VLOOKUP(BIV$1,'Renta Fija Mixta + Metales Mode'!$B$22:$C$36,2,FALSE),0%)</f>
        <v>0</v>
      </c>
      <c r="BIW5" s="5">
        <f>IFERROR(VLOOKUP(BIW$1,'Renta Fija Mixta + Metales Mode'!$B$22:$C$36,2,FALSE),0%)</f>
        <v>0</v>
      </c>
      <c r="BIX5" s="5">
        <f>IFERROR(VLOOKUP(BIX$1,'Renta Fija Mixta + Metales Mode'!$B$22:$C$36,2,FALSE),0%)</f>
        <v>0</v>
      </c>
      <c r="BIY5" s="5">
        <f>IFERROR(VLOOKUP(BIY$1,'Renta Fija Mixta + Metales Mode'!$B$22:$C$36,2,FALSE),0%)</f>
        <v>0</v>
      </c>
      <c r="BIZ5" s="5">
        <f>IFERROR(VLOOKUP(BIZ$1,'Renta Fija Mixta + Metales Mode'!$B$22:$C$36,2,FALSE),0%)</f>
        <v>0</v>
      </c>
      <c r="BJA5" s="5">
        <f>IFERROR(VLOOKUP(BJA$1,'Renta Fija Mixta + Metales Mode'!$B$22:$C$36,2,FALSE),0%)</f>
        <v>0</v>
      </c>
      <c r="BJB5" s="5">
        <f>IFERROR(VLOOKUP(BJB$1,'Renta Fija Mixta + Metales Mode'!$B$22:$C$36,2,FALSE),0%)</f>
        <v>0</v>
      </c>
      <c r="BJC5" s="5">
        <f>IFERROR(VLOOKUP(BJC$1,'Renta Fija Mixta + Metales Mode'!$B$22:$C$36,2,FALSE),0%)</f>
        <v>0</v>
      </c>
      <c r="BJD5" s="5">
        <f>IFERROR(VLOOKUP(BJD$1,'Renta Fija Mixta + Metales Mode'!$B$22:$C$36,2,FALSE),0%)</f>
        <v>0</v>
      </c>
      <c r="BJE5" s="5">
        <f>IFERROR(VLOOKUP(BJE$1,'Renta Fija Mixta + Metales Mode'!$B$22:$C$36,2,FALSE),0%)</f>
        <v>0</v>
      </c>
      <c r="BJF5" s="5">
        <f>IFERROR(VLOOKUP(BJF$1,'Renta Fija Mixta + Metales Mode'!$B$22:$C$36,2,FALSE),0%)</f>
        <v>0</v>
      </c>
      <c r="BJG5" s="5">
        <f>IFERROR(VLOOKUP(BJG$1,'Renta Fija Mixta + Metales Mode'!$B$22:$C$36,2,FALSE),0%)</f>
        <v>0</v>
      </c>
      <c r="BJH5" s="5">
        <f>IFERROR(VLOOKUP(BJH$1,'Renta Fija Mixta + Metales Mode'!$B$22:$C$36,2,FALSE),0%)</f>
        <v>0</v>
      </c>
      <c r="BJI5" s="5">
        <f>IFERROR(VLOOKUP(BJI$1,'Renta Fija Mixta + Metales Mode'!$B$22:$C$36,2,FALSE),0%)</f>
        <v>0</v>
      </c>
      <c r="BJJ5" s="5">
        <f>IFERROR(VLOOKUP(BJJ$1,'Renta Fija Mixta + Metales Mode'!$B$22:$C$36,2,FALSE),0%)</f>
        <v>0</v>
      </c>
      <c r="BJK5" s="5">
        <f>IFERROR(VLOOKUP(BJK$1,'Renta Fija Mixta + Metales Mode'!$B$22:$C$36,2,FALSE),0%)</f>
        <v>0</v>
      </c>
      <c r="BJL5" s="5">
        <f>IFERROR(VLOOKUP(BJL$1,'Renta Fija Mixta + Metales Mode'!$B$22:$C$36,2,FALSE),0%)</f>
        <v>0</v>
      </c>
      <c r="BJM5" s="5">
        <f>IFERROR(VLOOKUP(BJM$1,'Renta Fija Mixta + Metales Mode'!$B$22:$C$36,2,FALSE),0%)</f>
        <v>0</v>
      </c>
      <c r="BJN5" s="5">
        <f>IFERROR(VLOOKUP(BJN$1,'Renta Fija Mixta + Metales Mode'!$B$22:$C$36,2,FALSE),0%)</f>
        <v>0</v>
      </c>
      <c r="BJO5" s="5">
        <f>IFERROR(VLOOKUP(BJO$1,'Renta Fija Mixta + Metales Mode'!$B$22:$C$36,2,FALSE),0%)</f>
        <v>0</v>
      </c>
      <c r="BJP5" s="5">
        <f>IFERROR(VLOOKUP(BJP$1,'Renta Fija Mixta + Metales Mode'!$B$22:$C$36,2,FALSE),0%)</f>
        <v>0</v>
      </c>
      <c r="BJQ5" s="5">
        <f>IFERROR(VLOOKUP(BJQ$1,'Renta Fija Mixta + Metales Mode'!$B$22:$C$36,2,FALSE),0%)</f>
        <v>0</v>
      </c>
      <c r="BJR5" s="5">
        <f>IFERROR(VLOOKUP(BJR$1,'Renta Fija Mixta + Metales Mode'!$B$22:$C$36,2,FALSE),0%)</f>
        <v>0</v>
      </c>
      <c r="BJS5" s="5">
        <f>IFERROR(VLOOKUP(BJS$1,'Renta Fija Mixta + Metales Mode'!$B$22:$C$36,2,FALSE),0%)</f>
        <v>0</v>
      </c>
      <c r="BJT5" s="5">
        <f>IFERROR(VLOOKUP(BJT$1,'Renta Fija Mixta + Metales Mode'!$B$22:$C$36,2,FALSE),0%)</f>
        <v>0</v>
      </c>
      <c r="BJU5" s="5">
        <f>IFERROR(VLOOKUP(BJU$1,'Renta Fija Mixta + Metales Mode'!$B$22:$C$36,2,FALSE),0%)</f>
        <v>0</v>
      </c>
      <c r="BJV5" s="5">
        <f>IFERROR(VLOOKUP(BJV$1,'Renta Fija Mixta + Metales Mode'!$B$22:$C$36,2,FALSE),0%)</f>
        <v>0</v>
      </c>
      <c r="BJW5" s="5">
        <f>IFERROR(VLOOKUP(BJW$1,'Renta Fija Mixta + Metales Mode'!$B$22:$C$36,2,FALSE),0%)</f>
        <v>0</v>
      </c>
      <c r="BJX5" s="5">
        <f>IFERROR(VLOOKUP(BJX$1,'Renta Fija Mixta + Metales Mode'!$B$22:$C$36,2,FALSE),0%)</f>
        <v>0</v>
      </c>
      <c r="BJY5" s="5">
        <f>IFERROR(VLOOKUP(BJY$1,'Renta Fija Mixta + Metales Mode'!$B$22:$C$36,2,FALSE),0%)</f>
        <v>0</v>
      </c>
      <c r="BJZ5" s="5">
        <f>IFERROR(VLOOKUP(BJZ$1,'Renta Fija Mixta + Metales Mode'!$B$22:$C$36,2,FALSE),0%)</f>
        <v>0</v>
      </c>
      <c r="BKA5" s="5">
        <f>IFERROR(VLOOKUP(BKA$1,'Renta Fija Mixta + Metales Mode'!$B$22:$C$36,2,FALSE),0%)</f>
        <v>0</v>
      </c>
      <c r="BKB5" s="5">
        <f>IFERROR(VLOOKUP(BKB$1,'Renta Fija Mixta + Metales Mode'!$B$22:$C$36,2,FALSE),0%)</f>
        <v>0</v>
      </c>
      <c r="BKC5" s="5">
        <f>IFERROR(VLOOKUP(BKC$1,'Renta Fija Mixta + Metales Mode'!$B$22:$C$36,2,FALSE),0%)</f>
        <v>0</v>
      </c>
      <c r="BKD5" s="5">
        <f>IFERROR(VLOOKUP(BKD$1,'Renta Fija Mixta + Metales Mode'!$B$22:$C$36,2,FALSE),0%)</f>
        <v>0</v>
      </c>
      <c r="BKE5" s="5">
        <f>IFERROR(VLOOKUP(BKE$1,'Renta Fija Mixta + Metales Mode'!$B$22:$C$36,2,FALSE),0%)</f>
        <v>0</v>
      </c>
      <c r="BKF5" s="5">
        <f>IFERROR(VLOOKUP(BKF$1,'Renta Fija Mixta + Metales Mode'!$B$22:$C$36,2,FALSE),0%)</f>
        <v>0</v>
      </c>
      <c r="BKG5" s="5">
        <f>IFERROR(VLOOKUP(BKG$1,'Renta Fija Mixta + Metales Mode'!$B$22:$C$36,2,FALSE),0%)</f>
        <v>0</v>
      </c>
      <c r="BKH5" s="5">
        <f>IFERROR(VLOOKUP(BKH$1,'Renta Fija Mixta + Metales Mode'!$B$22:$C$36,2,FALSE),0%)</f>
        <v>0</v>
      </c>
      <c r="BKI5" s="5">
        <f>IFERROR(VLOOKUP(BKI$1,'Renta Fija Mixta + Metales Mode'!$B$22:$C$36,2,FALSE),0%)</f>
        <v>0</v>
      </c>
      <c r="BKJ5" s="5">
        <f>IFERROR(VLOOKUP(BKJ$1,'Renta Fija Mixta + Metales Mode'!$B$22:$C$36,2,FALSE),0%)</f>
        <v>0</v>
      </c>
      <c r="BKK5" s="5">
        <f>IFERROR(VLOOKUP(BKK$1,'Renta Fija Mixta + Metales Mode'!$B$22:$C$36,2,FALSE),0%)</f>
        <v>0</v>
      </c>
      <c r="BKL5" s="5">
        <f>IFERROR(VLOOKUP(BKL$1,'Renta Fija Mixta + Metales Mode'!$B$22:$C$36,2,FALSE),0%)</f>
        <v>0</v>
      </c>
      <c r="BKM5" s="5">
        <f>IFERROR(VLOOKUP(BKM$1,'Renta Fija Mixta + Metales Mode'!$B$22:$C$36,2,FALSE),0%)</f>
        <v>0</v>
      </c>
      <c r="BKN5" s="5">
        <f>IFERROR(VLOOKUP(BKN$1,'Renta Fija Mixta + Metales Mode'!$B$22:$C$36,2,FALSE),0%)</f>
        <v>0</v>
      </c>
      <c r="BKO5" s="5">
        <f>IFERROR(VLOOKUP(BKO$1,'Renta Fija Mixta + Metales Mode'!$B$22:$C$36,2,FALSE),0%)</f>
        <v>0</v>
      </c>
      <c r="BKP5" s="5">
        <f>IFERROR(VLOOKUP(BKP$1,'Renta Fija Mixta + Metales Mode'!$B$22:$C$36,2,FALSE),0%)</f>
        <v>0</v>
      </c>
      <c r="BKQ5" s="5">
        <f>IFERROR(VLOOKUP(BKQ$1,'Renta Fija Mixta + Metales Mode'!$B$22:$C$36,2,FALSE),0%)</f>
        <v>0</v>
      </c>
      <c r="BKR5" s="5">
        <f>IFERROR(VLOOKUP(BKR$1,'Renta Fija Mixta + Metales Mode'!$B$22:$C$36,2,FALSE),0%)</f>
        <v>0</v>
      </c>
      <c r="BKS5" s="5">
        <f>IFERROR(VLOOKUP(BKS$1,'Renta Fija Mixta + Metales Mode'!$B$22:$C$36,2,FALSE),0%)</f>
        <v>0</v>
      </c>
      <c r="BKT5" s="5">
        <f>IFERROR(VLOOKUP(BKT$1,'Renta Fija Mixta + Metales Mode'!$B$22:$C$36,2,FALSE),0%)</f>
        <v>0</v>
      </c>
      <c r="BKU5" s="5">
        <f>IFERROR(VLOOKUP(BKU$1,'Renta Fija Mixta + Metales Mode'!$B$22:$C$36,2,FALSE),0%)</f>
        <v>0</v>
      </c>
      <c r="BKV5" s="5">
        <f>IFERROR(VLOOKUP(BKV$1,'Renta Fija Mixta + Metales Mode'!$B$22:$C$36,2,FALSE),0%)</f>
        <v>0</v>
      </c>
      <c r="BKW5" s="5">
        <f>IFERROR(VLOOKUP(BKW$1,'Renta Fija Mixta + Metales Mode'!$B$22:$C$36,2,FALSE),0%)</f>
        <v>0</v>
      </c>
      <c r="BKX5" s="5">
        <f>IFERROR(VLOOKUP(BKX$1,'Renta Fija Mixta + Metales Mode'!$B$22:$C$36,2,FALSE),0%)</f>
        <v>0</v>
      </c>
      <c r="BKY5" s="5">
        <f>IFERROR(VLOOKUP(BKY$1,'Renta Fija Mixta + Metales Mode'!$B$22:$C$36,2,FALSE),0%)</f>
        <v>0</v>
      </c>
      <c r="BKZ5" s="5">
        <f>IFERROR(VLOOKUP(BKZ$1,'Renta Fija Mixta + Metales Mode'!$B$22:$C$36,2,FALSE),0%)</f>
        <v>0</v>
      </c>
      <c r="BLA5" s="5">
        <f>IFERROR(VLOOKUP(BLA$1,'Renta Fija Mixta + Metales Mode'!$B$22:$C$36,2,FALSE),0%)</f>
        <v>0</v>
      </c>
      <c r="BLB5" s="5">
        <f>IFERROR(VLOOKUP(BLB$1,'Renta Fija Mixta + Metales Mode'!$B$22:$C$36,2,FALSE),0%)</f>
        <v>0</v>
      </c>
      <c r="BLC5" s="5">
        <f>IFERROR(VLOOKUP(BLC$1,'Renta Fija Mixta + Metales Mode'!$B$22:$C$36,2,FALSE),0%)</f>
        <v>0</v>
      </c>
      <c r="BLD5" s="5">
        <f>IFERROR(VLOOKUP(BLD$1,'Renta Fija Mixta + Metales Mode'!$B$22:$C$36,2,FALSE),0%)</f>
        <v>0</v>
      </c>
      <c r="BLE5" s="5">
        <f>IFERROR(VLOOKUP(BLE$1,'Renta Fija Mixta + Metales Mode'!$B$22:$C$36,2,FALSE),0%)</f>
        <v>0</v>
      </c>
      <c r="BLF5" s="5">
        <f>IFERROR(VLOOKUP(BLF$1,'Renta Fija Mixta + Metales Mode'!$B$22:$C$36,2,FALSE),0%)</f>
        <v>0</v>
      </c>
      <c r="BLG5" s="5">
        <f>IFERROR(VLOOKUP(BLG$1,'Renta Fija Mixta + Metales Mode'!$B$22:$C$36,2,FALSE),0%)</f>
        <v>0</v>
      </c>
      <c r="BLH5" s="5">
        <f>IFERROR(VLOOKUP(BLH$1,'Renta Fija Mixta + Metales Mode'!$B$22:$C$36,2,FALSE),0%)</f>
        <v>0</v>
      </c>
      <c r="BLI5" s="5">
        <f>IFERROR(VLOOKUP(BLI$1,'Renta Fija Mixta + Metales Mode'!$B$22:$C$36,2,FALSE),0%)</f>
        <v>0</v>
      </c>
      <c r="BLJ5" s="5">
        <f>IFERROR(VLOOKUP(BLJ$1,'Renta Fija Mixta + Metales Mode'!$B$22:$C$36,2,FALSE),0%)</f>
        <v>0</v>
      </c>
      <c r="BLK5" s="5">
        <f>IFERROR(VLOOKUP(BLK$1,'Renta Fija Mixta + Metales Mode'!$B$22:$C$36,2,FALSE),0%)</f>
        <v>0</v>
      </c>
      <c r="BLL5" s="5">
        <f>IFERROR(VLOOKUP(BLL$1,'Renta Fija Mixta + Metales Mode'!$B$22:$C$36,2,FALSE),0%)</f>
        <v>0</v>
      </c>
      <c r="BLM5" s="5">
        <f>IFERROR(VLOOKUP(BLM$1,'Renta Fija Mixta + Metales Mode'!$B$22:$C$36,2,FALSE),0%)</f>
        <v>0</v>
      </c>
      <c r="BLN5" s="5">
        <f>IFERROR(VLOOKUP(BLN$1,'Renta Fija Mixta + Metales Mode'!$B$22:$C$36,2,FALSE),0%)</f>
        <v>0</v>
      </c>
      <c r="BLO5" s="5">
        <f>IFERROR(VLOOKUP(BLO$1,'Renta Fija Mixta + Metales Mode'!$B$22:$C$36,2,FALSE),0%)</f>
        <v>0</v>
      </c>
      <c r="BLP5" s="5">
        <f>IFERROR(VLOOKUP(BLP$1,'Renta Fija Mixta + Metales Mode'!$B$22:$C$36,2,FALSE),0%)</f>
        <v>0</v>
      </c>
      <c r="BLQ5" s="5">
        <f>IFERROR(VLOOKUP(BLQ$1,'Renta Fija Mixta + Metales Mode'!$B$22:$C$36,2,FALSE),0%)</f>
        <v>0</v>
      </c>
      <c r="BLR5" s="5">
        <f>IFERROR(VLOOKUP(BLR$1,'Renta Fija Mixta + Metales Mode'!$B$22:$C$36,2,FALSE),0%)</f>
        <v>0</v>
      </c>
      <c r="BLS5" s="5">
        <f>IFERROR(VLOOKUP(BLS$1,'Renta Fija Mixta + Metales Mode'!$B$22:$C$36,2,FALSE),0%)</f>
        <v>0</v>
      </c>
      <c r="BLT5" s="5">
        <f>IFERROR(VLOOKUP(BLT$1,'Renta Fija Mixta + Metales Mode'!$B$22:$C$36,2,FALSE),0%)</f>
        <v>0</v>
      </c>
      <c r="BLU5" s="5">
        <f>IFERROR(VLOOKUP(BLU$1,'Renta Fija Mixta + Metales Mode'!$B$22:$C$36,2,FALSE),0%)</f>
        <v>0</v>
      </c>
      <c r="BLV5" s="5">
        <f>IFERROR(VLOOKUP(BLV$1,'Renta Fija Mixta + Metales Mode'!$B$22:$C$36,2,FALSE),0%)</f>
        <v>0</v>
      </c>
      <c r="BLW5" s="5">
        <f>IFERROR(VLOOKUP(BLW$1,'Renta Fija Mixta + Metales Mode'!$B$22:$C$36,2,FALSE),0%)</f>
        <v>0</v>
      </c>
      <c r="BLX5" s="5">
        <f>IFERROR(VLOOKUP(BLX$1,'Renta Fija Mixta + Metales Mode'!$B$22:$C$36,2,FALSE),0%)</f>
        <v>0</v>
      </c>
      <c r="BLY5" s="5">
        <f>IFERROR(VLOOKUP(BLY$1,'Renta Fija Mixta + Metales Mode'!$B$22:$C$36,2,FALSE),0%)</f>
        <v>0</v>
      </c>
      <c r="BLZ5" s="5">
        <f>IFERROR(VLOOKUP(BLZ$1,'Renta Fija Mixta + Metales Mode'!$B$22:$C$36,2,FALSE),0%)</f>
        <v>0</v>
      </c>
      <c r="BMA5" s="5">
        <f>IFERROR(VLOOKUP(BMA$1,'Renta Fija Mixta + Metales Mode'!$B$22:$C$36,2,FALSE),0%)</f>
        <v>0</v>
      </c>
      <c r="BMB5" s="5">
        <f>IFERROR(VLOOKUP(BMB$1,'Renta Fija Mixta + Metales Mode'!$B$22:$C$36,2,FALSE),0%)</f>
        <v>0</v>
      </c>
      <c r="BMC5" s="5">
        <f>IFERROR(VLOOKUP(BMC$1,'Renta Fija Mixta + Metales Mode'!$B$22:$C$36,2,FALSE),0%)</f>
        <v>0</v>
      </c>
      <c r="BMD5" s="5">
        <f>IFERROR(VLOOKUP(BMD$1,'Renta Fija Mixta + Metales Mode'!$B$22:$C$36,2,FALSE),0%)</f>
        <v>0</v>
      </c>
      <c r="BME5" s="5">
        <f>IFERROR(VLOOKUP(BME$1,'Renta Fija Mixta + Metales Mode'!$B$22:$C$36,2,FALSE),0%)</f>
        <v>0</v>
      </c>
      <c r="BMF5" s="5">
        <f>IFERROR(VLOOKUP(BMF$1,'Renta Fija Mixta + Metales Mode'!$B$22:$C$36,2,FALSE),0%)</f>
        <v>0</v>
      </c>
      <c r="BMG5" s="5">
        <f>IFERROR(VLOOKUP(BMG$1,'Renta Fija Mixta + Metales Mode'!$B$22:$C$36,2,FALSE),0%)</f>
        <v>0</v>
      </c>
      <c r="BMH5" s="5">
        <f>IFERROR(VLOOKUP(BMH$1,'Renta Fija Mixta + Metales Mode'!$B$22:$C$36,2,FALSE),0%)</f>
        <v>0</v>
      </c>
      <c r="BMI5" s="5">
        <f>IFERROR(VLOOKUP(BMI$1,'Renta Fija Mixta + Metales Mode'!$B$22:$C$36,2,FALSE),0%)</f>
        <v>0</v>
      </c>
      <c r="BMJ5" s="5">
        <f>IFERROR(VLOOKUP(BMJ$1,'Renta Fija Mixta + Metales Mode'!$B$22:$C$36,2,FALSE),0%)</f>
        <v>0</v>
      </c>
      <c r="BMK5" s="5">
        <f>IFERROR(VLOOKUP(BMK$1,'Renta Fija Mixta + Metales Mode'!$B$22:$C$36,2,FALSE),0%)</f>
        <v>0</v>
      </c>
      <c r="BML5" s="5">
        <f>IFERROR(VLOOKUP(BML$1,'Renta Fija Mixta + Metales Mode'!$B$22:$C$36,2,FALSE),0%)</f>
        <v>0</v>
      </c>
      <c r="BMM5" s="5">
        <f>IFERROR(VLOOKUP(BMM$1,'Renta Fija Mixta + Metales Mode'!$B$22:$C$36,2,FALSE),0%)</f>
        <v>0</v>
      </c>
      <c r="BMN5" s="5">
        <f>IFERROR(VLOOKUP(BMN$1,'Renta Fija Mixta + Metales Mode'!$B$22:$C$36,2,FALSE),0%)</f>
        <v>0</v>
      </c>
      <c r="BMO5" s="5">
        <f>IFERROR(VLOOKUP(BMO$1,'Renta Fija Mixta + Metales Mode'!$B$22:$C$36,2,FALSE),0%)</f>
        <v>0</v>
      </c>
      <c r="BMP5" s="5">
        <f>IFERROR(VLOOKUP(BMP$1,'Renta Fija Mixta + Metales Mode'!$B$22:$C$36,2,FALSE),0%)</f>
        <v>0</v>
      </c>
      <c r="BMQ5" s="5">
        <f>IFERROR(VLOOKUP(BMQ$1,'Renta Fija Mixta + Metales Mode'!$B$22:$C$36,2,FALSE),0%)</f>
        <v>0</v>
      </c>
      <c r="BMR5" s="5">
        <f>IFERROR(VLOOKUP(BMR$1,'Renta Fija Mixta + Metales Mode'!$B$22:$C$36,2,FALSE),0%)</f>
        <v>0</v>
      </c>
      <c r="BMS5" s="5">
        <f>IFERROR(VLOOKUP(BMS$1,'Renta Fija Mixta + Metales Mode'!$B$22:$C$36,2,FALSE),0%)</f>
        <v>0</v>
      </c>
      <c r="BMT5" s="5">
        <f>IFERROR(VLOOKUP(BMT$1,'Renta Fija Mixta + Metales Mode'!$B$22:$C$36,2,FALSE),0%)</f>
        <v>0</v>
      </c>
      <c r="BMU5" s="5">
        <f>IFERROR(VLOOKUP(BMU$1,'Renta Fija Mixta + Metales Mode'!$B$22:$C$36,2,FALSE),0%)</f>
        <v>0</v>
      </c>
      <c r="BMV5" s="5">
        <f>IFERROR(VLOOKUP(BMV$1,'Renta Fija Mixta + Metales Mode'!$B$22:$C$36,2,FALSE),0%)</f>
        <v>0</v>
      </c>
      <c r="BMW5" s="5">
        <f>IFERROR(VLOOKUP(BMW$1,'Renta Fija Mixta + Metales Mode'!$B$22:$C$36,2,FALSE),0%)</f>
        <v>0</v>
      </c>
      <c r="BMX5" s="5">
        <f>IFERROR(VLOOKUP(BMX$1,'Renta Fija Mixta + Metales Mode'!$B$22:$C$36,2,FALSE),0%)</f>
        <v>0</v>
      </c>
      <c r="BMY5" s="5">
        <f>IFERROR(VLOOKUP(BMY$1,'Renta Fija Mixta + Metales Mode'!$B$22:$C$36,2,FALSE),0%)</f>
        <v>0</v>
      </c>
      <c r="BMZ5" s="5">
        <f>IFERROR(VLOOKUP(BMZ$1,'Renta Fija Mixta + Metales Mode'!$B$22:$C$36,2,FALSE),0%)</f>
        <v>0</v>
      </c>
      <c r="BNA5" s="5">
        <f>IFERROR(VLOOKUP(BNA$1,'Renta Fija Mixta + Metales Mode'!$B$22:$C$36,2,FALSE),0%)</f>
        <v>0</v>
      </c>
      <c r="BNB5" s="5">
        <f>IFERROR(VLOOKUP(BNB$1,'Renta Fija Mixta + Metales Mode'!$B$22:$C$36,2,FALSE),0%)</f>
        <v>0</v>
      </c>
      <c r="BNC5" s="5">
        <f>IFERROR(VLOOKUP(BNC$1,'Renta Fija Mixta + Metales Mode'!$B$22:$C$36,2,FALSE),0%)</f>
        <v>0</v>
      </c>
      <c r="BND5" s="5">
        <f>IFERROR(VLOOKUP(BND$1,'Renta Fija Mixta + Metales Mode'!$B$22:$C$36,2,FALSE),0%)</f>
        <v>0</v>
      </c>
      <c r="BNE5" s="5">
        <f>IFERROR(VLOOKUP(BNE$1,'Renta Fija Mixta + Metales Mode'!$B$22:$C$36,2,FALSE),0%)</f>
        <v>0</v>
      </c>
      <c r="BNF5" s="5">
        <f>IFERROR(VLOOKUP(BNF$1,'Renta Fija Mixta + Metales Mode'!$B$22:$C$36,2,FALSE),0%)</f>
        <v>0</v>
      </c>
      <c r="BNG5" s="5">
        <f>IFERROR(VLOOKUP(BNG$1,'Renta Fija Mixta + Metales Mode'!$B$22:$C$36,2,FALSE),0%)</f>
        <v>0</v>
      </c>
      <c r="BNH5" s="5">
        <f>IFERROR(VLOOKUP(BNH$1,'Renta Fija Mixta + Metales Mode'!$B$22:$C$36,2,FALSE),0%)</f>
        <v>0</v>
      </c>
      <c r="BNI5" s="5">
        <f>IFERROR(VLOOKUP(BNI$1,'Renta Fija Mixta + Metales Mode'!$B$22:$C$36,2,FALSE),0%)</f>
        <v>0</v>
      </c>
      <c r="BNJ5" s="5">
        <f>IFERROR(VLOOKUP(BNJ$1,'Renta Fija Mixta + Metales Mode'!$B$22:$C$36,2,FALSE),0%)</f>
        <v>0</v>
      </c>
      <c r="BNK5" s="5">
        <f>IFERROR(VLOOKUP(BNK$1,'Renta Fija Mixta + Metales Mode'!$B$22:$C$36,2,FALSE),0%)</f>
        <v>0</v>
      </c>
      <c r="BNL5" s="5">
        <f>IFERROR(VLOOKUP(BNL$1,'Renta Fija Mixta + Metales Mode'!$B$22:$C$36,2,FALSE),0%)</f>
        <v>0</v>
      </c>
      <c r="BNM5" s="5">
        <f>IFERROR(VLOOKUP(BNM$1,'Renta Fija Mixta + Metales Mode'!$B$22:$C$36,2,FALSE),0%)</f>
        <v>0</v>
      </c>
      <c r="BNN5" s="5">
        <f>IFERROR(VLOOKUP(BNN$1,'Renta Fija Mixta + Metales Mode'!$B$22:$C$36,2,FALSE),0%)</f>
        <v>0</v>
      </c>
      <c r="BNO5" s="5">
        <f>IFERROR(VLOOKUP(BNO$1,'Renta Fija Mixta + Metales Mode'!$B$22:$C$36,2,FALSE),0%)</f>
        <v>0</v>
      </c>
      <c r="BNP5" s="5">
        <f>IFERROR(VLOOKUP(BNP$1,'Renta Fija Mixta + Metales Mode'!$B$22:$C$36,2,FALSE),0%)</f>
        <v>0</v>
      </c>
      <c r="BNQ5" s="5">
        <f>IFERROR(VLOOKUP(BNQ$1,'Renta Fija Mixta + Metales Mode'!$B$22:$C$36,2,FALSE),0%)</f>
        <v>0</v>
      </c>
      <c r="BNR5" s="5">
        <f>IFERROR(VLOOKUP(BNR$1,'Renta Fija Mixta + Metales Mode'!$B$22:$C$36,2,FALSE),0%)</f>
        <v>0</v>
      </c>
      <c r="BNS5" s="5">
        <f>IFERROR(VLOOKUP(BNS$1,'Renta Fija Mixta + Metales Mode'!$B$22:$C$36,2,FALSE),0%)</f>
        <v>0</v>
      </c>
      <c r="BNT5" s="5">
        <f>IFERROR(VLOOKUP(BNT$1,'Renta Fija Mixta + Metales Mode'!$B$22:$C$36,2,FALSE),0%)</f>
        <v>0</v>
      </c>
      <c r="BNU5" s="5">
        <f>IFERROR(VLOOKUP(BNU$1,'Renta Fija Mixta + Metales Mode'!$B$22:$C$36,2,FALSE),0%)</f>
        <v>0</v>
      </c>
      <c r="BNV5" s="5">
        <f>IFERROR(VLOOKUP(BNV$1,'Renta Fija Mixta + Metales Mode'!$B$22:$C$36,2,FALSE),0%)</f>
        <v>0</v>
      </c>
      <c r="BNW5" s="5">
        <f>IFERROR(VLOOKUP(BNW$1,'Renta Fija Mixta + Metales Mode'!$B$22:$C$36,2,FALSE),0%)</f>
        <v>0</v>
      </c>
      <c r="BNX5" s="5">
        <f>IFERROR(VLOOKUP(BNX$1,'Renta Fija Mixta + Metales Mode'!$B$22:$C$36,2,FALSE),0%)</f>
        <v>0</v>
      </c>
      <c r="BNY5" s="5">
        <f>IFERROR(VLOOKUP(BNY$1,'Renta Fija Mixta + Metales Mode'!$B$22:$C$36,2,FALSE),0%)</f>
        <v>0</v>
      </c>
      <c r="BNZ5" s="5">
        <f>IFERROR(VLOOKUP(BNZ$1,'Renta Fija Mixta + Metales Mode'!$B$22:$C$36,2,FALSE),0%)</f>
        <v>0</v>
      </c>
      <c r="BOA5" s="5">
        <f>IFERROR(VLOOKUP(BOA$1,'Renta Fija Mixta + Metales Mode'!$B$22:$C$36,2,FALSE),0%)</f>
        <v>0</v>
      </c>
      <c r="BOB5" s="5">
        <f>IFERROR(VLOOKUP(BOB$1,'Renta Fija Mixta + Metales Mode'!$B$22:$C$36,2,FALSE),0%)</f>
        <v>0</v>
      </c>
      <c r="BOC5" s="5">
        <f>IFERROR(VLOOKUP(BOC$1,'Renta Fija Mixta + Metales Mode'!$B$22:$C$36,2,FALSE),0%)</f>
        <v>0</v>
      </c>
      <c r="BOD5" s="5">
        <f>IFERROR(VLOOKUP(BOD$1,'Renta Fija Mixta + Metales Mode'!$B$22:$C$36,2,FALSE),0%)</f>
        <v>0</v>
      </c>
      <c r="BOE5" s="5">
        <f>IFERROR(VLOOKUP(BOE$1,'Renta Fija Mixta + Metales Mode'!$B$22:$C$36,2,FALSE),0%)</f>
        <v>0</v>
      </c>
      <c r="BOF5" s="5">
        <f>IFERROR(VLOOKUP(BOF$1,'Renta Fija Mixta + Metales Mode'!$B$22:$C$36,2,FALSE),0%)</f>
        <v>0</v>
      </c>
      <c r="BOG5" s="5">
        <f>IFERROR(VLOOKUP(BOG$1,'Renta Fija Mixta + Metales Mode'!$B$22:$C$36,2,FALSE),0%)</f>
        <v>0</v>
      </c>
      <c r="BOH5" s="5">
        <f>IFERROR(VLOOKUP(BOH$1,'Renta Fija Mixta + Metales Mode'!$B$22:$C$36,2,FALSE),0%)</f>
        <v>0</v>
      </c>
      <c r="BOI5" s="5">
        <f>IFERROR(VLOOKUP(BOI$1,'Renta Fija Mixta + Metales Mode'!$B$22:$C$36,2,FALSE),0%)</f>
        <v>0</v>
      </c>
      <c r="BOJ5" s="5">
        <f>IFERROR(VLOOKUP(BOJ$1,'Renta Fija Mixta + Metales Mode'!$B$22:$C$36,2,FALSE),0%)</f>
        <v>0</v>
      </c>
      <c r="BOK5" s="5">
        <f>IFERROR(VLOOKUP(BOK$1,'Renta Fija Mixta + Metales Mode'!$B$22:$C$36,2,FALSE),0%)</f>
        <v>0</v>
      </c>
      <c r="BOL5" s="5">
        <f>IFERROR(VLOOKUP(BOL$1,'Renta Fija Mixta + Metales Mode'!$B$22:$C$36,2,FALSE),0%)</f>
        <v>0</v>
      </c>
      <c r="BOM5" s="5">
        <f>IFERROR(VLOOKUP(BOM$1,'Renta Fija Mixta + Metales Mode'!$B$22:$C$36,2,FALSE),0%)</f>
        <v>0</v>
      </c>
      <c r="BON5" s="5">
        <f>IFERROR(VLOOKUP(BON$1,'Renta Fija Mixta + Metales Mode'!$B$22:$C$36,2,FALSE),0%)</f>
        <v>0</v>
      </c>
      <c r="BOO5" s="5">
        <f>IFERROR(VLOOKUP(BOO$1,'Renta Fija Mixta + Metales Mode'!$B$22:$C$36,2,FALSE),0%)</f>
        <v>0</v>
      </c>
      <c r="BOP5" s="5">
        <f>IFERROR(VLOOKUP(BOP$1,'Renta Fija Mixta + Metales Mode'!$B$22:$C$36,2,FALSE),0%)</f>
        <v>0</v>
      </c>
      <c r="BOQ5" s="5">
        <f>IFERROR(VLOOKUP(BOQ$1,'Renta Fija Mixta + Metales Mode'!$B$22:$C$36,2,FALSE),0%)</f>
        <v>0</v>
      </c>
      <c r="BOR5" s="5">
        <f>IFERROR(VLOOKUP(BOR$1,'Renta Fija Mixta + Metales Mode'!$B$22:$C$36,2,FALSE),0%)</f>
        <v>0.1616819043</v>
      </c>
      <c r="BOS5" s="5">
        <f>IFERROR(VLOOKUP(BOS$1,'Renta Fija Mixta + Metales Mode'!$B$22:$C$36,2,FALSE),0%)</f>
        <v>0</v>
      </c>
      <c r="BOT5" s="5">
        <f>IFERROR(VLOOKUP(BOT$1,'Renta Fija Mixta + Metales Mode'!$B$22:$C$36,2,FALSE),0%)</f>
        <v>0</v>
      </c>
      <c r="BOU5" s="5">
        <f>IFERROR(VLOOKUP(BOU$1,'Renta Fija Mixta + Metales Mode'!$B$22:$C$36,2,FALSE),0%)</f>
        <v>0</v>
      </c>
      <c r="BOV5" s="5">
        <f>IFERROR(VLOOKUP(BOV$1,'Renta Fija Mixta + Metales Mode'!$B$22:$C$36,2,FALSE),0%)</f>
        <v>0</v>
      </c>
      <c r="BOW5" s="5">
        <f>IFERROR(VLOOKUP(BOW$1,'Renta Fija Mixta + Metales Mode'!$B$22:$C$36,2,FALSE),0%)</f>
        <v>0</v>
      </c>
      <c r="BOX5" s="5">
        <f>IFERROR(VLOOKUP(BOX$1,'Renta Fija Mixta + Metales Mode'!$B$22:$C$36,2,FALSE),0%)</f>
        <v>0</v>
      </c>
      <c r="BOY5" s="5">
        <f>IFERROR(VLOOKUP(BOY$1,'Renta Fija Mixta + Metales Mode'!$B$22:$C$36,2,FALSE),0%)</f>
        <v>0</v>
      </c>
      <c r="BOZ5" s="5">
        <f>IFERROR(VLOOKUP(BOZ$1,'Renta Fija Mixta + Metales Mode'!$B$22:$C$36,2,FALSE),0%)</f>
        <v>0</v>
      </c>
      <c r="BPA5" s="5">
        <f>IFERROR(VLOOKUP(BPA$1,'Renta Fija Mixta + Metales Mode'!$B$22:$C$36,2,FALSE),0%)</f>
        <v>0</v>
      </c>
      <c r="BPB5" s="5">
        <f>IFERROR(VLOOKUP(BPB$1,'Renta Fija Mixta + Metales Mode'!$B$22:$C$36,2,FALSE),0%)</f>
        <v>0</v>
      </c>
      <c r="BPC5" s="5">
        <f>IFERROR(VLOOKUP(BPC$1,'Renta Fija Mixta + Metales Mode'!$B$22:$C$36,2,FALSE),0%)</f>
        <v>0</v>
      </c>
      <c r="BPD5" s="5">
        <f>IFERROR(VLOOKUP(BPD$1,'Renta Fija Mixta + Metales Mode'!$B$22:$C$36,2,FALSE),0%)</f>
        <v>0</v>
      </c>
      <c r="BPE5" s="5">
        <f>IFERROR(VLOOKUP(BPE$1,'Renta Fija Mixta + Metales Mode'!$B$22:$C$36,2,FALSE),0%)</f>
        <v>0</v>
      </c>
      <c r="BPF5" s="5">
        <f>IFERROR(VLOOKUP(BPF$1,'Renta Fija Mixta + Metales Mode'!$B$22:$C$36,2,FALSE),0%)</f>
        <v>0</v>
      </c>
      <c r="BPG5" s="5">
        <f>IFERROR(VLOOKUP(BPG$1,'Renta Fija Mixta + Metales Mode'!$B$22:$C$36,2,FALSE),0%)</f>
        <v>0</v>
      </c>
      <c r="BPH5" s="5">
        <f>IFERROR(VLOOKUP(BPH$1,'Renta Fija Mixta + Metales Mode'!$B$22:$C$36,2,FALSE),0%)</f>
        <v>0</v>
      </c>
      <c r="BPI5" s="5">
        <f>IFERROR(VLOOKUP(BPI$1,'Renta Fija Mixta + Metales Mode'!$B$22:$C$36,2,FALSE),0%)</f>
        <v>0</v>
      </c>
      <c r="BPJ5" s="5">
        <f>IFERROR(VLOOKUP(BPJ$1,'Renta Fija Mixta + Metales Mode'!$B$22:$C$36,2,FALSE),0%)</f>
        <v>0</v>
      </c>
      <c r="BPK5" s="5">
        <f>IFERROR(VLOOKUP(BPK$1,'Renta Fija Mixta + Metales Mode'!$B$22:$C$36,2,FALSE),0%)</f>
        <v>0</v>
      </c>
      <c r="BPL5" s="5">
        <f>IFERROR(VLOOKUP(BPL$1,'Renta Fija Mixta + Metales Mode'!$B$22:$C$36,2,FALSE),0%)</f>
        <v>0</v>
      </c>
      <c r="BPM5" s="5">
        <f>IFERROR(VLOOKUP(BPM$1,'Renta Fija Mixta + Metales Mode'!$B$22:$C$36,2,FALSE),0%)</f>
        <v>0</v>
      </c>
      <c r="BPN5" s="5">
        <f>IFERROR(VLOOKUP(BPN$1,'Renta Fija Mixta + Metales Mode'!$B$22:$C$36,2,FALSE),0%)</f>
        <v>0</v>
      </c>
      <c r="BPO5" s="5">
        <f>IFERROR(VLOOKUP(BPO$1,'Renta Fija Mixta + Metales Mode'!$B$22:$C$36,2,FALSE),0%)</f>
        <v>0</v>
      </c>
      <c r="BPP5" s="5">
        <f>IFERROR(VLOOKUP(BPP$1,'Renta Fija Mixta + Metales Mode'!$B$22:$C$36,2,FALSE),0%)</f>
        <v>0</v>
      </c>
      <c r="BPQ5" s="5">
        <f>IFERROR(VLOOKUP(BPQ$1,'Renta Fija Mixta + Metales Mode'!$B$22:$C$36,2,FALSE),0%)</f>
        <v>0</v>
      </c>
      <c r="BPR5" s="5">
        <f>IFERROR(VLOOKUP(BPR$1,'Renta Fija Mixta + Metales Mode'!$B$22:$C$36,2,FALSE),0%)</f>
        <v>0</v>
      </c>
      <c r="BPS5" s="5">
        <f>IFERROR(VLOOKUP(BPS$1,'Renta Fija Mixta + Metales Mode'!$B$22:$C$36,2,FALSE),0%)</f>
        <v>0</v>
      </c>
      <c r="BPT5" s="5">
        <f>IFERROR(VLOOKUP(BPT$1,'Renta Fija Mixta + Metales Mode'!$B$22:$C$36,2,FALSE),0%)</f>
        <v>0</v>
      </c>
      <c r="BPU5" s="5">
        <f>IFERROR(VLOOKUP(BPU$1,'Renta Fija Mixta + Metales Mode'!$B$22:$C$36,2,FALSE),0%)</f>
        <v>0</v>
      </c>
      <c r="BPV5" s="5">
        <f>IFERROR(VLOOKUP(BPV$1,'Renta Fija Mixta + Metales Mode'!$B$22:$C$36,2,FALSE),0%)</f>
        <v>0</v>
      </c>
      <c r="BPW5" s="5">
        <f>IFERROR(VLOOKUP(BPW$1,'Renta Fija Mixta + Metales Mode'!$B$22:$C$36,2,FALSE),0%)</f>
        <v>0</v>
      </c>
      <c r="BPX5" s="5">
        <f>IFERROR(VLOOKUP(BPX$1,'Renta Fija Mixta + Metales Mode'!$B$22:$C$36,2,FALSE),0%)</f>
        <v>0</v>
      </c>
      <c r="BPY5" s="5">
        <f>IFERROR(VLOOKUP(BPY$1,'Renta Fija Mixta + Metales Mode'!$B$22:$C$36,2,FALSE),0%)</f>
        <v>0</v>
      </c>
      <c r="BPZ5" s="5">
        <f>IFERROR(VLOOKUP(BPZ$1,'Renta Fija Mixta + Metales Mode'!$B$22:$C$36,2,FALSE),0%)</f>
        <v>0</v>
      </c>
      <c r="BQA5" s="5">
        <f>IFERROR(VLOOKUP(BQA$1,'Renta Fija Mixta + Metales Mode'!$B$22:$C$36,2,FALSE),0%)</f>
        <v>0</v>
      </c>
      <c r="BQB5" s="5">
        <f>IFERROR(VLOOKUP(BQB$1,'Renta Fija Mixta + Metales Mode'!$B$22:$C$36,2,FALSE),0%)</f>
        <v>0</v>
      </c>
      <c r="BQC5" s="5">
        <f>IFERROR(VLOOKUP(BQC$1,'Renta Fija Mixta + Metales Mode'!$B$22:$C$36,2,FALSE),0%)</f>
        <v>0</v>
      </c>
      <c r="BQD5" s="5">
        <f>IFERROR(VLOOKUP(BQD$1,'Renta Fija Mixta + Metales Mode'!$B$22:$C$36,2,FALSE),0%)</f>
        <v>0</v>
      </c>
      <c r="BQE5" s="5">
        <f>IFERROR(VLOOKUP(BQE$1,'Renta Fija Mixta + Metales Mode'!$B$22:$C$36,2,FALSE),0%)</f>
        <v>0</v>
      </c>
      <c r="BQF5" s="5">
        <f>IFERROR(VLOOKUP(BQF$1,'Renta Fija Mixta + Metales Mode'!$B$22:$C$36,2,FALSE),0%)</f>
        <v>0</v>
      </c>
      <c r="BQG5" s="5">
        <f>IFERROR(VLOOKUP(BQG$1,'Renta Fija Mixta + Metales Mode'!$B$22:$C$36,2,FALSE),0%)</f>
        <v>0</v>
      </c>
      <c r="BQH5" s="5">
        <f>IFERROR(VLOOKUP(BQH$1,'Renta Fija Mixta + Metales Mode'!$B$22:$C$36,2,FALSE),0%)</f>
        <v>0</v>
      </c>
      <c r="BQI5" s="5">
        <f>IFERROR(VLOOKUP(BQI$1,'Renta Fija Mixta + Metales Mode'!$B$22:$C$36,2,FALSE),0%)</f>
        <v>0</v>
      </c>
      <c r="BQJ5" s="5">
        <f>IFERROR(VLOOKUP(BQJ$1,'Renta Fija Mixta + Metales Mode'!$B$22:$C$36,2,FALSE),0%)</f>
        <v>0</v>
      </c>
      <c r="BQK5" s="5">
        <f>IFERROR(VLOOKUP(BQK$1,'Renta Fija Mixta + Metales Mode'!$B$22:$C$36,2,FALSE),0%)</f>
        <v>0</v>
      </c>
      <c r="BQL5" s="5">
        <f>IFERROR(VLOOKUP(BQL$1,'Renta Fija Mixta + Metales Mode'!$B$22:$C$36,2,FALSE),0%)</f>
        <v>0</v>
      </c>
      <c r="BQM5" s="5">
        <f>IFERROR(VLOOKUP(BQM$1,'Renta Fija Mixta + Metales Mode'!$B$22:$C$36,2,FALSE),0%)</f>
        <v>0</v>
      </c>
      <c r="BQN5" s="5">
        <f>IFERROR(VLOOKUP(BQN$1,'Renta Fija Mixta + Metales Mode'!$B$22:$C$36,2,FALSE),0%)</f>
        <v>0</v>
      </c>
      <c r="BQO5" s="5">
        <f>IFERROR(VLOOKUP(BQO$1,'Renta Fija Mixta + Metales Mode'!$B$22:$C$36,2,FALSE),0%)</f>
        <v>0</v>
      </c>
      <c r="BQP5" s="5">
        <f>IFERROR(VLOOKUP(BQP$1,'Renta Fija Mixta + Metales Mode'!$B$22:$C$36,2,FALSE),0%)</f>
        <v>0</v>
      </c>
      <c r="BQQ5" s="5">
        <f>IFERROR(VLOOKUP(BQQ$1,'Renta Fija Mixta + Metales Mode'!$B$22:$C$36,2,FALSE),0%)</f>
        <v>0</v>
      </c>
      <c r="BQR5" s="5">
        <f>IFERROR(VLOOKUP(BQR$1,'Renta Fija Mixta + Metales Mode'!$B$22:$C$36,2,FALSE),0%)</f>
        <v>0</v>
      </c>
      <c r="BQS5" s="5">
        <f>IFERROR(VLOOKUP(BQS$1,'Renta Fija Mixta + Metales Mode'!$B$22:$C$36,2,FALSE),0%)</f>
        <v>0</v>
      </c>
      <c r="BQT5" s="5">
        <f>IFERROR(VLOOKUP(BQT$1,'Renta Fija Mixta + Metales Mode'!$B$22:$C$36,2,FALSE),0%)</f>
        <v>0</v>
      </c>
      <c r="BQU5" s="5">
        <f>IFERROR(VLOOKUP(BQU$1,'Renta Fija Mixta + Metales Mode'!$B$22:$C$36,2,FALSE),0%)</f>
        <v>0</v>
      </c>
      <c r="BQV5" s="5">
        <f>IFERROR(VLOOKUP(BQV$1,'Renta Fija Mixta + Metales Mode'!$B$22:$C$36,2,FALSE),0%)</f>
        <v>0</v>
      </c>
      <c r="BQW5" s="5">
        <f>IFERROR(VLOOKUP(BQW$1,'Renta Fija Mixta + Metales Mode'!$B$22:$C$36,2,FALSE),0%)</f>
        <v>0</v>
      </c>
      <c r="BQX5" s="5">
        <f>IFERROR(VLOOKUP(BQX$1,'Renta Fija Mixta + Metales Mode'!$B$22:$C$36,2,FALSE),0%)</f>
        <v>0</v>
      </c>
      <c r="BQY5" s="5">
        <f>IFERROR(VLOOKUP(BQY$1,'Renta Fija Mixta + Metales Mode'!$B$22:$C$36,2,FALSE),0%)</f>
        <v>0</v>
      </c>
      <c r="BQZ5" s="5">
        <f>IFERROR(VLOOKUP(BQZ$1,'Renta Fija Mixta + Metales Mode'!$B$22:$C$36,2,FALSE),0%)</f>
        <v>0</v>
      </c>
      <c r="BRA5" s="5">
        <f>IFERROR(VLOOKUP(BRA$1,'Renta Fija Mixta + Metales Mode'!$B$22:$C$36,2,FALSE),0%)</f>
        <v>0</v>
      </c>
      <c r="BRB5" s="5">
        <f>IFERROR(VLOOKUP(BRB$1,'Renta Fija Mixta + Metales Mode'!$B$22:$C$36,2,FALSE),0%)</f>
        <v>0</v>
      </c>
      <c r="BRC5" s="5">
        <f>IFERROR(VLOOKUP(BRC$1,'Renta Fija Mixta + Metales Mode'!$B$22:$C$36,2,FALSE),0%)</f>
        <v>0</v>
      </c>
      <c r="BRD5" s="5">
        <f>IFERROR(VLOOKUP(BRD$1,'Renta Fija Mixta + Metales Mode'!$B$22:$C$36,2,FALSE),0%)</f>
        <v>0</v>
      </c>
      <c r="BRE5" s="5">
        <f>IFERROR(VLOOKUP(BRE$1,'Renta Fija Mixta + Metales Mode'!$B$22:$C$36,2,FALSE),0%)</f>
        <v>0</v>
      </c>
      <c r="BRF5" s="5">
        <f>IFERROR(VLOOKUP(BRF$1,'Renta Fija Mixta + Metales Mode'!$B$22:$C$36,2,FALSE),0%)</f>
        <v>0</v>
      </c>
      <c r="BRG5" s="5">
        <f>IFERROR(VLOOKUP(BRG$1,'Renta Fija Mixta + Metales Mode'!$B$22:$C$36,2,FALSE),0%)</f>
        <v>0</v>
      </c>
      <c r="BRH5" s="5">
        <f>IFERROR(VLOOKUP(BRH$1,'Renta Fija Mixta + Metales Mode'!$B$22:$C$36,2,FALSE),0%)</f>
        <v>0</v>
      </c>
      <c r="BRI5" s="5">
        <f>IFERROR(VLOOKUP(BRI$1,'Renta Fija Mixta + Metales Mode'!$B$22:$C$36,2,FALSE),0%)</f>
        <v>0</v>
      </c>
      <c r="BRJ5" s="5">
        <f>IFERROR(VLOOKUP(BRJ$1,'Renta Fija Mixta + Metales Mode'!$B$22:$C$36,2,FALSE),0%)</f>
        <v>0</v>
      </c>
      <c r="BRK5" s="5">
        <f>IFERROR(VLOOKUP(BRK$1,'Renta Fija Mixta + Metales Mode'!$B$22:$C$36,2,FALSE),0%)</f>
        <v>0</v>
      </c>
      <c r="BRL5" s="5">
        <f>IFERROR(VLOOKUP(BRL$1,'Renta Fija Mixta + Metales Mode'!$B$22:$C$36,2,FALSE),0%)</f>
        <v>0</v>
      </c>
      <c r="BRM5" s="5">
        <f>IFERROR(VLOOKUP(BRM$1,'Renta Fija Mixta + Metales Mode'!$B$22:$C$36,2,FALSE),0%)</f>
        <v>0</v>
      </c>
      <c r="BRN5" s="5">
        <f>IFERROR(VLOOKUP(BRN$1,'Renta Fija Mixta + Metales Mode'!$B$22:$C$36,2,FALSE),0%)</f>
        <v>0</v>
      </c>
      <c r="BRO5" s="5">
        <f>IFERROR(VLOOKUP(BRO$1,'Renta Fija Mixta + Metales Mode'!$B$22:$C$36,2,FALSE),0%)</f>
        <v>0</v>
      </c>
      <c r="BRP5" s="5">
        <f>IFERROR(VLOOKUP(BRP$1,'Renta Fija Mixta + Metales Mode'!$B$22:$C$36,2,FALSE),0%)</f>
        <v>0</v>
      </c>
      <c r="BRQ5" s="5">
        <f>IFERROR(VLOOKUP(BRQ$1,'Renta Fija Mixta + Metales Mode'!$B$22:$C$36,2,FALSE),0%)</f>
        <v>0</v>
      </c>
      <c r="BRR5" s="5">
        <f>IFERROR(VLOOKUP(BRR$1,'Renta Fija Mixta + Metales Mode'!$B$22:$C$36,2,FALSE),0%)</f>
        <v>0</v>
      </c>
      <c r="BRS5" s="5">
        <f>IFERROR(VLOOKUP(BRS$1,'Renta Fija Mixta + Metales Mode'!$B$22:$C$36,2,FALSE),0%)</f>
        <v>0</v>
      </c>
      <c r="BRT5" s="5">
        <f>IFERROR(VLOOKUP(BRT$1,'Renta Fija Mixta + Metales Mode'!$B$22:$C$36,2,FALSE),0%)</f>
        <v>0</v>
      </c>
      <c r="BRU5" s="5">
        <f>IFERROR(VLOOKUP(BRU$1,'Renta Fija Mixta + Metales Mode'!$B$22:$C$36,2,FALSE),0%)</f>
        <v>0</v>
      </c>
      <c r="BRV5" s="5">
        <f>IFERROR(VLOOKUP(BRV$1,'Renta Fija Mixta + Metales Mode'!$B$22:$C$36,2,FALSE),0%)</f>
        <v>0</v>
      </c>
      <c r="BRW5" s="5">
        <f>IFERROR(VLOOKUP(BRW$1,'Renta Fija Mixta + Metales Mode'!$B$22:$C$36,2,FALSE),0%)</f>
        <v>0</v>
      </c>
      <c r="BRX5" s="5">
        <f>IFERROR(VLOOKUP(BRX$1,'Renta Fija Mixta + Metales Mode'!$B$22:$C$36,2,FALSE),0%)</f>
        <v>0</v>
      </c>
      <c r="BRY5" s="5">
        <f>IFERROR(VLOOKUP(BRY$1,'Renta Fija Mixta + Metales Mode'!$B$22:$C$36,2,FALSE),0%)</f>
        <v>0</v>
      </c>
      <c r="BRZ5" s="5">
        <f>IFERROR(VLOOKUP(BRZ$1,'Renta Fija Mixta + Metales Mode'!$B$22:$C$36,2,FALSE),0%)</f>
        <v>0</v>
      </c>
      <c r="BSA5" s="5">
        <f>IFERROR(VLOOKUP(BSA$1,'Renta Fija Mixta + Metales Mode'!$B$22:$C$36,2,FALSE),0%)</f>
        <v>0</v>
      </c>
      <c r="BSB5" s="5">
        <f>IFERROR(VLOOKUP(BSB$1,'Renta Fija Mixta + Metales Mode'!$B$22:$C$36,2,FALSE),0%)</f>
        <v>0</v>
      </c>
      <c r="BSC5" s="5">
        <f>IFERROR(VLOOKUP(BSC$1,'Renta Fija Mixta + Metales Mode'!$B$22:$C$36,2,FALSE),0%)</f>
        <v>0</v>
      </c>
      <c r="BSD5" s="5">
        <f>IFERROR(VLOOKUP(BSD$1,'Renta Fija Mixta + Metales Mode'!$B$22:$C$36,2,FALSE),0%)</f>
        <v>0</v>
      </c>
      <c r="BSE5" s="5">
        <f>IFERROR(VLOOKUP(BSE$1,'Renta Fija Mixta + Metales Mode'!$B$22:$C$36,2,FALSE),0%)</f>
        <v>0</v>
      </c>
      <c r="BSF5" s="5">
        <f>IFERROR(VLOOKUP(BSF$1,'Renta Fija Mixta + Metales Mode'!$B$22:$C$36,2,FALSE),0%)</f>
        <v>0</v>
      </c>
      <c r="BSG5" s="5">
        <f>IFERROR(VLOOKUP(BSG$1,'Renta Fija Mixta + Metales Mode'!$B$22:$C$36,2,FALSE),0%)</f>
        <v>0</v>
      </c>
      <c r="BSH5" s="5">
        <f>IFERROR(VLOOKUP(BSH$1,'Renta Fija Mixta + Metales Mode'!$B$22:$C$36,2,FALSE),0%)</f>
        <v>0</v>
      </c>
      <c r="BSI5" s="5">
        <f>IFERROR(VLOOKUP(BSI$1,'Renta Fija Mixta + Metales Mode'!$B$22:$C$36,2,FALSE),0%)</f>
        <v>0</v>
      </c>
      <c r="BSJ5" s="5">
        <f>IFERROR(VLOOKUP(BSJ$1,'Renta Fija Mixta + Metales Mode'!$B$22:$C$36,2,FALSE),0%)</f>
        <v>0</v>
      </c>
      <c r="BSK5" s="5">
        <f>IFERROR(VLOOKUP(BSK$1,'Renta Fija Mixta + Metales Mode'!$B$22:$C$36,2,FALSE),0%)</f>
        <v>0</v>
      </c>
      <c r="BSL5" s="5">
        <f>IFERROR(VLOOKUP(BSL$1,'Renta Fija Mixta + Metales Mode'!$B$22:$C$36,2,FALSE),0%)</f>
        <v>0</v>
      </c>
      <c r="BSM5" s="5">
        <f>IFERROR(VLOOKUP(BSM$1,'Renta Fija Mixta + Metales Mode'!$B$22:$C$36,2,FALSE),0%)</f>
        <v>0</v>
      </c>
      <c r="BSN5" s="5">
        <f>IFERROR(VLOOKUP(BSN$1,'Renta Fija Mixta + Metales Mode'!$B$22:$C$36,2,FALSE),0%)</f>
        <v>0</v>
      </c>
      <c r="BSO5" s="5">
        <f>IFERROR(VLOOKUP(BSO$1,'Renta Fija Mixta + Metales Mode'!$B$22:$C$36,2,FALSE),0%)</f>
        <v>0</v>
      </c>
      <c r="BSP5" s="5">
        <f>IFERROR(VLOOKUP(BSP$1,'Renta Fija Mixta + Metales Mode'!$B$22:$C$36,2,FALSE),0%)</f>
        <v>0</v>
      </c>
      <c r="BSQ5" s="5">
        <f>IFERROR(VLOOKUP(BSQ$1,'Renta Fija Mixta + Metales Mode'!$B$22:$C$36,2,FALSE),0%)</f>
        <v>0</v>
      </c>
      <c r="BSR5" s="5">
        <f>IFERROR(VLOOKUP(BSR$1,'Renta Fija Mixta + Metales Mode'!$B$22:$C$36,2,FALSE),0%)</f>
        <v>0</v>
      </c>
      <c r="BSS5" s="5">
        <f>IFERROR(VLOOKUP(BSS$1,'Renta Fija Mixta + Metales Mode'!$B$22:$C$36,2,FALSE),0%)</f>
        <v>0</v>
      </c>
      <c r="BST5" s="5">
        <f>IFERROR(VLOOKUP(BST$1,'Renta Fija Mixta + Metales Mode'!$B$22:$C$36,2,FALSE),0%)</f>
        <v>0</v>
      </c>
      <c r="BSU5" s="5">
        <f>IFERROR(VLOOKUP(BSU$1,'Renta Fija Mixta + Metales Mode'!$B$22:$C$36,2,FALSE),0%)</f>
        <v>0</v>
      </c>
      <c r="BSV5" s="5">
        <f>IFERROR(VLOOKUP(BSV$1,'Renta Fija Mixta + Metales Mode'!$B$22:$C$36,2,FALSE),0%)</f>
        <v>0</v>
      </c>
      <c r="BSW5" s="5">
        <f>IFERROR(VLOOKUP(BSW$1,'Renta Fija Mixta + Metales Mode'!$B$22:$C$36,2,FALSE),0%)</f>
        <v>0</v>
      </c>
      <c r="BSX5" s="5">
        <f>IFERROR(VLOOKUP(BSX$1,'Renta Fija Mixta + Metales Mode'!$B$22:$C$36,2,FALSE),0%)</f>
        <v>0</v>
      </c>
      <c r="BSY5" s="5">
        <f>IFERROR(VLOOKUP(BSY$1,'Renta Fija Mixta + Metales Mode'!$B$22:$C$36,2,FALSE),0%)</f>
        <v>0</v>
      </c>
      <c r="BSZ5" s="5">
        <f>IFERROR(VLOOKUP(BSZ$1,'Renta Fija Mixta + Metales Mode'!$B$22:$C$36,2,FALSE),0%)</f>
        <v>0</v>
      </c>
      <c r="BTA5" s="5">
        <f>IFERROR(VLOOKUP(BTA$1,'Renta Fija Mixta + Metales Mode'!$B$22:$C$36,2,FALSE),0%)</f>
        <v>0</v>
      </c>
      <c r="BTB5" s="5">
        <f>IFERROR(VLOOKUP(BTB$1,'Renta Fija Mixta + Metales Mode'!$B$22:$C$36,2,FALSE),0%)</f>
        <v>0</v>
      </c>
      <c r="BTC5" s="5">
        <f>IFERROR(VLOOKUP(BTC$1,'Renta Fija Mixta + Metales Mode'!$B$22:$C$36,2,FALSE),0%)</f>
        <v>0</v>
      </c>
      <c r="BTD5" s="5">
        <f>IFERROR(VLOOKUP(BTD$1,'Renta Fija Mixta + Metales Mode'!$B$22:$C$36,2,FALSE),0%)</f>
        <v>0</v>
      </c>
      <c r="BTE5" s="5">
        <f>IFERROR(VLOOKUP(BTE$1,'Renta Fija Mixta + Metales Mode'!$B$22:$C$36,2,FALSE),0%)</f>
        <v>0</v>
      </c>
      <c r="BTF5" s="5">
        <f>IFERROR(VLOOKUP(BTF$1,'Renta Fija Mixta + Metales Mode'!$B$22:$C$36,2,FALSE),0%)</f>
        <v>0</v>
      </c>
      <c r="BTG5" s="5">
        <f>IFERROR(VLOOKUP(BTG$1,'Renta Fija Mixta + Metales Mode'!$B$22:$C$36,2,FALSE),0%)</f>
        <v>0</v>
      </c>
      <c r="BTH5" s="5">
        <f>IFERROR(VLOOKUP(BTH$1,'Renta Fija Mixta + Metales Mode'!$B$22:$C$36,2,FALSE),0%)</f>
        <v>0</v>
      </c>
      <c r="BTI5" s="5">
        <f>IFERROR(VLOOKUP(BTI$1,'Renta Fija Mixta + Metales Mode'!$B$22:$C$36,2,FALSE),0%)</f>
        <v>0</v>
      </c>
      <c r="BTJ5" s="5">
        <f>IFERROR(VLOOKUP(BTJ$1,'Renta Fija Mixta + Metales Mode'!$B$22:$C$36,2,FALSE),0%)</f>
        <v>0</v>
      </c>
      <c r="BTK5" s="5">
        <f>IFERROR(VLOOKUP(BTK$1,'Renta Fija Mixta + Metales Mode'!$B$22:$C$36,2,FALSE),0%)</f>
        <v>0</v>
      </c>
      <c r="BTL5" s="5">
        <f>IFERROR(VLOOKUP(BTL$1,'Renta Fija Mixta + Metales Mode'!$B$22:$C$36,2,FALSE),0%)</f>
        <v>0</v>
      </c>
      <c r="BTM5" s="5">
        <f>IFERROR(VLOOKUP(BTM$1,'Renta Fija Mixta + Metales Mode'!$B$22:$C$36,2,FALSE),0%)</f>
        <v>0</v>
      </c>
      <c r="BTN5" s="5">
        <f>IFERROR(VLOOKUP(BTN$1,'Renta Fija Mixta + Metales Mode'!$B$22:$C$36,2,FALSE),0%)</f>
        <v>0</v>
      </c>
      <c r="BTO5" s="5">
        <f>IFERROR(VLOOKUP(BTO$1,'Renta Fija Mixta + Metales Mode'!$B$22:$C$36,2,FALSE),0%)</f>
        <v>0</v>
      </c>
      <c r="BTP5" s="5">
        <f>IFERROR(VLOOKUP(BTP$1,'Renta Fija Mixta + Metales Mode'!$B$22:$C$36,2,FALSE),0%)</f>
        <v>0</v>
      </c>
      <c r="BTQ5" s="5">
        <f>IFERROR(VLOOKUP(BTQ$1,'Renta Fija Mixta + Metales Mode'!$B$22:$C$36,2,FALSE),0%)</f>
        <v>0</v>
      </c>
      <c r="BTR5" s="5">
        <f>IFERROR(VLOOKUP(BTR$1,'Renta Fija Mixta + Metales Mode'!$B$22:$C$36,2,FALSE),0%)</f>
        <v>0</v>
      </c>
      <c r="BTS5" s="5">
        <f>IFERROR(VLOOKUP(BTS$1,'Renta Fija Mixta + Metales Mode'!$B$22:$C$36,2,FALSE),0%)</f>
        <v>0</v>
      </c>
      <c r="BTT5" s="5">
        <f>IFERROR(VLOOKUP(BTT$1,'Renta Fija Mixta + Metales Mode'!$B$22:$C$36,2,FALSE),0%)</f>
        <v>0</v>
      </c>
      <c r="BTU5" s="5">
        <f>IFERROR(VLOOKUP(BTU$1,'Renta Fija Mixta + Metales Mode'!$B$22:$C$36,2,FALSE),0%)</f>
        <v>0</v>
      </c>
      <c r="BTV5" s="5">
        <f>IFERROR(VLOOKUP(BTV$1,'Renta Fija Mixta + Metales Mode'!$B$22:$C$36,2,FALSE),0%)</f>
        <v>0</v>
      </c>
      <c r="BTW5" s="5">
        <f>IFERROR(VLOOKUP(BTW$1,'Renta Fija Mixta + Metales Mode'!$B$22:$C$36,2,FALSE),0%)</f>
        <v>0</v>
      </c>
      <c r="BTX5" s="5">
        <f>IFERROR(VLOOKUP(BTX$1,'Renta Fija Mixta + Metales Mode'!$B$22:$C$36,2,FALSE),0%)</f>
        <v>0</v>
      </c>
      <c r="BTY5" s="5">
        <f>IFERROR(VLOOKUP(BTY$1,'Renta Fija Mixta + Metales Mode'!$B$22:$C$36,2,FALSE),0%)</f>
        <v>0</v>
      </c>
      <c r="BTZ5" s="5">
        <f>IFERROR(VLOOKUP(BTZ$1,'Renta Fija Mixta + Metales Mode'!$B$22:$C$36,2,FALSE),0%)</f>
        <v>0</v>
      </c>
      <c r="BUA5" s="5">
        <f>IFERROR(VLOOKUP(BUA$1,'Renta Fija Mixta + Metales Mode'!$B$22:$C$36,2,FALSE),0%)</f>
        <v>0</v>
      </c>
      <c r="BUB5" s="5">
        <f>IFERROR(VLOOKUP(BUB$1,'Renta Fija Mixta + Metales Mode'!$B$22:$C$36,2,FALSE),0%)</f>
        <v>0</v>
      </c>
      <c r="BUC5" s="5">
        <f>IFERROR(VLOOKUP(BUC$1,'Renta Fija Mixta + Metales Mode'!$B$22:$C$36,2,FALSE),0%)</f>
        <v>0</v>
      </c>
      <c r="BUD5" s="5">
        <f>IFERROR(VLOOKUP(BUD$1,'Renta Fija Mixta + Metales Mode'!$B$22:$C$36,2,FALSE),0%)</f>
        <v>0</v>
      </c>
      <c r="BUE5" s="5">
        <f>IFERROR(VLOOKUP(BUE$1,'Renta Fija Mixta + Metales Mode'!$B$22:$C$36,2,FALSE),0%)</f>
        <v>0</v>
      </c>
      <c r="BUF5" s="5">
        <f>IFERROR(VLOOKUP(BUF$1,'Renta Fija Mixta + Metales Mode'!$B$22:$C$36,2,FALSE),0%)</f>
        <v>0</v>
      </c>
      <c r="BUG5" s="5">
        <f>IFERROR(VLOOKUP(BUG$1,'Renta Fija Mixta + Metales Mode'!$B$22:$C$36,2,FALSE),0%)</f>
        <v>0</v>
      </c>
      <c r="BUH5" s="5">
        <f>IFERROR(VLOOKUP(BUH$1,'Renta Fija Mixta + Metales Mode'!$B$22:$C$36,2,FALSE),0%)</f>
        <v>0</v>
      </c>
      <c r="BUI5" s="5">
        <f>IFERROR(VLOOKUP(BUI$1,'Renta Fija Mixta + Metales Mode'!$B$22:$C$36,2,FALSE),0%)</f>
        <v>0</v>
      </c>
      <c r="BUJ5" s="5">
        <f>IFERROR(VLOOKUP(BUJ$1,'Renta Fija Mixta + Metales Mode'!$B$22:$C$36,2,FALSE),0%)</f>
        <v>0</v>
      </c>
      <c r="BUK5" s="5">
        <f>IFERROR(VLOOKUP(BUK$1,'Renta Fija Mixta + Metales Mode'!$B$22:$C$36,2,FALSE),0%)</f>
        <v>0</v>
      </c>
      <c r="BUL5" s="5">
        <f>IFERROR(VLOOKUP(BUL$1,'Renta Fija Mixta + Metales Mode'!$B$22:$C$36,2,FALSE),0%)</f>
        <v>0</v>
      </c>
      <c r="BUM5" s="5">
        <f>IFERROR(VLOOKUP(BUM$1,'Renta Fija Mixta + Metales Mode'!$B$22:$C$36,2,FALSE),0%)</f>
        <v>0</v>
      </c>
      <c r="BUN5" s="5">
        <f>IFERROR(VLOOKUP(BUN$1,'Renta Fija Mixta + Metales Mode'!$B$22:$C$36,2,FALSE),0%)</f>
        <v>0</v>
      </c>
      <c r="BUO5" s="5">
        <f>IFERROR(VLOOKUP(BUO$1,'Renta Fija Mixta + Metales Mode'!$B$22:$C$36,2,FALSE),0%)</f>
        <v>0</v>
      </c>
      <c r="BUP5" s="5">
        <f>IFERROR(VLOOKUP(BUP$1,'Renta Fija Mixta + Metales Mode'!$B$22:$C$36,2,FALSE),0%)</f>
        <v>0</v>
      </c>
      <c r="BUQ5" s="5">
        <f>IFERROR(VLOOKUP(BUQ$1,'Renta Fija Mixta + Metales Mode'!$B$22:$C$36,2,FALSE),0%)</f>
        <v>0</v>
      </c>
      <c r="BUR5" s="5">
        <f>IFERROR(VLOOKUP(BUR$1,'Renta Fija Mixta + Metales Mode'!$B$22:$C$36,2,FALSE),0%)</f>
        <v>0</v>
      </c>
      <c r="BUS5" s="5">
        <f>IFERROR(VLOOKUP(BUS$1,'Renta Fija Mixta + Metales Mode'!$B$22:$C$36,2,FALSE),0%)</f>
        <v>0</v>
      </c>
      <c r="BUT5" s="5">
        <f>IFERROR(VLOOKUP(BUT$1,'Renta Fija Mixta + Metales Mode'!$B$22:$C$36,2,FALSE),0%)</f>
        <v>0</v>
      </c>
      <c r="BUU5" s="5">
        <f>IFERROR(VLOOKUP(BUU$1,'Renta Fija Mixta + Metales Mode'!$B$22:$C$36,2,FALSE),0%)</f>
        <v>0</v>
      </c>
      <c r="BUV5" s="5">
        <f>IFERROR(VLOOKUP(BUV$1,'Renta Fija Mixta + Metales Mode'!$B$22:$C$36,2,FALSE),0%)</f>
        <v>0</v>
      </c>
      <c r="BUW5" s="5">
        <f>IFERROR(VLOOKUP(BUW$1,'Renta Fija Mixta + Metales Mode'!$B$22:$C$36,2,FALSE),0%)</f>
        <v>0</v>
      </c>
      <c r="BUX5" s="5">
        <f>IFERROR(VLOOKUP(BUX$1,'Renta Fija Mixta + Metales Mode'!$B$22:$C$36,2,FALSE),0%)</f>
        <v>0</v>
      </c>
      <c r="BUY5" s="5">
        <f>IFERROR(VLOOKUP(BUY$1,'Renta Fija Mixta + Metales Mode'!$B$22:$C$36,2,FALSE),0%)</f>
        <v>0</v>
      </c>
      <c r="BUZ5" s="5">
        <f>IFERROR(VLOOKUP(BUZ$1,'Renta Fija Mixta + Metales Mode'!$B$22:$C$36,2,FALSE),0%)</f>
        <v>0</v>
      </c>
      <c r="BVA5" s="5">
        <f>IFERROR(VLOOKUP(BVA$1,'Renta Fija Mixta + Metales Mode'!$B$22:$C$36,2,FALSE),0%)</f>
        <v>0</v>
      </c>
      <c r="BVB5" s="5">
        <f>IFERROR(VLOOKUP(BVB$1,'Renta Fija Mixta + Metales Mode'!$B$22:$C$36,2,FALSE),0%)</f>
        <v>0</v>
      </c>
      <c r="BVC5" s="5">
        <f>IFERROR(VLOOKUP(BVC$1,'Renta Fija Mixta + Metales Mode'!$B$22:$C$36,2,FALSE),0%)</f>
        <v>0</v>
      </c>
      <c r="BVD5" s="5">
        <f>IFERROR(VLOOKUP(BVD$1,'Renta Fija Mixta + Metales Mode'!$B$22:$C$36,2,FALSE),0%)</f>
        <v>0</v>
      </c>
      <c r="BVE5" s="5">
        <f>IFERROR(VLOOKUP(BVE$1,'Renta Fija Mixta + Metales Mode'!$B$22:$C$36,2,FALSE),0%)</f>
        <v>0</v>
      </c>
      <c r="BVF5" s="5">
        <f>IFERROR(VLOOKUP(BVF$1,'Renta Fija Mixta + Metales Mode'!$B$22:$C$36,2,FALSE),0%)</f>
        <v>0</v>
      </c>
      <c r="BVG5" s="5">
        <f>IFERROR(VLOOKUP(BVG$1,'Renta Fija Mixta + Metales Mode'!$B$22:$C$36,2,FALSE),0%)</f>
        <v>0</v>
      </c>
      <c r="BVH5" s="5">
        <f>IFERROR(VLOOKUP(BVH$1,'Renta Fija Mixta + Metales Mode'!$B$22:$C$36,2,FALSE),0%)</f>
        <v>0</v>
      </c>
      <c r="BVI5" s="5">
        <f>IFERROR(VLOOKUP(BVI$1,'Renta Fija Mixta + Metales Mode'!$B$22:$C$36,2,FALSE),0%)</f>
        <v>0</v>
      </c>
      <c r="BVJ5" s="5">
        <f>IFERROR(VLOOKUP(BVJ$1,'Renta Fija Mixta + Metales Mode'!$B$22:$C$36,2,FALSE),0%)</f>
        <v>0</v>
      </c>
      <c r="BVK5" s="5">
        <f>IFERROR(VLOOKUP(BVK$1,'Renta Fija Mixta + Metales Mode'!$B$22:$C$36,2,FALSE),0%)</f>
        <v>0</v>
      </c>
      <c r="BVL5" s="5">
        <f>IFERROR(VLOOKUP(BVL$1,'Renta Fija Mixta + Metales Mode'!$B$22:$C$36,2,FALSE),0%)</f>
        <v>0</v>
      </c>
      <c r="BVM5" s="5">
        <f>IFERROR(VLOOKUP(BVM$1,'Renta Fija Mixta + Metales Mode'!$B$22:$C$36,2,FALSE),0%)</f>
        <v>0</v>
      </c>
      <c r="BVN5" s="5">
        <f>IFERROR(VLOOKUP(BVN$1,'Renta Fija Mixta + Metales Mode'!$B$22:$C$36,2,FALSE),0%)</f>
        <v>0</v>
      </c>
      <c r="BVO5" s="5">
        <f>IFERROR(VLOOKUP(BVO$1,'Renta Fija Mixta + Metales Mode'!$B$22:$C$36,2,FALSE),0%)</f>
        <v>0</v>
      </c>
      <c r="BVP5" s="5">
        <f>IFERROR(VLOOKUP(BVP$1,'Renta Fija Mixta + Metales Mode'!$B$22:$C$36,2,FALSE),0%)</f>
        <v>0</v>
      </c>
      <c r="BVQ5" s="5">
        <f>IFERROR(VLOOKUP(BVQ$1,'Renta Fija Mixta + Metales Mode'!$B$22:$C$36,2,FALSE),0%)</f>
        <v>0</v>
      </c>
      <c r="BVR5" s="5">
        <f>IFERROR(VLOOKUP(BVR$1,'Renta Fija Mixta + Metales Mode'!$B$22:$C$36,2,FALSE),0%)</f>
        <v>0</v>
      </c>
      <c r="BVS5" s="5">
        <f>IFERROR(VLOOKUP(BVS$1,'Renta Fija Mixta + Metales Mode'!$B$22:$C$36,2,FALSE),0%)</f>
        <v>0</v>
      </c>
      <c r="BVT5" s="5">
        <f>IFERROR(VLOOKUP(BVT$1,'Renta Fija Mixta + Metales Mode'!$B$22:$C$36,2,FALSE),0%)</f>
        <v>0</v>
      </c>
      <c r="BVU5" s="5">
        <f>IFERROR(VLOOKUP(BVU$1,'Renta Fija Mixta + Metales Mode'!$B$22:$C$36,2,FALSE),0%)</f>
        <v>0</v>
      </c>
      <c r="BVV5" s="5">
        <f>IFERROR(VLOOKUP(BVV$1,'Renta Fija Mixta + Metales Mode'!$B$22:$C$36,2,FALSE),0%)</f>
        <v>0</v>
      </c>
      <c r="BVW5" s="5">
        <f>IFERROR(VLOOKUP(BVW$1,'Renta Fija Mixta + Metales Mode'!$B$22:$C$36,2,FALSE),0%)</f>
        <v>0</v>
      </c>
      <c r="BVX5" s="5">
        <f>IFERROR(VLOOKUP(BVX$1,'Renta Fija Mixta + Metales Mode'!$B$22:$C$36,2,FALSE),0%)</f>
        <v>0</v>
      </c>
      <c r="BVY5" s="5">
        <f>IFERROR(VLOOKUP(BVY$1,'Renta Fija Mixta + Metales Mode'!$B$22:$C$36,2,FALSE),0%)</f>
        <v>0</v>
      </c>
      <c r="BVZ5" s="5">
        <f>IFERROR(VLOOKUP(BVZ$1,'Renta Fija Mixta + Metales Mode'!$B$22:$C$36,2,FALSE),0%)</f>
        <v>0</v>
      </c>
      <c r="BWA5" s="5">
        <f>IFERROR(VLOOKUP(BWA$1,'Renta Fija Mixta + Metales Mode'!$B$22:$C$36,2,FALSE),0%)</f>
        <v>0</v>
      </c>
      <c r="BWB5" s="5">
        <f>IFERROR(VLOOKUP(BWB$1,'Renta Fija Mixta + Metales Mode'!$B$22:$C$36,2,FALSE),0%)</f>
        <v>0</v>
      </c>
      <c r="BWC5" s="5">
        <f>IFERROR(VLOOKUP(BWC$1,'Renta Fija Mixta + Metales Mode'!$B$22:$C$36,2,FALSE),0%)</f>
        <v>0</v>
      </c>
      <c r="BWD5" s="5">
        <f>IFERROR(VLOOKUP(BWD$1,'Renta Fija Mixta + Metales Mode'!$B$22:$C$36,2,FALSE),0%)</f>
        <v>0</v>
      </c>
      <c r="BWE5" s="5">
        <f>IFERROR(VLOOKUP(BWE$1,'Renta Fija Mixta + Metales Mode'!$B$22:$C$36,2,FALSE),0%)</f>
        <v>0</v>
      </c>
      <c r="BWF5" s="5">
        <f>IFERROR(VLOOKUP(BWF$1,'Renta Fija Mixta + Metales Mode'!$B$22:$C$36,2,FALSE),0%)</f>
        <v>0</v>
      </c>
      <c r="BWG5" s="5">
        <f>IFERROR(VLOOKUP(BWG$1,'Renta Fija Mixta + Metales Mode'!$B$22:$C$36,2,FALSE),0%)</f>
        <v>0</v>
      </c>
      <c r="BWH5" s="5">
        <f>IFERROR(VLOOKUP(BWH$1,'Renta Fija Mixta + Metales Mode'!$B$22:$C$36,2,FALSE),0%)</f>
        <v>0</v>
      </c>
      <c r="BWI5" s="5">
        <f>IFERROR(VLOOKUP(BWI$1,'Renta Fija Mixta + Metales Mode'!$B$22:$C$36,2,FALSE),0%)</f>
        <v>0</v>
      </c>
      <c r="BWJ5" s="5">
        <f>IFERROR(VLOOKUP(BWJ$1,'Renta Fija Mixta + Metales Mode'!$B$22:$C$36,2,FALSE),0%)</f>
        <v>0</v>
      </c>
      <c r="BWK5" s="5">
        <f>IFERROR(VLOOKUP(BWK$1,'Renta Fija Mixta + Metales Mode'!$B$22:$C$36,2,FALSE),0%)</f>
        <v>0</v>
      </c>
      <c r="BWL5" s="5">
        <f>IFERROR(VLOOKUP(BWL$1,'Renta Fija Mixta + Metales Mode'!$B$22:$C$36,2,FALSE),0%)</f>
        <v>0</v>
      </c>
      <c r="BWM5" s="5">
        <f>IFERROR(VLOOKUP(BWM$1,'Renta Fija Mixta + Metales Mode'!$B$22:$C$36,2,FALSE),0%)</f>
        <v>0</v>
      </c>
      <c r="BWN5" s="5">
        <f>IFERROR(VLOOKUP(BWN$1,'Renta Fija Mixta + Metales Mode'!$B$22:$C$36,2,FALSE),0%)</f>
        <v>0</v>
      </c>
      <c r="BWO5" s="5">
        <f>IFERROR(VLOOKUP(BWO$1,'Renta Fija Mixta + Metales Mode'!$B$22:$C$36,2,FALSE),0%)</f>
        <v>0</v>
      </c>
      <c r="BWP5" s="5">
        <f>IFERROR(VLOOKUP(BWP$1,'Renta Fija Mixta + Metales Mode'!$B$22:$C$36,2,FALSE),0%)</f>
        <v>0</v>
      </c>
      <c r="BWQ5" s="5">
        <f>IFERROR(VLOOKUP(BWQ$1,'Renta Fija Mixta + Metales Mode'!$B$22:$C$36,2,FALSE),0%)</f>
        <v>0</v>
      </c>
      <c r="BWR5" s="5">
        <f>IFERROR(VLOOKUP(BWR$1,'Renta Fija Mixta + Metales Mode'!$B$22:$C$36,2,FALSE),0%)</f>
        <v>0</v>
      </c>
      <c r="BWS5" s="5">
        <f>IFERROR(VLOOKUP(BWS$1,'Renta Fija Mixta + Metales Mode'!$B$22:$C$36,2,FALSE),0%)</f>
        <v>0</v>
      </c>
      <c r="BWT5" s="5">
        <f>IFERROR(VLOOKUP(BWT$1,'Renta Fija Mixta + Metales Mode'!$B$22:$C$36,2,FALSE),0%)</f>
        <v>0</v>
      </c>
      <c r="BWU5" s="5">
        <f>IFERROR(VLOOKUP(BWU$1,'Renta Fija Mixta + Metales Mode'!$B$22:$C$36,2,FALSE),0%)</f>
        <v>0</v>
      </c>
      <c r="BWV5" s="5">
        <f>IFERROR(VLOOKUP(BWV$1,'Renta Fija Mixta + Metales Mode'!$B$22:$C$36,2,FALSE),0%)</f>
        <v>0</v>
      </c>
      <c r="BWW5" s="5">
        <f>IFERROR(VLOOKUP(BWW$1,'Renta Fija Mixta + Metales Mode'!$B$22:$C$36,2,FALSE),0%)</f>
        <v>0</v>
      </c>
      <c r="BWX5" s="5">
        <f>IFERROR(VLOOKUP(BWX$1,'Renta Fija Mixta + Metales Mode'!$B$22:$C$36,2,FALSE),0%)</f>
        <v>0</v>
      </c>
      <c r="BWY5" s="5">
        <f>IFERROR(VLOOKUP(BWY$1,'Renta Fija Mixta + Metales Mode'!$B$22:$C$36,2,FALSE),0%)</f>
        <v>0</v>
      </c>
      <c r="BWZ5" s="5">
        <f>IFERROR(VLOOKUP(BWZ$1,'Renta Fija Mixta + Metales Mode'!$B$22:$C$36,2,FALSE),0%)</f>
        <v>0</v>
      </c>
      <c r="BXA5" s="5">
        <f>IFERROR(VLOOKUP(BXA$1,'Renta Fija Mixta + Metales Mode'!$B$22:$C$36,2,FALSE),0%)</f>
        <v>0</v>
      </c>
      <c r="BXB5" s="5">
        <f>IFERROR(VLOOKUP(BXB$1,'Renta Fija Mixta + Metales Mode'!$B$22:$C$36,2,FALSE),0%)</f>
        <v>0</v>
      </c>
      <c r="BXC5" s="5">
        <f>IFERROR(VLOOKUP(BXC$1,'Renta Fija Mixta + Metales Mode'!$B$22:$C$36,2,FALSE),0%)</f>
        <v>0</v>
      </c>
      <c r="BXD5" s="5">
        <f>IFERROR(VLOOKUP(BXD$1,'Renta Fija Mixta + Metales Mode'!$B$22:$C$36,2,FALSE),0%)</f>
        <v>0</v>
      </c>
      <c r="BXE5" s="5">
        <f>IFERROR(VLOOKUP(BXE$1,'Renta Fija Mixta + Metales Mode'!$B$22:$C$36,2,FALSE),0%)</f>
        <v>0</v>
      </c>
      <c r="BXF5" s="5">
        <f>IFERROR(VLOOKUP(BXF$1,'Renta Fija Mixta + Metales Mode'!$B$22:$C$36,2,FALSE),0%)</f>
        <v>0</v>
      </c>
      <c r="BXG5" s="5">
        <f>IFERROR(VLOOKUP(BXG$1,'Renta Fija Mixta + Metales Mode'!$B$22:$C$36,2,FALSE),0%)</f>
        <v>0</v>
      </c>
      <c r="BXH5" s="5">
        <f>IFERROR(VLOOKUP(BXH$1,'Renta Fija Mixta + Metales Mode'!$B$22:$C$36,2,FALSE),0%)</f>
        <v>0</v>
      </c>
      <c r="BXI5" s="5">
        <f>IFERROR(VLOOKUP(BXI$1,'Renta Fija Mixta + Metales Mode'!$B$22:$C$36,2,FALSE),0%)</f>
        <v>0</v>
      </c>
      <c r="BXJ5" s="5">
        <f>IFERROR(VLOOKUP(BXJ$1,'Renta Fija Mixta + Metales Mode'!$B$22:$C$36,2,FALSE),0%)</f>
        <v>0</v>
      </c>
      <c r="BXK5" s="5">
        <f>IFERROR(VLOOKUP(BXK$1,'Renta Fija Mixta + Metales Mode'!$B$22:$C$36,2,FALSE),0%)</f>
        <v>0</v>
      </c>
      <c r="BXL5" s="5">
        <f>IFERROR(VLOOKUP(BXL$1,'Renta Fija Mixta + Metales Mode'!$B$22:$C$36,2,FALSE),0%)</f>
        <v>0</v>
      </c>
      <c r="BXM5" s="5">
        <f>IFERROR(VLOOKUP(BXM$1,'Renta Fija Mixta + Metales Mode'!$B$22:$C$36,2,FALSE),0%)</f>
        <v>0</v>
      </c>
      <c r="BXN5" s="5">
        <f>IFERROR(VLOOKUP(BXN$1,'Renta Fija Mixta + Metales Mode'!$B$22:$C$36,2,FALSE),0%)</f>
        <v>0</v>
      </c>
      <c r="BXO5" s="5">
        <f>IFERROR(VLOOKUP(BXO$1,'Renta Fija Mixta + Metales Mode'!$B$22:$C$36,2,FALSE),0%)</f>
        <v>0</v>
      </c>
      <c r="BXP5" s="5">
        <f>IFERROR(VLOOKUP(BXP$1,'Renta Fija Mixta + Metales Mode'!$B$22:$C$36,2,FALSE),0%)</f>
        <v>0</v>
      </c>
      <c r="BXQ5" s="5">
        <f>IFERROR(VLOOKUP(BXQ$1,'Renta Fija Mixta + Metales Mode'!$B$22:$C$36,2,FALSE),0%)</f>
        <v>0</v>
      </c>
      <c r="BXR5" s="5">
        <f>IFERROR(VLOOKUP(BXR$1,'Renta Fija Mixta + Metales Mode'!$B$22:$C$36,2,FALSE),0%)</f>
        <v>0</v>
      </c>
      <c r="BXS5" s="5">
        <f>IFERROR(VLOOKUP(BXS$1,'Renta Fija Mixta + Metales Mode'!$B$22:$C$36,2,FALSE),0%)</f>
        <v>0</v>
      </c>
      <c r="BXT5" s="5">
        <f>IFERROR(VLOOKUP(BXT$1,'Renta Fija Mixta + Metales Mode'!$B$22:$C$36,2,FALSE),0%)</f>
        <v>0</v>
      </c>
      <c r="BXU5" s="5">
        <f>IFERROR(VLOOKUP(BXU$1,'Renta Fija Mixta + Metales Mode'!$B$22:$C$36,2,FALSE),0%)</f>
        <v>0</v>
      </c>
      <c r="BXV5" s="5">
        <f>IFERROR(VLOOKUP(BXV$1,'Renta Fija Mixta + Metales Mode'!$B$22:$C$36,2,FALSE),0%)</f>
        <v>0</v>
      </c>
      <c r="BXW5" s="5">
        <f>IFERROR(VLOOKUP(BXW$1,'Renta Fija Mixta + Metales Mode'!$B$22:$C$36,2,FALSE),0%)</f>
        <v>0</v>
      </c>
      <c r="BXX5" s="5">
        <f>IFERROR(VLOOKUP(BXX$1,'Renta Fija Mixta + Metales Mode'!$B$22:$C$36,2,FALSE),0%)</f>
        <v>0</v>
      </c>
      <c r="BXY5" s="5">
        <f>IFERROR(VLOOKUP(BXY$1,'Renta Fija Mixta + Metales Mode'!$B$22:$C$36,2,FALSE),0%)</f>
        <v>0</v>
      </c>
      <c r="BXZ5" s="5">
        <f>IFERROR(VLOOKUP(BXZ$1,'Renta Fija Mixta + Metales Mode'!$B$22:$C$36,2,FALSE),0%)</f>
        <v>0</v>
      </c>
      <c r="BYA5" s="5">
        <f>IFERROR(VLOOKUP(BYA$1,'Renta Fija Mixta + Metales Mode'!$B$22:$C$36,2,FALSE),0%)</f>
        <v>0</v>
      </c>
      <c r="BYB5" s="5">
        <f>IFERROR(VLOOKUP(BYB$1,'Renta Fija Mixta + Metales Mode'!$B$22:$C$36,2,FALSE),0%)</f>
        <v>0</v>
      </c>
      <c r="BYC5" s="5">
        <f>IFERROR(VLOOKUP(BYC$1,'Renta Fija Mixta + Metales Mode'!$B$22:$C$36,2,FALSE),0%)</f>
        <v>0</v>
      </c>
      <c r="BYD5" s="5">
        <f>IFERROR(VLOOKUP(BYD$1,'Renta Fija Mixta + Metales Mode'!$B$22:$C$36,2,FALSE),0%)</f>
        <v>0</v>
      </c>
      <c r="BYE5" s="5">
        <f>IFERROR(VLOOKUP(BYE$1,'Renta Fija Mixta + Metales Mode'!$B$22:$C$36,2,FALSE),0%)</f>
        <v>0</v>
      </c>
      <c r="BYF5" s="5">
        <f>IFERROR(VLOOKUP(BYF$1,'Renta Fija Mixta + Metales Mode'!$B$22:$C$36,2,FALSE),0%)</f>
        <v>0</v>
      </c>
      <c r="BYG5" s="5">
        <f>IFERROR(VLOOKUP(BYG$1,'Renta Fija Mixta + Metales Mode'!$B$22:$C$36,2,FALSE),0%)</f>
        <v>0</v>
      </c>
      <c r="BYH5" s="5">
        <f>IFERROR(VLOOKUP(BYH$1,'Renta Fija Mixta + Metales Mode'!$B$22:$C$36,2,FALSE),0%)</f>
        <v>0</v>
      </c>
      <c r="BYI5" s="5">
        <f>IFERROR(VLOOKUP(BYI$1,'Renta Fija Mixta + Metales Mode'!$B$22:$C$36,2,FALSE),0%)</f>
        <v>0</v>
      </c>
      <c r="BYJ5" s="5">
        <f>IFERROR(VLOOKUP(BYJ$1,'Renta Fija Mixta + Metales Mode'!$B$22:$C$36,2,FALSE),0%)</f>
        <v>0</v>
      </c>
      <c r="BYK5" s="5">
        <f>IFERROR(VLOOKUP(BYK$1,'Renta Fija Mixta + Metales Mode'!$B$22:$C$36,2,FALSE),0%)</f>
        <v>0</v>
      </c>
      <c r="BYL5" s="5">
        <f>IFERROR(VLOOKUP(BYL$1,'Renta Fija Mixta + Metales Mode'!$B$22:$C$36,2,FALSE),0%)</f>
        <v>0</v>
      </c>
    </row>
    <row r="6">
      <c r="A6" s="4" t="s">
        <v>2018</v>
      </c>
      <c r="B6" s="5">
        <f>IFERROR(VLOOKUP(B$1,'Renta Fija Mixta + Metales Agre'!$B$22:$C$35,2,FALSE),0%)</f>
        <v>0</v>
      </c>
      <c r="C6" s="5">
        <f>IFERROR(VLOOKUP(C$1,'Renta Fija Mixta + Metales Agre'!$B$22:$C$35,2,FALSE),0%)</f>
        <v>0</v>
      </c>
      <c r="D6" s="5">
        <f>IFERROR(VLOOKUP(D$1,'Renta Fija Mixta + Metales Agre'!$B$22:$C$35,2,FALSE),0%)</f>
        <v>0</v>
      </c>
      <c r="E6" s="5">
        <f>IFERROR(VLOOKUP(E$1,'Renta Fija Mixta + Metales Agre'!$B$22:$C$35,2,FALSE),0%)</f>
        <v>0</v>
      </c>
      <c r="F6" s="5">
        <f>IFERROR(VLOOKUP(F$1,'Renta Fija Mixta + Metales Agre'!$B$22:$C$35,2,FALSE),0%)</f>
        <v>0</v>
      </c>
      <c r="G6" s="5">
        <f>IFERROR(VLOOKUP(G$1,'Renta Fija Mixta + Metales Agre'!$B$22:$C$35,2,FALSE),0%)</f>
        <v>0</v>
      </c>
      <c r="H6" s="5">
        <f>IFERROR(VLOOKUP(H$1,'Renta Fija Mixta + Metales Agre'!$B$22:$C$35,2,FALSE),0%)</f>
        <v>0</v>
      </c>
      <c r="I6" s="5">
        <f>IFERROR(VLOOKUP(I$1,'Renta Fija Mixta + Metales Agre'!$B$22:$C$35,2,FALSE),0%)</f>
        <v>0</v>
      </c>
      <c r="J6" s="5">
        <f>IFERROR(VLOOKUP(J$1,'Renta Fija Mixta + Metales Agre'!$B$22:$C$35,2,FALSE),0%)</f>
        <v>0</v>
      </c>
      <c r="K6" s="5">
        <f>IFERROR(VLOOKUP(K$1,'Renta Fija Mixta + Metales Agre'!$B$22:$C$35,2,FALSE),0%)</f>
        <v>0</v>
      </c>
      <c r="L6" s="5">
        <f>IFERROR(VLOOKUP(L$1,'Renta Fija Mixta + Metales Agre'!$B$22:$C$35,2,FALSE),0%)</f>
        <v>0</v>
      </c>
      <c r="M6" s="5">
        <f>IFERROR(VLOOKUP(M$1,'Renta Fija Mixta + Metales Agre'!$B$22:$C$35,2,FALSE),0%)</f>
        <v>0</v>
      </c>
      <c r="N6" s="5">
        <f>IFERROR(VLOOKUP(N$1,'Renta Fija Mixta + Metales Agre'!$B$22:$C$35,2,FALSE),0%)</f>
        <v>0</v>
      </c>
      <c r="O6" s="5">
        <f>IFERROR(VLOOKUP(O$1,'Renta Fija Mixta + Metales Agre'!$B$22:$C$35,2,FALSE),0%)</f>
        <v>0</v>
      </c>
      <c r="P6" s="5">
        <f>IFERROR(VLOOKUP(P$1,'Renta Fija Mixta + Metales Agre'!$B$22:$C$35,2,FALSE),0%)</f>
        <v>0</v>
      </c>
      <c r="Q6" s="5">
        <f>IFERROR(VLOOKUP(Q$1,'Renta Fija Mixta + Metales Agre'!$B$22:$C$35,2,FALSE),0%)</f>
        <v>0</v>
      </c>
      <c r="R6" s="5">
        <f>IFERROR(VLOOKUP(R$1,'Renta Fija Mixta + Metales Agre'!$B$22:$C$35,2,FALSE),0%)</f>
        <v>0</v>
      </c>
      <c r="S6" s="5">
        <f>IFERROR(VLOOKUP(S$1,'Renta Fija Mixta + Metales Agre'!$B$22:$C$35,2,FALSE),0%)</f>
        <v>0</v>
      </c>
      <c r="T6" s="5">
        <f>IFERROR(VLOOKUP(T$1,'Renta Fija Mixta + Metales Agre'!$B$22:$C$35,2,FALSE),0%)</f>
        <v>0</v>
      </c>
      <c r="U6" s="5">
        <f>IFERROR(VLOOKUP(U$1,'Renta Fija Mixta + Metales Agre'!$B$22:$C$35,2,FALSE),0%)</f>
        <v>0</v>
      </c>
      <c r="V6" s="5">
        <f>IFERROR(VLOOKUP(V$1,'Renta Fija Mixta + Metales Agre'!$B$22:$C$35,2,FALSE),0%)</f>
        <v>0</v>
      </c>
      <c r="W6" s="5">
        <f>IFERROR(VLOOKUP(W$1,'Renta Fija Mixta + Metales Agre'!$B$22:$C$35,2,FALSE),0%)</f>
        <v>0</v>
      </c>
      <c r="X6" s="5">
        <f>IFERROR(VLOOKUP(X$1,'Renta Fija Mixta + Metales Agre'!$B$22:$C$35,2,FALSE),0%)</f>
        <v>0</v>
      </c>
      <c r="Y6" s="5">
        <f>IFERROR(VLOOKUP(Y$1,'Renta Fija Mixta + Metales Agre'!$B$22:$C$35,2,FALSE),0%)</f>
        <v>0</v>
      </c>
      <c r="Z6" s="5">
        <f>IFERROR(VLOOKUP(Z$1,'Renta Fija Mixta + Metales Agre'!$B$22:$C$35,2,FALSE),0%)</f>
        <v>0</v>
      </c>
      <c r="AA6" s="5">
        <f>IFERROR(VLOOKUP(AA$1,'Renta Fija Mixta + Metales Agre'!$B$22:$C$35,2,FALSE),0%)</f>
        <v>0</v>
      </c>
      <c r="AB6" s="5">
        <f>IFERROR(VLOOKUP(AB$1,'Renta Fija Mixta + Metales Agre'!$B$22:$C$35,2,FALSE),0%)</f>
        <v>0</v>
      </c>
      <c r="AC6" s="5">
        <f>IFERROR(VLOOKUP(AC$1,'Renta Fija Mixta + Metales Agre'!$B$22:$C$35,2,FALSE),0%)</f>
        <v>0</v>
      </c>
      <c r="AD6" s="5">
        <f>IFERROR(VLOOKUP(AD$1,'Renta Fija Mixta + Metales Agre'!$B$22:$C$35,2,FALSE),0%)</f>
        <v>0</v>
      </c>
      <c r="AE6" s="5">
        <f>IFERROR(VLOOKUP(AE$1,'Renta Fija Mixta + Metales Agre'!$B$22:$C$35,2,FALSE),0%)</f>
        <v>0</v>
      </c>
      <c r="AF6" s="5">
        <f>IFERROR(VLOOKUP(AF$1,'Renta Fija Mixta + Metales Agre'!$B$22:$C$35,2,FALSE),0%)</f>
        <v>0</v>
      </c>
      <c r="AG6" s="5">
        <f>IFERROR(VLOOKUP(AG$1,'Renta Fija Mixta + Metales Agre'!$B$22:$C$35,2,FALSE),0%)</f>
        <v>0</v>
      </c>
      <c r="AH6" s="5">
        <f>IFERROR(VLOOKUP(AH$1,'Renta Fija Mixta + Metales Agre'!$B$22:$C$35,2,FALSE),0%)</f>
        <v>0</v>
      </c>
      <c r="AI6" s="5">
        <f>IFERROR(VLOOKUP(AI$1,'Renta Fija Mixta + Metales Agre'!$B$22:$C$35,2,FALSE),0%)</f>
        <v>0</v>
      </c>
      <c r="AJ6" s="5">
        <f>IFERROR(VLOOKUP(AJ$1,'Renta Fija Mixta + Metales Agre'!$B$22:$C$35,2,FALSE),0%)</f>
        <v>0</v>
      </c>
      <c r="AK6" s="5">
        <f>IFERROR(VLOOKUP(AK$1,'Renta Fija Mixta + Metales Agre'!$B$22:$C$35,2,FALSE),0%)</f>
        <v>0.1663407597</v>
      </c>
      <c r="AL6" s="5">
        <f>IFERROR(VLOOKUP(AL$1,'Renta Fija Mixta + Metales Agre'!$B$22:$C$35,2,FALSE),0%)</f>
        <v>0</v>
      </c>
      <c r="AM6" s="5">
        <f>IFERROR(VLOOKUP(AM$1,'Renta Fija Mixta + Metales Agre'!$B$22:$C$35,2,FALSE),0%)</f>
        <v>0</v>
      </c>
      <c r="AN6" s="5">
        <f>IFERROR(VLOOKUP(AN$1,'Renta Fija Mixta + Metales Agre'!$B$22:$C$35,2,FALSE),0%)</f>
        <v>0</v>
      </c>
      <c r="AO6" s="5">
        <f>IFERROR(VLOOKUP(AO$1,'Renta Fija Mixta + Metales Agre'!$B$22:$C$35,2,FALSE),0%)</f>
        <v>0</v>
      </c>
      <c r="AP6" s="5">
        <f>IFERROR(VLOOKUP(AP$1,'Renta Fija Mixta + Metales Agre'!$B$22:$C$35,2,FALSE),0%)</f>
        <v>0</v>
      </c>
      <c r="AQ6" s="5">
        <f>IFERROR(VLOOKUP(AQ$1,'Renta Fija Mixta + Metales Agre'!$B$22:$C$35,2,FALSE),0%)</f>
        <v>0</v>
      </c>
      <c r="AR6" s="5">
        <f>IFERROR(VLOOKUP(AR$1,'Renta Fija Mixta + Metales Agre'!$B$22:$C$35,2,FALSE),0%)</f>
        <v>0</v>
      </c>
      <c r="AS6" s="5">
        <f>IFERROR(VLOOKUP(AS$1,'Renta Fija Mixta + Metales Agre'!$B$22:$C$35,2,FALSE),0%)</f>
        <v>0</v>
      </c>
      <c r="AT6" s="5">
        <f>IFERROR(VLOOKUP(AT$1,'Renta Fija Mixta + Metales Agre'!$B$22:$C$35,2,FALSE),0%)</f>
        <v>0</v>
      </c>
      <c r="AU6" s="5">
        <f>IFERROR(VLOOKUP(AU$1,'Renta Fija Mixta + Metales Agre'!$B$22:$C$35,2,FALSE),0%)</f>
        <v>0</v>
      </c>
      <c r="AV6" s="5">
        <f>IFERROR(VLOOKUP(AV$1,'Renta Fija Mixta + Metales Agre'!$B$22:$C$35,2,FALSE),0%)</f>
        <v>0</v>
      </c>
      <c r="AW6" s="5">
        <f>IFERROR(VLOOKUP(AW$1,'Renta Fija Mixta + Metales Agre'!$B$22:$C$35,2,FALSE),0%)</f>
        <v>0</v>
      </c>
      <c r="AX6" s="5">
        <f>IFERROR(VLOOKUP(AX$1,'Renta Fija Mixta + Metales Agre'!$B$22:$C$35,2,FALSE),0%)</f>
        <v>0</v>
      </c>
      <c r="AY6" s="5">
        <f>IFERROR(VLOOKUP(AY$1,'Renta Fija Mixta + Metales Agre'!$B$22:$C$35,2,FALSE),0%)</f>
        <v>0</v>
      </c>
      <c r="AZ6" s="5">
        <f>IFERROR(VLOOKUP(AZ$1,'Renta Fija Mixta + Metales Agre'!$B$22:$C$35,2,FALSE),0%)</f>
        <v>0</v>
      </c>
      <c r="BA6" s="5">
        <f>IFERROR(VLOOKUP(BA$1,'Renta Fija Mixta + Metales Agre'!$B$22:$C$35,2,FALSE),0%)</f>
        <v>0</v>
      </c>
      <c r="BB6" s="5">
        <f>IFERROR(VLOOKUP(BB$1,'Renta Fija Mixta + Metales Agre'!$B$22:$C$35,2,FALSE),0%)</f>
        <v>0</v>
      </c>
      <c r="BC6" s="5">
        <f>IFERROR(VLOOKUP(BC$1,'Renta Fija Mixta + Metales Agre'!$B$22:$C$35,2,FALSE),0%)</f>
        <v>0</v>
      </c>
      <c r="BD6" s="5">
        <f>IFERROR(VLOOKUP(BD$1,'Renta Fija Mixta + Metales Agre'!$B$22:$C$35,2,FALSE),0%)</f>
        <v>0</v>
      </c>
      <c r="BE6" s="5">
        <f>IFERROR(VLOOKUP(BE$1,'Renta Fija Mixta + Metales Agre'!$B$22:$C$35,2,FALSE),0%)</f>
        <v>0</v>
      </c>
      <c r="BF6" s="5">
        <f>IFERROR(VLOOKUP(BF$1,'Renta Fija Mixta + Metales Agre'!$B$22:$C$35,2,FALSE),0%)</f>
        <v>0</v>
      </c>
      <c r="BG6" s="5">
        <f>IFERROR(VLOOKUP(BG$1,'Renta Fija Mixta + Metales Agre'!$B$22:$C$35,2,FALSE),0%)</f>
        <v>0</v>
      </c>
      <c r="BH6" s="5">
        <f>IFERROR(VLOOKUP(BH$1,'Renta Fija Mixta + Metales Agre'!$B$22:$C$35,2,FALSE),0%)</f>
        <v>0</v>
      </c>
      <c r="BI6" s="5">
        <f>IFERROR(VLOOKUP(BI$1,'Renta Fija Mixta + Metales Agre'!$B$22:$C$35,2,FALSE),0%)</f>
        <v>0</v>
      </c>
      <c r="BJ6" s="5">
        <f>IFERROR(VLOOKUP(BJ$1,'Renta Fija Mixta + Metales Agre'!$B$22:$C$35,2,FALSE),0%)</f>
        <v>0</v>
      </c>
      <c r="BK6" s="5">
        <f>IFERROR(VLOOKUP(BK$1,'Renta Fija Mixta + Metales Agre'!$B$22:$C$35,2,FALSE),0%)</f>
        <v>0</v>
      </c>
      <c r="BL6" s="5">
        <f>IFERROR(VLOOKUP(BL$1,'Renta Fija Mixta + Metales Agre'!$B$22:$C$35,2,FALSE),0%)</f>
        <v>0</v>
      </c>
      <c r="BM6" s="5">
        <f>IFERROR(VLOOKUP(BM$1,'Renta Fija Mixta + Metales Agre'!$B$22:$C$35,2,FALSE),0%)</f>
        <v>0</v>
      </c>
      <c r="BN6" s="5">
        <f>IFERROR(VLOOKUP(BN$1,'Renta Fija Mixta + Metales Agre'!$B$22:$C$35,2,FALSE),0%)</f>
        <v>0</v>
      </c>
      <c r="BO6" s="5">
        <f>IFERROR(VLOOKUP(BO$1,'Renta Fija Mixta + Metales Agre'!$B$22:$C$35,2,FALSE),0%)</f>
        <v>0</v>
      </c>
      <c r="BP6" s="5">
        <f>IFERROR(VLOOKUP(BP$1,'Renta Fija Mixta + Metales Agre'!$B$22:$C$35,2,FALSE),0%)</f>
        <v>0</v>
      </c>
      <c r="BQ6" s="5">
        <f>IFERROR(VLOOKUP(BQ$1,'Renta Fija Mixta + Metales Agre'!$B$22:$C$35,2,FALSE),0%)</f>
        <v>0</v>
      </c>
      <c r="BR6" s="5">
        <f>IFERROR(VLOOKUP(BR$1,'Renta Fija Mixta + Metales Agre'!$B$22:$C$35,2,FALSE),0%)</f>
        <v>0.07810849482</v>
      </c>
      <c r="BS6" s="5">
        <f>IFERROR(VLOOKUP(BS$1,'Renta Fija Mixta + Metales Agre'!$B$22:$C$35,2,FALSE),0%)</f>
        <v>0</v>
      </c>
      <c r="BT6" s="5">
        <f>IFERROR(VLOOKUP(BT$1,'Renta Fija Mixta + Metales Agre'!$B$22:$C$35,2,FALSE),0%)</f>
        <v>0</v>
      </c>
      <c r="BU6" s="5">
        <f>IFERROR(VLOOKUP(BU$1,'Renta Fija Mixta + Metales Agre'!$B$22:$C$35,2,FALSE),0%)</f>
        <v>0</v>
      </c>
      <c r="BV6" s="5">
        <f>IFERROR(VLOOKUP(BV$1,'Renta Fija Mixta + Metales Agre'!$B$22:$C$35,2,FALSE),0%)</f>
        <v>0</v>
      </c>
      <c r="BW6" s="5">
        <f>IFERROR(VLOOKUP(BW$1,'Renta Fija Mixta + Metales Agre'!$B$22:$C$35,2,FALSE),0%)</f>
        <v>0</v>
      </c>
      <c r="BX6" s="5">
        <f>IFERROR(VLOOKUP(BX$1,'Renta Fija Mixta + Metales Agre'!$B$22:$C$35,2,FALSE),0%)</f>
        <v>0</v>
      </c>
      <c r="BY6" s="5">
        <f>IFERROR(VLOOKUP(BY$1,'Renta Fija Mixta + Metales Agre'!$B$22:$C$35,2,FALSE),0%)</f>
        <v>0</v>
      </c>
      <c r="BZ6" s="5">
        <f>IFERROR(VLOOKUP(BZ$1,'Renta Fija Mixta + Metales Agre'!$B$22:$C$35,2,FALSE),0%)</f>
        <v>0</v>
      </c>
      <c r="CA6" s="5">
        <f>IFERROR(VLOOKUP(CA$1,'Renta Fija Mixta + Metales Agre'!$B$22:$C$35,2,FALSE),0%)</f>
        <v>0</v>
      </c>
      <c r="CB6" s="5">
        <f>IFERROR(VLOOKUP(CB$1,'Renta Fija Mixta + Metales Agre'!$B$22:$C$35,2,FALSE),0%)</f>
        <v>0</v>
      </c>
      <c r="CC6" s="5">
        <f>IFERROR(VLOOKUP(CC$1,'Renta Fija Mixta + Metales Agre'!$B$22:$C$35,2,FALSE),0%)</f>
        <v>0</v>
      </c>
      <c r="CD6" s="5">
        <f>IFERROR(VLOOKUP(CD$1,'Renta Fija Mixta + Metales Agre'!$B$22:$C$35,2,FALSE),0%)</f>
        <v>0</v>
      </c>
      <c r="CE6" s="5">
        <f>IFERROR(VLOOKUP(CE$1,'Renta Fija Mixta + Metales Agre'!$B$22:$C$35,2,FALSE),0%)</f>
        <v>0</v>
      </c>
      <c r="CF6" s="5">
        <f>IFERROR(VLOOKUP(CF$1,'Renta Fija Mixta + Metales Agre'!$B$22:$C$35,2,FALSE),0%)</f>
        <v>0</v>
      </c>
      <c r="CG6" s="5">
        <f>IFERROR(VLOOKUP(CG$1,'Renta Fija Mixta + Metales Agre'!$B$22:$C$35,2,FALSE),0%)</f>
        <v>0</v>
      </c>
      <c r="CH6" s="5">
        <f>IFERROR(VLOOKUP(CH$1,'Renta Fija Mixta + Metales Agre'!$B$22:$C$35,2,FALSE),0%)</f>
        <v>0</v>
      </c>
      <c r="CI6" s="5">
        <f>IFERROR(VLOOKUP(CI$1,'Renta Fija Mixta + Metales Agre'!$B$22:$C$35,2,FALSE),0%)</f>
        <v>0</v>
      </c>
      <c r="CJ6" s="5">
        <f>IFERROR(VLOOKUP(CJ$1,'Renta Fija Mixta + Metales Agre'!$B$22:$C$35,2,FALSE),0%)</f>
        <v>0</v>
      </c>
      <c r="CK6" s="5">
        <f>IFERROR(VLOOKUP(CK$1,'Renta Fija Mixta + Metales Agre'!$B$22:$C$35,2,FALSE),0%)</f>
        <v>0</v>
      </c>
      <c r="CL6" s="5">
        <f>IFERROR(VLOOKUP(CL$1,'Renta Fija Mixta + Metales Agre'!$B$22:$C$35,2,FALSE),0%)</f>
        <v>0</v>
      </c>
      <c r="CM6" s="5">
        <f>IFERROR(VLOOKUP(CM$1,'Renta Fija Mixta + Metales Agre'!$B$22:$C$35,2,FALSE),0%)</f>
        <v>0</v>
      </c>
      <c r="CN6" s="5">
        <f>IFERROR(VLOOKUP(CN$1,'Renta Fija Mixta + Metales Agre'!$B$22:$C$35,2,FALSE),0%)</f>
        <v>0</v>
      </c>
      <c r="CO6" s="5">
        <f>IFERROR(VLOOKUP(CO$1,'Renta Fija Mixta + Metales Agre'!$B$22:$C$35,2,FALSE),0%)</f>
        <v>0</v>
      </c>
      <c r="CP6" s="5">
        <f>IFERROR(VLOOKUP(CP$1,'Renta Fija Mixta + Metales Agre'!$B$22:$C$35,2,FALSE),0%)</f>
        <v>0</v>
      </c>
      <c r="CQ6" s="5">
        <f>IFERROR(VLOOKUP(CQ$1,'Renta Fija Mixta + Metales Agre'!$B$22:$C$35,2,FALSE),0%)</f>
        <v>0</v>
      </c>
      <c r="CR6" s="5">
        <f>IFERROR(VLOOKUP(CR$1,'Renta Fija Mixta + Metales Agre'!$B$22:$C$35,2,FALSE),0%)</f>
        <v>0</v>
      </c>
      <c r="CS6" s="5">
        <f>IFERROR(VLOOKUP(CS$1,'Renta Fija Mixta + Metales Agre'!$B$22:$C$35,2,FALSE),0%)</f>
        <v>0</v>
      </c>
      <c r="CT6" s="5">
        <f>IFERROR(VLOOKUP(CT$1,'Renta Fija Mixta + Metales Agre'!$B$22:$C$35,2,FALSE),0%)</f>
        <v>0</v>
      </c>
      <c r="CU6" s="5">
        <f>IFERROR(VLOOKUP(CU$1,'Renta Fija Mixta + Metales Agre'!$B$22:$C$35,2,FALSE),0%)</f>
        <v>0</v>
      </c>
      <c r="CV6" s="5">
        <f>IFERROR(VLOOKUP(CV$1,'Renta Fija Mixta + Metales Agre'!$B$22:$C$35,2,FALSE),0%)</f>
        <v>0</v>
      </c>
      <c r="CW6" s="5">
        <f>IFERROR(VLOOKUP(CW$1,'Renta Fija Mixta + Metales Agre'!$B$22:$C$35,2,FALSE),0%)</f>
        <v>0</v>
      </c>
      <c r="CX6" s="5">
        <f>IFERROR(VLOOKUP(CX$1,'Renta Fija Mixta + Metales Agre'!$B$22:$C$35,2,FALSE),0%)</f>
        <v>0</v>
      </c>
      <c r="CY6" s="5">
        <f>IFERROR(VLOOKUP(CY$1,'Renta Fija Mixta + Metales Agre'!$B$22:$C$35,2,FALSE),0%)</f>
        <v>0</v>
      </c>
      <c r="CZ6" s="5">
        <f>IFERROR(VLOOKUP(CZ$1,'Renta Fija Mixta + Metales Agre'!$B$22:$C$35,2,FALSE),0%)</f>
        <v>0</v>
      </c>
      <c r="DA6" s="5">
        <f>IFERROR(VLOOKUP(DA$1,'Renta Fija Mixta + Metales Agre'!$B$22:$C$35,2,FALSE),0%)</f>
        <v>0</v>
      </c>
      <c r="DB6" s="5">
        <f>IFERROR(VLOOKUP(DB$1,'Renta Fija Mixta + Metales Agre'!$B$22:$C$35,2,FALSE),0%)</f>
        <v>0</v>
      </c>
      <c r="DC6" s="5">
        <f>IFERROR(VLOOKUP(DC$1,'Renta Fija Mixta + Metales Agre'!$B$22:$C$35,2,FALSE),0%)</f>
        <v>0</v>
      </c>
      <c r="DD6" s="5">
        <f>IFERROR(VLOOKUP(DD$1,'Renta Fija Mixta + Metales Agre'!$B$22:$C$35,2,FALSE),0%)</f>
        <v>0</v>
      </c>
      <c r="DE6" s="5">
        <f>IFERROR(VLOOKUP(DE$1,'Renta Fija Mixta + Metales Agre'!$B$22:$C$35,2,FALSE),0%)</f>
        <v>0</v>
      </c>
      <c r="DF6" s="5">
        <f>IFERROR(VLOOKUP(DF$1,'Renta Fija Mixta + Metales Agre'!$B$22:$C$35,2,FALSE),0%)</f>
        <v>0</v>
      </c>
      <c r="DG6" s="5">
        <f>IFERROR(VLOOKUP(DG$1,'Renta Fija Mixta + Metales Agre'!$B$22:$C$35,2,FALSE),0%)</f>
        <v>0</v>
      </c>
      <c r="DH6" s="5">
        <f>IFERROR(VLOOKUP(DH$1,'Renta Fija Mixta + Metales Agre'!$B$22:$C$35,2,FALSE),0%)</f>
        <v>0</v>
      </c>
      <c r="DI6" s="5">
        <f>IFERROR(VLOOKUP(DI$1,'Renta Fija Mixta + Metales Agre'!$B$22:$C$35,2,FALSE),0%)</f>
        <v>0</v>
      </c>
      <c r="DJ6" s="5">
        <f>IFERROR(VLOOKUP(DJ$1,'Renta Fija Mixta + Metales Agre'!$B$22:$C$35,2,FALSE),0%)</f>
        <v>0</v>
      </c>
      <c r="DK6" s="5">
        <f>IFERROR(VLOOKUP(DK$1,'Renta Fija Mixta + Metales Agre'!$B$22:$C$35,2,FALSE),0%)</f>
        <v>0</v>
      </c>
      <c r="DL6" s="5">
        <f>IFERROR(VLOOKUP(DL$1,'Renta Fija Mixta + Metales Agre'!$B$22:$C$35,2,FALSE),0%)</f>
        <v>0</v>
      </c>
      <c r="DM6" s="5">
        <f>IFERROR(VLOOKUP(DM$1,'Renta Fija Mixta + Metales Agre'!$B$22:$C$35,2,FALSE),0%)</f>
        <v>0</v>
      </c>
      <c r="DN6" s="5">
        <f>IFERROR(VLOOKUP(DN$1,'Renta Fija Mixta + Metales Agre'!$B$22:$C$35,2,FALSE),0%)</f>
        <v>0</v>
      </c>
      <c r="DO6" s="5">
        <f>IFERROR(VLOOKUP(DO$1,'Renta Fija Mixta + Metales Agre'!$B$22:$C$35,2,FALSE),0%)</f>
        <v>0</v>
      </c>
      <c r="DP6" s="5">
        <f>IFERROR(VLOOKUP(DP$1,'Renta Fija Mixta + Metales Agre'!$B$22:$C$35,2,FALSE),0%)</f>
        <v>0</v>
      </c>
      <c r="DQ6" s="5">
        <f>IFERROR(VLOOKUP(DQ$1,'Renta Fija Mixta + Metales Agre'!$B$22:$C$35,2,FALSE),0%)</f>
        <v>0</v>
      </c>
      <c r="DR6" s="5">
        <f>IFERROR(VLOOKUP(DR$1,'Renta Fija Mixta + Metales Agre'!$B$22:$C$35,2,FALSE),0%)</f>
        <v>0</v>
      </c>
      <c r="DS6" s="5">
        <f>IFERROR(VLOOKUP(DS$1,'Renta Fija Mixta + Metales Agre'!$B$22:$C$35,2,FALSE),0%)</f>
        <v>0</v>
      </c>
      <c r="DT6" s="5">
        <f>IFERROR(VLOOKUP(DT$1,'Renta Fija Mixta + Metales Agre'!$B$22:$C$35,2,FALSE),0%)</f>
        <v>0</v>
      </c>
      <c r="DU6" s="5">
        <f>IFERROR(VLOOKUP(DU$1,'Renta Fija Mixta + Metales Agre'!$B$22:$C$35,2,FALSE),0%)</f>
        <v>0</v>
      </c>
      <c r="DV6" s="5">
        <f>IFERROR(VLOOKUP(DV$1,'Renta Fija Mixta + Metales Agre'!$B$22:$C$35,2,FALSE),0%)</f>
        <v>0</v>
      </c>
      <c r="DW6" s="5">
        <f>IFERROR(VLOOKUP(DW$1,'Renta Fija Mixta + Metales Agre'!$B$22:$C$35,2,FALSE),0%)</f>
        <v>0</v>
      </c>
      <c r="DX6" s="5">
        <f>IFERROR(VLOOKUP(DX$1,'Renta Fija Mixta + Metales Agre'!$B$22:$C$35,2,FALSE),0%)</f>
        <v>0</v>
      </c>
      <c r="DY6" s="5">
        <f>IFERROR(VLOOKUP(DY$1,'Renta Fija Mixta + Metales Agre'!$B$22:$C$35,2,FALSE),0%)</f>
        <v>0</v>
      </c>
      <c r="DZ6" s="5">
        <f>IFERROR(VLOOKUP(DZ$1,'Renta Fija Mixta + Metales Agre'!$B$22:$C$35,2,FALSE),0%)</f>
        <v>0</v>
      </c>
      <c r="EA6" s="5">
        <f>IFERROR(VLOOKUP(EA$1,'Renta Fija Mixta + Metales Agre'!$B$22:$C$35,2,FALSE),0%)</f>
        <v>0</v>
      </c>
      <c r="EB6" s="5">
        <f>IFERROR(VLOOKUP(EB$1,'Renta Fija Mixta + Metales Agre'!$B$22:$C$35,2,FALSE),0%)</f>
        <v>0</v>
      </c>
      <c r="EC6" s="5">
        <f>IFERROR(VLOOKUP(EC$1,'Renta Fija Mixta + Metales Agre'!$B$22:$C$35,2,FALSE),0%)</f>
        <v>0</v>
      </c>
      <c r="ED6" s="5">
        <f>IFERROR(VLOOKUP(ED$1,'Renta Fija Mixta + Metales Agre'!$B$22:$C$35,2,FALSE),0%)</f>
        <v>0</v>
      </c>
      <c r="EE6" s="5">
        <f>IFERROR(VLOOKUP(EE$1,'Renta Fija Mixta + Metales Agre'!$B$22:$C$35,2,FALSE),0%)</f>
        <v>0</v>
      </c>
      <c r="EF6" s="5">
        <f>IFERROR(VLOOKUP(EF$1,'Renta Fija Mixta + Metales Agre'!$B$22:$C$35,2,FALSE),0%)</f>
        <v>0</v>
      </c>
      <c r="EG6" s="5">
        <f>IFERROR(VLOOKUP(EG$1,'Renta Fija Mixta + Metales Agre'!$B$22:$C$35,2,FALSE),0%)</f>
        <v>0</v>
      </c>
      <c r="EH6" s="5">
        <f>IFERROR(VLOOKUP(EH$1,'Renta Fija Mixta + Metales Agre'!$B$22:$C$35,2,FALSE),0%)</f>
        <v>0</v>
      </c>
      <c r="EI6" s="5">
        <f>IFERROR(VLOOKUP(EI$1,'Renta Fija Mixta + Metales Agre'!$B$22:$C$35,2,FALSE),0%)</f>
        <v>0</v>
      </c>
      <c r="EJ6" s="5">
        <f>IFERROR(VLOOKUP(EJ$1,'Renta Fija Mixta + Metales Agre'!$B$22:$C$35,2,FALSE),0%)</f>
        <v>0</v>
      </c>
      <c r="EK6" s="5">
        <f>IFERROR(VLOOKUP(EK$1,'Renta Fija Mixta + Metales Agre'!$B$22:$C$35,2,FALSE),0%)</f>
        <v>0</v>
      </c>
      <c r="EL6" s="5">
        <f>IFERROR(VLOOKUP(EL$1,'Renta Fija Mixta + Metales Agre'!$B$22:$C$35,2,FALSE),0%)</f>
        <v>0</v>
      </c>
      <c r="EM6" s="5">
        <f>IFERROR(VLOOKUP(EM$1,'Renta Fija Mixta + Metales Agre'!$B$22:$C$35,2,FALSE),0%)</f>
        <v>0</v>
      </c>
      <c r="EN6" s="5">
        <f>IFERROR(VLOOKUP(EN$1,'Renta Fija Mixta + Metales Agre'!$B$22:$C$35,2,FALSE),0%)</f>
        <v>0</v>
      </c>
      <c r="EO6" s="5">
        <f>IFERROR(VLOOKUP(EO$1,'Renta Fija Mixta + Metales Agre'!$B$22:$C$35,2,FALSE),0%)</f>
        <v>0</v>
      </c>
      <c r="EP6" s="5">
        <f>IFERROR(VLOOKUP(EP$1,'Renta Fija Mixta + Metales Agre'!$B$22:$C$35,2,FALSE),0%)</f>
        <v>0</v>
      </c>
      <c r="EQ6" s="5">
        <f>IFERROR(VLOOKUP(EQ$1,'Renta Fija Mixta + Metales Agre'!$B$22:$C$35,2,FALSE),0%)</f>
        <v>0</v>
      </c>
      <c r="ER6" s="5">
        <f>IFERROR(VLOOKUP(ER$1,'Renta Fija Mixta + Metales Agre'!$B$22:$C$35,2,FALSE),0%)</f>
        <v>0</v>
      </c>
      <c r="ES6" s="5">
        <f>IFERROR(VLOOKUP(ES$1,'Renta Fija Mixta + Metales Agre'!$B$22:$C$35,2,FALSE),0%)</f>
        <v>0</v>
      </c>
      <c r="ET6" s="5">
        <f>IFERROR(VLOOKUP(ET$1,'Renta Fija Mixta + Metales Agre'!$B$22:$C$35,2,FALSE),0%)</f>
        <v>0</v>
      </c>
      <c r="EU6" s="5">
        <f>IFERROR(VLOOKUP(EU$1,'Renta Fija Mixta + Metales Agre'!$B$22:$C$35,2,FALSE),0%)</f>
        <v>0</v>
      </c>
      <c r="EV6" s="5">
        <f>IFERROR(VLOOKUP(EV$1,'Renta Fija Mixta + Metales Agre'!$B$22:$C$35,2,FALSE),0%)</f>
        <v>0</v>
      </c>
      <c r="EW6" s="5">
        <f>IFERROR(VLOOKUP(EW$1,'Renta Fija Mixta + Metales Agre'!$B$22:$C$35,2,FALSE),0%)</f>
        <v>0</v>
      </c>
      <c r="EX6" s="5">
        <f>IFERROR(VLOOKUP(EX$1,'Renta Fija Mixta + Metales Agre'!$B$22:$C$35,2,FALSE),0%)</f>
        <v>0</v>
      </c>
      <c r="EY6" s="5">
        <f>IFERROR(VLOOKUP(EY$1,'Renta Fija Mixta + Metales Agre'!$B$22:$C$35,2,FALSE),0%)</f>
        <v>0</v>
      </c>
      <c r="EZ6" s="5">
        <f>IFERROR(VLOOKUP(EZ$1,'Renta Fija Mixta + Metales Agre'!$B$22:$C$35,2,FALSE),0%)</f>
        <v>0</v>
      </c>
      <c r="FA6" s="5">
        <f>IFERROR(VLOOKUP(FA$1,'Renta Fija Mixta + Metales Agre'!$B$22:$C$35,2,FALSE),0%)</f>
        <v>0</v>
      </c>
      <c r="FB6" s="5">
        <f>IFERROR(VLOOKUP(FB$1,'Renta Fija Mixta + Metales Agre'!$B$22:$C$35,2,FALSE),0%)</f>
        <v>0</v>
      </c>
      <c r="FC6" s="5">
        <f>IFERROR(VLOOKUP(FC$1,'Renta Fija Mixta + Metales Agre'!$B$22:$C$35,2,FALSE),0%)</f>
        <v>0</v>
      </c>
      <c r="FD6" s="5">
        <f>IFERROR(VLOOKUP(FD$1,'Renta Fija Mixta + Metales Agre'!$B$22:$C$35,2,FALSE),0%)</f>
        <v>0</v>
      </c>
      <c r="FE6" s="5">
        <f>IFERROR(VLOOKUP(FE$1,'Renta Fija Mixta + Metales Agre'!$B$22:$C$35,2,FALSE),0%)</f>
        <v>0</v>
      </c>
      <c r="FF6" s="5">
        <f>IFERROR(VLOOKUP(FF$1,'Renta Fija Mixta + Metales Agre'!$B$22:$C$35,2,FALSE),0%)</f>
        <v>0</v>
      </c>
      <c r="FG6" s="5">
        <f>IFERROR(VLOOKUP(FG$1,'Renta Fija Mixta + Metales Agre'!$B$22:$C$35,2,FALSE),0%)</f>
        <v>0</v>
      </c>
      <c r="FH6" s="5">
        <f>IFERROR(VLOOKUP(FH$1,'Renta Fija Mixta + Metales Agre'!$B$22:$C$35,2,FALSE),0%)</f>
        <v>0</v>
      </c>
      <c r="FI6" s="5">
        <f>IFERROR(VLOOKUP(FI$1,'Renta Fija Mixta + Metales Agre'!$B$22:$C$35,2,FALSE),0%)</f>
        <v>0</v>
      </c>
      <c r="FJ6" s="5">
        <f>IFERROR(VLOOKUP(FJ$1,'Renta Fija Mixta + Metales Agre'!$B$22:$C$35,2,FALSE),0%)</f>
        <v>0</v>
      </c>
      <c r="FK6" s="5">
        <f>IFERROR(VLOOKUP(FK$1,'Renta Fija Mixta + Metales Agre'!$B$22:$C$35,2,FALSE),0%)</f>
        <v>0</v>
      </c>
      <c r="FL6" s="5">
        <f>IFERROR(VLOOKUP(FL$1,'Renta Fija Mixta + Metales Agre'!$B$22:$C$35,2,FALSE),0%)</f>
        <v>0</v>
      </c>
      <c r="FM6" s="5">
        <f>IFERROR(VLOOKUP(FM$1,'Renta Fija Mixta + Metales Agre'!$B$22:$C$35,2,FALSE),0%)</f>
        <v>0</v>
      </c>
      <c r="FN6" s="5">
        <f>IFERROR(VLOOKUP(FN$1,'Renta Fija Mixta + Metales Agre'!$B$22:$C$35,2,FALSE),0%)</f>
        <v>0</v>
      </c>
      <c r="FO6" s="5">
        <f>IFERROR(VLOOKUP(FO$1,'Renta Fija Mixta + Metales Agre'!$B$22:$C$35,2,FALSE),0%)</f>
        <v>0</v>
      </c>
      <c r="FP6" s="5">
        <f>IFERROR(VLOOKUP(FP$1,'Renta Fija Mixta + Metales Agre'!$B$22:$C$35,2,FALSE),0%)</f>
        <v>0</v>
      </c>
      <c r="FQ6" s="5">
        <f>IFERROR(VLOOKUP(FQ$1,'Renta Fija Mixta + Metales Agre'!$B$22:$C$35,2,FALSE),0%)</f>
        <v>0</v>
      </c>
      <c r="FR6" s="5">
        <f>IFERROR(VLOOKUP(FR$1,'Renta Fija Mixta + Metales Agre'!$B$22:$C$35,2,FALSE),0%)</f>
        <v>0</v>
      </c>
      <c r="FS6" s="5">
        <f>IFERROR(VLOOKUP(FS$1,'Renta Fija Mixta + Metales Agre'!$B$22:$C$35,2,FALSE),0%)</f>
        <v>0</v>
      </c>
      <c r="FT6" s="5">
        <f>IFERROR(VLOOKUP(FT$1,'Renta Fija Mixta + Metales Agre'!$B$22:$C$35,2,FALSE),0%)</f>
        <v>0</v>
      </c>
      <c r="FU6" s="5">
        <f>IFERROR(VLOOKUP(FU$1,'Renta Fija Mixta + Metales Agre'!$B$22:$C$35,2,FALSE),0%)</f>
        <v>0</v>
      </c>
      <c r="FV6" s="5">
        <f>IFERROR(VLOOKUP(FV$1,'Renta Fija Mixta + Metales Agre'!$B$22:$C$35,2,FALSE),0%)</f>
        <v>0</v>
      </c>
      <c r="FW6" s="5">
        <f>IFERROR(VLOOKUP(FW$1,'Renta Fija Mixta + Metales Agre'!$B$22:$C$35,2,FALSE),0%)</f>
        <v>0</v>
      </c>
      <c r="FX6" s="5">
        <f>IFERROR(VLOOKUP(FX$1,'Renta Fija Mixta + Metales Agre'!$B$22:$C$35,2,FALSE),0%)</f>
        <v>0</v>
      </c>
      <c r="FY6" s="5">
        <f>IFERROR(VLOOKUP(FY$1,'Renta Fija Mixta + Metales Agre'!$B$22:$C$35,2,FALSE),0%)</f>
        <v>0</v>
      </c>
      <c r="FZ6" s="5">
        <f>IFERROR(VLOOKUP(FZ$1,'Renta Fija Mixta + Metales Agre'!$B$22:$C$35,2,FALSE),0%)</f>
        <v>0</v>
      </c>
      <c r="GA6" s="5">
        <f>IFERROR(VLOOKUP(GA$1,'Renta Fija Mixta + Metales Agre'!$B$22:$C$35,2,FALSE),0%)</f>
        <v>0</v>
      </c>
      <c r="GB6" s="5">
        <f>IFERROR(VLOOKUP(GB$1,'Renta Fija Mixta + Metales Agre'!$B$22:$C$35,2,FALSE),0%)</f>
        <v>0</v>
      </c>
      <c r="GC6" s="5">
        <f>IFERROR(VLOOKUP(GC$1,'Renta Fija Mixta + Metales Agre'!$B$22:$C$35,2,FALSE),0%)</f>
        <v>0</v>
      </c>
      <c r="GD6" s="5">
        <f>IFERROR(VLOOKUP(GD$1,'Renta Fija Mixta + Metales Agre'!$B$22:$C$35,2,FALSE),0%)</f>
        <v>0</v>
      </c>
      <c r="GE6" s="5">
        <f>IFERROR(VLOOKUP(GE$1,'Renta Fija Mixta + Metales Agre'!$B$22:$C$35,2,FALSE),0%)</f>
        <v>0</v>
      </c>
      <c r="GF6" s="5">
        <f>IFERROR(VLOOKUP(GF$1,'Renta Fija Mixta + Metales Agre'!$B$22:$C$35,2,FALSE),0%)</f>
        <v>0</v>
      </c>
      <c r="GG6" s="5">
        <f>IFERROR(VLOOKUP(GG$1,'Renta Fija Mixta + Metales Agre'!$B$22:$C$35,2,FALSE),0%)</f>
        <v>0</v>
      </c>
      <c r="GH6" s="5">
        <f>IFERROR(VLOOKUP(GH$1,'Renta Fija Mixta + Metales Agre'!$B$22:$C$35,2,FALSE),0%)</f>
        <v>0</v>
      </c>
      <c r="GI6" s="5">
        <f>IFERROR(VLOOKUP(GI$1,'Renta Fija Mixta + Metales Agre'!$B$22:$C$35,2,FALSE),0%)</f>
        <v>0</v>
      </c>
      <c r="GJ6" s="5">
        <f>IFERROR(VLOOKUP(GJ$1,'Renta Fija Mixta + Metales Agre'!$B$22:$C$35,2,FALSE),0%)</f>
        <v>0</v>
      </c>
      <c r="GK6" s="5">
        <f>IFERROR(VLOOKUP(GK$1,'Renta Fija Mixta + Metales Agre'!$B$22:$C$35,2,FALSE),0%)</f>
        <v>0</v>
      </c>
      <c r="GL6" s="5">
        <f>IFERROR(VLOOKUP(GL$1,'Renta Fija Mixta + Metales Agre'!$B$22:$C$35,2,FALSE),0%)</f>
        <v>0</v>
      </c>
      <c r="GM6" s="5">
        <f>IFERROR(VLOOKUP(GM$1,'Renta Fija Mixta + Metales Agre'!$B$22:$C$35,2,FALSE),0%)</f>
        <v>0</v>
      </c>
      <c r="GN6" s="5">
        <f>IFERROR(VLOOKUP(GN$1,'Renta Fija Mixta + Metales Agre'!$B$22:$C$35,2,FALSE),0%)</f>
        <v>0</v>
      </c>
      <c r="GO6" s="5">
        <f>IFERROR(VLOOKUP(GO$1,'Renta Fija Mixta + Metales Agre'!$B$22:$C$35,2,FALSE),0%)</f>
        <v>0</v>
      </c>
      <c r="GP6" s="5">
        <f>IFERROR(VLOOKUP(GP$1,'Renta Fija Mixta + Metales Agre'!$B$22:$C$35,2,FALSE),0%)</f>
        <v>0</v>
      </c>
      <c r="GQ6" s="5">
        <f>IFERROR(VLOOKUP(GQ$1,'Renta Fija Mixta + Metales Agre'!$B$22:$C$35,2,FALSE),0%)</f>
        <v>0</v>
      </c>
      <c r="GR6" s="5">
        <f>IFERROR(VLOOKUP(GR$1,'Renta Fija Mixta + Metales Agre'!$B$22:$C$35,2,FALSE),0%)</f>
        <v>0</v>
      </c>
      <c r="GS6" s="5">
        <f>IFERROR(VLOOKUP(GS$1,'Renta Fija Mixta + Metales Agre'!$B$22:$C$35,2,FALSE),0%)</f>
        <v>0</v>
      </c>
      <c r="GT6" s="5">
        <f>IFERROR(VLOOKUP(GT$1,'Renta Fija Mixta + Metales Agre'!$B$22:$C$35,2,FALSE),0%)</f>
        <v>0</v>
      </c>
      <c r="GU6" s="5">
        <f>IFERROR(VLOOKUP(GU$1,'Renta Fija Mixta + Metales Agre'!$B$22:$C$35,2,FALSE),0%)</f>
        <v>0</v>
      </c>
      <c r="GV6" s="5">
        <f>IFERROR(VLOOKUP(GV$1,'Renta Fija Mixta + Metales Agre'!$B$22:$C$35,2,FALSE),0%)</f>
        <v>0</v>
      </c>
      <c r="GW6" s="5">
        <f>IFERROR(VLOOKUP(GW$1,'Renta Fija Mixta + Metales Agre'!$B$22:$C$35,2,FALSE),0%)</f>
        <v>0</v>
      </c>
      <c r="GX6" s="5">
        <f>IFERROR(VLOOKUP(GX$1,'Renta Fija Mixta + Metales Agre'!$B$22:$C$35,2,FALSE),0%)</f>
        <v>0</v>
      </c>
      <c r="GY6" s="5">
        <f>IFERROR(VLOOKUP(GY$1,'Renta Fija Mixta + Metales Agre'!$B$22:$C$35,2,FALSE),0%)</f>
        <v>0</v>
      </c>
      <c r="GZ6" s="5">
        <f>IFERROR(VLOOKUP(GZ$1,'Renta Fija Mixta + Metales Agre'!$B$22:$C$35,2,FALSE),0%)</f>
        <v>0</v>
      </c>
      <c r="HA6" s="5">
        <f>IFERROR(VLOOKUP(HA$1,'Renta Fija Mixta + Metales Agre'!$B$22:$C$35,2,FALSE),0%)</f>
        <v>0</v>
      </c>
      <c r="HB6" s="5">
        <f>IFERROR(VLOOKUP(HB$1,'Renta Fija Mixta + Metales Agre'!$B$22:$C$35,2,FALSE),0%)</f>
        <v>0</v>
      </c>
      <c r="HC6" s="5">
        <f>IFERROR(VLOOKUP(HC$1,'Renta Fija Mixta + Metales Agre'!$B$22:$C$35,2,FALSE),0%)</f>
        <v>0</v>
      </c>
      <c r="HD6" s="5">
        <f>IFERROR(VLOOKUP(HD$1,'Renta Fija Mixta + Metales Agre'!$B$22:$C$35,2,FALSE),0%)</f>
        <v>0</v>
      </c>
      <c r="HE6" s="5">
        <f>IFERROR(VLOOKUP(HE$1,'Renta Fija Mixta + Metales Agre'!$B$22:$C$35,2,FALSE),0%)</f>
        <v>0</v>
      </c>
      <c r="HF6" s="5">
        <f>IFERROR(VLOOKUP(HF$1,'Renta Fija Mixta + Metales Agre'!$B$22:$C$35,2,FALSE),0%)</f>
        <v>0</v>
      </c>
      <c r="HG6" s="5">
        <f>IFERROR(VLOOKUP(HG$1,'Renta Fija Mixta + Metales Agre'!$B$22:$C$35,2,FALSE),0%)</f>
        <v>0</v>
      </c>
      <c r="HH6" s="5">
        <f>IFERROR(VLOOKUP(HH$1,'Renta Fija Mixta + Metales Agre'!$B$22:$C$35,2,FALSE),0%)</f>
        <v>0</v>
      </c>
      <c r="HI6" s="5">
        <f>IFERROR(VLOOKUP(HI$1,'Renta Fija Mixta + Metales Agre'!$B$22:$C$35,2,FALSE),0%)</f>
        <v>0</v>
      </c>
      <c r="HJ6" s="5">
        <f>IFERROR(VLOOKUP(HJ$1,'Renta Fija Mixta + Metales Agre'!$B$22:$C$35,2,FALSE),0%)</f>
        <v>0</v>
      </c>
      <c r="HK6" s="5">
        <f>IFERROR(VLOOKUP(HK$1,'Renta Fija Mixta + Metales Agre'!$B$22:$C$35,2,FALSE),0%)</f>
        <v>0</v>
      </c>
      <c r="HL6" s="5">
        <f>IFERROR(VLOOKUP(HL$1,'Renta Fija Mixta + Metales Agre'!$B$22:$C$35,2,FALSE),0%)</f>
        <v>0</v>
      </c>
      <c r="HM6" s="5">
        <f>IFERROR(VLOOKUP(HM$1,'Renta Fija Mixta + Metales Agre'!$B$22:$C$35,2,FALSE),0%)</f>
        <v>0</v>
      </c>
      <c r="HN6" s="5">
        <f>IFERROR(VLOOKUP(HN$1,'Renta Fija Mixta + Metales Agre'!$B$22:$C$35,2,FALSE),0%)</f>
        <v>0</v>
      </c>
      <c r="HO6" s="5">
        <f>IFERROR(VLOOKUP(HO$1,'Renta Fija Mixta + Metales Agre'!$B$22:$C$35,2,FALSE),0%)</f>
        <v>0</v>
      </c>
      <c r="HP6" s="5">
        <f>IFERROR(VLOOKUP(HP$1,'Renta Fija Mixta + Metales Agre'!$B$22:$C$35,2,FALSE),0%)</f>
        <v>0</v>
      </c>
      <c r="HQ6" s="5">
        <f>IFERROR(VLOOKUP(HQ$1,'Renta Fija Mixta + Metales Agre'!$B$22:$C$35,2,FALSE),0%)</f>
        <v>0</v>
      </c>
      <c r="HR6" s="5">
        <f>IFERROR(VLOOKUP(HR$1,'Renta Fija Mixta + Metales Agre'!$B$22:$C$35,2,FALSE),0%)</f>
        <v>0</v>
      </c>
      <c r="HS6" s="5">
        <f>IFERROR(VLOOKUP(HS$1,'Renta Fija Mixta + Metales Agre'!$B$22:$C$35,2,FALSE),0%)</f>
        <v>0</v>
      </c>
      <c r="HT6" s="5">
        <f>IFERROR(VLOOKUP(HT$1,'Renta Fija Mixta + Metales Agre'!$B$22:$C$35,2,FALSE),0%)</f>
        <v>0</v>
      </c>
      <c r="HU6" s="5">
        <f>IFERROR(VLOOKUP(HU$1,'Renta Fija Mixta + Metales Agre'!$B$22:$C$35,2,FALSE),0%)</f>
        <v>0</v>
      </c>
      <c r="HV6" s="5">
        <f>IFERROR(VLOOKUP(HV$1,'Renta Fija Mixta + Metales Agre'!$B$22:$C$35,2,FALSE),0%)</f>
        <v>0</v>
      </c>
      <c r="HW6" s="5">
        <f>IFERROR(VLOOKUP(HW$1,'Renta Fija Mixta + Metales Agre'!$B$22:$C$35,2,FALSE),0%)</f>
        <v>0</v>
      </c>
      <c r="HX6" s="5">
        <f>IFERROR(VLOOKUP(HX$1,'Renta Fija Mixta + Metales Agre'!$B$22:$C$35,2,FALSE),0%)</f>
        <v>0</v>
      </c>
      <c r="HY6" s="5">
        <f>IFERROR(VLOOKUP(HY$1,'Renta Fija Mixta + Metales Agre'!$B$22:$C$35,2,FALSE),0%)</f>
        <v>0</v>
      </c>
      <c r="HZ6" s="5">
        <f>IFERROR(VLOOKUP(HZ$1,'Renta Fija Mixta + Metales Agre'!$B$22:$C$35,2,FALSE),0%)</f>
        <v>0</v>
      </c>
      <c r="IA6" s="5">
        <f>IFERROR(VLOOKUP(IA$1,'Renta Fija Mixta + Metales Agre'!$B$22:$C$35,2,FALSE),0%)</f>
        <v>0</v>
      </c>
      <c r="IB6" s="5">
        <f>IFERROR(VLOOKUP(IB$1,'Renta Fija Mixta + Metales Agre'!$B$22:$C$35,2,FALSE),0%)</f>
        <v>0</v>
      </c>
      <c r="IC6" s="5">
        <f>IFERROR(VLOOKUP(IC$1,'Renta Fija Mixta + Metales Agre'!$B$22:$C$35,2,FALSE),0%)</f>
        <v>0</v>
      </c>
      <c r="ID6" s="5">
        <f>IFERROR(VLOOKUP(ID$1,'Renta Fija Mixta + Metales Agre'!$B$22:$C$35,2,FALSE),0%)</f>
        <v>0</v>
      </c>
      <c r="IE6" s="5">
        <f>IFERROR(VLOOKUP(IE$1,'Renta Fija Mixta + Metales Agre'!$B$22:$C$35,2,FALSE),0%)</f>
        <v>0</v>
      </c>
      <c r="IF6" s="5">
        <f>IFERROR(VLOOKUP(IF$1,'Renta Fija Mixta + Metales Agre'!$B$22:$C$35,2,FALSE),0%)</f>
        <v>0</v>
      </c>
      <c r="IG6" s="5">
        <f>IFERROR(VLOOKUP(IG$1,'Renta Fija Mixta + Metales Agre'!$B$22:$C$35,2,FALSE),0%)</f>
        <v>0</v>
      </c>
      <c r="IH6" s="5">
        <f>IFERROR(VLOOKUP(IH$1,'Renta Fija Mixta + Metales Agre'!$B$22:$C$35,2,FALSE),0%)</f>
        <v>0</v>
      </c>
      <c r="II6" s="5">
        <f>IFERROR(VLOOKUP(II$1,'Renta Fija Mixta + Metales Agre'!$B$22:$C$35,2,FALSE),0%)</f>
        <v>0</v>
      </c>
      <c r="IJ6" s="5">
        <f>IFERROR(VLOOKUP(IJ$1,'Renta Fija Mixta + Metales Agre'!$B$22:$C$35,2,FALSE),0%)</f>
        <v>0</v>
      </c>
      <c r="IK6" s="5">
        <f>IFERROR(VLOOKUP(IK$1,'Renta Fija Mixta + Metales Agre'!$B$22:$C$35,2,FALSE),0%)</f>
        <v>0</v>
      </c>
      <c r="IL6" s="5">
        <f>IFERROR(VLOOKUP(IL$1,'Renta Fija Mixta + Metales Agre'!$B$22:$C$35,2,FALSE),0%)</f>
        <v>0</v>
      </c>
      <c r="IM6" s="5">
        <f>IFERROR(VLOOKUP(IM$1,'Renta Fija Mixta + Metales Agre'!$B$22:$C$35,2,FALSE),0%)</f>
        <v>0</v>
      </c>
      <c r="IN6" s="5">
        <f>IFERROR(VLOOKUP(IN$1,'Renta Fija Mixta + Metales Agre'!$B$22:$C$35,2,FALSE),0%)</f>
        <v>0</v>
      </c>
      <c r="IO6" s="5">
        <f>IFERROR(VLOOKUP(IO$1,'Renta Fija Mixta + Metales Agre'!$B$22:$C$35,2,FALSE),0%)</f>
        <v>0</v>
      </c>
      <c r="IP6" s="5">
        <f>IFERROR(VLOOKUP(IP$1,'Renta Fija Mixta + Metales Agre'!$B$22:$C$35,2,FALSE),0%)</f>
        <v>0</v>
      </c>
      <c r="IQ6" s="5">
        <f>IFERROR(VLOOKUP(IQ$1,'Renta Fija Mixta + Metales Agre'!$B$22:$C$35,2,FALSE),0%)</f>
        <v>0</v>
      </c>
      <c r="IR6" s="5">
        <f>IFERROR(VLOOKUP(IR$1,'Renta Fija Mixta + Metales Agre'!$B$22:$C$35,2,FALSE),0%)</f>
        <v>0</v>
      </c>
      <c r="IS6" s="5">
        <f>IFERROR(VLOOKUP(IS$1,'Renta Fija Mixta + Metales Agre'!$B$22:$C$35,2,FALSE),0%)</f>
        <v>0</v>
      </c>
      <c r="IT6" s="5">
        <f>IFERROR(VLOOKUP(IT$1,'Renta Fija Mixta + Metales Agre'!$B$22:$C$35,2,FALSE),0%)</f>
        <v>0</v>
      </c>
      <c r="IU6" s="5">
        <f>IFERROR(VLOOKUP(IU$1,'Renta Fija Mixta + Metales Agre'!$B$22:$C$35,2,FALSE),0%)</f>
        <v>0</v>
      </c>
      <c r="IV6" s="5">
        <f>IFERROR(VLOOKUP(IV$1,'Renta Fija Mixta + Metales Agre'!$B$22:$C$35,2,FALSE),0%)</f>
        <v>0</v>
      </c>
      <c r="IW6" s="5">
        <f>IFERROR(VLOOKUP(IW$1,'Renta Fija Mixta + Metales Agre'!$B$22:$C$35,2,FALSE),0%)</f>
        <v>0</v>
      </c>
      <c r="IX6" s="5">
        <f>IFERROR(VLOOKUP(IX$1,'Renta Fija Mixta + Metales Agre'!$B$22:$C$35,2,FALSE),0%)</f>
        <v>0</v>
      </c>
      <c r="IY6" s="5">
        <f>IFERROR(VLOOKUP(IY$1,'Renta Fija Mixta + Metales Agre'!$B$22:$C$35,2,FALSE),0%)</f>
        <v>0</v>
      </c>
      <c r="IZ6" s="5">
        <f>IFERROR(VLOOKUP(IZ$1,'Renta Fija Mixta + Metales Agre'!$B$22:$C$35,2,FALSE),0%)</f>
        <v>0</v>
      </c>
      <c r="JA6" s="5">
        <f>IFERROR(VLOOKUP(JA$1,'Renta Fija Mixta + Metales Agre'!$B$22:$C$35,2,FALSE),0%)</f>
        <v>0</v>
      </c>
      <c r="JB6" s="5">
        <f>IFERROR(VLOOKUP(JB$1,'Renta Fija Mixta + Metales Agre'!$B$22:$C$35,2,FALSE),0%)</f>
        <v>0</v>
      </c>
      <c r="JC6" s="5">
        <f>IFERROR(VLOOKUP(JC$1,'Renta Fija Mixta + Metales Agre'!$B$22:$C$35,2,FALSE),0%)</f>
        <v>0</v>
      </c>
      <c r="JD6" s="5">
        <f>IFERROR(VLOOKUP(JD$1,'Renta Fija Mixta + Metales Agre'!$B$22:$C$35,2,FALSE),0%)</f>
        <v>0</v>
      </c>
      <c r="JE6" s="5">
        <f>IFERROR(VLOOKUP(JE$1,'Renta Fija Mixta + Metales Agre'!$B$22:$C$35,2,FALSE),0%)</f>
        <v>0</v>
      </c>
      <c r="JF6" s="5">
        <f>IFERROR(VLOOKUP(JF$1,'Renta Fija Mixta + Metales Agre'!$B$22:$C$35,2,FALSE),0%)</f>
        <v>0</v>
      </c>
      <c r="JG6" s="5">
        <f>IFERROR(VLOOKUP(JG$1,'Renta Fija Mixta + Metales Agre'!$B$22:$C$35,2,FALSE),0%)</f>
        <v>0</v>
      </c>
      <c r="JH6" s="5">
        <f>IFERROR(VLOOKUP(JH$1,'Renta Fija Mixta + Metales Agre'!$B$22:$C$35,2,FALSE),0%)</f>
        <v>0.0990507455</v>
      </c>
      <c r="JI6" s="5">
        <f>IFERROR(VLOOKUP(JI$1,'Renta Fija Mixta + Metales Agre'!$B$22:$C$35,2,FALSE),0%)</f>
        <v>0</v>
      </c>
      <c r="JJ6" s="5">
        <f>IFERROR(VLOOKUP(JJ$1,'Renta Fija Mixta + Metales Agre'!$B$22:$C$35,2,FALSE),0%)</f>
        <v>0</v>
      </c>
      <c r="JK6" s="5">
        <f>IFERROR(VLOOKUP(JK$1,'Renta Fija Mixta + Metales Agre'!$B$22:$C$35,2,FALSE),0%)</f>
        <v>0</v>
      </c>
      <c r="JL6" s="5">
        <f>IFERROR(VLOOKUP(JL$1,'Renta Fija Mixta + Metales Agre'!$B$22:$C$35,2,FALSE),0%)</f>
        <v>0</v>
      </c>
      <c r="JM6" s="5">
        <f>IFERROR(VLOOKUP(JM$1,'Renta Fija Mixta + Metales Agre'!$B$22:$C$35,2,FALSE),0%)</f>
        <v>0</v>
      </c>
      <c r="JN6" s="5">
        <f>IFERROR(VLOOKUP(JN$1,'Renta Fija Mixta + Metales Agre'!$B$22:$C$35,2,FALSE),0%)</f>
        <v>0</v>
      </c>
      <c r="JO6" s="5">
        <f>IFERROR(VLOOKUP(JO$1,'Renta Fija Mixta + Metales Agre'!$B$22:$C$35,2,FALSE),0%)</f>
        <v>0</v>
      </c>
      <c r="JP6" s="5">
        <f>IFERROR(VLOOKUP(JP$1,'Renta Fija Mixta + Metales Agre'!$B$22:$C$35,2,FALSE),0%)</f>
        <v>0</v>
      </c>
      <c r="JQ6" s="5">
        <f>IFERROR(VLOOKUP(JQ$1,'Renta Fija Mixta + Metales Agre'!$B$22:$C$35,2,FALSE),0%)</f>
        <v>0</v>
      </c>
      <c r="JR6" s="5">
        <f>IFERROR(VLOOKUP(JR$1,'Renta Fija Mixta + Metales Agre'!$B$22:$C$35,2,FALSE),0%)</f>
        <v>0</v>
      </c>
      <c r="JS6" s="5">
        <f>IFERROR(VLOOKUP(JS$1,'Renta Fija Mixta + Metales Agre'!$B$22:$C$35,2,FALSE),0%)</f>
        <v>0</v>
      </c>
      <c r="JT6" s="5">
        <f>IFERROR(VLOOKUP(JT$1,'Renta Fija Mixta + Metales Agre'!$B$22:$C$35,2,FALSE),0%)</f>
        <v>0</v>
      </c>
      <c r="JU6" s="5">
        <f>IFERROR(VLOOKUP(JU$1,'Renta Fija Mixta + Metales Agre'!$B$22:$C$35,2,FALSE),0%)</f>
        <v>0</v>
      </c>
      <c r="JV6" s="5">
        <f>IFERROR(VLOOKUP(JV$1,'Renta Fija Mixta + Metales Agre'!$B$22:$C$35,2,FALSE),0%)</f>
        <v>0</v>
      </c>
      <c r="JW6" s="5">
        <f>IFERROR(VLOOKUP(JW$1,'Renta Fija Mixta + Metales Agre'!$B$22:$C$35,2,FALSE),0%)</f>
        <v>0</v>
      </c>
      <c r="JX6" s="5">
        <f>IFERROR(VLOOKUP(JX$1,'Renta Fija Mixta + Metales Agre'!$B$22:$C$35,2,FALSE),0%)</f>
        <v>0</v>
      </c>
      <c r="JY6" s="5">
        <f>IFERROR(VLOOKUP(JY$1,'Renta Fija Mixta + Metales Agre'!$B$22:$C$35,2,FALSE),0%)</f>
        <v>0</v>
      </c>
      <c r="JZ6" s="5">
        <f>IFERROR(VLOOKUP(JZ$1,'Renta Fija Mixta + Metales Agre'!$B$22:$C$35,2,FALSE),0%)</f>
        <v>0</v>
      </c>
      <c r="KA6" s="5">
        <f>IFERROR(VLOOKUP(KA$1,'Renta Fija Mixta + Metales Agre'!$B$22:$C$35,2,FALSE),0%)</f>
        <v>0</v>
      </c>
      <c r="KB6" s="5">
        <f>IFERROR(VLOOKUP(KB$1,'Renta Fija Mixta + Metales Agre'!$B$22:$C$35,2,FALSE),0%)</f>
        <v>0</v>
      </c>
      <c r="KC6" s="5">
        <f>IFERROR(VLOOKUP(KC$1,'Renta Fija Mixta + Metales Agre'!$B$22:$C$35,2,FALSE),0%)</f>
        <v>0</v>
      </c>
      <c r="KD6" s="5">
        <f>IFERROR(VLOOKUP(KD$1,'Renta Fija Mixta + Metales Agre'!$B$22:$C$35,2,FALSE),0%)</f>
        <v>0</v>
      </c>
      <c r="KE6" s="5">
        <f>IFERROR(VLOOKUP(KE$1,'Renta Fija Mixta + Metales Agre'!$B$22:$C$35,2,FALSE),0%)</f>
        <v>0</v>
      </c>
      <c r="KF6" s="5">
        <f>IFERROR(VLOOKUP(KF$1,'Renta Fija Mixta + Metales Agre'!$B$22:$C$35,2,FALSE),0%)</f>
        <v>0</v>
      </c>
      <c r="KG6" s="5">
        <f>IFERROR(VLOOKUP(KG$1,'Renta Fija Mixta + Metales Agre'!$B$22:$C$35,2,FALSE),0%)</f>
        <v>0</v>
      </c>
      <c r="KH6" s="5">
        <f>IFERROR(VLOOKUP(KH$1,'Renta Fija Mixta + Metales Agre'!$B$22:$C$35,2,FALSE),0%)</f>
        <v>0</v>
      </c>
      <c r="KI6" s="5">
        <f>IFERROR(VLOOKUP(KI$1,'Renta Fija Mixta + Metales Agre'!$B$22:$C$35,2,FALSE),0%)</f>
        <v>0</v>
      </c>
      <c r="KJ6" s="5">
        <f>IFERROR(VLOOKUP(KJ$1,'Renta Fija Mixta + Metales Agre'!$B$22:$C$35,2,FALSE),0%)</f>
        <v>0</v>
      </c>
      <c r="KK6" s="5">
        <f>IFERROR(VLOOKUP(KK$1,'Renta Fija Mixta + Metales Agre'!$B$22:$C$35,2,FALSE),0%)</f>
        <v>0</v>
      </c>
      <c r="KL6" s="5">
        <f>IFERROR(VLOOKUP(KL$1,'Renta Fija Mixta + Metales Agre'!$B$22:$C$35,2,FALSE),0%)</f>
        <v>0</v>
      </c>
      <c r="KM6" s="5">
        <f>IFERROR(VLOOKUP(KM$1,'Renta Fija Mixta + Metales Agre'!$B$22:$C$35,2,FALSE),0%)</f>
        <v>0</v>
      </c>
      <c r="KN6" s="5">
        <f>IFERROR(VLOOKUP(KN$1,'Renta Fija Mixta + Metales Agre'!$B$22:$C$35,2,FALSE),0%)</f>
        <v>0</v>
      </c>
      <c r="KO6" s="5">
        <f>IFERROR(VLOOKUP(KO$1,'Renta Fija Mixta + Metales Agre'!$B$22:$C$35,2,FALSE),0%)</f>
        <v>0</v>
      </c>
      <c r="KP6" s="5">
        <f>IFERROR(VLOOKUP(KP$1,'Renta Fija Mixta + Metales Agre'!$B$22:$C$35,2,FALSE),0%)</f>
        <v>0</v>
      </c>
      <c r="KQ6" s="5">
        <f>IFERROR(VLOOKUP(KQ$1,'Renta Fija Mixta + Metales Agre'!$B$22:$C$35,2,FALSE),0%)</f>
        <v>0</v>
      </c>
      <c r="KR6" s="5">
        <f>IFERROR(VLOOKUP(KR$1,'Renta Fija Mixta + Metales Agre'!$B$22:$C$35,2,FALSE),0%)</f>
        <v>0</v>
      </c>
      <c r="KS6" s="5">
        <f>IFERROR(VLOOKUP(KS$1,'Renta Fija Mixta + Metales Agre'!$B$22:$C$35,2,FALSE),0%)</f>
        <v>0</v>
      </c>
      <c r="KT6" s="5">
        <f>IFERROR(VLOOKUP(KT$1,'Renta Fija Mixta + Metales Agre'!$B$22:$C$35,2,FALSE),0%)</f>
        <v>0</v>
      </c>
      <c r="KU6" s="5">
        <f>IFERROR(VLOOKUP(KU$1,'Renta Fija Mixta + Metales Agre'!$B$22:$C$35,2,FALSE),0%)</f>
        <v>0</v>
      </c>
      <c r="KV6" s="5">
        <f>IFERROR(VLOOKUP(KV$1,'Renta Fija Mixta + Metales Agre'!$B$22:$C$35,2,FALSE),0%)</f>
        <v>0</v>
      </c>
      <c r="KW6" s="5">
        <f>IFERROR(VLOOKUP(KW$1,'Renta Fija Mixta + Metales Agre'!$B$22:$C$35,2,FALSE),0%)</f>
        <v>0</v>
      </c>
      <c r="KX6" s="5">
        <f>IFERROR(VLOOKUP(KX$1,'Renta Fija Mixta + Metales Agre'!$B$22:$C$35,2,FALSE),0%)</f>
        <v>0</v>
      </c>
      <c r="KY6" s="5">
        <f>IFERROR(VLOOKUP(KY$1,'Renta Fija Mixta + Metales Agre'!$B$22:$C$35,2,FALSE),0%)</f>
        <v>0</v>
      </c>
      <c r="KZ6" s="5">
        <f>IFERROR(VLOOKUP(KZ$1,'Renta Fija Mixta + Metales Agre'!$B$22:$C$35,2,FALSE),0%)</f>
        <v>0</v>
      </c>
      <c r="LA6" s="5">
        <f>IFERROR(VLOOKUP(LA$1,'Renta Fija Mixta + Metales Agre'!$B$22:$C$35,2,FALSE),0%)</f>
        <v>0</v>
      </c>
      <c r="LB6" s="5">
        <f>IFERROR(VLOOKUP(LB$1,'Renta Fija Mixta + Metales Agre'!$B$22:$C$35,2,FALSE),0%)</f>
        <v>0</v>
      </c>
      <c r="LC6" s="5">
        <f>IFERROR(VLOOKUP(LC$1,'Renta Fija Mixta + Metales Agre'!$B$22:$C$35,2,FALSE),0%)</f>
        <v>0</v>
      </c>
      <c r="LD6" s="5">
        <f>IFERROR(VLOOKUP(LD$1,'Renta Fija Mixta + Metales Agre'!$B$22:$C$35,2,FALSE),0%)</f>
        <v>0</v>
      </c>
      <c r="LE6" s="5">
        <f>IFERROR(VLOOKUP(LE$1,'Renta Fija Mixta + Metales Agre'!$B$22:$C$35,2,FALSE),0%)</f>
        <v>0</v>
      </c>
      <c r="LF6" s="5">
        <f>IFERROR(VLOOKUP(LF$1,'Renta Fija Mixta + Metales Agre'!$B$22:$C$35,2,FALSE),0%)</f>
        <v>0</v>
      </c>
      <c r="LG6" s="5">
        <f>IFERROR(VLOOKUP(LG$1,'Renta Fija Mixta + Metales Agre'!$B$22:$C$35,2,FALSE),0%)</f>
        <v>0</v>
      </c>
      <c r="LH6" s="5">
        <f>IFERROR(VLOOKUP(LH$1,'Renta Fija Mixta + Metales Agre'!$B$22:$C$35,2,FALSE),0%)</f>
        <v>0</v>
      </c>
      <c r="LI6" s="5">
        <f>IFERROR(VLOOKUP(LI$1,'Renta Fija Mixta + Metales Agre'!$B$22:$C$35,2,FALSE),0%)</f>
        <v>0</v>
      </c>
      <c r="LJ6" s="5">
        <f>IFERROR(VLOOKUP(LJ$1,'Renta Fija Mixta + Metales Agre'!$B$22:$C$35,2,FALSE),0%)</f>
        <v>0</v>
      </c>
      <c r="LK6" s="5">
        <f>IFERROR(VLOOKUP(LK$1,'Renta Fija Mixta + Metales Agre'!$B$22:$C$35,2,FALSE),0%)</f>
        <v>0</v>
      </c>
      <c r="LL6" s="5">
        <f>IFERROR(VLOOKUP(LL$1,'Renta Fija Mixta + Metales Agre'!$B$22:$C$35,2,FALSE),0%)</f>
        <v>0</v>
      </c>
      <c r="LM6" s="5">
        <f>IFERROR(VLOOKUP(LM$1,'Renta Fija Mixta + Metales Agre'!$B$22:$C$35,2,FALSE),0%)</f>
        <v>0</v>
      </c>
      <c r="LN6" s="5">
        <f>IFERROR(VLOOKUP(LN$1,'Renta Fija Mixta + Metales Agre'!$B$22:$C$35,2,FALSE),0%)</f>
        <v>0</v>
      </c>
      <c r="LO6" s="5">
        <f>IFERROR(VLOOKUP(LO$1,'Renta Fija Mixta + Metales Agre'!$B$22:$C$35,2,FALSE),0%)</f>
        <v>0</v>
      </c>
      <c r="LP6" s="5">
        <f>IFERROR(VLOOKUP(LP$1,'Renta Fija Mixta + Metales Agre'!$B$22:$C$35,2,FALSE),0%)</f>
        <v>0</v>
      </c>
      <c r="LQ6" s="5">
        <f>IFERROR(VLOOKUP(LQ$1,'Renta Fija Mixta + Metales Agre'!$B$22:$C$35,2,FALSE),0%)</f>
        <v>0</v>
      </c>
      <c r="LR6" s="5">
        <f>IFERROR(VLOOKUP(LR$1,'Renta Fija Mixta + Metales Agre'!$B$22:$C$35,2,FALSE),0%)</f>
        <v>0</v>
      </c>
      <c r="LS6" s="5">
        <f>IFERROR(VLOOKUP(LS$1,'Renta Fija Mixta + Metales Agre'!$B$22:$C$35,2,FALSE),0%)</f>
        <v>0</v>
      </c>
      <c r="LT6" s="5">
        <f>IFERROR(VLOOKUP(LT$1,'Renta Fija Mixta + Metales Agre'!$B$22:$C$35,2,FALSE),0%)</f>
        <v>0</v>
      </c>
      <c r="LU6" s="5">
        <f>IFERROR(VLOOKUP(LU$1,'Renta Fija Mixta + Metales Agre'!$B$22:$C$35,2,FALSE),0%)</f>
        <v>0</v>
      </c>
      <c r="LV6" s="5">
        <f>IFERROR(VLOOKUP(LV$1,'Renta Fija Mixta + Metales Agre'!$B$22:$C$35,2,FALSE),0%)</f>
        <v>0</v>
      </c>
      <c r="LW6" s="5">
        <f>IFERROR(VLOOKUP(LW$1,'Renta Fija Mixta + Metales Agre'!$B$22:$C$35,2,FALSE),0%)</f>
        <v>0</v>
      </c>
      <c r="LX6" s="5">
        <f>IFERROR(VLOOKUP(LX$1,'Renta Fija Mixta + Metales Agre'!$B$22:$C$35,2,FALSE),0%)</f>
        <v>0</v>
      </c>
      <c r="LY6" s="5">
        <f>IFERROR(VLOOKUP(LY$1,'Renta Fija Mixta + Metales Agre'!$B$22:$C$35,2,FALSE),0%)</f>
        <v>0</v>
      </c>
      <c r="LZ6" s="5">
        <f>IFERROR(VLOOKUP(LZ$1,'Renta Fija Mixta + Metales Agre'!$B$22:$C$35,2,FALSE),0%)</f>
        <v>0</v>
      </c>
      <c r="MA6" s="5">
        <f>IFERROR(VLOOKUP(MA$1,'Renta Fija Mixta + Metales Agre'!$B$22:$C$35,2,FALSE),0%)</f>
        <v>0</v>
      </c>
      <c r="MB6" s="5">
        <f>IFERROR(VLOOKUP(MB$1,'Renta Fija Mixta + Metales Agre'!$B$22:$C$35,2,FALSE),0%)</f>
        <v>0</v>
      </c>
      <c r="MC6" s="5">
        <f>IFERROR(VLOOKUP(MC$1,'Renta Fija Mixta + Metales Agre'!$B$22:$C$35,2,FALSE),0%)</f>
        <v>0</v>
      </c>
      <c r="MD6" s="5">
        <f>IFERROR(VLOOKUP(MD$1,'Renta Fija Mixta + Metales Agre'!$B$22:$C$35,2,FALSE),0%)</f>
        <v>0</v>
      </c>
      <c r="ME6" s="5">
        <f>IFERROR(VLOOKUP(ME$1,'Renta Fija Mixta + Metales Agre'!$B$22:$C$35,2,FALSE),0%)</f>
        <v>0</v>
      </c>
      <c r="MF6" s="5">
        <f>IFERROR(VLOOKUP(MF$1,'Renta Fija Mixta + Metales Agre'!$B$22:$C$35,2,FALSE),0%)</f>
        <v>0</v>
      </c>
      <c r="MG6" s="5">
        <f>IFERROR(VLOOKUP(MG$1,'Renta Fija Mixta + Metales Agre'!$B$22:$C$35,2,FALSE),0%)</f>
        <v>0</v>
      </c>
      <c r="MH6" s="5">
        <f>IFERROR(VLOOKUP(MH$1,'Renta Fija Mixta + Metales Agre'!$B$22:$C$35,2,FALSE),0%)</f>
        <v>0</v>
      </c>
      <c r="MI6" s="5">
        <f>IFERROR(VLOOKUP(MI$1,'Renta Fija Mixta + Metales Agre'!$B$22:$C$35,2,FALSE),0%)</f>
        <v>0</v>
      </c>
      <c r="MJ6" s="5">
        <f>IFERROR(VLOOKUP(MJ$1,'Renta Fija Mixta + Metales Agre'!$B$22:$C$35,2,FALSE),0%)</f>
        <v>0</v>
      </c>
      <c r="MK6" s="5">
        <f>IFERROR(VLOOKUP(MK$1,'Renta Fija Mixta + Metales Agre'!$B$22:$C$35,2,FALSE),0%)</f>
        <v>0</v>
      </c>
      <c r="ML6" s="5">
        <f>IFERROR(VLOOKUP(ML$1,'Renta Fija Mixta + Metales Agre'!$B$22:$C$35,2,FALSE),0%)</f>
        <v>0</v>
      </c>
      <c r="MM6" s="5">
        <f>IFERROR(VLOOKUP(MM$1,'Renta Fija Mixta + Metales Agre'!$B$22:$C$35,2,FALSE),0%)</f>
        <v>0</v>
      </c>
      <c r="MN6" s="5">
        <f>IFERROR(VLOOKUP(MN$1,'Renta Fija Mixta + Metales Agre'!$B$22:$C$35,2,FALSE),0%)</f>
        <v>0</v>
      </c>
      <c r="MO6" s="5">
        <f>IFERROR(VLOOKUP(MO$1,'Renta Fija Mixta + Metales Agre'!$B$22:$C$35,2,FALSE),0%)</f>
        <v>0</v>
      </c>
      <c r="MP6" s="5">
        <f>IFERROR(VLOOKUP(MP$1,'Renta Fija Mixta + Metales Agre'!$B$22:$C$35,2,FALSE),0%)</f>
        <v>0</v>
      </c>
      <c r="MQ6" s="5">
        <f>IFERROR(VLOOKUP(MQ$1,'Renta Fija Mixta + Metales Agre'!$B$22:$C$35,2,FALSE),0%)</f>
        <v>0</v>
      </c>
      <c r="MR6" s="5">
        <f>IFERROR(VLOOKUP(MR$1,'Renta Fija Mixta + Metales Agre'!$B$22:$C$35,2,FALSE),0%)</f>
        <v>0</v>
      </c>
      <c r="MS6" s="5">
        <f>IFERROR(VLOOKUP(MS$1,'Renta Fija Mixta + Metales Agre'!$B$22:$C$35,2,FALSE),0%)</f>
        <v>0</v>
      </c>
      <c r="MT6" s="5">
        <f>IFERROR(VLOOKUP(MT$1,'Renta Fija Mixta + Metales Agre'!$B$22:$C$35,2,FALSE),0%)</f>
        <v>0</v>
      </c>
      <c r="MU6" s="5">
        <f>IFERROR(VLOOKUP(MU$1,'Renta Fija Mixta + Metales Agre'!$B$22:$C$35,2,FALSE),0%)</f>
        <v>0</v>
      </c>
      <c r="MV6" s="5">
        <f>IFERROR(VLOOKUP(MV$1,'Renta Fija Mixta + Metales Agre'!$B$22:$C$35,2,FALSE),0%)</f>
        <v>0</v>
      </c>
      <c r="MW6" s="5">
        <f>IFERROR(VLOOKUP(MW$1,'Renta Fija Mixta + Metales Agre'!$B$22:$C$35,2,FALSE),0%)</f>
        <v>0</v>
      </c>
      <c r="MX6" s="5">
        <f>IFERROR(VLOOKUP(MX$1,'Renta Fija Mixta + Metales Agre'!$B$22:$C$35,2,FALSE),0%)</f>
        <v>0</v>
      </c>
      <c r="MY6" s="5">
        <f>IFERROR(VLOOKUP(MY$1,'Renta Fija Mixta + Metales Agre'!$B$22:$C$35,2,FALSE),0%)</f>
        <v>0</v>
      </c>
      <c r="MZ6" s="5">
        <f>IFERROR(VLOOKUP(MZ$1,'Renta Fija Mixta + Metales Agre'!$B$22:$C$35,2,FALSE),0%)</f>
        <v>0</v>
      </c>
      <c r="NA6" s="5">
        <f>IFERROR(VLOOKUP(NA$1,'Renta Fija Mixta + Metales Agre'!$B$22:$C$35,2,FALSE),0%)</f>
        <v>0</v>
      </c>
      <c r="NB6" s="5">
        <f>IFERROR(VLOOKUP(NB$1,'Renta Fija Mixta + Metales Agre'!$B$22:$C$35,2,FALSE),0%)</f>
        <v>0</v>
      </c>
      <c r="NC6" s="5">
        <f>IFERROR(VLOOKUP(NC$1,'Renta Fija Mixta + Metales Agre'!$B$22:$C$35,2,FALSE),0%)</f>
        <v>0</v>
      </c>
      <c r="ND6" s="5">
        <f>IFERROR(VLOOKUP(ND$1,'Renta Fija Mixta + Metales Agre'!$B$22:$C$35,2,FALSE),0%)</f>
        <v>0</v>
      </c>
      <c r="NE6" s="5">
        <f>IFERROR(VLOOKUP(NE$1,'Renta Fija Mixta + Metales Agre'!$B$22:$C$35,2,FALSE),0%)</f>
        <v>0</v>
      </c>
      <c r="NF6" s="5">
        <f>IFERROR(VLOOKUP(NF$1,'Renta Fija Mixta + Metales Agre'!$B$22:$C$35,2,FALSE),0%)</f>
        <v>0</v>
      </c>
      <c r="NG6" s="5">
        <f>IFERROR(VLOOKUP(NG$1,'Renta Fija Mixta + Metales Agre'!$B$22:$C$35,2,FALSE),0%)</f>
        <v>0</v>
      </c>
      <c r="NH6" s="5">
        <f>IFERROR(VLOOKUP(NH$1,'Renta Fija Mixta + Metales Agre'!$B$22:$C$35,2,FALSE),0%)</f>
        <v>0</v>
      </c>
      <c r="NI6" s="5">
        <f>IFERROR(VLOOKUP(NI$1,'Renta Fija Mixta + Metales Agre'!$B$22:$C$35,2,FALSE),0%)</f>
        <v>0</v>
      </c>
      <c r="NJ6" s="5">
        <f>IFERROR(VLOOKUP(NJ$1,'Renta Fija Mixta + Metales Agre'!$B$22:$C$35,2,FALSE),0%)</f>
        <v>0</v>
      </c>
      <c r="NK6" s="5">
        <f>IFERROR(VLOOKUP(NK$1,'Renta Fija Mixta + Metales Agre'!$B$22:$C$35,2,FALSE),0%)</f>
        <v>0</v>
      </c>
      <c r="NL6" s="5">
        <f>IFERROR(VLOOKUP(NL$1,'Renta Fija Mixta + Metales Agre'!$B$22:$C$35,2,FALSE),0%)</f>
        <v>0</v>
      </c>
      <c r="NM6" s="5">
        <f>IFERROR(VLOOKUP(NM$1,'Renta Fija Mixta + Metales Agre'!$B$22:$C$35,2,FALSE),0%)</f>
        <v>0</v>
      </c>
      <c r="NN6" s="5">
        <f>IFERROR(VLOOKUP(NN$1,'Renta Fija Mixta + Metales Agre'!$B$22:$C$35,2,FALSE),0%)</f>
        <v>0</v>
      </c>
      <c r="NO6" s="5">
        <f>IFERROR(VLOOKUP(NO$1,'Renta Fija Mixta + Metales Agre'!$B$22:$C$35,2,FALSE),0%)</f>
        <v>0</v>
      </c>
      <c r="NP6" s="5">
        <f>IFERROR(VLOOKUP(NP$1,'Renta Fija Mixta + Metales Agre'!$B$22:$C$35,2,FALSE),0%)</f>
        <v>0</v>
      </c>
      <c r="NQ6" s="5">
        <f>IFERROR(VLOOKUP(NQ$1,'Renta Fija Mixta + Metales Agre'!$B$22:$C$35,2,FALSE),0%)</f>
        <v>0</v>
      </c>
      <c r="NR6" s="5">
        <f>IFERROR(VLOOKUP(NR$1,'Renta Fija Mixta + Metales Agre'!$B$22:$C$35,2,FALSE),0%)</f>
        <v>0</v>
      </c>
      <c r="NS6" s="5">
        <f>IFERROR(VLOOKUP(NS$1,'Renta Fija Mixta + Metales Agre'!$B$22:$C$35,2,FALSE),0%)</f>
        <v>0</v>
      </c>
      <c r="NT6" s="5">
        <f>IFERROR(VLOOKUP(NT$1,'Renta Fija Mixta + Metales Agre'!$B$22:$C$35,2,FALSE),0%)</f>
        <v>0</v>
      </c>
      <c r="NU6" s="5">
        <f>IFERROR(VLOOKUP(NU$1,'Renta Fija Mixta + Metales Agre'!$B$22:$C$35,2,FALSE),0%)</f>
        <v>0</v>
      </c>
      <c r="NV6" s="5">
        <f>IFERROR(VLOOKUP(NV$1,'Renta Fija Mixta + Metales Agre'!$B$22:$C$35,2,FALSE),0%)</f>
        <v>0</v>
      </c>
      <c r="NW6" s="5">
        <f>IFERROR(VLOOKUP(NW$1,'Renta Fija Mixta + Metales Agre'!$B$22:$C$35,2,FALSE),0%)</f>
        <v>0</v>
      </c>
      <c r="NX6" s="5">
        <f>IFERROR(VLOOKUP(NX$1,'Renta Fija Mixta + Metales Agre'!$B$22:$C$35,2,FALSE),0%)</f>
        <v>0</v>
      </c>
      <c r="NY6" s="5">
        <f>IFERROR(VLOOKUP(NY$1,'Renta Fija Mixta + Metales Agre'!$B$22:$C$35,2,FALSE),0%)</f>
        <v>0</v>
      </c>
      <c r="NZ6" s="5">
        <f>IFERROR(VLOOKUP(NZ$1,'Renta Fija Mixta + Metales Agre'!$B$22:$C$35,2,FALSE),0%)</f>
        <v>0</v>
      </c>
      <c r="OA6" s="5">
        <f>IFERROR(VLOOKUP(OA$1,'Renta Fija Mixta + Metales Agre'!$B$22:$C$35,2,FALSE),0%)</f>
        <v>0</v>
      </c>
      <c r="OB6" s="5">
        <f>IFERROR(VLOOKUP(OB$1,'Renta Fija Mixta + Metales Agre'!$B$22:$C$35,2,FALSE),0%)</f>
        <v>0</v>
      </c>
      <c r="OC6" s="5">
        <f>IFERROR(VLOOKUP(OC$1,'Renta Fija Mixta + Metales Agre'!$B$22:$C$35,2,FALSE),0%)</f>
        <v>0</v>
      </c>
      <c r="OD6" s="5">
        <f>IFERROR(VLOOKUP(OD$1,'Renta Fija Mixta + Metales Agre'!$B$22:$C$35,2,FALSE),0%)</f>
        <v>0</v>
      </c>
      <c r="OE6" s="5">
        <f>IFERROR(VLOOKUP(OE$1,'Renta Fija Mixta + Metales Agre'!$B$22:$C$35,2,FALSE),0%)</f>
        <v>0</v>
      </c>
      <c r="OF6" s="5">
        <f>IFERROR(VLOOKUP(OF$1,'Renta Fija Mixta + Metales Agre'!$B$22:$C$35,2,FALSE),0%)</f>
        <v>0</v>
      </c>
      <c r="OG6" s="5">
        <f>IFERROR(VLOOKUP(OG$1,'Renta Fija Mixta + Metales Agre'!$B$22:$C$35,2,FALSE),0%)</f>
        <v>0</v>
      </c>
      <c r="OH6" s="5">
        <f>IFERROR(VLOOKUP(OH$1,'Renta Fija Mixta + Metales Agre'!$B$22:$C$35,2,FALSE),0%)</f>
        <v>0</v>
      </c>
      <c r="OI6" s="5">
        <f>IFERROR(VLOOKUP(OI$1,'Renta Fija Mixta + Metales Agre'!$B$22:$C$35,2,FALSE),0%)</f>
        <v>0</v>
      </c>
      <c r="OJ6" s="5">
        <f>IFERROR(VLOOKUP(OJ$1,'Renta Fija Mixta + Metales Agre'!$B$22:$C$35,2,FALSE),0%)</f>
        <v>0</v>
      </c>
      <c r="OK6" s="5">
        <f>IFERROR(VLOOKUP(OK$1,'Renta Fija Mixta + Metales Agre'!$B$22:$C$35,2,FALSE),0%)</f>
        <v>0</v>
      </c>
      <c r="OL6" s="5">
        <f>IFERROR(VLOOKUP(OL$1,'Renta Fija Mixta + Metales Agre'!$B$22:$C$35,2,FALSE),0%)</f>
        <v>0</v>
      </c>
      <c r="OM6" s="5">
        <f>IFERROR(VLOOKUP(OM$1,'Renta Fija Mixta + Metales Agre'!$B$22:$C$35,2,FALSE),0%)</f>
        <v>0</v>
      </c>
      <c r="ON6" s="5">
        <f>IFERROR(VLOOKUP(ON$1,'Renta Fija Mixta + Metales Agre'!$B$22:$C$35,2,FALSE),0%)</f>
        <v>0</v>
      </c>
      <c r="OO6" s="5">
        <f>IFERROR(VLOOKUP(OO$1,'Renta Fija Mixta + Metales Agre'!$B$22:$C$35,2,FALSE),0%)</f>
        <v>0</v>
      </c>
      <c r="OP6" s="5">
        <f>IFERROR(VLOOKUP(OP$1,'Renta Fija Mixta + Metales Agre'!$B$22:$C$35,2,FALSE),0%)</f>
        <v>0</v>
      </c>
      <c r="OQ6" s="5">
        <f>IFERROR(VLOOKUP(OQ$1,'Renta Fija Mixta + Metales Agre'!$B$22:$C$35,2,FALSE),0%)</f>
        <v>0</v>
      </c>
      <c r="OR6" s="5">
        <f>IFERROR(VLOOKUP(OR$1,'Renta Fija Mixta + Metales Agre'!$B$22:$C$35,2,FALSE),0%)</f>
        <v>0</v>
      </c>
      <c r="OS6" s="5">
        <f>IFERROR(VLOOKUP(OS$1,'Renta Fija Mixta + Metales Agre'!$B$22:$C$35,2,FALSE),0%)</f>
        <v>0</v>
      </c>
      <c r="OT6" s="5">
        <f>IFERROR(VLOOKUP(OT$1,'Renta Fija Mixta + Metales Agre'!$B$22:$C$35,2,FALSE),0%)</f>
        <v>0</v>
      </c>
      <c r="OU6" s="5">
        <f>IFERROR(VLOOKUP(OU$1,'Renta Fija Mixta + Metales Agre'!$B$22:$C$35,2,FALSE),0%)</f>
        <v>0</v>
      </c>
      <c r="OV6" s="5">
        <f>IFERROR(VLOOKUP(OV$1,'Renta Fija Mixta + Metales Agre'!$B$22:$C$35,2,FALSE),0%)</f>
        <v>0</v>
      </c>
      <c r="OW6" s="5">
        <f>IFERROR(VLOOKUP(OW$1,'Renta Fija Mixta + Metales Agre'!$B$22:$C$35,2,FALSE),0%)</f>
        <v>0</v>
      </c>
      <c r="OX6" s="5">
        <f>IFERROR(VLOOKUP(OX$1,'Renta Fija Mixta + Metales Agre'!$B$22:$C$35,2,FALSE),0%)</f>
        <v>0</v>
      </c>
      <c r="OY6" s="5">
        <f>IFERROR(VLOOKUP(OY$1,'Renta Fija Mixta + Metales Agre'!$B$22:$C$35,2,FALSE),0%)</f>
        <v>0</v>
      </c>
      <c r="OZ6" s="5">
        <f>IFERROR(VLOOKUP(OZ$1,'Renta Fija Mixta + Metales Agre'!$B$22:$C$35,2,FALSE),0%)</f>
        <v>0</v>
      </c>
      <c r="PA6" s="5">
        <f>IFERROR(VLOOKUP(PA$1,'Renta Fija Mixta + Metales Agre'!$B$22:$C$35,2,FALSE),0%)</f>
        <v>0</v>
      </c>
      <c r="PB6" s="5">
        <f>IFERROR(VLOOKUP(PB$1,'Renta Fija Mixta + Metales Agre'!$B$22:$C$35,2,FALSE),0%)</f>
        <v>0</v>
      </c>
      <c r="PC6" s="5">
        <f>IFERROR(VLOOKUP(PC$1,'Renta Fija Mixta + Metales Agre'!$B$22:$C$35,2,FALSE),0%)</f>
        <v>0</v>
      </c>
      <c r="PD6" s="5">
        <f>IFERROR(VLOOKUP(PD$1,'Renta Fija Mixta + Metales Agre'!$B$22:$C$35,2,FALSE),0%)</f>
        <v>0</v>
      </c>
      <c r="PE6" s="5">
        <f>IFERROR(VLOOKUP(PE$1,'Renta Fija Mixta + Metales Agre'!$B$22:$C$35,2,FALSE),0%)</f>
        <v>0</v>
      </c>
      <c r="PF6" s="5">
        <f>IFERROR(VLOOKUP(PF$1,'Renta Fija Mixta + Metales Agre'!$B$22:$C$35,2,FALSE),0%)</f>
        <v>0</v>
      </c>
      <c r="PG6" s="5">
        <f>IFERROR(VLOOKUP(PG$1,'Renta Fija Mixta + Metales Agre'!$B$22:$C$35,2,FALSE),0%)</f>
        <v>0</v>
      </c>
      <c r="PH6" s="5">
        <f>IFERROR(VLOOKUP(PH$1,'Renta Fija Mixta + Metales Agre'!$B$22:$C$35,2,FALSE),0%)</f>
        <v>0</v>
      </c>
      <c r="PI6" s="5">
        <f>IFERROR(VLOOKUP(PI$1,'Renta Fija Mixta + Metales Agre'!$B$22:$C$35,2,FALSE),0%)</f>
        <v>0</v>
      </c>
      <c r="PJ6" s="5">
        <f>IFERROR(VLOOKUP(PJ$1,'Renta Fija Mixta + Metales Agre'!$B$22:$C$35,2,FALSE),0%)</f>
        <v>0</v>
      </c>
      <c r="PK6" s="5">
        <f>IFERROR(VLOOKUP(PK$1,'Renta Fija Mixta + Metales Agre'!$B$22:$C$35,2,FALSE),0%)</f>
        <v>0</v>
      </c>
      <c r="PL6" s="5">
        <f>IFERROR(VLOOKUP(PL$1,'Renta Fija Mixta + Metales Agre'!$B$22:$C$35,2,FALSE),0%)</f>
        <v>0</v>
      </c>
      <c r="PM6" s="5">
        <f>IFERROR(VLOOKUP(PM$1,'Renta Fija Mixta + Metales Agre'!$B$22:$C$35,2,FALSE),0%)</f>
        <v>0</v>
      </c>
      <c r="PN6" s="5">
        <f>IFERROR(VLOOKUP(PN$1,'Renta Fija Mixta + Metales Agre'!$B$22:$C$35,2,FALSE),0%)</f>
        <v>0</v>
      </c>
      <c r="PO6" s="5">
        <f>IFERROR(VLOOKUP(PO$1,'Renta Fija Mixta + Metales Agre'!$B$22:$C$35,2,FALSE),0%)</f>
        <v>0</v>
      </c>
      <c r="PP6" s="5">
        <f>IFERROR(VLOOKUP(PP$1,'Renta Fija Mixta + Metales Agre'!$B$22:$C$35,2,FALSE),0%)</f>
        <v>0</v>
      </c>
      <c r="PQ6" s="5">
        <f>IFERROR(VLOOKUP(PQ$1,'Renta Fija Mixta + Metales Agre'!$B$22:$C$35,2,FALSE),0%)</f>
        <v>0</v>
      </c>
      <c r="PR6" s="5">
        <f>IFERROR(VLOOKUP(PR$1,'Renta Fija Mixta + Metales Agre'!$B$22:$C$35,2,FALSE),0%)</f>
        <v>0</v>
      </c>
      <c r="PS6" s="5">
        <f>IFERROR(VLOOKUP(PS$1,'Renta Fija Mixta + Metales Agre'!$B$22:$C$35,2,FALSE),0%)</f>
        <v>0</v>
      </c>
      <c r="PT6" s="5">
        <f>IFERROR(VLOOKUP(PT$1,'Renta Fija Mixta + Metales Agre'!$B$22:$C$35,2,FALSE),0%)</f>
        <v>0</v>
      </c>
      <c r="PU6" s="5">
        <f>IFERROR(VLOOKUP(PU$1,'Renta Fija Mixta + Metales Agre'!$B$22:$C$35,2,FALSE),0%)</f>
        <v>0</v>
      </c>
      <c r="PV6" s="5">
        <f>IFERROR(VLOOKUP(PV$1,'Renta Fija Mixta + Metales Agre'!$B$22:$C$35,2,FALSE),0%)</f>
        <v>0</v>
      </c>
      <c r="PW6" s="5">
        <f>IFERROR(VLOOKUP(PW$1,'Renta Fija Mixta + Metales Agre'!$B$22:$C$35,2,FALSE),0%)</f>
        <v>0</v>
      </c>
      <c r="PX6" s="5">
        <f>IFERROR(VLOOKUP(PX$1,'Renta Fija Mixta + Metales Agre'!$B$22:$C$35,2,FALSE),0%)</f>
        <v>0</v>
      </c>
      <c r="PY6" s="5">
        <f>IFERROR(VLOOKUP(PY$1,'Renta Fija Mixta + Metales Agre'!$B$22:$C$35,2,FALSE),0%)</f>
        <v>0</v>
      </c>
      <c r="PZ6" s="5">
        <f>IFERROR(VLOOKUP(PZ$1,'Renta Fija Mixta + Metales Agre'!$B$22:$C$35,2,FALSE),0%)</f>
        <v>0</v>
      </c>
      <c r="QA6" s="5">
        <f>IFERROR(VLOOKUP(QA$1,'Renta Fija Mixta + Metales Agre'!$B$22:$C$35,2,FALSE),0%)</f>
        <v>0</v>
      </c>
      <c r="QB6" s="5">
        <f>IFERROR(VLOOKUP(QB$1,'Renta Fija Mixta + Metales Agre'!$B$22:$C$35,2,FALSE),0%)</f>
        <v>0</v>
      </c>
      <c r="QC6" s="5">
        <f>IFERROR(VLOOKUP(QC$1,'Renta Fija Mixta + Metales Agre'!$B$22:$C$35,2,FALSE),0%)</f>
        <v>0</v>
      </c>
      <c r="QD6" s="5">
        <f>IFERROR(VLOOKUP(QD$1,'Renta Fija Mixta + Metales Agre'!$B$22:$C$35,2,FALSE),0%)</f>
        <v>0</v>
      </c>
      <c r="QE6" s="5">
        <f>IFERROR(VLOOKUP(QE$1,'Renta Fija Mixta + Metales Agre'!$B$22:$C$35,2,FALSE),0%)</f>
        <v>0</v>
      </c>
      <c r="QF6" s="5">
        <f>IFERROR(VLOOKUP(QF$1,'Renta Fija Mixta + Metales Agre'!$B$22:$C$35,2,FALSE),0%)</f>
        <v>0</v>
      </c>
      <c r="QG6" s="5">
        <f>IFERROR(VLOOKUP(QG$1,'Renta Fija Mixta + Metales Agre'!$B$22:$C$35,2,FALSE),0%)</f>
        <v>0</v>
      </c>
      <c r="QH6" s="5">
        <f>IFERROR(VLOOKUP(QH$1,'Renta Fija Mixta + Metales Agre'!$B$22:$C$35,2,FALSE),0%)</f>
        <v>0</v>
      </c>
      <c r="QI6" s="5">
        <f>IFERROR(VLOOKUP(QI$1,'Renta Fija Mixta + Metales Agre'!$B$22:$C$35,2,FALSE),0%)</f>
        <v>0</v>
      </c>
      <c r="QJ6" s="5">
        <f>IFERROR(VLOOKUP(QJ$1,'Renta Fija Mixta + Metales Agre'!$B$22:$C$35,2,FALSE),0%)</f>
        <v>0</v>
      </c>
      <c r="QK6" s="5">
        <f>IFERROR(VLOOKUP(QK$1,'Renta Fija Mixta + Metales Agre'!$B$22:$C$35,2,FALSE),0%)</f>
        <v>0</v>
      </c>
      <c r="QL6" s="5">
        <f>IFERROR(VLOOKUP(QL$1,'Renta Fija Mixta + Metales Agre'!$B$22:$C$35,2,FALSE),0%)</f>
        <v>0</v>
      </c>
      <c r="QM6" s="5">
        <f>IFERROR(VLOOKUP(QM$1,'Renta Fija Mixta + Metales Agre'!$B$22:$C$35,2,FALSE),0%)</f>
        <v>0</v>
      </c>
      <c r="QN6" s="5">
        <f>IFERROR(VLOOKUP(QN$1,'Renta Fija Mixta + Metales Agre'!$B$22:$C$35,2,FALSE),0%)</f>
        <v>0</v>
      </c>
      <c r="QO6" s="5">
        <f>IFERROR(VLOOKUP(QO$1,'Renta Fija Mixta + Metales Agre'!$B$22:$C$35,2,FALSE),0%)</f>
        <v>0</v>
      </c>
      <c r="QP6" s="5">
        <f>IFERROR(VLOOKUP(QP$1,'Renta Fija Mixta + Metales Agre'!$B$22:$C$35,2,FALSE),0%)</f>
        <v>0</v>
      </c>
      <c r="QQ6" s="5">
        <f>IFERROR(VLOOKUP(QQ$1,'Renta Fija Mixta + Metales Agre'!$B$22:$C$35,2,FALSE),0%)</f>
        <v>0</v>
      </c>
      <c r="QR6" s="5">
        <f>IFERROR(VLOOKUP(QR$1,'Renta Fija Mixta + Metales Agre'!$B$22:$C$35,2,FALSE),0%)</f>
        <v>0</v>
      </c>
      <c r="QS6" s="5">
        <f>IFERROR(VLOOKUP(QS$1,'Renta Fija Mixta + Metales Agre'!$B$22:$C$35,2,FALSE),0%)</f>
        <v>0</v>
      </c>
      <c r="QT6" s="5">
        <f>IFERROR(VLOOKUP(QT$1,'Renta Fija Mixta + Metales Agre'!$B$22:$C$35,2,FALSE),0%)</f>
        <v>0</v>
      </c>
      <c r="QU6" s="5">
        <f>IFERROR(VLOOKUP(QU$1,'Renta Fija Mixta + Metales Agre'!$B$22:$C$35,2,FALSE),0%)</f>
        <v>0</v>
      </c>
      <c r="QV6" s="5">
        <f>IFERROR(VLOOKUP(QV$1,'Renta Fija Mixta + Metales Agre'!$B$22:$C$35,2,FALSE),0%)</f>
        <v>0</v>
      </c>
      <c r="QW6" s="5">
        <f>IFERROR(VLOOKUP(QW$1,'Renta Fija Mixta + Metales Agre'!$B$22:$C$35,2,FALSE),0%)</f>
        <v>0</v>
      </c>
      <c r="QX6" s="5">
        <f>IFERROR(VLOOKUP(QX$1,'Renta Fija Mixta + Metales Agre'!$B$22:$C$35,2,FALSE),0%)</f>
        <v>0</v>
      </c>
      <c r="QY6" s="5">
        <f>IFERROR(VLOOKUP(QY$1,'Renta Fija Mixta + Metales Agre'!$B$22:$C$35,2,FALSE),0%)</f>
        <v>0</v>
      </c>
      <c r="QZ6" s="5">
        <f>IFERROR(VLOOKUP(QZ$1,'Renta Fija Mixta + Metales Agre'!$B$22:$C$35,2,FALSE),0%)</f>
        <v>0</v>
      </c>
      <c r="RA6" s="5">
        <f>IFERROR(VLOOKUP(RA$1,'Renta Fija Mixta + Metales Agre'!$B$22:$C$35,2,FALSE),0%)</f>
        <v>0</v>
      </c>
      <c r="RB6" s="5">
        <f>IFERROR(VLOOKUP(RB$1,'Renta Fija Mixta + Metales Agre'!$B$22:$C$35,2,FALSE),0%)</f>
        <v>0</v>
      </c>
      <c r="RC6" s="5">
        <f>IFERROR(VLOOKUP(RC$1,'Renta Fija Mixta + Metales Agre'!$B$22:$C$35,2,FALSE),0%)</f>
        <v>0</v>
      </c>
      <c r="RD6" s="5">
        <f>IFERROR(VLOOKUP(RD$1,'Renta Fija Mixta + Metales Agre'!$B$22:$C$35,2,FALSE),0%)</f>
        <v>0</v>
      </c>
      <c r="RE6" s="5">
        <f>IFERROR(VLOOKUP(RE$1,'Renta Fija Mixta + Metales Agre'!$B$22:$C$35,2,FALSE),0%)</f>
        <v>0</v>
      </c>
      <c r="RF6" s="5">
        <f>IFERROR(VLOOKUP(RF$1,'Renta Fija Mixta + Metales Agre'!$B$22:$C$35,2,FALSE),0%)</f>
        <v>0</v>
      </c>
      <c r="RG6" s="5">
        <f>IFERROR(VLOOKUP(RG$1,'Renta Fija Mixta + Metales Agre'!$B$22:$C$35,2,FALSE),0%)</f>
        <v>0</v>
      </c>
      <c r="RH6" s="5">
        <f>IFERROR(VLOOKUP(RH$1,'Renta Fija Mixta + Metales Agre'!$B$22:$C$35,2,FALSE),0%)</f>
        <v>0</v>
      </c>
      <c r="RI6" s="5">
        <f>IFERROR(VLOOKUP(RI$1,'Renta Fija Mixta + Metales Agre'!$B$22:$C$35,2,FALSE),0%)</f>
        <v>0</v>
      </c>
      <c r="RJ6" s="5">
        <f>IFERROR(VLOOKUP(RJ$1,'Renta Fija Mixta + Metales Agre'!$B$22:$C$35,2,FALSE),0%)</f>
        <v>0</v>
      </c>
      <c r="RK6" s="5">
        <f>IFERROR(VLOOKUP(RK$1,'Renta Fija Mixta + Metales Agre'!$B$22:$C$35,2,FALSE),0%)</f>
        <v>0</v>
      </c>
      <c r="RL6" s="5">
        <f>IFERROR(VLOOKUP(RL$1,'Renta Fija Mixta + Metales Agre'!$B$22:$C$35,2,FALSE),0%)</f>
        <v>0</v>
      </c>
      <c r="RM6" s="5">
        <f>IFERROR(VLOOKUP(RM$1,'Renta Fija Mixta + Metales Agre'!$B$22:$C$35,2,FALSE),0%)</f>
        <v>0</v>
      </c>
      <c r="RN6" s="5">
        <f>IFERROR(VLOOKUP(RN$1,'Renta Fija Mixta + Metales Agre'!$B$22:$C$35,2,FALSE),0%)</f>
        <v>0</v>
      </c>
      <c r="RO6" s="5">
        <f>IFERROR(VLOOKUP(RO$1,'Renta Fija Mixta + Metales Agre'!$B$22:$C$35,2,FALSE),0%)</f>
        <v>0</v>
      </c>
      <c r="RP6" s="5">
        <f>IFERROR(VLOOKUP(RP$1,'Renta Fija Mixta + Metales Agre'!$B$22:$C$35,2,FALSE),0%)</f>
        <v>0</v>
      </c>
      <c r="RQ6" s="5">
        <f>IFERROR(VLOOKUP(RQ$1,'Renta Fija Mixta + Metales Agre'!$B$22:$C$35,2,FALSE),0%)</f>
        <v>0</v>
      </c>
      <c r="RR6" s="5">
        <f>IFERROR(VLOOKUP(RR$1,'Renta Fija Mixta + Metales Agre'!$B$22:$C$35,2,FALSE),0%)</f>
        <v>0</v>
      </c>
      <c r="RS6" s="5">
        <f>IFERROR(VLOOKUP(RS$1,'Renta Fija Mixta + Metales Agre'!$B$22:$C$35,2,FALSE),0%)</f>
        <v>0</v>
      </c>
      <c r="RT6" s="5">
        <f>IFERROR(VLOOKUP(RT$1,'Renta Fija Mixta + Metales Agre'!$B$22:$C$35,2,FALSE),0%)</f>
        <v>0</v>
      </c>
      <c r="RU6" s="5">
        <f>IFERROR(VLOOKUP(RU$1,'Renta Fija Mixta + Metales Agre'!$B$22:$C$35,2,FALSE),0%)</f>
        <v>0</v>
      </c>
      <c r="RV6" s="5">
        <f>IFERROR(VLOOKUP(RV$1,'Renta Fija Mixta + Metales Agre'!$B$22:$C$35,2,FALSE),0%)</f>
        <v>0</v>
      </c>
      <c r="RW6" s="5">
        <f>IFERROR(VLOOKUP(RW$1,'Renta Fija Mixta + Metales Agre'!$B$22:$C$35,2,FALSE),0%)</f>
        <v>0</v>
      </c>
      <c r="RX6" s="5">
        <f>IFERROR(VLOOKUP(RX$1,'Renta Fija Mixta + Metales Agre'!$B$22:$C$35,2,FALSE),0%)</f>
        <v>0</v>
      </c>
      <c r="RY6" s="5">
        <f>IFERROR(VLOOKUP(RY$1,'Renta Fija Mixta + Metales Agre'!$B$22:$C$35,2,FALSE),0%)</f>
        <v>0</v>
      </c>
      <c r="RZ6" s="5">
        <f>IFERROR(VLOOKUP(RZ$1,'Renta Fija Mixta + Metales Agre'!$B$22:$C$35,2,FALSE),0%)</f>
        <v>0</v>
      </c>
      <c r="SA6" s="5">
        <f>IFERROR(VLOOKUP(SA$1,'Renta Fija Mixta + Metales Agre'!$B$22:$C$35,2,FALSE),0%)</f>
        <v>0</v>
      </c>
      <c r="SB6" s="5">
        <f>IFERROR(VLOOKUP(SB$1,'Renta Fija Mixta + Metales Agre'!$B$22:$C$35,2,FALSE),0%)</f>
        <v>0</v>
      </c>
      <c r="SC6" s="5">
        <f>IFERROR(VLOOKUP(SC$1,'Renta Fija Mixta + Metales Agre'!$B$22:$C$35,2,FALSE),0%)</f>
        <v>0</v>
      </c>
      <c r="SD6" s="5">
        <f>IFERROR(VLOOKUP(SD$1,'Renta Fija Mixta + Metales Agre'!$B$22:$C$35,2,FALSE),0%)</f>
        <v>0</v>
      </c>
      <c r="SE6" s="5">
        <f>IFERROR(VLOOKUP(SE$1,'Renta Fija Mixta + Metales Agre'!$B$22:$C$35,2,FALSE),0%)</f>
        <v>0</v>
      </c>
      <c r="SF6" s="5">
        <f>IFERROR(VLOOKUP(SF$1,'Renta Fija Mixta + Metales Agre'!$B$22:$C$35,2,FALSE),0%)</f>
        <v>0</v>
      </c>
      <c r="SG6" s="5">
        <f>IFERROR(VLOOKUP(SG$1,'Renta Fija Mixta + Metales Agre'!$B$22:$C$35,2,FALSE),0%)</f>
        <v>0</v>
      </c>
      <c r="SH6" s="5">
        <f>IFERROR(VLOOKUP(SH$1,'Renta Fija Mixta + Metales Agre'!$B$22:$C$35,2,FALSE),0%)</f>
        <v>0</v>
      </c>
      <c r="SI6" s="5">
        <f>IFERROR(VLOOKUP(SI$1,'Renta Fija Mixta + Metales Agre'!$B$22:$C$35,2,FALSE),0%)</f>
        <v>0</v>
      </c>
      <c r="SJ6" s="5">
        <f>IFERROR(VLOOKUP(SJ$1,'Renta Fija Mixta + Metales Agre'!$B$22:$C$35,2,FALSE),0%)</f>
        <v>0</v>
      </c>
      <c r="SK6" s="5">
        <f>IFERROR(VLOOKUP(SK$1,'Renta Fija Mixta + Metales Agre'!$B$22:$C$35,2,FALSE),0%)</f>
        <v>0</v>
      </c>
      <c r="SL6" s="5">
        <f>IFERROR(VLOOKUP(SL$1,'Renta Fija Mixta + Metales Agre'!$B$22:$C$35,2,FALSE),0%)</f>
        <v>0</v>
      </c>
      <c r="SM6" s="5">
        <f>IFERROR(VLOOKUP(SM$1,'Renta Fija Mixta + Metales Agre'!$B$22:$C$35,2,FALSE),0%)</f>
        <v>0</v>
      </c>
      <c r="SN6" s="5">
        <f>IFERROR(VLOOKUP(SN$1,'Renta Fija Mixta + Metales Agre'!$B$22:$C$35,2,FALSE),0%)</f>
        <v>0</v>
      </c>
      <c r="SO6" s="5">
        <f>IFERROR(VLOOKUP(SO$1,'Renta Fija Mixta + Metales Agre'!$B$22:$C$35,2,FALSE),0%)</f>
        <v>0</v>
      </c>
      <c r="SP6" s="5">
        <f>IFERROR(VLOOKUP(SP$1,'Renta Fija Mixta + Metales Agre'!$B$22:$C$35,2,FALSE),0%)</f>
        <v>0</v>
      </c>
      <c r="SQ6" s="5">
        <f>IFERROR(VLOOKUP(SQ$1,'Renta Fija Mixta + Metales Agre'!$B$22:$C$35,2,FALSE),0%)</f>
        <v>0</v>
      </c>
      <c r="SR6" s="5">
        <f>IFERROR(VLOOKUP(SR$1,'Renta Fija Mixta + Metales Agre'!$B$22:$C$35,2,FALSE),0%)</f>
        <v>0</v>
      </c>
      <c r="SS6" s="5">
        <f>IFERROR(VLOOKUP(SS$1,'Renta Fija Mixta + Metales Agre'!$B$22:$C$35,2,FALSE),0%)</f>
        <v>0</v>
      </c>
      <c r="ST6" s="5">
        <f>IFERROR(VLOOKUP(ST$1,'Renta Fija Mixta + Metales Agre'!$B$22:$C$35,2,FALSE),0%)</f>
        <v>0</v>
      </c>
      <c r="SU6" s="5">
        <f>IFERROR(VLOOKUP(SU$1,'Renta Fija Mixta + Metales Agre'!$B$22:$C$35,2,FALSE),0%)</f>
        <v>0</v>
      </c>
      <c r="SV6" s="5">
        <f>IFERROR(VLOOKUP(SV$1,'Renta Fija Mixta + Metales Agre'!$B$22:$C$35,2,FALSE),0%)</f>
        <v>0</v>
      </c>
      <c r="SW6" s="5">
        <f>IFERROR(VLOOKUP(SW$1,'Renta Fija Mixta + Metales Agre'!$B$22:$C$35,2,FALSE),0%)</f>
        <v>0</v>
      </c>
      <c r="SX6" s="5">
        <f>IFERROR(VLOOKUP(SX$1,'Renta Fija Mixta + Metales Agre'!$B$22:$C$35,2,FALSE),0%)</f>
        <v>0</v>
      </c>
      <c r="SY6" s="5">
        <f>IFERROR(VLOOKUP(SY$1,'Renta Fija Mixta + Metales Agre'!$B$22:$C$35,2,FALSE),0%)</f>
        <v>0.09056310819</v>
      </c>
      <c r="SZ6" s="5">
        <f>IFERROR(VLOOKUP(SZ$1,'Renta Fija Mixta + Metales Agre'!$B$22:$C$35,2,FALSE),0%)</f>
        <v>0</v>
      </c>
      <c r="TA6" s="5">
        <f>IFERROR(VLOOKUP(TA$1,'Renta Fija Mixta + Metales Agre'!$B$22:$C$35,2,FALSE),0%)</f>
        <v>0</v>
      </c>
      <c r="TB6" s="5">
        <f>IFERROR(VLOOKUP(TB$1,'Renta Fija Mixta + Metales Agre'!$B$22:$C$35,2,FALSE),0%)</f>
        <v>0</v>
      </c>
      <c r="TC6" s="5">
        <f>IFERROR(VLOOKUP(TC$1,'Renta Fija Mixta + Metales Agre'!$B$22:$C$35,2,FALSE),0%)</f>
        <v>0</v>
      </c>
      <c r="TD6" s="5">
        <f>IFERROR(VLOOKUP(TD$1,'Renta Fija Mixta + Metales Agre'!$B$22:$C$35,2,FALSE),0%)</f>
        <v>0</v>
      </c>
      <c r="TE6" s="5">
        <f>IFERROR(VLOOKUP(TE$1,'Renta Fija Mixta + Metales Agre'!$B$22:$C$35,2,FALSE),0%)</f>
        <v>0</v>
      </c>
      <c r="TF6" s="5">
        <f>IFERROR(VLOOKUP(TF$1,'Renta Fija Mixta + Metales Agre'!$B$22:$C$35,2,FALSE),0%)</f>
        <v>0</v>
      </c>
      <c r="TG6" s="5">
        <f>IFERROR(VLOOKUP(TG$1,'Renta Fija Mixta + Metales Agre'!$B$22:$C$35,2,FALSE),0%)</f>
        <v>0</v>
      </c>
      <c r="TH6" s="5">
        <f>IFERROR(VLOOKUP(TH$1,'Renta Fija Mixta + Metales Agre'!$B$22:$C$35,2,FALSE),0%)</f>
        <v>0</v>
      </c>
      <c r="TI6" s="5">
        <f>IFERROR(VLOOKUP(TI$1,'Renta Fija Mixta + Metales Agre'!$B$22:$C$35,2,FALSE),0%)</f>
        <v>0</v>
      </c>
      <c r="TJ6" s="5">
        <f>IFERROR(VLOOKUP(TJ$1,'Renta Fija Mixta + Metales Agre'!$B$22:$C$35,2,FALSE),0%)</f>
        <v>0</v>
      </c>
      <c r="TK6" s="5">
        <f>IFERROR(VLOOKUP(TK$1,'Renta Fija Mixta + Metales Agre'!$B$22:$C$35,2,FALSE),0%)</f>
        <v>0</v>
      </c>
      <c r="TL6" s="5">
        <f>IFERROR(VLOOKUP(TL$1,'Renta Fija Mixta + Metales Agre'!$B$22:$C$35,2,FALSE),0%)</f>
        <v>0</v>
      </c>
      <c r="TM6" s="5">
        <f>IFERROR(VLOOKUP(TM$1,'Renta Fija Mixta + Metales Agre'!$B$22:$C$35,2,FALSE),0%)</f>
        <v>0</v>
      </c>
      <c r="TN6" s="5">
        <f>IFERROR(VLOOKUP(TN$1,'Renta Fija Mixta + Metales Agre'!$B$22:$C$35,2,FALSE),0%)</f>
        <v>0</v>
      </c>
      <c r="TO6" s="5">
        <f>IFERROR(VLOOKUP(TO$1,'Renta Fija Mixta + Metales Agre'!$B$22:$C$35,2,FALSE),0%)</f>
        <v>0</v>
      </c>
      <c r="TP6" s="5">
        <f>IFERROR(VLOOKUP(TP$1,'Renta Fija Mixta + Metales Agre'!$B$22:$C$35,2,FALSE),0%)</f>
        <v>0</v>
      </c>
      <c r="TQ6" s="5">
        <f>IFERROR(VLOOKUP(TQ$1,'Renta Fija Mixta + Metales Agre'!$B$22:$C$35,2,FALSE),0%)</f>
        <v>0</v>
      </c>
      <c r="TR6" s="5">
        <f>IFERROR(VLOOKUP(TR$1,'Renta Fija Mixta + Metales Agre'!$B$22:$C$35,2,FALSE),0%)</f>
        <v>0</v>
      </c>
      <c r="TS6" s="5">
        <f>IFERROR(VLOOKUP(TS$1,'Renta Fija Mixta + Metales Agre'!$B$22:$C$35,2,FALSE),0%)</f>
        <v>0</v>
      </c>
      <c r="TT6" s="5">
        <f>IFERROR(VLOOKUP(TT$1,'Renta Fija Mixta + Metales Agre'!$B$22:$C$35,2,FALSE),0%)</f>
        <v>0</v>
      </c>
      <c r="TU6" s="5">
        <f>IFERROR(VLOOKUP(TU$1,'Renta Fija Mixta + Metales Agre'!$B$22:$C$35,2,FALSE),0%)</f>
        <v>0</v>
      </c>
      <c r="TV6" s="5">
        <f>IFERROR(VLOOKUP(TV$1,'Renta Fija Mixta + Metales Agre'!$B$22:$C$35,2,FALSE),0%)</f>
        <v>0</v>
      </c>
      <c r="TW6" s="5">
        <f>IFERROR(VLOOKUP(TW$1,'Renta Fija Mixta + Metales Agre'!$B$22:$C$35,2,FALSE),0%)</f>
        <v>0</v>
      </c>
      <c r="TX6" s="5">
        <f>IFERROR(VLOOKUP(TX$1,'Renta Fija Mixta + Metales Agre'!$B$22:$C$35,2,FALSE),0%)</f>
        <v>0</v>
      </c>
      <c r="TY6" s="5">
        <f>IFERROR(VLOOKUP(TY$1,'Renta Fija Mixta + Metales Agre'!$B$22:$C$35,2,FALSE),0%)</f>
        <v>0</v>
      </c>
      <c r="TZ6" s="5">
        <f>IFERROR(VLOOKUP(TZ$1,'Renta Fija Mixta + Metales Agre'!$B$22:$C$35,2,FALSE),0%)</f>
        <v>0</v>
      </c>
      <c r="UA6" s="5">
        <f>IFERROR(VLOOKUP(UA$1,'Renta Fija Mixta + Metales Agre'!$B$22:$C$35,2,FALSE),0%)</f>
        <v>0</v>
      </c>
      <c r="UB6" s="5">
        <f>IFERROR(VLOOKUP(UB$1,'Renta Fija Mixta + Metales Agre'!$B$22:$C$35,2,FALSE),0%)</f>
        <v>0</v>
      </c>
      <c r="UC6" s="5">
        <f>IFERROR(VLOOKUP(UC$1,'Renta Fija Mixta + Metales Agre'!$B$22:$C$35,2,FALSE),0%)</f>
        <v>0</v>
      </c>
      <c r="UD6" s="5">
        <f>IFERROR(VLOOKUP(UD$1,'Renta Fija Mixta + Metales Agre'!$B$22:$C$35,2,FALSE),0%)</f>
        <v>0</v>
      </c>
      <c r="UE6" s="5">
        <f>IFERROR(VLOOKUP(UE$1,'Renta Fija Mixta + Metales Agre'!$B$22:$C$35,2,FALSE),0%)</f>
        <v>0</v>
      </c>
      <c r="UF6" s="5">
        <f>IFERROR(VLOOKUP(UF$1,'Renta Fija Mixta + Metales Agre'!$B$22:$C$35,2,FALSE),0%)</f>
        <v>0</v>
      </c>
      <c r="UG6" s="5">
        <f>IFERROR(VLOOKUP(UG$1,'Renta Fija Mixta + Metales Agre'!$B$22:$C$35,2,FALSE),0%)</f>
        <v>0</v>
      </c>
      <c r="UH6" s="5">
        <f>IFERROR(VLOOKUP(UH$1,'Renta Fija Mixta + Metales Agre'!$B$22:$C$35,2,FALSE),0%)</f>
        <v>0</v>
      </c>
      <c r="UI6" s="5">
        <f>IFERROR(VLOOKUP(UI$1,'Renta Fija Mixta + Metales Agre'!$B$22:$C$35,2,FALSE),0%)</f>
        <v>0</v>
      </c>
      <c r="UJ6" s="5">
        <f>IFERROR(VLOOKUP(UJ$1,'Renta Fija Mixta + Metales Agre'!$B$22:$C$35,2,FALSE),0%)</f>
        <v>0</v>
      </c>
      <c r="UK6" s="5">
        <f>IFERROR(VLOOKUP(UK$1,'Renta Fija Mixta + Metales Agre'!$B$22:$C$35,2,FALSE),0%)</f>
        <v>0</v>
      </c>
      <c r="UL6" s="5">
        <f>IFERROR(VLOOKUP(UL$1,'Renta Fija Mixta + Metales Agre'!$B$22:$C$35,2,FALSE),0%)</f>
        <v>0</v>
      </c>
      <c r="UM6" s="5">
        <f>IFERROR(VLOOKUP(UM$1,'Renta Fija Mixta + Metales Agre'!$B$22:$C$35,2,FALSE),0%)</f>
        <v>0</v>
      </c>
      <c r="UN6" s="5">
        <f>IFERROR(VLOOKUP(UN$1,'Renta Fija Mixta + Metales Agre'!$B$22:$C$35,2,FALSE),0%)</f>
        <v>0</v>
      </c>
      <c r="UO6" s="5">
        <f>IFERROR(VLOOKUP(UO$1,'Renta Fija Mixta + Metales Agre'!$B$22:$C$35,2,FALSE),0%)</f>
        <v>0</v>
      </c>
      <c r="UP6" s="5">
        <f>IFERROR(VLOOKUP(UP$1,'Renta Fija Mixta + Metales Agre'!$B$22:$C$35,2,FALSE),0%)</f>
        <v>0</v>
      </c>
      <c r="UQ6" s="5">
        <f>IFERROR(VLOOKUP(UQ$1,'Renta Fija Mixta + Metales Agre'!$B$22:$C$35,2,FALSE),0%)</f>
        <v>0</v>
      </c>
      <c r="UR6" s="5">
        <f>IFERROR(VLOOKUP(UR$1,'Renta Fija Mixta + Metales Agre'!$B$22:$C$35,2,FALSE),0%)</f>
        <v>0</v>
      </c>
      <c r="US6" s="5">
        <f>IFERROR(VLOOKUP(US$1,'Renta Fija Mixta + Metales Agre'!$B$22:$C$35,2,FALSE),0%)</f>
        <v>0</v>
      </c>
      <c r="UT6" s="5">
        <f>IFERROR(VLOOKUP(UT$1,'Renta Fija Mixta + Metales Agre'!$B$22:$C$35,2,FALSE),0%)</f>
        <v>0</v>
      </c>
      <c r="UU6" s="5">
        <f>IFERROR(VLOOKUP(UU$1,'Renta Fija Mixta + Metales Agre'!$B$22:$C$35,2,FALSE),0%)</f>
        <v>0</v>
      </c>
      <c r="UV6" s="5">
        <f>IFERROR(VLOOKUP(UV$1,'Renta Fija Mixta + Metales Agre'!$B$22:$C$35,2,FALSE),0%)</f>
        <v>0</v>
      </c>
      <c r="UW6" s="5">
        <f>IFERROR(VLOOKUP(UW$1,'Renta Fija Mixta + Metales Agre'!$B$22:$C$35,2,FALSE),0%)</f>
        <v>0</v>
      </c>
      <c r="UX6" s="5">
        <f>IFERROR(VLOOKUP(UX$1,'Renta Fija Mixta + Metales Agre'!$B$22:$C$35,2,FALSE),0%)</f>
        <v>0</v>
      </c>
      <c r="UY6" s="5">
        <f>IFERROR(VLOOKUP(UY$1,'Renta Fija Mixta + Metales Agre'!$B$22:$C$35,2,FALSE),0%)</f>
        <v>0</v>
      </c>
      <c r="UZ6" s="5">
        <f>IFERROR(VLOOKUP(UZ$1,'Renta Fija Mixta + Metales Agre'!$B$22:$C$35,2,FALSE),0%)</f>
        <v>0</v>
      </c>
      <c r="VA6" s="5">
        <f>IFERROR(VLOOKUP(VA$1,'Renta Fija Mixta + Metales Agre'!$B$22:$C$35,2,FALSE),0%)</f>
        <v>0</v>
      </c>
      <c r="VB6" s="5">
        <f>IFERROR(VLOOKUP(VB$1,'Renta Fija Mixta + Metales Agre'!$B$22:$C$35,2,FALSE),0%)</f>
        <v>0</v>
      </c>
      <c r="VC6" s="5">
        <f>IFERROR(VLOOKUP(VC$1,'Renta Fija Mixta + Metales Agre'!$B$22:$C$35,2,FALSE),0%)</f>
        <v>0</v>
      </c>
      <c r="VD6" s="5">
        <f>IFERROR(VLOOKUP(VD$1,'Renta Fija Mixta + Metales Agre'!$B$22:$C$35,2,FALSE),0%)</f>
        <v>0</v>
      </c>
      <c r="VE6" s="5">
        <f>IFERROR(VLOOKUP(VE$1,'Renta Fija Mixta + Metales Agre'!$B$22:$C$35,2,FALSE),0%)</f>
        <v>0</v>
      </c>
      <c r="VF6" s="5">
        <f>IFERROR(VLOOKUP(VF$1,'Renta Fija Mixta + Metales Agre'!$B$22:$C$35,2,FALSE),0%)</f>
        <v>0</v>
      </c>
      <c r="VG6" s="5">
        <f>IFERROR(VLOOKUP(VG$1,'Renta Fija Mixta + Metales Agre'!$B$22:$C$35,2,FALSE),0%)</f>
        <v>0</v>
      </c>
      <c r="VH6" s="5">
        <f>IFERROR(VLOOKUP(VH$1,'Renta Fija Mixta + Metales Agre'!$B$22:$C$35,2,FALSE),0%)</f>
        <v>0</v>
      </c>
      <c r="VI6" s="5">
        <f>IFERROR(VLOOKUP(VI$1,'Renta Fija Mixta + Metales Agre'!$B$22:$C$35,2,FALSE),0%)</f>
        <v>0</v>
      </c>
      <c r="VJ6" s="5">
        <f>IFERROR(VLOOKUP(VJ$1,'Renta Fija Mixta + Metales Agre'!$B$22:$C$35,2,FALSE),0%)</f>
        <v>0</v>
      </c>
      <c r="VK6" s="5">
        <f>IFERROR(VLOOKUP(VK$1,'Renta Fija Mixta + Metales Agre'!$B$22:$C$35,2,FALSE),0%)</f>
        <v>0</v>
      </c>
      <c r="VL6" s="5">
        <f>IFERROR(VLOOKUP(VL$1,'Renta Fija Mixta + Metales Agre'!$B$22:$C$35,2,FALSE),0%)</f>
        <v>0</v>
      </c>
      <c r="VM6" s="5">
        <f>IFERROR(VLOOKUP(VM$1,'Renta Fija Mixta + Metales Agre'!$B$22:$C$35,2,FALSE),0%)</f>
        <v>0</v>
      </c>
      <c r="VN6" s="5">
        <f>IFERROR(VLOOKUP(VN$1,'Renta Fija Mixta + Metales Agre'!$B$22:$C$35,2,FALSE),0%)</f>
        <v>0</v>
      </c>
      <c r="VO6" s="5">
        <f>IFERROR(VLOOKUP(VO$1,'Renta Fija Mixta + Metales Agre'!$B$22:$C$35,2,FALSE),0%)</f>
        <v>0</v>
      </c>
      <c r="VP6" s="5">
        <f>IFERROR(VLOOKUP(VP$1,'Renta Fija Mixta + Metales Agre'!$B$22:$C$35,2,FALSE),0%)</f>
        <v>0</v>
      </c>
      <c r="VQ6" s="5">
        <f>IFERROR(VLOOKUP(VQ$1,'Renta Fija Mixta + Metales Agre'!$B$22:$C$35,2,FALSE),0%)</f>
        <v>0</v>
      </c>
      <c r="VR6" s="5">
        <f>IFERROR(VLOOKUP(VR$1,'Renta Fija Mixta + Metales Agre'!$B$22:$C$35,2,FALSE),0%)</f>
        <v>0</v>
      </c>
      <c r="VS6" s="5">
        <f>IFERROR(VLOOKUP(VS$1,'Renta Fija Mixta + Metales Agre'!$B$22:$C$35,2,FALSE),0%)</f>
        <v>0</v>
      </c>
      <c r="VT6" s="5">
        <f>IFERROR(VLOOKUP(VT$1,'Renta Fija Mixta + Metales Agre'!$B$22:$C$35,2,FALSE),0%)</f>
        <v>0</v>
      </c>
      <c r="VU6" s="5">
        <f>IFERROR(VLOOKUP(VU$1,'Renta Fija Mixta + Metales Agre'!$B$22:$C$35,2,FALSE),0%)</f>
        <v>0</v>
      </c>
      <c r="VV6" s="5">
        <f>IFERROR(VLOOKUP(VV$1,'Renta Fija Mixta + Metales Agre'!$B$22:$C$35,2,FALSE),0%)</f>
        <v>0</v>
      </c>
      <c r="VW6" s="5">
        <f>IFERROR(VLOOKUP(VW$1,'Renta Fija Mixta + Metales Agre'!$B$22:$C$35,2,FALSE),0%)</f>
        <v>0</v>
      </c>
      <c r="VX6" s="5">
        <f>IFERROR(VLOOKUP(VX$1,'Renta Fija Mixta + Metales Agre'!$B$22:$C$35,2,FALSE),0%)</f>
        <v>0</v>
      </c>
      <c r="VY6" s="5">
        <f>IFERROR(VLOOKUP(VY$1,'Renta Fija Mixta + Metales Agre'!$B$22:$C$35,2,FALSE),0%)</f>
        <v>0</v>
      </c>
      <c r="VZ6" s="5">
        <f>IFERROR(VLOOKUP(VZ$1,'Renta Fija Mixta + Metales Agre'!$B$22:$C$35,2,FALSE),0%)</f>
        <v>0</v>
      </c>
      <c r="WA6" s="5">
        <f>IFERROR(VLOOKUP(WA$1,'Renta Fija Mixta + Metales Agre'!$B$22:$C$35,2,FALSE),0%)</f>
        <v>0</v>
      </c>
      <c r="WB6" s="5">
        <f>IFERROR(VLOOKUP(WB$1,'Renta Fija Mixta + Metales Agre'!$B$22:$C$35,2,FALSE),0%)</f>
        <v>0</v>
      </c>
      <c r="WC6" s="5">
        <f>IFERROR(VLOOKUP(WC$1,'Renta Fija Mixta + Metales Agre'!$B$22:$C$35,2,FALSE),0%)</f>
        <v>0</v>
      </c>
      <c r="WD6" s="5">
        <f>IFERROR(VLOOKUP(WD$1,'Renta Fija Mixta + Metales Agre'!$B$22:$C$35,2,FALSE),0%)</f>
        <v>0</v>
      </c>
      <c r="WE6" s="5">
        <f>IFERROR(VLOOKUP(WE$1,'Renta Fija Mixta + Metales Agre'!$B$22:$C$35,2,FALSE),0%)</f>
        <v>0</v>
      </c>
      <c r="WF6" s="5">
        <f>IFERROR(VLOOKUP(WF$1,'Renta Fija Mixta + Metales Agre'!$B$22:$C$35,2,FALSE),0%)</f>
        <v>0</v>
      </c>
      <c r="WG6" s="5">
        <f>IFERROR(VLOOKUP(WG$1,'Renta Fija Mixta + Metales Agre'!$B$22:$C$35,2,FALSE),0%)</f>
        <v>0</v>
      </c>
      <c r="WH6" s="5">
        <f>IFERROR(VLOOKUP(WH$1,'Renta Fija Mixta + Metales Agre'!$B$22:$C$35,2,FALSE),0%)</f>
        <v>0</v>
      </c>
      <c r="WI6" s="5">
        <f>IFERROR(VLOOKUP(WI$1,'Renta Fija Mixta + Metales Agre'!$B$22:$C$35,2,FALSE),0%)</f>
        <v>0</v>
      </c>
      <c r="WJ6" s="5">
        <f>IFERROR(VLOOKUP(WJ$1,'Renta Fija Mixta + Metales Agre'!$B$22:$C$35,2,FALSE),0%)</f>
        <v>0</v>
      </c>
      <c r="WK6" s="5">
        <f>IFERROR(VLOOKUP(WK$1,'Renta Fija Mixta + Metales Agre'!$B$22:$C$35,2,FALSE),0%)</f>
        <v>0</v>
      </c>
      <c r="WL6" s="5">
        <f>IFERROR(VLOOKUP(WL$1,'Renta Fija Mixta + Metales Agre'!$B$22:$C$35,2,FALSE),0%)</f>
        <v>0</v>
      </c>
      <c r="WM6" s="5">
        <f>IFERROR(VLOOKUP(WM$1,'Renta Fija Mixta + Metales Agre'!$B$22:$C$35,2,FALSE),0%)</f>
        <v>0</v>
      </c>
      <c r="WN6" s="5">
        <f>IFERROR(VLOOKUP(WN$1,'Renta Fija Mixta + Metales Agre'!$B$22:$C$35,2,FALSE),0%)</f>
        <v>0</v>
      </c>
      <c r="WO6" s="5">
        <f>IFERROR(VLOOKUP(WO$1,'Renta Fija Mixta + Metales Agre'!$B$22:$C$35,2,FALSE),0%)</f>
        <v>0</v>
      </c>
      <c r="WP6" s="5">
        <f>IFERROR(VLOOKUP(WP$1,'Renta Fija Mixta + Metales Agre'!$B$22:$C$35,2,FALSE),0%)</f>
        <v>0</v>
      </c>
      <c r="WQ6" s="5">
        <f>IFERROR(VLOOKUP(WQ$1,'Renta Fija Mixta + Metales Agre'!$B$22:$C$35,2,FALSE),0%)</f>
        <v>0</v>
      </c>
      <c r="WR6" s="5">
        <f>IFERROR(VLOOKUP(WR$1,'Renta Fija Mixta + Metales Agre'!$B$22:$C$35,2,FALSE),0%)</f>
        <v>0</v>
      </c>
      <c r="WS6" s="5">
        <f>IFERROR(VLOOKUP(WS$1,'Renta Fija Mixta + Metales Agre'!$B$22:$C$35,2,FALSE),0%)</f>
        <v>0</v>
      </c>
      <c r="WT6" s="5">
        <f>IFERROR(VLOOKUP(WT$1,'Renta Fija Mixta + Metales Agre'!$B$22:$C$35,2,FALSE),0%)</f>
        <v>0</v>
      </c>
      <c r="WU6" s="5">
        <f>IFERROR(VLOOKUP(WU$1,'Renta Fija Mixta + Metales Agre'!$B$22:$C$35,2,FALSE),0%)</f>
        <v>0</v>
      </c>
      <c r="WV6" s="5">
        <f>IFERROR(VLOOKUP(WV$1,'Renta Fija Mixta + Metales Agre'!$B$22:$C$35,2,FALSE),0%)</f>
        <v>0</v>
      </c>
      <c r="WW6" s="5">
        <f>IFERROR(VLOOKUP(WW$1,'Renta Fija Mixta + Metales Agre'!$B$22:$C$35,2,FALSE),0%)</f>
        <v>0</v>
      </c>
      <c r="WX6" s="5">
        <f>IFERROR(VLOOKUP(WX$1,'Renta Fija Mixta + Metales Agre'!$B$22:$C$35,2,FALSE),0%)</f>
        <v>0</v>
      </c>
      <c r="WY6" s="5">
        <f>IFERROR(VLOOKUP(WY$1,'Renta Fija Mixta + Metales Agre'!$B$22:$C$35,2,FALSE),0%)</f>
        <v>0</v>
      </c>
      <c r="WZ6" s="5">
        <f>IFERROR(VLOOKUP(WZ$1,'Renta Fija Mixta + Metales Agre'!$B$22:$C$35,2,FALSE),0%)</f>
        <v>0</v>
      </c>
      <c r="XA6" s="5">
        <f>IFERROR(VLOOKUP(XA$1,'Renta Fija Mixta + Metales Agre'!$B$22:$C$35,2,FALSE),0%)</f>
        <v>0</v>
      </c>
      <c r="XB6" s="5">
        <f>IFERROR(VLOOKUP(XB$1,'Renta Fija Mixta + Metales Agre'!$B$22:$C$35,2,FALSE),0%)</f>
        <v>0</v>
      </c>
      <c r="XC6" s="5">
        <f>IFERROR(VLOOKUP(XC$1,'Renta Fija Mixta + Metales Agre'!$B$22:$C$35,2,FALSE),0%)</f>
        <v>0</v>
      </c>
      <c r="XD6" s="5">
        <f>IFERROR(VLOOKUP(XD$1,'Renta Fija Mixta + Metales Agre'!$B$22:$C$35,2,FALSE),0%)</f>
        <v>0</v>
      </c>
      <c r="XE6" s="5">
        <f>IFERROR(VLOOKUP(XE$1,'Renta Fija Mixta + Metales Agre'!$B$22:$C$35,2,FALSE),0%)</f>
        <v>0</v>
      </c>
      <c r="XF6" s="5">
        <f>IFERROR(VLOOKUP(XF$1,'Renta Fija Mixta + Metales Agre'!$B$22:$C$35,2,FALSE),0%)</f>
        <v>0</v>
      </c>
      <c r="XG6" s="5">
        <f>IFERROR(VLOOKUP(XG$1,'Renta Fija Mixta + Metales Agre'!$B$22:$C$35,2,FALSE),0%)</f>
        <v>0</v>
      </c>
      <c r="XH6" s="5">
        <f>IFERROR(VLOOKUP(XH$1,'Renta Fija Mixta + Metales Agre'!$B$22:$C$35,2,FALSE),0%)</f>
        <v>0</v>
      </c>
      <c r="XI6" s="5">
        <f>IFERROR(VLOOKUP(XI$1,'Renta Fija Mixta + Metales Agre'!$B$22:$C$35,2,FALSE),0%)</f>
        <v>0</v>
      </c>
      <c r="XJ6" s="5">
        <f>IFERROR(VLOOKUP(XJ$1,'Renta Fija Mixta + Metales Agre'!$B$22:$C$35,2,FALSE),0%)</f>
        <v>0</v>
      </c>
      <c r="XK6" s="5">
        <f>IFERROR(VLOOKUP(XK$1,'Renta Fija Mixta + Metales Agre'!$B$22:$C$35,2,FALSE),0%)</f>
        <v>0</v>
      </c>
      <c r="XL6" s="5">
        <f>IFERROR(VLOOKUP(XL$1,'Renta Fija Mixta + Metales Agre'!$B$22:$C$35,2,FALSE),0%)</f>
        <v>0</v>
      </c>
      <c r="XM6" s="5">
        <f>IFERROR(VLOOKUP(XM$1,'Renta Fija Mixta + Metales Agre'!$B$22:$C$35,2,FALSE),0%)</f>
        <v>0</v>
      </c>
      <c r="XN6" s="5">
        <f>IFERROR(VLOOKUP(XN$1,'Renta Fija Mixta + Metales Agre'!$B$22:$C$35,2,FALSE),0%)</f>
        <v>0</v>
      </c>
      <c r="XO6" s="5">
        <f>IFERROR(VLOOKUP(XO$1,'Renta Fija Mixta + Metales Agre'!$B$22:$C$35,2,FALSE),0%)</f>
        <v>0</v>
      </c>
      <c r="XP6" s="5">
        <f>IFERROR(VLOOKUP(XP$1,'Renta Fija Mixta + Metales Agre'!$B$22:$C$35,2,FALSE),0%)</f>
        <v>0</v>
      </c>
      <c r="XQ6" s="5">
        <f>IFERROR(VLOOKUP(XQ$1,'Renta Fija Mixta + Metales Agre'!$B$22:$C$35,2,FALSE),0%)</f>
        <v>0</v>
      </c>
      <c r="XR6" s="5">
        <f>IFERROR(VLOOKUP(XR$1,'Renta Fija Mixta + Metales Agre'!$B$22:$C$35,2,FALSE),0%)</f>
        <v>0</v>
      </c>
      <c r="XS6" s="5">
        <f>IFERROR(VLOOKUP(XS$1,'Renta Fija Mixta + Metales Agre'!$B$22:$C$35,2,FALSE),0%)</f>
        <v>0</v>
      </c>
      <c r="XT6" s="5">
        <f>IFERROR(VLOOKUP(XT$1,'Renta Fija Mixta + Metales Agre'!$B$22:$C$35,2,FALSE),0%)</f>
        <v>0</v>
      </c>
      <c r="XU6" s="5">
        <f>IFERROR(VLOOKUP(XU$1,'Renta Fija Mixta + Metales Agre'!$B$22:$C$35,2,FALSE),0%)</f>
        <v>0</v>
      </c>
      <c r="XV6" s="5">
        <f>IFERROR(VLOOKUP(XV$1,'Renta Fija Mixta + Metales Agre'!$B$22:$C$35,2,FALSE),0%)</f>
        <v>0</v>
      </c>
      <c r="XW6" s="5">
        <f>IFERROR(VLOOKUP(XW$1,'Renta Fija Mixta + Metales Agre'!$B$22:$C$35,2,FALSE),0%)</f>
        <v>0</v>
      </c>
      <c r="XX6" s="5">
        <f>IFERROR(VLOOKUP(XX$1,'Renta Fija Mixta + Metales Agre'!$B$22:$C$35,2,FALSE),0%)</f>
        <v>0</v>
      </c>
      <c r="XY6" s="5">
        <f>IFERROR(VLOOKUP(XY$1,'Renta Fija Mixta + Metales Agre'!$B$22:$C$35,2,FALSE),0%)</f>
        <v>0</v>
      </c>
      <c r="XZ6" s="5">
        <f>IFERROR(VLOOKUP(XZ$1,'Renta Fija Mixta + Metales Agre'!$B$22:$C$35,2,FALSE),0%)</f>
        <v>0</v>
      </c>
      <c r="YA6" s="5">
        <f>IFERROR(VLOOKUP(YA$1,'Renta Fija Mixta + Metales Agre'!$B$22:$C$35,2,FALSE),0%)</f>
        <v>0</v>
      </c>
      <c r="YB6" s="5">
        <f>IFERROR(VLOOKUP(YB$1,'Renta Fija Mixta + Metales Agre'!$B$22:$C$35,2,FALSE),0%)</f>
        <v>0</v>
      </c>
      <c r="YC6" s="5">
        <f>IFERROR(VLOOKUP(YC$1,'Renta Fija Mixta + Metales Agre'!$B$22:$C$35,2,FALSE),0%)</f>
        <v>0</v>
      </c>
      <c r="YD6" s="5">
        <f>IFERROR(VLOOKUP(YD$1,'Renta Fija Mixta + Metales Agre'!$B$22:$C$35,2,FALSE),0%)</f>
        <v>0</v>
      </c>
      <c r="YE6" s="5">
        <f>IFERROR(VLOOKUP(YE$1,'Renta Fija Mixta + Metales Agre'!$B$22:$C$35,2,FALSE),0%)</f>
        <v>0.0645</v>
      </c>
      <c r="YF6" s="5">
        <f>IFERROR(VLOOKUP(YF$1,'Renta Fija Mixta + Metales Agre'!$B$22:$C$35,2,FALSE),0%)</f>
        <v>0</v>
      </c>
      <c r="YG6" s="5">
        <f>IFERROR(VLOOKUP(YG$1,'Renta Fija Mixta + Metales Agre'!$B$22:$C$35,2,FALSE),0%)</f>
        <v>0</v>
      </c>
      <c r="YH6" s="5">
        <f>IFERROR(VLOOKUP(YH$1,'Renta Fija Mixta + Metales Agre'!$B$22:$C$35,2,FALSE),0%)</f>
        <v>0</v>
      </c>
      <c r="YI6" s="5">
        <f>IFERROR(VLOOKUP(YI$1,'Renta Fija Mixta + Metales Agre'!$B$22:$C$35,2,FALSE),0%)</f>
        <v>0</v>
      </c>
      <c r="YJ6" s="5">
        <f>IFERROR(VLOOKUP(YJ$1,'Renta Fija Mixta + Metales Agre'!$B$22:$C$35,2,FALSE),0%)</f>
        <v>0</v>
      </c>
      <c r="YK6" s="5">
        <f>IFERROR(VLOOKUP(YK$1,'Renta Fija Mixta + Metales Agre'!$B$22:$C$35,2,FALSE),0%)</f>
        <v>0</v>
      </c>
      <c r="YL6" s="5">
        <f>IFERROR(VLOOKUP(YL$1,'Renta Fija Mixta + Metales Agre'!$B$22:$C$35,2,FALSE),0%)</f>
        <v>0</v>
      </c>
      <c r="YM6" s="5">
        <f>IFERROR(VLOOKUP(YM$1,'Renta Fija Mixta + Metales Agre'!$B$22:$C$35,2,FALSE),0%)</f>
        <v>0</v>
      </c>
      <c r="YN6" s="5">
        <f>IFERROR(VLOOKUP(YN$1,'Renta Fija Mixta + Metales Agre'!$B$22:$C$35,2,FALSE),0%)</f>
        <v>0</v>
      </c>
      <c r="YO6" s="5">
        <f>IFERROR(VLOOKUP(YO$1,'Renta Fija Mixta + Metales Agre'!$B$22:$C$35,2,FALSE),0%)</f>
        <v>0</v>
      </c>
      <c r="YP6" s="5">
        <f>IFERROR(VLOOKUP(YP$1,'Renta Fija Mixta + Metales Agre'!$B$22:$C$35,2,FALSE),0%)</f>
        <v>0</v>
      </c>
      <c r="YQ6" s="5">
        <f>IFERROR(VLOOKUP(YQ$1,'Renta Fija Mixta + Metales Agre'!$B$22:$C$35,2,FALSE),0%)</f>
        <v>0</v>
      </c>
      <c r="YR6" s="5">
        <f>IFERROR(VLOOKUP(YR$1,'Renta Fija Mixta + Metales Agre'!$B$22:$C$35,2,FALSE),0%)</f>
        <v>0</v>
      </c>
      <c r="YS6" s="5">
        <f>IFERROR(VLOOKUP(YS$1,'Renta Fija Mixta + Metales Agre'!$B$22:$C$35,2,FALSE),0%)</f>
        <v>0</v>
      </c>
      <c r="YT6" s="5">
        <f>IFERROR(VLOOKUP(YT$1,'Renta Fija Mixta + Metales Agre'!$B$22:$C$35,2,FALSE),0%)</f>
        <v>0</v>
      </c>
      <c r="YU6" s="5">
        <f>IFERROR(VLOOKUP(YU$1,'Renta Fija Mixta + Metales Agre'!$B$22:$C$35,2,FALSE),0%)</f>
        <v>0</v>
      </c>
      <c r="YV6" s="5">
        <f>IFERROR(VLOOKUP(YV$1,'Renta Fija Mixta + Metales Agre'!$B$22:$C$35,2,FALSE),0%)</f>
        <v>0</v>
      </c>
      <c r="YW6" s="5">
        <f>IFERROR(VLOOKUP(YW$1,'Renta Fija Mixta + Metales Agre'!$B$22:$C$35,2,FALSE),0%)</f>
        <v>0</v>
      </c>
      <c r="YX6" s="5">
        <f>IFERROR(VLOOKUP(YX$1,'Renta Fija Mixta + Metales Agre'!$B$22:$C$35,2,FALSE),0%)</f>
        <v>0</v>
      </c>
      <c r="YY6" s="5">
        <f>IFERROR(VLOOKUP(YY$1,'Renta Fija Mixta + Metales Agre'!$B$22:$C$35,2,FALSE),0%)</f>
        <v>0</v>
      </c>
      <c r="YZ6" s="5">
        <f>IFERROR(VLOOKUP(YZ$1,'Renta Fija Mixta + Metales Agre'!$B$22:$C$35,2,FALSE),0%)</f>
        <v>0</v>
      </c>
      <c r="ZA6" s="5">
        <f>IFERROR(VLOOKUP(ZA$1,'Renta Fija Mixta + Metales Agre'!$B$22:$C$35,2,FALSE),0%)</f>
        <v>0</v>
      </c>
      <c r="ZB6" s="5">
        <f>IFERROR(VLOOKUP(ZB$1,'Renta Fija Mixta + Metales Agre'!$B$22:$C$35,2,FALSE),0%)</f>
        <v>0</v>
      </c>
      <c r="ZC6" s="5">
        <f>IFERROR(VLOOKUP(ZC$1,'Renta Fija Mixta + Metales Agre'!$B$22:$C$35,2,FALSE),0%)</f>
        <v>0</v>
      </c>
      <c r="ZD6" s="5">
        <f>IFERROR(VLOOKUP(ZD$1,'Renta Fija Mixta + Metales Agre'!$B$22:$C$35,2,FALSE),0%)</f>
        <v>0</v>
      </c>
      <c r="ZE6" s="5">
        <f>IFERROR(VLOOKUP(ZE$1,'Renta Fija Mixta + Metales Agre'!$B$22:$C$35,2,FALSE),0%)</f>
        <v>0</v>
      </c>
      <c r="ZF6" s="5">
        <f>IFERROR(VLOOKUP(ZF$1,'Renta Fija Mixta + Metales Agre'!$B$22:$C$35,2,FALSE),0%)</f>
        <v>0</v>
      </c>
      <c r="ZG6" s="5">
        <f>IFERROR(VLOOKUP(ZG$1,'Renta Fija Mixta + Metales Agre'!$B$22:$C$35,2,FALSE),0%)</f>
        <v>0</v>
      </c>
      <c r="ZH6" s="5">
        <f>IFERROR(VLOOKUP(ZH$1,'Renta Fija Mixta + Metales Agre'!$B$22:$C$35,2,FALSE),0%)</f>
        <v>0</v>
      </c>
      <c r="ZI6" s="5">
        <f>IFERROR(VLOOKUP(ZI$1,'Renta Fija Mixta + Metales Agre'!$B$22:$C$35,2,FALSE),0%)</f>
        <v>0</v>
      </c>
      <c r="ZJ6" s="5">
        <f>IFERROR(VLOOKUP(ZJ$1,'Renta Fija Mixta + Metales Agre'!$B$22:$C$35,2,FALSE),0%)</f>
        <v>0</v>
      </c>
      <c r="ZK6" s="5">
        <f>IFERROR(VLOOKUP(ZK$1,'Renta Fija Mixta + Metales Agre'!$B$22:$C$35,2,FALSE),0%)</f>
        <v>0</v>
      </c>
      <c r="ZL6" s="5">
        <f>IFERROR(VLOOKUP(ZL$1,'Renta Fija Mixta + Metales Agre'!$B$22:$C$35,2,FALSE),0%)</f>
        <v>0</v>
      </c>
      <c r="ZM6" s="5">
        <f>IFERROR(VLOOKUP(ZM$1,'Renta Fija Mixta + Metales Agre'!$B$22:$C$35,2,FALSE),0%)</f>
        <v>0</v>
      </c>
      <c r="ZN6" s="5">
        <f>IFERROR(VLOOKUP(ZN$1,'Renta Fija Mixta + Metales Agre'!$B$22:$C$35,2,FALSE),0%)</f>
        <v>0</v>
      </c>
      <c r="ZO6" s="5">
        <f>IFERROR(VLOOKUP(ZO$1,'Renta Fija Mixta + Metales Agre'!$B$22:$C$35,2,FALSE),0%)</f>
        <v>0</v>
      </c>
      <c r="ZP6" s="5">
        <f>IFERROR(VLOOKUP(ZP$1,'Renta Fija Mixta + Metales Agre'!$B$22:$C$35,2,FALSE),0%)</f>
        <v>0</v>
      </c>
      <c r="ZQ6" s="5">
        <f>IFERROR(VLOOKUP(ZQ$1,'Renta Fija Mixta + Metales Agre'!$B$22:$C$35,2,FALSE),0%)</f>
        <v>0</v>
      </c>
      <c r="ZR6" s="5">
        <f>IFERROR(VLOOKUP(ZR$1,'Renta Fija Mixta + Metales Agre'!$B$22:$C$35,2,FALSE),0%)</f>
        <v>0</v>
      </c>
      <c r="ZS6" s="5">
        <f>IFERROR(VLOOKUP(ZS$1,'Renta Fija Mixta + Metales Agre'!$B$22:$C$35,2,FALSE),0%)</f>
        <v>0</v>
      </c>
      <c r="ZT6" s="5">
        <f>IFERROR(VLOOKUP(ZT$1,'Renta Fija Mixta + Metales Agre'!$B$22:$C$35,2,FALSE),0%)</f>
        <v>0</v>
      </c>
      <c r="ZU6" s="5">
        <f>IFERROR(VLOOKUP(ZU$1,'Renta Fija Mixta + Metales Agre'!$B$22:$C$35,2,FALSE),0%)</f>
        <v>0</v>
      </c>
      <c r="ZV6" s="5">
        <f>IFERROR(VLOOKUP(ZV$1,'Renta Fija Mixta + Metales Agre'!$B$22:$C$35,2,FALSE),0%)</f>
        <v>0</v>
      </c>
      <c r="ZW6" s="5">
        <f>IFERROR(VLOOKUP(ZW$1,'Renta Fija Mixta + Metales Agre'!$B$22:$C$35,2,FALSE),0%)</f>
        <v>0</v>
      </c>
      <c r="ZX6" s="5">
        <f>IFERROR(VLOOKUP(ZX$1,'Renta Fija Mixta + Metales Agre'!$B$22:$C$35,2,FALSE),0%)</f>
        <v>0</v>
      </c>
      <c r="ZY6" s="5">
        <f>IFERROR(VLOOKUP(ZY$1,'Renta Fija Mixta + Metales Agre'!$B$22:$C$35,2,FALSE),0%)</f>
        <v>0</v>
      </c>
      <c r="ZZ6" s="5">
        <f>IFERROR(VLOOKUP(ZZ$1,'Renta Fija Mixta + Metales Agre'!$B$22:$C$35,2,FALSE),0%)</f>
        <v>0</v>
      </c>
      <c r="AAA6" s="5">
        <f>IFERROR(VLOOKUP(AAA$1,'Renta Fija Mixta + Metales Agre'!$B$22:$C$35,2,FALSE),0%)</f>
        <v>0</v>
      </c>
      <c r="AAB6" s="5">
        <f>IFERROR(VLOOKUP(AAB$1,'Renta Fija Mixta + Metales Agre'!$B$22:$C$35,2,FALSE),0%)</f>
        <v>0</v>
      </c>
      <c r="AAC6" s="5">
        <f>IFERROR(VLOOKUP(AAC$1,'Renta Fija Mixta + Metales Agre'!$B$22:$C$35,2,FALSE),0%)</f>
        <v>0</v>
      </c>
      <c r="AAD6" s="5">
        <f>IFERROR(VLOOKUP(AAD$1,'Renta Fija Mixta + Metales Agre'!$B$22:$C$35,2,FALSE),0%)</f>
        <v>0</v>
      </c>
      <c r="AAE6" s="5">
        <f>IFERROR(VLOOKUP(AAE$1,'Renta Fija Mixta + Metales Agre'!$B$22:$C$35,2,FALSE),0%)</f>
        <v>0</v>
      </c>
      <c r="AAF6" s="5">
        <f>IFERROR(VLOOKUP(AAF$1,'Renta Fija Mixta + Metales Agre'!$B$22:$C$35,2,FALSE),0%)</f>
        <v>0</v>
      </c>
      <c r="AAG6" s="5">
        <f>IFERROR(VLOOKUP(AAG$1,'Renta Fija Mixta + Metales Agre'!$B$22:$C$35,2,FALSE),0%)</f>
        <v>0</v>
      </c>
      <c r="AAH6" s="5">
        <f>IFERROR(VLOOKUP(AAH$1,'Renta Fija Mixta + Metales Agre'!$B$22:$C$35,2,FALSE),0%)</f>
        <v>0</v>
      </c>
      <c r="AAI6" s="5">
        <f>IFERROR(VLOOKUP(AAI$1,'Renta Fija Mixta + Metales Agre'!$B$22:$C$35,2,FALSE),0%)</f>
        <v>0</v>
      </c>
      <c r="AAJ6" s="5">
        <f>IFERROR(VLOOKUP(AAJ$1,'Renta Fija Mixta + Metales Agre'!$B$22:$C$35,2,FALSE),0%)</f>
        <v>0</v>
      </c>
      <c r="AAK6" s="5">
        <f>IFERROR(VLOOKUP(AAK$1,'Renta Fija Mixta + Metales Agre'!$B$22:$C$35,2,FALSE),0%)</f>
        <v>0</v>
      </c>
      <c r="AAL6" s="5">
        <f>IFERROR(VLOOKUP(AAL$1,'Renta Fija Mixta + Metales Agre'!$B$22:$C$35,2,FALSE),0%)</f>
        <v>0</v>
      </c>
      <c r="AAM6" s="5">
        <f>IFERROR(VLOOKUP(AAM$1,'Renta Fija Mixta + Metales Agre'!$B$22:$C$35,2,FALSE),0%)</f>
        <v>0</v>
      </c>
      <c r="AAN6" s="5">
        <f>IFERROR(VLOOKUP(AAN$1,'Renta Fija Mixta + Metales Agre'!$B$22:$C$35,2,FALSE),0%)</f>
        <v>0</v>
      </c>
      <c r="AAO6" s="5">
        <f>IFERROR(VLOOKUP(AAO$1,'Renta Fija Mixta + Metales Agre'!$B$22:$C$35,2,FALSE),0%)</f>
        <v>0</v>
      </c>
      <c r="AAP6" s="5">
        <f>IFERROR(VLOOKUP(AAP$1,'Renta Fija Mixta + Metales Agre'!$B$22:$C$35,2,FALSE),0%)</f>
        <v>0</v>
      </c>
      <c r="AAQ6" s="5">
        <f>IFERROR(VLOOKUP(AAQ$1,'Renta Fija Mixta + Metales Agre'!$B$22:$C$35,2,FALSE),0%)</f>
        <v>0</v>
      </c>
      <c r="AAR6" s="5">
        <f>IFERROR(VLOOKUP(AAR$1,'Renta Fija Mixta + Metales Agre'!$B$22:$C$35,2,FALSE),0%)</f>
        <v>0</v>
      </c>
      <c r="AAS6" s="5">
        <f>IFERROR(VLOOKUP(AAS$1,'Renta Fija Mixta + Metales Agre'!$B$22:$C$35,2,FALSE),0%)</f>
        <v>0</v>
      </c>
      <c r="AAT6" s="5">
        <f>IFERROR(VLOOKUP(AAT$1,'Renta Fija Mixta + Metales Agre'!$B$22:$C$35,2,FALSE),0%)</f>
        <v>0</v>
      </c>
      <c r="AAU6" s="5">
        <f>IFERROR(VLOOKUP(AAU$1,'Renta Fija Mixta + Metales Agre'!$B$22:$C$35,2,FALSE),0%)</f>
        <v>0</v>
      </c>
      <c r="AAV6" s="5">
        <f>IFERROR(VLOOKUP(AAV$1,'Renta Fija Mixta + Metales Agre'!$B$22:$C$35,2,FALSE),0%)</f>
        <v>0</v>
      </c>
      <c r="AAW6" s="5">
        <f>IFERROR(VLOOKUP(AAW$1,'Renta Fija Mixta + Metales Agre'!$B$22:$C$35,2,FALSE),0%)</f>
        <v>0</v>
      </c>
      <c r="AAX6" s="5">
        <f>IFERROR(VLOOKUP(AAX$1,'Renta Fija Mixta + Metales Agre'!$B$22:$C$35,2,FALSE),0%)</f>
        <v>0</v>
      </c>
      <c r="AAY6" s="5">
        <f>IFERROR(VLOOKUP(AAY$1,'Renta Fija Mixta + Metales Agre'!$B$22:$C$35,2,FALSE),0%)</f>
        <v>0</v>
      </c>
      <c r="AAZ6" s="5">
        <f>IFERROR(VLOOKUP(AAZ$1,'Renta Fija Mixta + Metales Agre'!$B$22:$C$35,2,FALSE),0%)</f>
        <v>0</v>
      </c>
      <c r="ABA6" s="5">
        <f>IFERROR(VLOOKUP(ABA$1,'Renta Fija Mixta + Metales Agre'!$B$22:$C$35,2,FALSE),0%)</f>
        <v>0</v>
      </c>
      <c r="ABB6" s="5">
        <f>IFERROR(VLOOKUP(ABB$1,'Renta Fija Mixta + Metales Agre'!$B$22:$C$35,2,FALSE),0%)</f>
        <v>0</v>
      </c>
      <c r="ABC6" s="5">
        <f>IFERROR(VLOOKUP(ABC$1,'Renta Fija Mixta + Metales Agre'!$B$22:$C$35,2,FALSE),0%)</f>
        <v>0</v>
      </c>
      <c r="ABD6" s="5">
        <f>IFERROR(VLOOKUP(ABD$1,'Renta Fija Mixta + Metales Agre'!$B$22:$C$35,2,FALSE),0%)</f>
        <v>0</v>
      </c>
      <c r="ABE6" s="5">
        <f>IFERROR(VLOOKUP(ABE$1,'Renta Fija Mixta + Metales Agre'!$B$22:$C$35,2,FALSE),0%)</f>
        <v>0</v>
      </c>
      <c r="ABF6" s="5">
        <f>IFERROR(VLOOKUP(ABF$1,'Renta Fija Mixta + Metales Agre'!$B$22:$C$35,2,FALSE),0%)</f>
        <v>0</v>
      </c>
      <c r="ABG6" s="5">
        <f>IFERROR(VLOOKUP(ABG$1,'Renta Fija Mixta + Metales Agre'!$B$22:$C$35,2,FALSE),0%)</f>
        <v>0</v>
      </c>
      <c r="ABH6" s="5">
        <f>IFERROR(VLOOKUP(ABH$1,'Renta Fija Mixta + Metales Agre'!$B$22:$C$35,2,FALSE),0%)</f>
        <v>0</v>
      </c>
      <c r="ABI6" s="5">
        <f>IFERROR(VLOOKUP(ABI$1,'Renta Fija Mixta + Metales Agre'!$B$22:$C$35,2,FALSE),0%)</f>
        <v>0</v>
      </c>
      <c r="ABJ6" s="5">
        <f>IFERROR(VLOOKUP(ABJ$1,'Renta Fija Mixta + Metales Agre'!$B$22:$C$35,2,FALSE),0%)</f>
        <v>0</v>
      </c>
      <c r="ABK6" s="5">
        <f>IFERROR(VLOOKUP(ABK$1,'Renta Fija Mixta + Metales Agre'!$B$22:$C$35,2,FALSE),0%)</f>
        <v>0</v>
      </c>
      <c r="ABL6" s="5">
        <f>IFERROR(VLOOKUP(ABL$1,'Renta Fija Mixta + Metales Agre'!$B$22:$C$35,2,FALSE),0%)</f>
        <v>0</v>
      </c>
      <c r="ABM6" s="5">
        <f>IFERROR(VLOOKUP(ABM$1,'Renta Fija Mixta + Metales Agre'!$B$22:$C$35,2,FALSE),0%)</f>
        <v>0</v>
      </c>
      <c r="ABN6" s="5">
        <f>IFERROR(VLOOKUP(ABN$1,'Renta Fija Mixta + Metales Agre'!$B$22:$C$35,2,FALSE),0%)</f>
        <v>0</v>
      </c>
      <c r="ABO6" s="5">
        <f>IFERROR(VLOOKUP(ABO$1,'Renta Fija Mixta + Metales Agre'!$B$22:$C$35,2,FALSE),0%)</f>
        <v>0</v>
      </c>
      <c r="ABP6" s="5">
        <f>IFERROR(VLOOKUP(ABP$1,'Renta Fija Mixta + Metales Agre'!$B$22:$C$35,2,FALSE),0%)</f>
        <v>0</v>
      </c>
      <c r="ABQ6" s="5">
        <f>IFERROR(VLOOKUP(ABQ$1,'Renta Fija Mixta + Metales Agre'!$B$22:$C$35,2,FALSE),0%)</f>
        <v>0</v>
      </c>
      <c r="ABR6" s="5">
        <f>IFERROR(VLOOKUP(ABR$1,'Renta Fija Mixta + Metales Agre'!$B$22:$C$35,2,FALSE),0%)</f>
        <v>0</v>
      </c>
      <c r="ABS6" s="5">
        <f>IFERROR(VLOOKUP(ABS$1,'Renta Fija Mixta + Metales Agre'!$B$22:$C$35,2,FALSE),0%)</f>
        <v>0</v>
      </c>
      <c r="ABT6" s="5">
        <f>IFERROR(VLOOKUP(ABT$1,'Renta Fija Mixta + Metales Agre'!$B$22:$C$35,2,FALSE),0%)</f>
        <v>0</v>
      </c>
      <c r="ABU6" s="5">
        <f>IFERROR(VLOOKUP(ABU$1,'Renta Fija Mixta + Metales Agre'!$B$22:$C$35,2,FALSE),0%)</f>
        <v>0</v>
      </c>
      <c r="ABV6" s="5">
        <f>IFERROR(VLOOKUP(ABV$1,'Renta Fija Mixta + Metales Agre'!$B$22:$C$35,2,FALSE),0%)</f>
        <v>0</v>
      </c>
      <c r="ABW6" s="5">
        <f>IFERROR(VLOOKUP(ABW$1,'Renta Fija Mixta + Metales Agre'!$B$22:$C$35,2,FALSE),0%)</f>
        <v>0</v>
      </c>
      <c r="ABX6" s="5">
        <f>IFERROR(VLOOKUP(ABX$1,'Renta Fija Mixta + Metales Agre'!$B$22:$C$35,2,FALSE),0%)</f>
        <v>0</v>
      </c>
      <c r="ABY6" s="5">
        <f>IFERROR(VLOOKUP(ABY$1,'Renta Fija Mixta + Metales Agre'!$B$22:$C$35,2,FALSE),0%)</f>
        <v>0</v>
      </c>
      <c r="ABZ6" s="5">
        <f>IFERROR(VLOOKUP(ABZ$1,'Renta Fija Mixta + Metales Agre'!$B$22:$C$35,2,FALSE),0%)</f>
        <v>0</v>
      </c>
      <c r="ACA6" s="5">
        <f>IFERROR(VLOOKUP(ACA$1,'Renta Fija Mixta + Metales Agre'!$B$22:$C$35,2,FALSE),0%)</f>
        <v>0</v>
      </c>
      <c r="ACB6" s="5">
        <f>IFERROR(VLOOKUP(ACB$1,'Renta Fija Mixta + Metales Agre'!$B$22:$C$35,2,FALSE),0%)</f>
        <v>0</v>
      </c>
      <c r="ACC6" s="5">
        <f>IFERROR(VLOOKUP(ACC$1,'Renta Fija Mixta + Metales Agre'!$B$22:$C$35,2,FALSE),0%)</f>
        <v>0</v>
      </c>
      <c r="ACD6" s="5">
        <f>IFERROR(VLOOKUP(ACD$1,'Renta Fija Mixta + Metales Agre'!$B$22:$C$35,2,FALSE),0%)</f>
        <v>0</v>
      </c>
      <c r="ACE6" s="5">
        <f>IFERROR(VLOOKUP(ACE$1,'Renta Fija Mixta + Metales Agre'!$B$22:$C$35,2,FALSE),0%)</f>
        <v>0</v>
      </c>
      <c r="ACF6" s="5">
        <f>IFERROR(VLOOKUP(ACF$1,'Renta Fija Mixta + Metales Agre'!$B$22:$C$35,2,FALSE),0%)</f>
        <v>0</v>
      </c>
      <c r="ACG6" s="5">
        <f>IFERROR(VLOOKUP(ACG$1,'Renta Fija Mixta + Metales Agre'!$B$22:$C$35,2,FALSE),0%)</f>
        <v>0</v>
      </c>
      <c r="ACH6" s="5">
        <f>IFERROR(VLOOKUP(ACH$1,'Renta Fija Mixta + Metales Agre'!$B$22:$C$35,2,FALSE),0%)</f>
        <v>0</v>
      </c>
      <c r="ACI6" s="5">
        <f>IFERROR(VLOOKUP(ACI$1,'Renta Fija Mixta + Metales Agre'!$B$22:$C$35,2,FALSE),0%)</f>
        <v>0</v>
      </c>
      <c r="ACJ6" s="5">
        <f>IFERROR(VLOOKUP(ACJ$1,'Renta Fija Mixta + Metales Agre'!$B$22:$C$35,2,FALSE),0%)</f>
        <v>0</v>
      </c>
      <c r="ACK6" s="5">
        <f>IFERROR(VLOOKUP(ACK$1,'Renta Fija Mixta + Metales Agre'!$B$22:$C$35,2,FALSE),0%)</f>
        <v>0</v>
      </c>
      <c r="ACL6" s="5">
        <f>IFERROR(VLOOKUP(ACL$1,'Renta Fija Mixta + Metales Agre'!$B$22:$C$35,2,FALSE),0%)</f>
        <v>0</v>
      </c>
      <c r="ACM6" s="5">
        <f>IFERROR(VLOOKUP(ACM$1,'Renta Fija Mixta + Metales Agre'!$B$22:$C$35,2,FALSE),0%)</f>
        <v>0</v>
      </c>
      <c r="ACN6" s="5">
        <f>IFERROR(VLOOKUP(ACN$1,'Renta Fija Mixta + Metales Agre'!$B$22:$C$35,2,FALSE),0%)</f>
        <v>0</v>
      </c>
      <c r="ACO6" s="5">
        <f>IFERROR(VLOOKUP(ACO$1,'Renta Fija Mixta + Metales Agre'!$B$22:$C$35,2,FALSE),0%)</f>
        <v>0</v>
      </c>
      <c r="ACP6" s="5">
        <f>IFERROR(VLOOKUP(ACP$1,'Renta Fija Mixta + Metales Agre'!$B$22:$C$35,2,FALSE),0%)</f>
        <v>0</v>
      </c>
      <c r="ACQ6" s="5">
        <f>IFERROR(VLOOKUP(ACQ$1,'Renta Fija Mixta + Metales Agre'!$B$22:$C$35,2,FALSE),0%)</f>
        <v>0</v>
      </c>
      <c r="ACR6" s="5">
        <f>IFERROR(VLOOKUP(ACR$1,'Renta Fija Mixta + Metales Agre'!$B$22:$C$35,2,FALSE),0%)</f>
        <v>0</v>
      </c>
      <c r="ACS6" s="5">
        <f>IFERROR(VLOOKUP(ACS$1,'Renta Fija Mixta + Metales Agre'!$B$22:$C$35,2,FALSE),0%)</f>
        <v>0</v>
      </c>
      <c r="ACT6" s="5">
        <f>IFERROR(VLOOKUP(ACT$1,'Renta Fija Mixta + Metales Agre'!$B$22:$C$35,2,FALSE),0%)</f>
        <v>0</v>
      </c>
      <c r="ACU6" s="5">
        <f>IFERROR(VLOOKUP(ACU$1,'Renta Fija Mixta + Metales Agre'!$B$22:$C$35,2,FALSE),0%)</f>
        <v>0</v>
      </c>
      <c r="ACV6" s="5">
        <f>IFERROR(VLOOKUP(ACV$1,'Renta Fija Mixta + Metales Agre'!$B$22:$C$35,2,FALSE),0%)</f>
        <v>0</v>
      </c>
      <c r="ACW6" s="5">
        <f>IFERROR(VLOOKUP(ACW$1,'Renta Fija Mixta + Metales Agre'!$B$22:$C$35,2,FALSE),0%)</f>
        <v>0</v>
      </c>
      <c r="ACX6" s="5">
        <f>IFERROR(VLOOKUP(ACX$1,'Renta Fija Mixta + Metales Agre'!$B$22:$C$35,2,FALSE),0%)</f>
        <v>0</v>
      </c>
      <c r="ACY6" s="5">
        <f>IFERROR(VLOOKUP(ACY$1,'Renta Fija Mixta + Metales Agre'!$B$22:$C$35,2,FALSE),0%)</f>
        <v>0</v>
      </c>
      <c r="ACZ6" s="5">
        <f>IFERROR(VLOOKUP(ACZ$1,'Renta Fija Mixta + Metales Agre'!$B$22:$C$35,2,FALSE),0%)</f>
        <v>0</v>
      </c>
      <c r="ADA6" s="5">
        <f>IFERROR(VLOOKUP(ADA$1,'Renta Fija Mixta + Metales Agre'!$B$22:$C$35,2,FALSE),0%)</f>
        <v>0</v>
      </c>
      <c r="ADB6" s="5">
        <f>IFERROR(VLOOKUP(ADB$1,'Renta Fija Mixta + Metales Agre'!$B$22:$C$35,2,FALSE),0%)</f>
        <v>0</v>
      </c>
      <c r="ADC6" s="5">
        <f>IFERROR(VLOOKUP(ADC$1,'Renta Fija Mixta + Metales Agre'!$B$22:$C$35,2,FALSE),0%)</f>
        <v>0</v>
      </c>
      <c r="ADD6" s="5">
        <f>IFERROR(VLOOKUP(ADD$1,'Renta Fija Mixta + Metales Agre'!$B$22:$C$35,2,FALSE),0%)</f>
        <v>0</v>
      </c>
      <c r="ADE6" s="5">
        <f>IFERROR(VLOOKUP(ADE$1,'Renta Fija Mixta + Metales Agre'!$B$22:$C$35,2,FALSE),0%)</f>
        <v>0</v>
      </c>
      <c r="ADF6" s="5">
        <f>IFERROR(VLOOKUP(ADF$1,'Renta Fija Mixta + Metales Agre'!$B$22:$C$35,2,FALSE),0%)</f>
        <v>0</v>
      </c>
      <c r="ADG6" s="5">
        <f>IFERROR(VLOOKUP(ADG$1,'Renta Fija Mixta + Metales Agre'!$B$22:$C$35,2,FALSE),0%)</f>
        <v>0</v>
      </c>
      <c r="ADH6" s="5">
        <f>IFERROR(VLOOKUP(ADH$1,'Renta Fija Mixta + Metales Agre'!$B$22:$C$35,2,FALSE),0%)</f>
        <v>0</v>
      </c>
      <c r="ADI6" s="5">
        <f>IFERROR(VLOOKUP(ADI$1,'Renta Fija Mixta + Metales Agre'!$B$22:$C$35,2,FALSE),0%)</f>
        <v>0</v>
      </c>
      <c r="ADJ6" s="5">
        <f>IFERROR(VLOOKUP(ADJ$1,'Renta Fija Mixta + Metales Agre'!$B$22:$C$35,2,FALSE),0%)</f>
        <v>0</v>
      </c>
      <c r="ADK6" s="5">
        <f>IFERROR(VLOOKUP(ADK$1,'Renta Fija Mixta + Metales Agre'!$B$22:$C$35,2,FALSE),0%)</f>
        <v>0</v>
      </c>
      <c r="ADL6" s="5">
        <f>IFERROR(VLOOKUP(ADL$1,'Renta Fija Mixta + Metales Agre'!$B$22:$C$35,2,FALSE),0%)</f>
        <v>0</v>
      </c>
      <c r="ADM6" s="5">
        <f>IFERROR(VLOOKUP(ADM$1,'Renta Fija Mixta + Metales Agre'!$B$22:$C$35,2,FALSE),0%)</f>
        <v>0</v>
      </c>
      <c r="ADN6" s="5">
        <f>IFERROR(VLOOKUP(ADN$1,'Renta Fija Mixta + Metales Agre'!$B$22:$C$35,2,FALSE),0%)</f>
        <v>0</v>
      </c>
      <c r="ADO6" s="5">
        <f>IFERROR(VLOOKUP(ADO$1,'Renta Fija Mixta + Metales Agre'!$B$22:$C$35,2,FALSE),0%)</f>
        <v>0</v>
      </c>
      <c r="ADP6" s="5">
        <f>IFERROR(VLOOKUP(ADP$1,'Renta Fija Mixta + Metales Agre'!$B$22:$C$35,2,FALSE),0%)</f>
        <v>0</v>
      </c>
      <c r="ADQ6" s="5">
        <f>IFERROR(VLOOKUP(ADQ$1,'Renta Fija Mixta + Metales Agre'!$B$22:$C$35,2,FALSE),0%)</f>
        <v>0</v>
      </c>
      <c r="ADR6" s="5">
        <f>IFERROR(VLOOKUP(ADR$1,'Renta Fija Mixta + Metales Agre'!$B$22:$C$35,2,FALSE),0%)</f>
        <v>0</v>
      </c>
      <c r="ADS6" s="5">
        <f>IFERROR(VLOOKUP(ADS$1,'Renta Fija Mixta + Metales Agre'!$B$22:$C$35,2,FALSE),0%)</f>
        <v>0</v>
      </c>
      <c r="ADT6" s="5">
        <f>IFERROR(VLOOKUP(ADT$1,'Renta Fija Mixta + Metales Agre'!$B$22:$C$35,2,FALSE),0%)</f>
        <v>0</v>
      </c>
      <c r="ADU6" s="5">
        <f>IFERROR(VLOOKUP(ADU$1,'Renta Fija Mixta + Metales Agre'!$B$22:$C$35,2,FALSE),0%)</f>
        <v>0</v>
      </c>
      <c r="ADV6" s="5">
        <f>IFERROR(VLOOKUP(ADV$1,'Renta Fija Mixta + Metales Agre'!$B$22:$C$35,2,FALSE),0%)</f>
        <v>0</v>
      </c>
      <c r="ADW6" s="5">
        <f>IFERROR(VLOOKUP(ADW$1,'Renta Fija Mixta + Metales Agre'!$B$22:$C$35,2,FALSE),0%)</f>
        <v>0</v>
      </c>
      <c r="ADX6" s="5">
        <f>IFERROR(VLOOKUP(ADX$1,'Renta Fija Mixta + Metales Agre'!$B$22:$C$35,2,FALSE),0%)</f>
        <v>0</v>
      </c>
      <c r="ADY6" s="5">
        <f>IFERROR(VLOOKUP(ADY$1,'Renta Fija Mixta + Metales Agre'!$B$22:$C$35,2,FALSE),0%)</f>
        <v>0</v>
      </c>
      <c r="ADZ6" s="5">
        <f>IFERROR(VLOOKUP(ADZ$1,'Renta Fija Mixta + Metales Agre'!$B$22:$C$35,2,FALSE),0%)</f>
        <v>0</v>
      </c>
      <c r="AEA6" s="5">
        <f>IFERROR(VLOOKUP(AEA$1,'Renta Fija Mixta + Metales Agre'!$B$22:$C$35,2,FALSE),0%)</f>
        <v>0</v>
      </c>
      <c r="AEB6" s="5">
        <f>IFERROR(VLOOKUP(AEB$1,'Renta Fija Mixta + Metales Agre'!$B$22:$C$35,2,FALSE),0%)</f>
        <v>0</v>
      </c>
      <c r="AEC6" s="5">
        <f>IFERROR(VLOOKUP(AEC$1,'Renta Fija Mixta + Metales Agre'!$B$22:$C$35,2,FALSE),0%)</f>
        <v>0</v>
      </c>
      <c r="AED6" s="5">
        <f>IFERROR(VLOOKUP(AED$1,'Renta Fija Mixta + Metales Agre'!$B$22:$C$35,2,FALSE),0%)</f>
        <v>0</v>
      </c>
      <c r="AEE6" s="5">
        <f>IFERROR(VLOOKUP(AEE$1,'Renta Fija Mixta + Metales Agre'!$B$22:$C$35,2,FALSE),0%)</f>
        <v>0</v>
      </c>
      <c r="AEF6" s="5">
        <f>IFERROR(VLOOKUP(AEF$1,'Renta Fija Mixta + Metales Agre'!$B$22:$C$35,2,FALSE),0%)</f>
        <v>0</v>
      </c>
      <c r="AEG6" s="5">
        <f>IFERROR(VLOOKUP(AEG$1,'Renta Fija Mixta + Metales Agre'!$B$22:$C$35,2,FALSE),0%)</f>
        <v>0</v>
      </c>
      <c r="AEH6" s="5">
        <f>IFERROR(VLOOKUP(AEH$1,'Renta Fija Mixta + Metales Agre'!$B$22:$C$35,2,FALSE),0%)</f>
        <v>0</v>
      </c>
      <c r="AEI6" s="5">
        <f>IFERROR(VLOOKUP(AEI$1,'Renta Fija Mixta + Metales Agre'!$B$22:$C$35,2,FALSE),0%)</f>
        <v>0</v>
      </c>
      <c r="AEJ6" s="5">
        <f>IFERROR(VLOOKUP(AEJ$1,'Renta Fija Mixta + Metales Agre'!$B$22:$C$35,2,FALSE),0%)</f>
        <v>0</v>
      </c>
      <c r="AEK6" s="5">
        <f>IFERROR(VLOOKUP(AEK$1,'Renta Fija Mixta + Metales Agre'!$B$22:$C$35,2,FALSE),0%)</f>
        <v>0</v>
      </c>
      <c r="AEL6" s="5">
        <f>IFERROR(VLOOKUP(AEL$1,'Renta Fija Mixta + Metales Agre'!$B$22:$C$35,2,FALSE),0%)</f>
        <v>0</v>
      </c>
      <c r="AEM6" s="5">
        <f>IFERROR(VLOOKUP(AEM$1,'Renta Fija Mixta + Metales Agre'!$B$22:$C$35,2,FALSE),0%)</f>
        <v>0</v>
      </c>
      <c r="AEN6" s="5">
        <f>IFERROR(VLOOKUP(AEN$1,'Renta Fija Mixta + Metales Agre'!$B$22:$C$35,2,FALSE),0%)</f>
        <v>0</v>
      </c>
      <c r="AEO6" s="5">
        <f>IFERROR(VLOOKUP(AEO$1,'Renta Fija Mixta + Metales Agre'!$B$22:$C$35,2,FALSE),0%)</f>
        <v>0</v>
      </c>
      <c r="AEP6" s="5">
        <f>IFERROR(VLOOKUP(AEP$1,'Renta Fija Mixta + Metales Agre'!$B$22:$C$35,2,FALSE),0%)</f>
        <v>0</v>
      </c>
      <c r="AEQ6" s="5">
        <f>IFERROR(VLOOKUP(AEQ$1,'Renta Fija Mixta + Metales Agre'!$B$22:$C$35,2,FALSE),0%)</f>
        <v>0</v>
      </c>
      <c r="AER6" s="5">
        <f>IFERROR(VLOOKUP(AER$1,'Renta Fija Mixta + Metales Agre'!$B$22:$C$35,2,FALSE),0%)</f>
        <v>0</v>
      </c>
      <c r="AES6" s="5">
        <f>IFERROR(VLOOKUP(AES$1,'Renta Fija Mixta + Metales Agre'!$B$22:$C$35,2,FALSE),0%)</f>
        <v>0</v>
      </c>
      <c r="AET6" s="5">
        <f>IFERROR(VLOOKUP(AET$1,'Renta Fija Mixta + Metales Agre'!$B$22:$C$35,2,FALSE),0%)</f>
        <v>0</v>
      </c>
      <c r="AEU6" s="5">
        <f>IFERROR(VLOOKUP(AEU$1,'Renta Fija Mixta + Metales Agre'!$B$22:$C$35,2,FALSE),0%)</f>
        <v>0</v>
      </c>
      <c r="AEV6" s="5">
        <f>IFERROR(VLOOKUP(AEV$1,'Renta Fija Mixta + Metales Agre'!$B$22:$C$35,2,FALSE),0%)</f>
        <v>0</v>
      </c>
      <c r="AEW6" s="5">
        <f>IFERROR(VLOOKUP(AEW$1,'Renta Fija Mixta + Metales Agre'!$B$22:$C$35,2,FALSE),0%)</f>
        <v>0</v>
      </c>
      <c r="AEX6" s="5">
        <f>IFERROR(VLOOKUP(AEX$1,'Renta Fija Mixta + Metales Agre'!$B$22:$C$35,2,FALSE),0%)</f>
        <v>0</v>
      </c>
      <c r="AEY6" s="5">
        <f>IFERROR(VLOOKUP(AEY$1,'Renta Fija Mixta + Metales Agre'!$B$22:$C$35,2,FALSE),0%)</f>
        <v>0</v>
      </c>
      <c r="AEZ6" s="5">
        <f>IFERROR(VLOOKUP(AEZ$1,'Renta Fija Mixta + Metales Agre'!$B$22:$C$35,2,FALSE),0%)</f>
        <v>0</v>
      </c>
      <c r="AFA6" s="5">
        <f>IFERROR(VLOOKUP(AFA$1,'Renta Fija Mixta + Metales Agre'!$B$22:$C$35,2,FALSE),0%)</f>
        <v>0</v>
      </c>
      <c r="AFB6" s="5">
        <f>IFERROR(VLOOKUP(AFB$1,'Renta Fija Mixta + Metales Agre'!$B$22:$C$35,2,FALSE),0%)</f>
        <v>0</v>
      </c>
      <c r="AFC6" s="5">
        <f>IFERROR(VLOOKUP(AFC$1,'Renta Fija Mixta + Metales Agre'!$B$22:$C$35,2,FALSE),0%)</f>
        <v>0</v>
      </c>
      <c r="AFD6" s="5">
        <f>IFERROR(VLOOKUP(AFD$1,'Renta Fija Mixta + Metales Agre'!$B$22:$C$35,2,FALSE),0%)</f>
        <v>0</v>
      </c>
      <c r="AFE6" s="5">
        <f>IFERROR(VLOOKUP(AFE$1,'Renta Fija Mixta + Metales Agre'!$B$22:$C$35,2,FALSE),0%)</f>
        <v>0</v>
      </c>
      <c r="AFF6" s="5">
        <f>IFERROR(VLOOKUP(AFF$1,'Renta Fija Mixta + Metales Agre'!$B$22:$C$35,2,FALSE),0%)</f>
        <v>0</v>
      </c>
      <c r="AFG6" s="5">
        <f>IFERROR(VLOOKUP(AFG$1,'Renta Fija Mixta + Metales Agre'!$B$22:$C$35,2,FALSE),0%)</f>
        <v>0</v>
      </c>
      <c r="AFH6" s="5">
        <f>IFERROR(VLOOKUP(AFH$1,'Renta Fija Mixta + Metales Agre'!$B$22:$C$35,2,FALSE),0%)</f>
        <v>0</v>
      </c>
      <c r="AFI6" s="5">
        <f>IFERROR(VLOOKUP(AFI$1,'Renta Fija Mixta + Metales Agre'!$B$22:$C$35,2,FALSE),0%)</f>
        <v>0</v>
      </c>
      <c r="AFJ6" s="5">
        <f>IFERROR(VLOOKUP(AFJ$1,'Renta Fija Mixta + Metales Agre'!$B$22:$C$35,2,FALSE),0%)</f>
        <v>0</v>
      </c>
      <c r="AFK6" s="5">
        <f>IFERROR(VLOOKUP(AFK$1,'Renta Fija Mixta + Metales Agre'!$B$22:$C$35,2,FALSE),0%)</f>
        <v>0</v>
      </c>
      <c r="AFL6" s="5">
        <f>IFERROR(VLOOKUP(AFL$1,'Renta Fija Mixta + Metales Agre'!$B$22:$C$35,2,FALSE),0%)</f>
        <v>0</v>
      </c>
      <c r="AFM6" s="5">
        <f>IFERROR(VLOOKUP(AFM$1,'Renta Fija Mixta + Metales Agre'!$B$22:$C$35,2,FALSE),0%)</f>
        <v>0</v>
      </c>
      <c r="AFN6" s="5">
        <f>IFERROR(VLOOKUP(AFN$1,'Renta Fija Mixta + Metales Agre'!$B$22:$C$35,2,FALSE),0%)</f>
        <v>0</v>
      </c>
      <c r="AFO6" s="5">
        <f>IFERROR(VLOOKUP(AFO$1,'Renta Fija Mixta + Metales Agre'!$B$22:$C$35,2,FALSE),0%)</f>
        <v>0</v>
      </c>
      <c r="AFP6" s="5">
        <f>IFERROR(VLOOKUP(AFP$1,'Renta Fija Mixta + Metales Agre'!$B$22:$C$35,2,FALSE),0%)</f>
        <v>0</v>
      </c>
      <c r="AFQ6" s="5">
        <f>IFERROR(VLOOKUP(AFQ$1,'Renta Fija Mixta + Metales Agre'!$B$22:$C$35,2,FALSE),0%)</f>
        <v>0</v>
      </c>
      <c r="AFR6" s="5">
        <f>IFERROR(VLOOKUP(AFR$1,'Renta Fija Mixta + Metales Agre'!$B$22:$C$35,2,FALSE),0%)</f>
        <v>0</v>
      </c>
      <c r="AFS6" s="5">
        <f>IFERROR(VLOOKUP(AFS$1,'Renta Fija Mixta + Metales Agre'!$B$22:$C$35,2,FALSE),0%)</f>
        <v>0</v>
      </c>
      <c r="AFT6" s="5">
        <f>IFERROR(VLOOKUP(AFT$1,'Renta Fija Mixta + Metales Agre'!$B$22:$C$35,2,FALSE),0%)</f>
        <v>0</v>
      </c>
      <c r="AFU6" s="5">
        <f>IFERROR(VLOOKUP(AFU$1,'Renta Fija Mixta + Metales Agre'!$B$22:$C$35,2,FALSE),0%)</f>
        <v>0</v>
      </c>
      <c r="AFV6" s="5">
        <f>IFERROR(VLOOKUP(AFV$1,'Renta Fija Mixta + Metales Agre'!$B$22:$C$35,2,FALSE),0%)</f>
        <v>0</v>
      </c>
      <c r="AFW6" s="5">
        <f>IFERROR(VLOOKUP(AFW$1,'Renta Fija Mixta + Metales Agre'!$B$22:$C$35,2,FALSE),0%)</f>
        <v>0</v>
      </c>
      <c r="AFX6" s="5">
        <f>IFERROR(VLOOKUP(AFX$1,'Renta Fija Mixta + Metales Agre'!$B$22:$C$35,2,FALSE),0%)</f>
        <v>0</v>
      </c>
      <c r="AFY6" s="5">
        <f>IFERROR(VLOOKUP(AFY$1,'Renta Fija Mixta + Metales Agre'!$B$22:$C$35,2,FALSE),0%)</f>
        <v>0</v>
      </c>
      <c r="AFZ6" s="5">
        <f>IFERROR(VLOOKUP(AFZ$1,'Renta Fija Mixta + Metales Agre'!$B$22:$C$35,2,FALSE),0%)</f>
        <v>0</v>
      </c>
      <c r="AGA6" s="5">
        <f>IFERROR(VLOOKUP(AGA$1,'Renta Fija Mixta + Metales Agre'!$B$22:$C$35,2,FALSE),0%)</f>
        <v>0</v>
      </c>
      <c r="AGB6" s="5">
        <f>IFERROR(VLOOKUP(AGB$1,'Renta Fija Mixta + Metales Agre'!$B$22:$C$35,2,FALSE),0%)</f>
        <v>0</v>
      </c>
      <c r="AGC6" s="5">
        <f>IFERROR(VLOOKUP(AGC$1,'Renta Fija Mixta + Metales Agre'!$B$22:$C$35,2,FALSE),0%)</f>
        <v>0</v>
      </c>
      <c r="AGD6" s="5">
        <f>IFERROR(VLOOKUP(AGD$1,'Renta Fija Mixta + Metales Agre'!$B$22:$C$35,2,FALSE),0%)</f>
        <v>0</v>
      </c>
      <c r="AGE6" s="5">
        <f>IFERROR(VLOOKUP(AGE$1,'Renta Fija Mixta + Metales Agre'!$B$22:$C$35,2,FALSE),0%)</f>
        <v>0</v>
      </c>
      <c r="AGF6" s="5">
        <f>IFERROR(VLOOKUP(AGF$1,'Renta Fija Mixta + Metales Agre'!$B$22:$C$35,2,FALSE),0%)</f>
        <v>0</v>
      </c>
      <c r="AGG6" s="5">
        <f>IFERROR(VLOOKUP(AGG$1,'Renta Fija Mixta + Metales Agre'!$B$22:$C$35,2,FALSE),0%)</f>
        <v>0</v>
      </c>
      <c r="AGH6" s="5">
        <f>IFERROR(VLOOKUP(AGH$1,'Renta Fija Mixta + Metales Agre'!$B$22:$C$35,2,FALSE),0%)</f>
        <v>0</v>
      </c>
      <c r="AGI6" s="5">
        <f>IFERROR(VLOOKUP(AGI$1,'Renta Fija Mixta + Metales Agre'!$B$22:$C$35,2,FALSE),0%)</f>
        <v>0</v>
      </c>
      <c r="AGJ6" s="5">
        <f>IFERROR(VLOOKUP(AGJ$1,'Renta Fija Mixta + Metales Agre'!$B$22:$C$35,2,FALSE),0%)</f>
        <v>0</v>
      </c>
      <c r="AGK6" s="5">
        <f>IFERROR(VLOOKUP(AGK$1,'Renta Fija Mixta + Metales Agre'!$B$22:$C$35,2,FALSE),0%)</f>
        <v>0</v>
      </c>
      <c r="AGL6" s="5">
        <f>IFERROR(VLOOKUP(AGL$1,'Renta Fija Mixta + Metales Agre'!$B$22:$C$35,2,FALSE),0%)</f>
        <v>0</v>
      </c>
      <c r="AGM6" s="5">
        <f>IFERROR(VLOOKUP(AGM$1,'Renta Fija Mixta + Metales Agre'!$B$22:$C$35,2,FALSE),0%)</f>
        <v>0</v>
      </c>
      <c r="AGN6" s="5">
        <f>IFERROR(VLOOKUP(AGN$1,'Renta Fija Mixta + Metales Agre'!$B$22:$C$35,2,FALSE),0%)</f>
        <v>0</v>
      </c>
      <c r="AGO6" s="5">
        <f>IFERROR(VLOOKUP(AGO$1,'Renta Fija Mixta + Metales Agre'!$B$22:$C$35,2,FALSE),0%)</f>
        <v>0</v>
      </c>
      <c r="AGP6" s="5">
        <f>IFERROR(VLOOKUP(AGP$1,'Renta Fija Mixta + Metales Agre'!$B$22:$C$35,2,FALSE),0%)</f>
        <v>0</v>
      </c>
      <c r="AGQ6" s="5">
        <f>IFERROR(VLOOKUP(AGQ$1,'Renta Fija Mixta + Metales Agre'!$B$22:$C$35,2,FALSE),0%)</f>
        <v>0</v>
      </c>
      <c r="AGR6" s="5">
        <f>IFERROR(VLOOKUP(AGR$1,'Renta Fija Mixta + Metales Agre'!$B$22:$C$35,2,FALSE),0%)</f>
        <v>0</v>
      </c>
      <c r="AGS6" s="5">
        <f>IFERROR(VLOOKUP(AGS$1,'Renta Fija Mixta + Metales Agre'!$B$22:$C$35,2,FALSE),0%)</f>
        <v>0</v>
      </c>
      <c r="AGT6" s="5">
        <f>IFERROR(VLOOKUP(AGT$1,'Renta Fija Mixta + Metales Agre'!$B$22:$C$35,2,FALSE),0%)</f>
        <v>0</v>
      </c>
      <c r="AGU6" s="5">
        <f>IFERROR(VLOOKUP(AGU$1,'Renta Fija Mixta + Metales Agre'!$B$22:$C$35,2,FALSE),0%)</f>
        <v>0</v>
      </c>
      <c r="AGV6" s="5">
        <f>IFERROR(VLOOKUP(AGV$1,'Renta Fija Mixta + Metales Agre'!$B$22:$C$35,2,FALSE),0%)</f>
        <v>0</v>
      </c>
      <c r="AGW6" s="5">
        <f>IFERROR(VLOOKUP(AGW$1,'Renta Fija Mixta + Metales Agre'!$B$22:$C$35,2,FALSE),0%)</f>
        <v>0</v>
      </c>
      <c r="AGX6" s="5">
        <f>IFERROR(VLOOKUP(AGX$1,'Renta Fija Mixta + Metales Agre'!$B$22:$C$35,2,FALSE),0%)</f>
        <v>0</v>
      </c>
      <c r="AGY6" s="5">
        <f>IFERROR(VLOOKUP(AGY$1,'Renta Fija Mixta + Metales Agre'!$B$22:$C$35,2,FALSE),0%)</f>
        <v>0</v>
      </c>
      <c r="AGZ6" s="5">
        <f>IFERROR(VLOOKUP(AGZ$1,'Renta Fija Mixta + Metales Agre'!$B$22:$C$35,2,FALSE),0%)</f>
        <v>0</v>
      </c>
      <c r="AHA6" s="5">
        <f>IFERROR(VLOOKUP(AHA$1,'Renta Fija Mixta + Metales Agre'!$B$22:$C$35,2,FALSE),0%)</f>
        <v>0</v>
      </c>
      <c r="AHB6" s="5">
        <f>IFERROR(VLOOKUP(AHB$1,'Renta Fija Mixta + Metales Agre'!$B$22:$C$35,2,FALSE),0%)</f>
        <v>0</v>
      </c>
      <c r="AHC6" s="5">
        <f>IFERROR(VLOOKUP(AHC$1,'Renta Fija Mixta + Metales Agre'!$B$22:$C$35,2,FALSE),0%)</f>
        <v>0</v>
      </c>
      <c r="AHD6" s="5">
        <f>IFERROR(VLOOKUP(AHD$1,'Renta Fija Mixta + Metales Agre'!$B$22:$C$35,2,FALSE),0%)</f>
        <v>0</v>
      </c>
      <c r="AHE6" s="5">
        <f>IFERROR(VLOOKUP(AHE$1,'Renta Fija Mixta + Metales Agre'!$B$22:$C$35,2,FALSE),0%)</f>
        <v>0</v>
      </c>
      <c r="AHF6" s="5">
        <f>IFERROR(VLOOKUP(AHF$1,'Renta Fija Mixta + Metales Agre'!$B$22:$C$35,2,FALSE),0%)</f>
        <v>0</v>
      </c>
      <c r="AHG6" s="5">
        <f>IFERROR(VLOOKUP(AHG$1,'Renta Fija Mixta + Metales Agre'!$B$22:$C$35,2,FALSE),0%)</f>
        <v>0</v>
      </c>
      <c r="AHH6" s="5">
        <f>IFERROR(VLOOKUP(AHH$1,'Renta Fija Mixta + Metales Agre'!$B$22:$C$35,2,FALSE),0%)</f>
        <v>0</v>
      </c>
      <c r="AHI6" s="5">
        <f>IFERROR(VLOOKUP(AHI$1,'Renta Fija Mixta + Metales Agre'!$B$22:$C$35,2,FALSE),0%)</f>
        <v>0</v>
      </c>
      <c r="AHJ6" s="5">
        <f>IFERROR(VLOOKUP(AHJ$1,'Renta Fija Mixta + Metales Agre'!$B$22:$C$35,2,FALSE),0%)</f>
        <v>0</v>
      </c>
      <c r="AHK6" s="5">
        <f>IFERROR(VLOOKUP(AHK$1,'Renta Fija Mixta + Metales Agre'!$B$22:$C$35,2,FALSE),0%)</f>
        <v>0</v>
      </c>
      <c r="AHL6" s="5">
        <f>IFERROR(VLOOKUP(AHL$1,'Renta Fija Mixta + Metales Agre'!$B$22:$C$35,2,FALSE),0%)</f>
        <v>0</v>
      </c>
      <c r="AHM6" s="5">
        <f>IFERROR(VLOOKUP(AHM$1,'Renta Fija Mixta + Metales Agre'!$B$22:$C$35,2,FALSE),0%)</f>
        <v>0</v>
      </c>
      <c r="AHN6" s="5">
        <f>IFERROR(VLOOKUP(AHN$1,'Renta Fija Mixta + Metales Agre'!$B$22:$C$35,2,FALSE),0%)</f>
        <v>0</v>
      </c>
      <c r="AHO6" s="5">
        <f>IFERROR(VLOOKUP(AHO$1,'Renta Fija Mixta + Metales Agre'!$B$22:$C$35,2,FALSE),0%)</f>
        <v>0</v>
      </c>
      <c r="AHP6" s="5">
        <f>IFERROR(VLOOKUP(AHP$1,'Renta Fija Mixta + Metales Agre'!$B$22:$C$35,2,FALSE),0%)</f>
        <v>0</v>
      </c>
      <c r="AHQ6" s="5">
        <f>IFERROR(VLOOKUP(AHQ$1,'Renta Fija Mixta + Metales Agre'!$B$22:$C$35,2,FALSE),0%)</f>
        <v>0</v>
      </c>
      <c r="AHR6" s="5">
        <f>IFERROR(VLOOKUP(AHR$1,'Renta Fija Mixta + Metales Agre'!$B$22:$C$35,2,FALSE),0%)</f>
        <v>0</v>
      </c>
      <c r="AHS6" s="5">
        <f>IFERROR(VLOOKUP(AHS$1,'Renta Fija Mixta + Metales Agre'!$B$22:$C$35,2,FALSE),0%)</f>
        <v>0</v>
      </c>
      <c r="AHT6" s="5">
        <f>IFERROR(VLOOKUP(AHT$1,'Renta Fija Mixta + Metales Agre'!$B$22:$C$35,2,FALSE),0%)</f>
        <v>0</v>
      </c>
      <c r="AHU6" s="5">
        <f>IFERROR(VLOOKUP(AHU$1,'Renta Fija Mixta + Metales Agre'!$B$22:$C$35,2,FALSE),0%)</f>
        <v>0</v>
      </c>
      <c r="AHV6" s="5">
        <f>IFERROR(VLOOKUP(AHV$1,'Renta Fija Mixta + Metales Agre'!$B$22:$C$35,2,FALSE),0%)</f>
        <v>0</v>
      </c>
      <c r="AHW6" s="5">
        <f>IFERROR(VLOOKUP(AHW$1,'Renta Fija Mixta + Metales Agre'!$B$22:$C$35,2,FALSE),0%)</f>
        <v>0</v>
      </c>
      <c r="AHX6" s="5">
        <f>IFERROR(VLOOKUP(AHX$1,'Renta Fija Mixta + Metales Agre'!$B$22:$C$35,2,FALSE),0%)</f>
        <v>0</v>
      </c>
      <c r="AHY6" s="5">
        <f>IFERROR(VLOOKUP(AHY$1,'Renta Fija Mixta + Metales Agre'!$B$22:$C$35,2,FALSE),0%)</f>
        <v>0</v>
      </c>
      <c r="AHZ6" s="5">
        <f>IFERROR(VLOOKUP(AHZ$1,'Renta Fija Mixta + Metales Agre'!$B$22:$C$35,2,FALSE),0%)</f>
        <v>0</v>
      </c>
      <c r="AIA6" s="5">
        <f>IFERROR(VLOOKUP(AIA$1,'Renta Fija Mixta + Metales Agre'!$B$22:$C$35,2,FALSE),0%)</f>
        <v>0</v>
      </c>
      <c r="AIB6" s="5">
        <f>IFERROR(VLOOKUP(AIB$1,'Renta Fija Mixta + Metales Agre'!$B$22:$C$35,2,FALSE),0%)</f>
        <v>0</v>
      </c>
      <c r="AIC6" s="5">
        <f>IFERROR(VLOOKUP(AIC$1,'Renta Fija Mixta + Metales Agre'!$B$22:$C$35,2,FALSE),0%)</f>
        <v>0</v>
      </c>
      <c r="AID6" s="5">
        <f>IFERROR(VLOOKUP(AID$1,'Renta Fija Mixta + Metales Agre'!$B$22:$C$35,2,FALSE),0%)</f>
        <v>0</v>
      </c>
      <c r="AIE6" s="5">
        <f>IFERROR(VLOOKUP(AIE$1,'Renta Fija Mixta + Metales Agre'!$B$22:$C$35,2,FALSE),0%)</f>
        <v>0</v>
      </c>
      <c r="AIF6" s="5">
        <f>IFERROR(VLOOKUP(AIF$1,'Renta Fija Mixta + Metales Agre'!$B$22:$C$35,2,FALSE),0%)</f>
        <v>0</v>
      </c>
      <c r="AIG6" s="5">
        <f>IFERROR(VLOOKUP(AIG$1,'Renta Fija Mixta + Metales Agre'!$B$22:$C$35,2,FALSE),0%)</f>
        <v>0</v>
      </c>
      <c r="AIH6" s="5">
        <f>IFERROR(VLOOKUP(AIH$1,'Renta Fija Mixta + Metales Agre'!$B$22:$C$35,2,FALSE),0%)</f>
        <v>0</v>
      </c>
      <c r="AII6" s="5">
        <f>IFERROR(VLOOKUP(AII$1,'Renta Fija Mixta + Metales Agre'!$B$22:$C$35,2,FALSE),0%)</f>
        <v>0</v>
      </c>
      <c r="AIJ6" s="5">
        <f>IFERROR(VLOOKUP(AIJ$1,'Renta Fija Mixta + Metales Agre'!$B$22:$C$35,2,FALSE),0%)</f>
        <v>0</v>
      </c>
      <c r="AIK6" s="5">
        <f>IFERROR(VLOOKUP(AIK$1,'Renta Fija Mixta + Metales Agre'!$B$22:$C$35,2,FALSE),0%)</f>
        <v>0</v>
      </c>
      <c r="AIL6" s="5">
        <f>IFERROR(VLOOKUP(AIL$1,'Renta Fija Mixta + Metales Agre'!$B$22:$C$35,2,FALSE),0%)</f>
        <v>0</v>
      </c>
      <c r="AIM6" s="5">
        <f>IFERROR(VLOOKUP(AIM$1,'Renta Fija Mixta + Metales Agre'!$B$22:$C$35,2,FALSE),0%)</f>
        <v>0</v>
      </c>
      <c r="AIN6" s="5">
        <f>IFERROR(VLOOKUP(AIN$1,'Renta Fija Mixta + Metales Agre'!$B$22:$C$35,2,FALSE),0%)</f>
        <v>0</v>
      </c>
      <c r="AIO6" s="5">
        <f>IFERROR(VLOOKUP(AIO$1,'Renta Fija Mixta + Metales Agre'!$B$22:$C$35,2,FALSE),0%)</f>
        <v>0</v>
      </c>
      <c r="AIP6" s="5">
        <f>IFERROR(VLOOKUP(AIP$1,'Renta Fija Mixta + Metales Agre'!$B$22:$C$35,2,FALSE),0%)</f>
        <v>0</v>
      </c>
      <c r="AIQ6" s="5">
        <f>IFERROR(VLOOKUP(AIQ$1,'Renta Fija Mixta + Metales Agre'!$B$22:$C$35,2,FALSE),0%)</f>
        <v>0</v>
      </c>
      <c r="AIR6" s="5">
        <f>IFERROR(VLOOKUP(AIR$1,'Renta Fija Mixta + Metales Agre'!$B$22:$C$35,2,FALSE),0%)</f>
        <v>0</v>
      </c>
      <c r="AIS6" s="5">
        <f>IFERROR(VLOOKUP(AIS$1,'Renta Fija Mixta + Metales Agre'!$B$22:$C$35,2,FALSE),0%)</f>
        <v>0</v>
      </c>
      <c r="AIT6" s="5">
        <f>IFERROR(VLOOKUP(AIT$1,'Renta Fija Mixta + Metales Agre'!$B$22:$C$35,2,FALSE),0%)</f>
        <v>0</v>
      </c>
      <c r="AIU6" s="5">
        <f>IFERROR(VLOOKUP(AIU$1,'Renta Fija Mixta + Metales Agre'!$B$22:$C$35,2,FALSE),0%)</f>
        <v>0</v>
      </c>
      <c r="AIV6" s="5">
        <f>IFERROR(VLOOKUP(AIV$1,'Renta Fija Mixta + Metales Agre'!$B$22:$C$35,2,FALSE),0%)</f>
        <v>0</v>
      </c>
      <c r="AIW6" s="5">
        <f>IFERROR(VLOOKUP(AIW$1,'Renta Fija Mixta + Metales Agre'!$B$22:$C$35,2,FALSE),0%)</f>
        <v>0</v>
      </c>
      <c r="AIX6" s="5">
        <f>IFERROR(VLOOKUP(AIX$1,'Renta Fija Mixta + Metales Agre'!$B$22:$C$35,2,FALSE),0%)</f>
        <v>0</v>
      </c>
      <c r="AIY6" s="5">
        <f>IFERROR(VLOOKUP(AIY$1,'Renta Fija Mixta + Metales Agre'!$B$22:$C$35,2,FALSE),0%)</f>
        <v>0</v>
      </c>
      <c r="AIZ6" s="5">
        <f>IFERROR(VLOOKUP(AIZ$1,'Renta Fija Mixta + Metales Agre'!$B$22:$C$35,2,FALSE),0%)</f>
        <v>0</v>
      </c>
      <c r="AJA6" s="5">
        <f>IFERROR(VLOOKUP(AJA$1,'Renta Fija Mixta + Metales Agre'!$B$22:$C$35,2,FALSE),0%)</f>
        <v>0</v>
      </c>
      <c r="AJB6" s="5">
        <f>IFERROR(VLOOKUP(AJB$1,'Renta Fija Mixta + Metales Agre'!$B$22:$C$35,2,FALSE),0%)</f>
        <v>0</v>
      </c>
      <c r="AJC6" s="5">
        <f>IFERROR(VLOOKUP(AJC$1,'Renta Fija Mixta + Metales Agre'!$B$22:$C$35,2,FALSE),0%)</f>
        <v>0</v>
      </c>
      <c r="AJD6" s="5">
        <f>IFERROR(VLOOKUP(AJD$1,'Renta Fija Mixta + Metales Agre'!$B$22:$C$35,2,FALSE),0%)</f>
        <v>0</v>
      </c>
      <c r="AJE6" s="5">
        <f>IFERROR(VLOOKUP(AJE$1,'Renta Fija Mixta + Metales Agre'!$B$22:$C$35,2,FALSE),0%)</f>
        <v>0</v>
      </c>
      <c r="AJF6" s="5">
        <f>IFERROR(VLOOKUP(AJF$1,'Renta Fija Mixta + Metales Agre'!$B$22:$C$35,2,FALSE),0%)</f>
        <v>0</v>
      </c>
      <c r="AJG6" s="5">
        <f>IFERROR(VLOOKUP(AJG$1,'Renta Fija Mixta + Metales Agre'!$B$22:$C$35,2,FALSE),0%)</f>
        <v>0</v>
      </c>
      <c r="AJH6" s="5">
        <f>IFERROR(VLOOKUP(AJH$1,'Renta Fija Mixta + Metales Agre'!$B$22:$C$35,2,FALSE),0%)</f>
        <v>0</v>
      </c>
      <c r="AJI6" s="5">
        <f>IFERROR(VLOOKUP(AJI$1,'Renta Fija Mixta + Metales Agre'!$B$22:$C$35,2,FALSE),0%)</f>
        <v>0</v>
      </c>
      <c r="AJJ6" s="5">
        <f>IFERROR(VLOOKUP(AJJ$1,'Renta Fija Mixta + Metales Agre'!$B$22:$C$35,2,FALSE),0%)</f>
        <v>0</v>
      </c>
      <c r="AJK6" s="5">
        <f>IFERROR(VLOOKUP(AJK$1,'Renta Fija Mixta + Metales Agre'!$B$22:$C$35,2,FALSE),0%)</f>
        <v>0</v>
      </c>
      <c r="AJL6" s="5">
        <f>IFERROR(VLOOKUP(AJL$1,'Renta Fija Mixta + Metales Agre'!$B$22:$C$35,2,FALSE),0%)</f>
        <v>0</v>
      </c>
      <c r="AJM6" s="5">
        <f>IFERROR(VLOOKUP(AJM$1,'Renta Fija Mixta + Metales Agre'!$B$22:$C$35,2,FALSE),0%)</f>
        <v>0</v>
      </c>
      <c r="AJN6" s="5">
        <f>IFERROR(VLOOKUP(AJN$1,'Renta Fija Mixta + Metales Agre'!$B$22:$C$35,2,FALSE),0%)</f>
        <v>0</v>
      </c>
      <c r="AJO6" s="5">
        <f>IFERROR(VLOOKUP(AJO$1,'Renta Fija Mixta + Metales Agre'!$B$22:$C$35,2,FALSE),0%)</f>
        <v>0</v>
      </c>
      <c r="AJP6" s="5">
        <f>IFERROR(VLOOKUP(AJP$1,'Renta Fija Mixta + Metales Agre'!$B$22:$C$35,2,FALSE),0%)</f>
        <v>0</v>
      </c>
      <c r="AJQ6" s="5">
        <f>IFERROR(VLOOKUP(AJQ$1,'Renta Fija Mixta + Metales Agre'!$B$22:$C$35,2,FALSE),0%)</f>
        <v>0</v>
      </c>
      <c r="AJR6" s="5">
        <f>IFERROR(VLOOKUP(AJR$1,'Renta Fija Mixta + Metales Agre'!$B$22:$C$35,2,FALSE),0%)</f>
        <v>0</v>
      </c>
      <c r="AJS6" s="5">
        <f>IFERROR(VLOOKUP(AJS$1,'Renta Fija Mixta + Metales Agre'!$B$22:$C$35,2,FALSE),0%)</f>
        <v>0</v>
      </c>
      <c r="AJT6" s="5">
        <f>IFERROR(VLOOKUP(AJT$1,'Renta Fija Mixta + Metales Agre'!$B$22:$C$35,2,FALSE),0%)</f>
        <v>0</v>
      </c>
      <c r="AJU6" s="5">
        <f>IFERROR(VLOOKUP(AJU$1,'Renta Fija Mixta + Metales Agre'!$B$22:$C$35,2,FALSE),0%)</f>
        <v>0</v>
      </c>
      <c r="AJV6" s="5">
        <f>IFERROR(VLOOKUP(AJV$1,'Renta Fija Mixta + Metales Agre'!$B$22:$C$35,2,FALSE),0%)</f>
        <v>0</v>
      </c>
      <c r="AJW6" s="5">
        <f>IFERROR(VLOOKUP(AJW$1,'Renta Fija Mixta + Metales Agre'!$B$22:$C$35,2,FALSE),0%)</f>
        <v>0</v>
      </c>
      <c r="AJX6" s="5">
        <f>IFERROR(VLOOKUP(AJX$1,'Renta Fija Mixta + Metales Agre'!$B$22:$C$35,2,FALSE),0%)</f>
        <v>0</v>
      </c>
      <c r="AJY6" s="5">
        <f>IFERROR(VLOOKUP(AJY$1,'Renta Fija Mixta + Metales Agre'!$B$22:$C$35,2,FALSE),0%)</f>
        <v>0</v>
      </c>
      <c r="AJZ6" s="5">
        <f>IFERROR(VLOOKUP(AJZ$1,'Renta Fija Mixta + Metales Agre'!$B$22:$C$35,2,FALSE),0%)</f>
        <v>0</v>
      </c>
      <c r="AKA6" s="5">
        <f>IFERROR(VLOOKUP(AKA$1,'Renta Fija Mixta + Metales Agre'!$B$22:$C$35,2,FALSE),0%)</f>
        <v>0</v>
      </c>
      <c r="AKB6" s="5">
        <f>IFERROR(VLOOKUP(AKB$1,'Renta Fija Mixta + Metales Agre'!$B$22:$C$35,2,FALSE),0%)</f>
        <v>0</v>
      </c>
      <c r="AKC6" s="5">
        <f>IFERROR(VLOOKUP(AKC$1,'Renta Fija Mixta + Metales Agre'!$B$22:$C$35,2,FALSE),0%)</f>
        <v>0</v>
      </c>
      <c r="AKD6" s="5">
        <f>IFERROR(VLOOKUP(AKD$1,'Renta Fija Mixta + Metales Agre'!$B$22:$C$35,2,FALSE),0%)</f>
        <v>0</v>
      </c>
      <c r="AKE6" s="5">
        <f>IFERROR(VLOOKUP(AKE$1,'Renta Fija Mixta + Metales Agre'!$B$22:$C$35,2,FALSE),0%)</f>
        <v>0</v>
      </c>
      <c r="AKF6" s="5">
        <f>IFERROR(VLOOKUP(AKF$1,'Renta Fija Mixta + Metales Agre'!$B$22:$C$35,2,FALSE),0%)</f>
        <v>0</v>
      </c>
      <c r="AKG6" s="5">
        <f>IFERROR(VLOOKUP(AKG$1,'Renta Fija Mixta + Metales Agre'!$B$22:$C$35,2,FALSE),0%)</f>
        <v>0</v>
      </c>
      <c r="AKH6" s="5">
        <f>IFERROR(VLOOKUP(AKH$1,'Renta Fija Mixta + Metales Agre'!$B$22:$C$35,2,FALSE),0%)</f>
        <v>0</v>
      </c>
      <c r="AKI6" s="5">
        <f>IFERROR(VLOOKUP(AKI$1,'Renta Fija Mixta + Metales Agre'!$B$22:$C$35,2,FALSE),0%)</f>
        <v>0</v>
      </c>
      <c r="AKJ6" s="5">
        <f>IFERROR(VLOOKUP(AKJ$1,'Renta Fija Mixta + Metales Agre'!$B$22:$C$35,2,FALSE),0%)</f>
        <v>0</v>
      </c>
      <c r="AKK6" s="5">
        <f>IFERROR(VLOOKUP(AKK$1,'Renta Fija Mixta + Metales Agre'!$B$22:$C$35,2,FALSE),0%)</f>
        <v>0</v>
      </c>
      <c r="AKL6" s="5">
        <f>IFERROR(VLOOKUP(AKL$1,'Renta Fija Mixta + Metales Agre'!$B$22:$C$35,2,FALSE),0%)</f>
        <v>0</v>
      </c>
      <c r="AKM6" s="5">
        <f>IFERROR(VLOOKUP(AKM$1,'Renta Fija Mixta + Metales Agre'!$B$22:$C$35,2,FALSE),0%)</f>
        <v>0</v>
      </c>
      <c r="AKN6" s="5">
        <f>IFERROR(VLOOKUP(AKN$1,'Renta Fija Mixta + Metales Agre'!$B$22:$C$35,2,FALSE),0%)</f>
        <v>0</v>
      </c>
      <c r="AKO6" s="5">
        <f>IFERROR(VLOOKUP(AKO$1,'Renta Fija Mixta + Metales Agre'!$B$22:$C$35,2,FALSE),0%)</f>
        <v>0</v>
      </c>
      <c r="AKP6" s="5">
        <f>IFERROR(VLOOKUP(AKP$1,'Renta Fija Mixta + Metales Agre'!$B$22:$C$35,2,FALSE),0%)</f>
        <v>0</v>
      </c>
      <c r="AKQ6" s="5">
        <f>IFERROR(VLOOKUP(AKQ$1,'Renta Fija Mixta + Metales Agre'!$B$22:$C$35,2,FALSE),0%)</f>
        <v>0</v>
      </c>
      <c r="AKR6" s="5">
        <f>IFERROR(VLOOKUP(AKR$1,'Renta Fija Mixta + Metales Agre'!$B$22:$C$35,2,FALSE),0%)</f>
        <v>0</v>
      </c>
      <c r="AKS6" s="5">
        <f>IFERROR(VLOOKUP(AKS$1,'Renta Fija Mixta + Metales Agre'!$B$22:$C$35,2,FALSE),0%)</f>
        <v>0</v>
      </c>
      <c r="AKT6" s="5">
        <f>IFERROR(VLOOKUP(AKT$1,'Renta Fija Mixta + Metales Agre'!$B$22:$C$35,2,FALSE),0%)</f>
        <v>0</v>
      </c>
      <c r="AKU6" s="5">
        <f>IFERROR(VLOOKUP(AKU$1,'Renta Fija Mixta + Metales Agre'!$B$22:$C$35,2,FALSE),0%)</f>
        <v>0</v>
      </c>
      <c r="AKV6" s="5">
        <f>IFERROR(VLOOKUP(AKV$1,'Renta Fija Mixta + Metales Agre'!$B$22:$C$35,2,FALSE),0%)</f>
        <v>0</v>
      </c>
      <c r="AKW6" s="5">
        <f>IFERROR(VLOOKUP(AKW$1,'Renta Fija Mixta + Metales Agre'!$B$22:$C$35,2,FALSE),0%)</f>
        <v>0</v>
      </c>
      <c r="AKX6" s="5">
        <f>IFERROR(VLOOKUP(AKX$1,'Renta Fija Mixta + Metales Agre'!$B$22:$C$35,2,FALSE),0%)</f>
        <v>0</v>
      </c>
      <c r="AKY6" s="5">
        <f>IFERROR(VLOOKUP(AKY$1,'Renta Fija Mixta + Metales Agre'!$B$22:$C$35,2,FALSE),0%)</f>
        <v>0</v>
      </c>
      <c r="AKZ6" s="5">
        <f>IFERROR(VLOOKUP(AKZ$1,'Renta Fija Mixta + Metales Agre'!$B$22:$C$35,2,FALSE),0%)</f>
        <v>0</v>
      </c>
      <c r="ALA6" s="5">
        <f>IFERROR(VLOOKUP(ALA$1,'Renta Fija Mixta + Metales Agre'!$B$22:$C$35,2,FALSE),0%)</f>
        <v>0</v>
      </c>
      <c r="ALB6" s="5">
        <f>IFERROR(VLOOKUP(ALB$1,'Renta Fija Mixta + Metales Agre'!$B$22:$C$35,2,FALSE),0%)</f>
        <v>0</v>
      </c>
      <c r="ALC6" s="5">
        <f>IFERROR(VLOOKUP(ALC$1,'Renta Fija Mixta + Metales Agre'!$B$22:$C$35,2,FALSE),0%)</f>
        <v>0</v>
      </c>
      <c r="ALD6" s="5">
        <f>IFERROR(VLOOKUP(ALD$1,'Renta Fija Mixta + Metales Agre'!$B$22:$C$35,2,FALSE),0%)</f>
        <v>0</v>
      </c>
      <c r="ALE6" s="5">
        <f>IFERROR(VLOOKUP(ALE$1,'Renta Fija Mixta + Metales Agre'!$B$22:$C$35,2,FALSE),0%)</f>
        <v>0</v>
      </c>
      <c r="ALF6" s="5">
        <f>IFERROR(VLOOKUP(ALF$1,'Renta Fija Mixta + Metales Agre'!$B$22:$C$35,2,FALSE),0%)</f>
        <v>0</v>
      </c>
      <c r="ALG6" s="5">
        <f>IFERROR(VLOOKUP(ALG$1,'Renta Fija Mixta + Metales Agre'!$B$22:$C$35,2,FALSE),0%)</f>
        <v>0</v>
      </c>
      <c r="ALH6" s="5">
        <f>IFERROR(VLOOKUP(ALH$1,'Renta Fija Mixta + Metales Agre'!$B$22:$C$35,2,FALSE),0%)</f>
        <v>0</v>
      </c>
      <c r="ALI6" s="5">
        <f>IFERROR(VLOOKUP(ALI$1,'Renta Fija Mixta + Metales Agre'!$B$22:$C$35,2,FALSE),0%)</f>
        <v>0</v>
      </c>
      <c r="ALJ6" s="5">
        <f>IFERROR(VLOOKUP(ALJ$1,'Renta Fija Mixta + Metales Agre'!$B$22:$C$35,2,FALSE),0%)</f>
        <v>0</v>
      </c>
      <c r="ALK6" s="5">
        <f>IFERROR(VLOOKUP(ALK$1,'Renta Fija Mixta + Metales Agre'!$B$22:$C$35,2,FALSE),0%)</f>
        <v>0</v>
      </c>
      <c r="ALL6" s="5">
        <f>IFERROR(VLOOKUP(ALL$1,'Renta Fija Mixta + Metales Agre'!$B$22:$C$35,2,FALSE),0%)</f>
        <v>0</v>
      </c>
      <c r="ALM6" s="5">
        <f>IFERROR(VLOOKUP(ALM$1,'Renta Fija Mixta + Metales Agre'!$B$22:$C$35,2,FALSE),0%)</f>
        <v>0</v>
      </c>
      <c r="ALN6" s="5">
        <f>IFERROR(VLOOKUP(ALN$1,'Renta Fija Mixta + Metales Agre'!$B$22:$C$35,2,FALSE),0%)</f>
        <v>0</v>
      </c>
      <c r="ALO6" s="5">
        <f>IFERROR(VLOOKUP(ALO$1,'Renta Fija Mixta + Metales Agre'!$B$22:$C$35,2,FALSE),0%)</f>
        <v>0</v>
      </c>
      <c r="ALP6" s="5">
        <f>IFERROR(VLOOKUP(ALP$1,'Renta Fija Mixta + Metales Agre'!$B$22:$C$35,2,FALSE),0%)</f>
        <v>0</v>
      </c>
      <c r="ALQ6" s="5">
        <f>IFERROR(VLOOKUP(ALQ$1,'Renta Fija Mixta + Metales Agre'!$B$22:$C$35,2,FALSE),0%)</f>
        <v>0</v>
      </c>
      <c r="ALR6" s="5">
        <f>IFERROR(VLOOKUP(ALR$1,'Renta Fija Mixta + Metales Agre'!$B$22:$C$35,2,FALSE),0%)</f>
        <v>0</v>
      </c>
      <c r="ALS6" s="5">
        <f>IFERROR(VLOOKUP(ALS$1,'Renta Fija Mixta + Metales Agre'!$B$22:$C$35,2,FALSE),0%)</f>
        <v>0</v>
      </c>
      <c r="ALT6" s="5">
        <f>IFERROR(VLOOKUP(ALT$1,'Renta Fija Mixta + Metales Agre'!$B$22:$C$35,2,FALSE),0%)</f>
        <v>0</v>
      </c>
      <c r="ALU6" s="5">
        <f>IFERROR(VLOOKUP(ALU$1,'Renta Fija Mixta + Metales Agre'!$B$22:$C$35,2,FALSE),0%)</f>
        <v>0</v>
      </c>
      <c r="ALV6" s="5">
        <f>IFERROR(VLOOKUP(ALV$1,'Renta Fija Mixta + Metales Agre'!$B$22:$C$35,2,FALSE),0%)</f>
        <v>0</v>
      </c>
      <c r="ALW6" s="5">
        <f>IFERROR(VLOOKUP(ALW$1,'Renta Fija Mixta + Metales Agre'!$B$22:$C$35,2,FALSE),0%)</f>
        <v>0</v>
      </c>
      <c r="ALX6" s="5">
        <f>IFERROR(VLOOKUP(ALX$1,'Renta Fija Mixta + Metales Agre'!$B$22:$C$35,2,FALSE),0%)</f>
        <v>0</v>
      </c>
      <c r="ALY6" s="5">
        <f>IFERROR(VLOOKUP(ALY$1,'Renta Fija Mixta + Metales Agre'!$B$22:$C$35,2,FALSE),0%)</f>
        <v>0</v>
      </c>
      <c r="ALZ6" s="5">
        <f>IFERROR(VLOOKUP(ALZ$1,'Renta Fija Mixta + Metales Agre'!$B$22:$C$35,2,FALSE),0%)</f>
        <v>0</v>
      </c>
      <c r="AMA6" s="5">
        <f>IFERROR(VLOOKUP(AMA$1,'Renta Fija Mixta + Metales Agre'!$B$22:$C$35,2,FALSE),0%)</f>
        <v>0</v>
      </c>
      <c r="AMB6" s="5">
        <f>IFERROR(VLOOKUP(AMB$1,'Renta Fija Mixta + Metales Agre'!$B$22:$C$35,2,FALSE),0%)</f>
        <v>0</v>
      </c>
      <c r="AMC6" s="5">
        <f>IFERROR(VLOOKUP(AMC$1,'Renta Fija Mixta + Metales Agre'!$B$22:$C$35,2,FALSE),0%)</f>
        <v>0</v>
      </c>
      <c r="AMD6" s="5">
        <f>IFERROR(VLOOKUP(AMD$1,'Renta Fija Mixta + Metales Agre'!$B$22:$C$35,2,FALSE),0%)</f>
        <v>0</v>
      </c>
      <c r="AME6" s="5">
        <f>IFERROR(VLOOKUP(AME$1,'Renta Fija Mixta + Metales Agre'!$B$22:$C$35,2,FALSE),0%)</f>
        <v>0</v>
      </c>
      <c r="AMF6" s="5">
        <f>IFERROR(VLOOKUP(AMF$1,'Renta Fija Mixta + Metales Agre'!$B$22:$C$35,2,FALSE),0%)</f>
        <v>0</v>
      </c>
      <c r="AMG6" s="5">
        <f>IFERROR(VLOOKUP(AMG$1,'Renta Fija Mixta + Metales Agre'!$B$22:$C$35,2,FALSE),0%)</f>
        <v>0</v>
      </c>
      <c r="AMH6" s="5">
        <f>IFERROR(VLOOKUP(AMH$1,'Renta Fija Mixta + Metales Agre'!$B$22:$C$35,2,FALSE),0%)</f>
        <v>0</v>
      </c>
      <c r="AMI6" s="5">
        <f>IFERROR(VLOOKUP(AMI$1,'Renta Fija Mixta + Metales Agre'!$B$22:$C$35,2,FALSE),0%)</f>
        <v>0</v>
      </c>
      <c r="AMJ6" s="5">
        <f>IFERROR(VLOOKUP(AMJ$1,'Renta Fija Mixta + Metales Agre'!$B$22:$C$35,2,FALSE),0%)</f>
        <v>0</v>
      </c>
      <c r="AMK6" s="5">
        <f>IFERROR(VLOOKUP(AMK$1,'Renta Fija Mixta + Metales Agre'!$B$22:$C$35,2,FALSE),0%)</f>
        <v>0</v>
      </c>
      <c r="AML6" s="5">
        <f>IFERROR(VLOOKUP(AML$1,'Renta Fija Mixta + Metales Agre'!$B$22:$C$35,2,FALSE),0%)</f>
        <v>0</v>
      </c>
      <c r="AMM6" s="5">
        <f>IFERROR(VLOOKUP(AMM$1,'Renta Fija Mixta + Metales Agre'!$B$22:$C$35,2,FALSE),0%)</f>
        <v>0</v>
      </c>
      <c r="AMN6" s="5">
        <f>IFERROR(VLOOKUP(AMN$1,'Renta Fija Mixta + Metales Agre'!$B$22:$C$35,2,FALSE),0%)</f>
        <v>0</v>
      </c>
      <c r="AMO6" s="5">
        <f>IFERROR(VLOOKUP(AMO$1,'Renta Fija Mixta + Metales Agre'!$B$22:$C$35,2,FALSE),0%)</f>
        <v>0</v>
      </c>
      <c r="AMP6" s="5">
        <f>IFERROR(VLOOKUP(AMP$1,'Renta Fija Mixta + Metales Agre'!$B$22:$C$35,2,FALSE),0%)</f>
        <v>0</v>
      </c>
      <c r="AMQ6" s="5">
        <f>IFERROR(VLOOKUP(AMQ$1,'Renta Fija Mixta + Metales Agre'!$B$22:$C$35,2,FALSE),0%)</f>
        <v>0</v>
      </c>
      <c r="AMR6" s="5">
        <f>IFERROR(VLOOKUP(AMR$1,'Renta Fija Mixta + Metales Agre'!$B$22:$C$35,2,FALSE),0%)</f>
        <v>0</v>
      </c>
      <c r="AMS6" s="5">
        <f>IFERROR(VLOOKUP(AMS$1,'Renta Fija Mixta + Metales Agre'!$B$22:$C$35,2,FALSE),0%)</f>
        <v>0</v>
      </c>
      <c r="AMT6" s="5">
        <f>IFERROR(VLOOKUP(AMT$1,'Renta Fija Mixta + Metales Agre'!$B$22:$C$35,2,FALSE),0%)</f>
        <v>0</v>
      </c>
      <c r="AMU6" s="5">
        <f>IFERROR(VLOOKUP(AMU$1,'Renta Fija Mixta + Metales Agre'!$B$22:$C$35,2,FALSE),0%)</f>
        <v>0</v>
      </c>
      <c r="AMV6" s="5">
        <f>IFERROR(VLOOKUP(AMV$1,'Renta Fija Mixta + Metales Agre'!$B$22:$C$35,2,FALSE),0%)</f>
        <v>0</v>
      </c>
      <c r="AMW6" s="5">
        <f>IFERROR(VLOOKUP(AMW$1,'Renta Fija Mixta + Metales Agre'!$B$22:$C$35,2,FALSE),0%)</f>
        <v>0</v>
      </c>
      <c r="AMX6" s="5">
        <f>IFERROR(VLOOKUP(AMX$1,'Renta Fija Mixta + Metales Agre'!$B$22:$C$35,2,FALSE),0%)</f>
        <v>0</v>
      </c>
      <c r="AMY6" s="5">
        <f>IFERROR(VLOOKUP(AMY$1,'Renta Fija Mixta + Metales Agre'!$B$22:$C$35,2,FALSE),0%)</f>
        <v>0</v>
      </c>
      <c r="AMZ6" s="5">
        <f>IFERROR(VLOOKUP(AMZ$1,'Renta Fija Mixta + Metales Agre'!$B$22:$C$35,2,FALSE),0%)</f>
        <v>0</v>
      </c>
      <c r="ANA6" s="5">
        <f>IFERROR(VLOOKUP(ANA$1,'Renta Fija Mixta + Metales Agre'!$B$22:$C$35,2,FALSE),0%)</f>
        <v>0</v>
      </c>
      <c r="ANB6" s="5">
        <f>IFERROR(VLOOKUP(ANB$1,'Renta Fija Mixta + Metales Agre'!$B$22:$C$35,2,FALSE),0%)</f>
        <v>0</v>
      </c>
      <c r="ANC6" s="5">
        <f>IFERROR(VLOOKUP(ANC$1,'Renta Fija Mixta + Metales Agre'!$B$22:$C$35,2,FALSE),0%)</f>
        <v>0</v>
      </c>
      <c r="AND6" s="5">
        <f>IFERROR(VLOOKUP(AND$1,'Renta Fija Mixta + Metales Agre'!$B$22:$C$35,2,FALSE),0%)</f>
        <v>0</v>
      </c>
      <c r="ANE6" s="5">
        <f>IFERROR(VLOOKUP(ANE$1,'Renta Fija Mixta + Metales Agre'!$B$22:$C$35,2,FALSE),0%)</f>
        <v>0</v>
      </c>
      <c r="ANF6" s="5">
        <f>IFERROR(VLOOKUP(ANF$1,'Renta Fija Mixta + Metales Agre'!$B$22:$C$35,2,FALSE),0%)</f>
        <v>0</v>
      </c>
      <c r="ANG6" s="5">
        <f>IFERROR(VLOOKUP(ANG$1,'Renta Fija Mixta + Metales Agre'!$B$22:$C$35,2,FALSE),0%)</f>
        <v>0</v>
      </c>
      <c r="ANH6" s="5">
        <f>IFERROR(VLOOKUP(ANH$1,'Renta Fija Mixta + Metales Agre'!$B$22:$C$35,2,FALSE),0%)</f>
        <v>0</v>
      </c>
      <c r="ANI6" s="5">
        <f>IFERROR(VLOOKUP(ANI$1,'Renta Fija Mixta + Metales Agre'!$B$22:$C$35,2,FALSE),0%)</f>
        <v>0</v>
      </c>
      <c r="ANJ6" s="5">
        <f>IFERROR(VLOOKUP(ANJ$1,'Renta Fija Mixta + Metales Agre'!$B$22:$C$35,2,FALSE),0%)</f>
        <v>0</v>
      </c>
      <c r="ANK6" s="5">
        <f>IFERROR(VLOOKUP(ANK$1,'Renta Fija Mixta + Metales Agre'!$B$22:$C$35,2,FALSE),0%)</f>
        <v>0</v>
      </c>
      <c r="ANL6" s="5">
        <f>IFERROR(VLOOKUP(ANL$1,'Renta Fija Mixta + Metales Agre'!$B$22:$C$35,2,FALSE),0%)</f>
        <v>0</v>
      </c>
      <c r="ANM6" s="5">
        <f>IFERROR(VLOOKUP(ANM$1,'Renta Fija Mixta + Metales Agre'!$B$22:$C$35,2,FALSE),0%)</f>
        <v>0</v>
      </c>
      <c r="ANN6" s="5">
        <f>IFERROR(VLOOKUP(ANN$1,'Renta Fija Mixta + Metales Agre'!$B$22:$C$35,2,FALSE),0%)</f>
        <v>0</v>
      </c>
      <c r="ANO6" s="5">
        <f>IFERROR(VLOOKUP(ANO$1,'Renta Fija Mixta + Metales Agre'!$B$22:$C$35,2,FALSE),0%)</f>
        <v>0</v>
      </c>
      <c r="ANP6" s="5">
        <f>IFERROR(VLOOKUP(ANP$1,'Renta Fija Mixta + Metales Agre'!$B$22:$C$35,2,FALSE),0%)</f>
        <v>0</v>
      </c>
      <c r="ANQ6" s="5">
        <f>IFERROR(VLOOKUP(ANQ$1,'Renta Fija Mixta + Metales Agre'!$B$22:$C$35,2,FALSE),0%)</f>
        <v>0</v>
      </c>
      <c r="ANR6" s="5">
        <f>IFERROR(VLOOKUP(ANR$1,'Renta Fija Mixta + Metales Agre'!$B$22:$C$35,2,FALSE),0%)</f>
        <v>0</v>
      </c>
      <c r="ANS6" s="5">
        <f>IFERROR(VLOOKUP(ANS$1,'Renta Fija Mixta + Metales Agre'!$B$22:$C$35,2,FALSE),0%)</f>
        <v>0</v>
      </c>
      <c r="ANT6" s="5">
        <f>IFERROR(VLOOKUP(ANT$1,'Renta Fija Mixta + Metales Agre'!$B$22:$C$35,2,FALSE),0%)</f>
        <v>0</v>
      </c>
      <c r="ANU6" s="5">
        <f>IFERROR(VLOOKUP(ANU$1,'Renta Fija Mixta + Metales Agre'!$B$22:$C$35,2,FALSE),0%)</f>
        <v>0</v>
      </c>
      <c r="ANV6" s="5">
        <f>IFERROR(VLOOKUP(ANV$1,'Renta Fija Mixta + Metales Agre'!$B$22:$C$35,2,FALSE),0%)</f>
        <v>0</v>
      </c>
      <c r="ANW6" s="5">
        <f>IFERROR(VLOOKUP(ANW$1,'Renta Fija Mixta + Metales Agre'!$B$22:$C$35,2,FALSE),0%)</f>
        <v>0</v>
      </c>
      <c r="ANX6" s="5">
        <f>IFERROR(VLOOKUP(ANX$1,'Renta Fija Mixta + Metales Agre'!$B$22:$C$35,2,FALSE),0%)</f>
        <v>0</v>
      </c>
      <c r="ANY6" s="5">
        <f>IFERROR(VLOOKUP(ANY$1,'Renta Fija Mixta + Metales Agre'!$B$22:$C$35,2,FALSE),0%)</f>
        <v>0</v>
      </c>
      <c r="ANZ6" s="5">
        <f>IFERROR(VLOOKUP(ANZ$1,'Renta Fija Mixta + Metales Agre'!$B$22:$C$35,2,FALSE),0%)</f>
        <v>0</v>
      </c>
      <c r="AOA6" s="5">
        <f>IFERROR(VLOOKUP(AOA$1,'Renta Fija Mixta + Metales Agre'!$B$22:$C$35,2,FALSE),0%)</f>
        <v>0</v>
      </c>
      <c r="AOB6" s="5">
        <f>IFERROR(VLOOKUP(AOB$1,'Renta Fija Mixta + Metales Agre'!$B$22:$C$35,2,FALSE),0%)</f>
        <v>0</v>
      </c>
      <c r="AOC6" s="5">
        <f>IFERROR(VLOOKUP(AOC$1,'Renta Fija Mixta + Metales Agre'!$B$22:$C$35,2,FALSE),0%)</f>
        <v>0</v>
      </c>
      <c r="AOD6" s="5">
        <f>IFERROR(VLOOKUP(AOD$1,'Renta Fija Mixta + Metales Agre'!$B$22:$C$35,2,FALSE),0%)</f>
        <v>0</v>
      </c>
      <c r="AOE6" s="5">
        <f>IFERROR(VLOOKUP(AOE$1,'Renta Fija Mixta + Metales Agre'!$B$22:$C$35,2,FALSE),0%)</f>
        <v>0</v>
      </c>
      <c r="AOF6" s="5">
        <f>IFERROR(VLOOKUP(AOF$1,'Renta Fija Mixta + Metales Agre'!$B$22:$C$35,2,FALSE),0%)</f>
        <v>0</v>
      </c>
      <c r="AOG6" s="5">
        <f>IFERROR(VLOOKUP(AOG$1,'Renta Fija Mixta + Metales Agre'!$B$22:$C$35,2,FALSE),0%)</f>
        <v>0</v>
      </c>
      <c r="AOH6" s="5">
        <f>IFERROR(VLOOKUP(AOH$1,'Renta Fija Mixta + Metales Agre'!$B$22:$C$35,2,FALSE),0%)</f>
        <v>0</v>
      </c>
      <c r="AOI6" s="5">
        <f>IFERROR(VLOOKUP(AOI$1,'Renta Fija Mixta + Metales Agre'!$B$22:$C$35,2,FALSE),0%)</f>
        <v>0</v>
      </c>
      <c r="AOJ6" s="5">
        <f>IFERROR(VLOOKUP(AOJ$1,'Renta Fija Mixta + Metales Agre'!$B$22:$C$35,2,FALSE),0%)</f>
        <v>0</v>
      </c>
      <c r="AOK6" s="5">
        <f>IFERROR(VLOOKUP(AOK$1,'Renta Fija Mixta + Metales Agre'!$B$22:$C$35,2,FALSE),0%)</f>
        <v>0</v>
      </c>
      <c r="AOL6" s="5">
        <f>IFERROR(VLOOKUP(AOL$1,'Renta Fija Mixta + Metales Agre'!$B$22:$C$35,2,FALSE),0%)</f>
        <v>0</v>
      </c>
      <c r="AOM6" s="5">
        <f>IFERROR(VLOOKUP(AOM$1,'Renta Fija Mixta + Metales Agre'!$B$22:$C$35,2,FALSE),0%)</f>
        <v>0</v>
      </c>
      <c r="AON6" s="5">
        <f>IFERROR(VLOOKUP(AON$1,'Renta Fija Mixta + Metales Agre'!$B$22:$C$35,2,FALSE),0%)</f>
        <v>0</v>
      </c>
      <c r="AOO6" s="5">
        <f>IFERROR(VLOOKUP(AOO$1,'Renta Fija Mixta + Metales Agre'!$B$22:$C$35,2,FALSE),0%)</f>
        <v>0</v>
      </c>
      <c r="AOP6" s="5">
        <f>IFERROR(VLOOKUP(AOP$1,'Renta Fija Mixta + Metales Agre'!$B$22:$C$35,2,FALSE),0%)</f>
        <v>0</v>
      </c>
      <c r="AOQ6" s="5">
        <f>IFERROR(VLOOKUP(AOQ$1,'Renta Fija Mixta + Metales Agre'!$B$22:$C$35,2,FALSE),0%)</f>
        <v>0</v>
      </c>
      <c r="AOR6" s="5">
        <f>IFERROR(VLOOKUP(AOR$1,'Renta Fija Mixta + Metales Agre'!$B$22:$C$35,2,FALSE),0%)</f>
        <v>0</v>
      </c>
      <c r="AOS6" s="5">
        <f>IFERROR(VLOOKUP(AOS$1,'Renta Fija Mixta + Metales Agre'!$B$22:$C$35,2,FALSE),0%)</f>
        <v>0</v>
      </c>
      <c r="AOT6" s="5">
        <f>IFERROR(VLOOKUP(AOT$1,'Renta Fija Mixta + Metales Agre'!$B$22:$C$35,2,FALSE),0%)</f>
        <v>0</v>
      </c>
      <c r="AOU6" s="5">
        <f>IFERROR(VLOOKUP(AOU$1,'Renta Fija Mixta + Metales Agre'!$B$22:$C$35,2,FALSE),0%)</f>
        <v>0</v>
      </c>
      <c r="AOV6" s="5">
        <f>IFERROR(VLOOKUP(AOV$1,'Renta Fija Mixta + Metales Agre'!$B$22:$C$35,2,FALSE),0%)</f>
        <v>0</v>
      </c>
      <c r="AOW6" s="5">
        <f>IFERROR(VLOOKUP(AOW$1,'Renta Fija Mixta + Metales Agre'!$B$22:$C$35,2,FALSE),0%)</f>
        <v>0</v>
      </c>
      <c r="AOX6" s="5">
        <f>IFERROR(VLOOKUP(AOX$1,'Renta Fija Mixta + Metales Agre'!$B$22:$C$35,2,FALSE),0%)</f>
        <v>0</v>
      </c>
      <c r="AOY6" s="5">
        <f>IFERROR(VLOOKUP(AOY$1,'Renta Fija Mixta + Metales Agre'!$B$22:$C$35,2,FALSE),0%)</f>
        <v>0</v>
      </c>
      <c r="AOZ6" s="5">
        <f>IFERROR(VLOOKUP(AOZ$1,'Renta Fija Mixta + Metales Agre'!$B$22:$C$35,2,FALSE),0%)</f>
        <v>0</v>
      </c>
      <c r="APA6" s="5">
        <f>IFERROR(VLOOKUP(APA$1,'Renta Fija Mixta + Metales Agre'!$B$22:$C$35,2,FALSE),0%)</f>
        <v>0</v>
      </c>
      <c r="APB6" s="5">
        <f>IFERROR(VLOOKUP(APB$1,'Renta Fija Mixta + Metales Agre'!$B$22:$C$35,2,FALSE),0%)</f>
        <v>0</v>
      </c>
      <c r="APC6" s="5">
        <f>IFERROR(VLOOKUP(APC$1,'Renta Fija Mixta + Metales Agre'!$B$22:$C$35,2,FALSE),0%)</f>
        <v>0</v>
      </c>
      <c r="APD6" s="5">
        <f>IFERROR(VLOOKUP(APD$1,'Renta Fija Mixta + Metales Agre'!$B$22:$C$35,2,FALSE),0%)</f>
        <v>0</v>
      </c>
      <c r="APE6" s="5">
        <f>IFERROR(VLOOKUP(APE$1,'Renta Fija Mixta + Metales Agre'!$B$22:$C$35,2,FALSE),0%)</f>
        <v>0</v>
      </c>
      <c r="APF6" s="5">
        <f>IFERROR(VLOOKUP(APF$1,'Renta Fija Mixta + Metales Agre'!$B$22:$C$35,2,FALSE),0%)</f>
        <v>0</v>
      </c>
      <c r="APG6" s="5">
        <f>IFERROR(VLOOKUP(APG$1,'Renta Fija Mixta + Metales Agre'!$B$22:$C$35,2,FALSE),0%)</f>
        <v>0</v>
      </c>
      <c r="APH6" s="5">
        <f>IFERROR(VLOOKUP(APH$1,'Renta Fija Mixta + Metales Agre'!$B$22:$C$35,2,FALSE),0%)</f>
        <v>0</v>
      </c>
      <c r="API6" s="5">
        <f>IFERROR(VLOOKUP(API$1,'Renta Fija Mixta + Metales Agre'!$B$22:$C$35,2,FALSE),0%)</f>
        <v>0</v>
      </c>
      <c r="APJ6" s="5">
        <f>IFERROR(VLOOKUP(APJ$1,'Renta Fija Mixta + Metales Agre'!$B$22:$C$35,2,FALSE),0%)</f>
        <v>0</v>
      </c>
      <c r="APK6" s="5">
        <f>IFERROR(VLOOKUP(APK$1,'Renta Fija Mixta + Metales Agre'!$B$22:$C$35,2,FALSE),0%)</f>
        <v>0</v>
      </c>
      <c r="APL6" s="5">
        <f>IFERROR(VLOOKUP(APL$1,'Renta Fija Mixta + Metales Agre'!$B$22:$C$35,2,FALSE),0%)</f>
        <v>0</v>
      </c>
      <c r="APM6" s="5">
        <f>IFERROR(VLOOKUP(APM$1,'Renta Fija Mixta + Metales Agre'!$B$22:$C$35,2,FALSE),0%)</f>
        <v>0</v>
      </c>
      <c r="APN6" s="5">
        <f>IFERROR(VLOOKUP(APN$1,'Renta Fija Mixta + Metales Agre'!$B$22:$C$35,2,FALSE),0%)</f>
        <v>0</v>
      </c>
      <c r="APO6" s="5">
        <f>IFERROR(VLOOKUP(APO$1,'Renta Fija Mixta + Metales Agre'!$B$22:$C$35,2,FALSE),0%)</f>
        <v>0</v>
      </c>
      <c r="APP6" s="5">
        <f>IFERROR(VLOOKUP(APP$1,'Renta Fija Mixta + Metales Agre'!$B$22:$C$35,2,FALSE),0%)</f>
        <v>0</v>
      </c>
      <c r="APQ6" s="5">
        <f>IFERROR(VLOOKUP(APQ$1,'Renta Fija Mixta + Metales Agre'!$B$22:$C$35,2,FALSE),0%)</f>
        <v>0</v>
      </c>
      <c r="APR6" s="5">
        <f>IFERROR(VLOOKUP(APR$1,'Renta Fija Mixta + Metales Agre'!$B$22:$C$35,2,FALSE),0%)</f>
        <v>0</v>
      </c>
      <c r="APS6" s="5">
        <f>IFERROR(VLOOKUP(APS$1,'Renta Fija Mixta + Metales Agre'!$B$22:$C$35,2,FALSE),0%)</f>
        <v>0</v>
      </c>
      <c r="APT6" s="5">
        <f>IFERROR(VLOOKUP(APT$1,'Renta Fija Mixta + Metales Agre'!$B$22:$C$35,2,FALSE),0%)</f>
        <v>0</v>
      </c>
      <c r="APU6" s="5">
        <f>IFERROR(VLOOKUP(APU$1,'Renta Fija Mixta + Metales Agre'!$B$22:$C$35,2,FALSE),0%)</f>
        <v>0</v>
      </c>
      <c r="APV6" s="5">
        <f>IFERROR(VLOOKUP(APV$1,'Renta Fija Mixta + Metales Agre'!$B$22:$C$35,2,FALSE),0%)</f>
        <v>0</v>
      </c>
      <c r="APW6" s="5">
        <f>IFERROR(VLOOKUP(APW$1,'Renta Fija Mixta + Metales Agre'!$B$22:$C$35,2,FALSE),0%)</f>
        <v>0</v>
      </c>
      <c r="APX6" s="5">
        <f>IFERROR(VLOOKUP(APX$1,'Renta Fija Mixta + Metales Agre'!$B$22:$C$35,2,FALSE),0%)</f>
        <v>0</v>
      </c>
      <c r="APY6" s="5">
        <f>IFERROR(VLOOKUP(APY$1,'Renta Fija Mixta + Metales Agre'!$B$22:$C$35,2,FALSE),0%)</f>
        <v>0</v>
      </c>
      <c r="APZ6" s="5">
        <f>IFERROR(VLOOKUP(APZ$1,'Renta Fija Mixta + Metales Agre'!$B$22:$C$35,2,FALSE),0%)</f>
        <v>0</v>
      </c>
      <c r="AQA6" s="5">
        <f>IFERROR(VLOOKUP(AQA$1,'Renta Fija Mixta + Metales Agre'!$B$22:$C$35,2,FALSE),0%)</f>
        <v>0</v>
      </c>
      <c r="AQB6" s="5">
        <f>IFERROR(VLOOKUP(AQB$1,'Renta Fija Mixta + Metales Agre'!$B$22:$C$35,2,FALSE),0%)</f>
        <v>0</v>
      </c>
      <c r="AQC6" s="5">
        <f>IFERROR(VLOOKUP(AQC$1,'Renta Fija Mixta + Metales Agre'!$B$22:$C$35,2,FALSE),0%)</f>
        <v>0</v>
      </c>
      <c r="AQD6" s="5">
        <f>IFERROR(VLOOKUP(AQD$1,'Renta Fija Mixta + Metales Agre'!$B$22:$C$35,2,FALSE),0%)</f>
        <v>0</v>
      </c>
      <c r="AQE6" s="5">
        <f>IFERROR(VLOOKUP(AQE$1,'Renta Fija Mixta + Metales Agre'!$B$22:$C$35,2,FALSE),0%)</f>
        <v>0</v>
      </c>
      <c r="AQF6" s="5">
        <f>IFERROR(VLOOKUP(AQF$1,'Renta Fija Mixta + Metales Agre'!$B$22:$C$35,2,FALSE),0%)</f>
        <v>0</v>
      </c>
      <c r="AQG6" s="5">
        <f>IFERROR(VLOOKUP(AQG$1,'Renta Fija Mixta + Metales Agre'!$B$22:$C$35,2,FALSE),0%)</f>
        <v>0</v>
      </c>
      <c r="AQH6" s="5">
        <f>IFERROR(VLOOKUP(AQH$1,'Renta Fija Mixta + Metales Agre'!$B$22:$C$35,2,FALSE),0%)</f>
        <v>0</v>
      </c>
      <c r="AQI6" s="5">
        <f>IFERROR(VLOOKUP(AQI$1,'Renta Fija Mixta + Metales Agre'!$B$22:$C$35,2,FALSE),0%)</f>
        <v>0</v>
      </c>
      <c r="AQJ6" s="5">
        <f>IFERROR(VLOOKUP(AQJ$1,'Renta Fija Mixta + Metales Agre'!$B$22:$C$35,2,FALSE),0%)</f>
        <v>0</v>
      </c>
      <c r="AQK6" s="5">
        <f>IFERROR(VLOOKUP(AQK$1,'Renta Fija Mixta + Metales Agre'!$B$22:$C$35,2,FALSE),0%)</f>
        <v>0</v>
      </c>
      <c r="AQL6" s="5">
        <f>IFERROR(VLOOKUP(AQL$1,'Renta Fija Mixta + Metales Agre'!$B$22:$C$35,2,FALSE),0%)</f>
        <v>0</v>
      </c>
      <c r="AQM6" s="5">
        <f>IFERROR(VLOOKUP(AQM$1,'Renta Fija Mixta + Metales Agre'!$B$22:$C$35,2,FALSE),0%)</f>
        <v>0</v>
      </c>
      <c r="AQN6" s="5">
        <f>IFERROR(VLOOKUP(AQN$1,'Renta Fija Mixta + Metales Agre'!$B$22:$C$35,2,FALSE),0%)</f>
        <v>0</v>
      </c>
      <c r="AQO6" s="5">
        <f>IFERROR(VLOOKUP(AQO$1,'Renta Fija Mixta + Metales Agre'!$B$22:$C$35,2,FALSE),0%)</f>
        <v>0</v>
      </c>
      <c r="AQP6" s="5">
        <f>IFERROR(VLOOKUP(AQP$1,'Renta Fija Mixta + Metales Agre'!$B$22:$C$35,2,FALSE),0%)</f>
        <v>0</v>
      </c>
      <c r="AQQ6" s="5">
        <f>IFERROR(VLOOKUP(AQQ$1,'Renta Fija Mixta + Metales Agre'!$B$22:$C$35,2,FALSE),0%)</f>
        <v>0</v>
      </c>
      <c r="AQR6" s="5">
        <f>IFERROR(VLOOKUP(AQR$1,'Renta Fija Mixta + Metales Agre'!$B$22:$C$35,2,FALSE),0%)</f>
        <v>0</v>
      </c>
      <c r="AQS6" s="5">
        <f>IFERROR(VLOOKUP(AQS$1,'Renta Fija Mixta + Metales Agre'!$B$22:$C$35,2,FALSE),0%)</f>
        <v>0</v>
      </c>
      <c r="AQT6" s="5">
        <f>IFERROR(VLOOKUP(AQT$1,'Renta Fija Mixta + Metales Agre'!$B$22:$C$35,2,FALSE),0%)</f>
        <v>0</v>
      </c>
      <c r="AQU6" s="5">
        <f>IFERROR(VLOOKUP(AQU$1,'Renta Fija Mixta + Metales Agre'!$B$22:$C$35,2,FALSE),0%)</f>
        <v>0</v>
      </c>
      <c r="AQV6" s="5">
        <f>IFERROR(VLOOKUP(AQV$1,'Renta Fija Mixta + Metales Agre'!$B$22:$C$35,2,FALSE),0%)</f>
        <v>0</v>
      </c>
      <c r="AQW6" s="5">
        <f>IFERROR(VLOOKUP(AQW$1,'Renta Fija Mixta + Metales Agre'!$B$22:$C$35,2,FALSE),0%)</f>
        <v>0</v>
      </c>
      <c r="AQX6" s="5">
        <f>IFERROR(VLOOKUP(AQX$1,'Renta Fija Mixta + Metales Agre'!$B$22:$C$35,2,FALSE),0%)</f>
        <v>0</v>
      </c>
      <c r="AQY6" s="5">
        <f>IFERROR(VLOOKUP(AQY$1,'Renta Fija Mixta + Metales Agre'!$B$22:$C$35,2,FALSE),0%)</f>
        <v>0</v>
      </c>
      <c r="AQZ6" s="5">
        <f>IFERROR(VLOOKUP(AQZ$1,'Renta Fija Mixta + Metales Agre'!$B$22:$C$35,2,FALSE),0%)</f>
        <v>0</v>
      </c>
      <c r="ARA6" s="5">
        <f>IFERROR(VLOOKUP(ARA$1,'Renta Fija Mixta + Metales Agre'!$B$22:$C$35,2,FALSE),0%)</f>
        <v>0</v>
      </c>
      <c r="ARB6" s="5">
        <f>IFERROR(VLOOKUP(ARB$1,'Renta Fija Mixta + Metales Agre'!$B$22:$C$35,2,FALSE),0%)</f>
        <v>0</v>
      </c>
      <c r="ARC6" s="5">
        <f>IFERROR(VLOOKUP(ARC$1,'Renta Fija Mixta + Metales Agre'!$B$22:$C$35,2,FALSE),0%)</f>
        <v>0</v>
      </c>
      <c r="ARD6" s="5">
        <f>IFERROR(VLOOKUP(ARD$1,'Renta Fija Mixta + Metales Agre'!$B$22:$C$35,2,FALSE),0%)</f>
        <v>0</v>
      </c>
      <c r="ARE6" s="5">
        <f>IFERROR(VLOOKUP(ARE$1,'Renta Fija Mixta + Metales Agre'!$B$22:$C$35,2,FALSE),0%)</f>
        <v>0</v>
      </c>
      <c r="ARF6" s="5">
        <f>IFERROR(VLOOKUP(ARF$1,'Renta Fija Mixta + Metales Agre'!$B$22:$C$35,2,FALSE),0%)</f>
        <v>0</v>
      </c>
      <c r="ARG6" s="5">
        <f>IFERROR(VLOOKUP(ARG$1,'Renta Fija Mixta + Metales Agre'!$B$22:$C$35,2,FALSE),0%)</f>
        <v>0</v>
      </c>
      <c r="ARH6" s="5">
        <f>IFERROR(VLOOKUP(ARH$1,'Renta Fija Mixta + Metales Agre'!$B$22:$C$35,2,FALSE),0%)</f>
        <v>0</v>
      </c>
      <c r="ARI6" s="5">
        <f>IFERROR(VLOOKUP(ARI$1,'Renta Fija Mixta + Metales Agre'!$B$22:$C$35,2,FALSE),0%)</f>
        <v>0</v>
      </c>
      <c r="ARJ6" s="5">
        <f>IFERROR(VLOOKUP(ARJ$1,'Renta Fija Mixta + Metales Agre'!$B$22:$C$35,2,FALSE),0%)</f>
        <v>0</v>
      </c>
      <c r="ARK6" s="5">
        <f>IFERROR(VLOOKUP(ARK$1,'Renta Fija Mixta + Metales Agre'!$B$22:$C$35,2,FALSE),0%)</f>
        <v>0</v>
      </c>
      <c r="ARL6" s="5">
        <f>IFERROR(VLOOKUP(ARL$1,'Renta Fija Mixta + Metales Agre'!$B$22:$C$35,2,FALSE),0%)</f>
        <v>0</v>
      </c>
      <c r="ARM6" s="5">
        <f>IFERROR(VLOOKUP(ARM$1,'Renta Fija Mixta + Metales Agre'!$B$22:$C$35,2,FALSE),0%)</f>
        <v>0</v>
      </c>
      <c r="ARN6" s="5">
        <f>IFERROR(VLOOKUP(ARN$1,'Renta Fija Mixta + Metales Agre'!$B$22:$C$35,2,FALSE),0%)</f>
        <v>0</v>
      </c>
      <c r="ARO6" s="5">
        <f>IFERROR(VLOOKUP(ARO$1,'Renta Fija Mixta + Metales Agre'!$B$22:$C$35,2,FALSE),0%)</f>
        <v>0</v>
      </c>
      <c r="ARP6" s="5">
        <f>IFERROR(VLOOKUP(ARP$1,'Renta Fija Mixta + Metales Agre'!$B$22:$C$35,2,FALSE),0%)</f>
        <v>0</v>
      </c>
      <c r="ARQ6" s="5">
        <f>IFERROR(VLOOKUP(ARQ$1,'Renta Fija Mixta + Metales Agre'!$B$22:$C$35,2,FALSE),0%)</f>
        <v>0</v>
      </c>
      <c r="ARR6" s="5">
        <f>IFERROR(VLOOKUP(ARR$1,'Renta Fija Mixta + Metales Agre'!$B$22:$C$35,2,FALSE),0%)</f>
        <v>0</v>
      </c>
      <c r="ARS6" s="5">
        <f>IFERROR(VLOOKUP(ARS$1,'Renta Fija Mixta + Metales Agre'!$B$22:$C$35,2,FALSE),0%)</f>
        <v>0</v>
      </c>
      <c r="ART6" s="5">
        <f>IFERROR(VLOOKUP(ART$1,'Renta Fija Mixta + Metales Agre'!$B$22:$C$35,2,FALSE),0%)</f>
        <v>0</v>
      </c>
      <c r="ARU6" s="5">
        <f>IFERROR(VLOOKUP(ARU$1,'Renta Fija Mixta + Metales Agre'!$B$22:$C$35,2,FALSE),0%)</f>
        <v>0</v>
      </c>
      <c r="ARV6" s="5">
        <f>IFERROR(VLOOKUP(ARV$1,'Renta Fija Mixta + Metales Agre'!$B$22:$C$35,2,FALSE),0%)</f>
        <v>0</v>
      </c>
      <c r="ARW6" s="5">
        <f>IFERROR(VLOOKUP(ARW$1,'Renta Fija Mixta + Metales Agre'!$B$22:$C$35,2,FALSE),0%)</f>
        <v>0</v>
      </c>
      <c r="ARX6" s="5">
        <f>IFERROR(VLOOKUP(ARX$1,'Renta Fija Mixta + Metales Agre'!$B$22:$C$35,2,FALSE),0%)</f>
        <v>0</v>
      </c>
      <c r="ARY6" s="5">
        <f>IFERROR(VLOOKUP(ARY$1,'Renta Fija Mixta + Metales Agre'!$B$22:$C$35,2,FALSE),0%)</f>
        <v>0</v>
      </c>
      <c r="ARZ6" s="5">
        <f>IFERROR(VLOOKUP(ARZ$1,'Renta Fija Mixta + Metales Agre'!$B$22:$C$35,2,FALSE),0%)</f>
        <v>0</v>
      </c>
      <c r="ASA6" s="5">
        <f>IFERROR(VLOOKUP(ASA$1,'Renta Fija Mixta + Metales Agre'!$B$22:$C$35,2,FALSE),0%)</f>
        <v>0</v>
      </c>
      <c r="ASB6" s="5">
        <f>IFERROR(VLOOKUP(ASB$1,'Renta Fija Mixta + Metales Agre'!$B$22:$C$35,2,FALSE),0%)</f>
        <v>0</v>
      </c>
      <c r="ASC6" s="5">
        <f>IFERROR(VLOOKUP(ASC$1,'Renta Fija Mixta + Metales Agre'!$B$22:$C$35,2,FALSE),0%)</f>
        <v>0</v>
      </c>
      <c r="ASD6" s="5">
        <f>IFERROR(VLOOKUP(ASD$1,'Renta Fija Mixta + Metales Agre'!$B$22:$C$35,2,FALSE),0%)</f>
        <v>0</v>
      </c>
      <c r="ASE6" s="5">
        <f>IFERROR(VLOOKUP(ASE$1,'Renta Fija Mixta + Metales Agre'!$B$22:$C$35,2,FALSE),0%)</f>
        <v>0</v>
      </c>
      <c r="ASF6" s="5">
        <f>IFERROR(VLOOKUP(ASF$1,'Renta Fija Mixta + Metales Agre'!$B$22:$C$35,2,FALSE),0%)</f>
        <v>0</v>
      </c>
      <c r="ASG6" s="5">
        <f>IFERROR(VLOOKUP(ASG$1,'Renta Fija Mixta + Metales Agre'!$B$22:$C$35,2,FALSE),0%)</f>
        <v>0</v>
      </c>
      <c r="ASH6" s="5">
        <f>IFERROR(VLOOKUP(ASH$1,'Renta Fija Mixta + Metales Agre'!$B$22:$C$35,2,FALSE),0%)</f>
        <v>0</v>
      </c>
      <c r="ASI6" s="5">
        <f>IFERROR(VLOOKUP(ASI$1,'Renta Fija Mixta + Metales Agre'!$B$22:$C$35,2,FALSE),0%)</f>
        <v>0</v>
      </c>
      <c r="ASJ6" s="5">
        <f>IFERROR(VLOOKUP(ASJ$1,'Renta Fija Mixta + Metales Agre'!$B$22:$C$35,2,FALSE),0%)</f>
        <v>0</v>
      </c>
      <c r="ASK6" s="5">
        <f>IFERROR(VLOOKUP(ASK$1,'Renta Fija Mixta + Metales Agre'!$B$22:$C$35,2,FALSE),0%)</f>
        <v>0</v>
      </c>
      <c r="ASL6" s="5">
        <f>IFERROR(VLOOKUP(ASL$1,'Renta Fija Mixta + Metales Agre'!$B$22:$C$35,2,FALSE),0%)</f>
        <v>0</v>
      </c>
      <c r="ASM6" s="5">
        <f>IFERROR(VLOOKUP(ASM$1,'Renta Fija Mixta + Metales Agre'!$B$22:$C$35,2,FALSE),0%)</f>
        <v>0</v>
      </c>
      <c r="ASN6" s="5">
        <f>IFERROR(VLOOKUP(ASN$1,'Renta Fija Mixta + Metales Agre'!$B$22:$C$35,2,FALSE),0%)</f>
        <v>0</v>
      </c>
      <c r="ASO6" s="5">
        <f>IFERROR(VLOOKUP(ASO$1,'Renta Fija Mixta + Metales Agre'!$B$22:$C$35,2,FALSE),0%)</f>
        <v>0</v>
      </c>
      <c r="ASP6" s="5">
        <f>IFERROR(VLOOKUP(ASP$1,'Renta Fija Mixta + Metales Agre'!$B$22:$C$35,2,FALSE),0%)</f>
        <v>0</v>
      </c>
      <c r="ASQ6" s="5">
        <f>IFERROR(VLOOKUP(ASQ$1,'Renta Fija Mixta + Metales Agre'!$B$22:$C$35,2,FALSE),0%)</f>
        <v>0</v>
      </c>
      <c r="ASR6" s="5">
        <f>IFERROR(VLOOKUP(ASR$1,'Renta Fija Mixta + Metales Agre'!$B$22:$C$35,2,FALSE),0%)</f>
        <v>0</v>
      </c>
      <c r="ASS6" s="5">
        <f>IFERROR(VLOOKUP(ASS$1,'Renta Fija Mixta + Metales Agre'!$B$22:$C$35,2,FALSE),0%)</f>
        <v>0</v>
      </c>
      <c r="AST6" s="5">
        <f>IFERROR(VLOOKUP(AST$1,'Renta Fija Mixta + Metales Agre'!$B$22:$C$35,2,FALSE),0%)</f>
        <v>0</v>
      </c>
      <c r="ASU6" s="5">
        <f>IFERROR(VLOOKUP(ASU$1,'Renta Fija Mixta + Metales Agre'!$B$22:$C$35,2,FALSE),0%)</f>
        <v>0</v>
      </c>
      <c r="ASV6" s="5">
        <f>IFERROR(VLOOKUP(ASV$1,'Renta Fija Mixta + Metales Agre'!$B$22:$C$35,2,FALSE),0%)</f>
        <v>0</v>
      </c>
      <c r="ASW6" s="5">
        <f>IFERROR(VLOOKUP(ASW$1,'Renta Fija Mixta + Metales Agre'!$B$22:$C$35,2,FALSE),0%)</f>
        <v>0</v>
      </c>
      <c r="ASX6" s="5">
        <f>IFERROR(VLOOKUP(ASX$1,'Renta Fija Mixta + Metales Agre'!$B$22:$C$35,2,FALSE),0%)</f>
        <v>0</v>
      </c>
      <c r="ASY6" s="5">
        <f>IFERROR(VLOOKUP(ASY$1,'Renta Fija Mixta + Metales Agre'!$B$22:$C$35,2,FALSE),0%)</f>
        <v>0</v>
      </c>
      <c r="ASZ6" s="5">
        <f>IFERROR(VLOOKUP(ASZ$1,'Renta Fija Mixta + Metales Agre'!$B$22:$C$35,2,FALSE),0%)</f>
        <v>0</v>
      </c>
      <c r="ATA6" s="5">
        <f>IFERROR(VLOOKUP(ATA$1,'Renta Fija Mixta + Metales Agre'!$B$22:$C$35,2,FALSE),0%)</f>
        <v>0</v>
      </c>
      <c r="ATB6" s="5">
        <f>IFERROR(VLOOKUP(ATB$1,'Renta Fija Mixta + Metales Agre'!$B$22:$C$35,2,FALSE),0%)</f>
        <v>0</v>
      </c>
      <c r="ATC6" s="5">
        <f>IFERROR(VLOOKUP(ATC$1,'Renta Fija Mixta + Metales Agre'!$B$22:$C$35,2,FALSE),0%)</f>
        <v>0</v>
      </c>
      <c r="ATD6" s="5">
        <f>IFERROR(VLOOKUP(ATD$1,'Renta Fija Mixta + Metales Agre'!$B$22:$C$35,2,FALSE),0%)</f>
        <v>0</v>
      </c>
      <c r="ATE6" s="5">
        <f>IFERROR(VLOOKUP(ATE$1,'Renta Fija Mixta + Metales Agre'!$B$22:$C$35,2,FALSE),0%)</f>
        <v>0</v>
      </c>
      <c r="ATF6" s="5">
        <f>IFERROR(VLOOKUP(ATF$1,'Renta Fija Mixta + Metales Agre'!$B$22:$C$35,2,FALSE),0%)</f>
        <v>0</v>
      </c>
      <c r="ATG6" s="5">
        <f>IFERROR(VLOOKUP(ATG$1,'Renta Fija Mixta + Metales Agre'!$B$22:$C$35,2,FALSE),0%)</f>
        <v>0</v>
      </c>
      <c r="ATH6" s="5">
        <f>IFERROR(VLOOKUP(ATH$1,'Renta Fija Mixta + Metales Agre'!$B$22:$C$35,2,FALSE),0%)</f>
        <v>0</v>
      </c>
      <c r="ATI6" s="5">
        <f>IFERROR(VLOOKUP(ATI$1,'Renta Fija Mixta + Metales Agre'!$B$22:$C$35,2,FALSE),0%)</f>
        <v>0</v>
      </c>
      <c r="ATJ6" s="5">
        <f>IFERROR(VLOOKUP(ATJ$1,'Renta Fija Mixta + Metales Agre'!$B$22:$C$35,2,FALSE),0%)</f>
        <v>0</v>
      </c>
      <c r="ATK6" s="5">
        <f>IFERROR(VLOOKUP(ATK$1,'Renta Fija Mixta + Metales Agre'!$B$22:$C$35,2,FALSE),0%)</f>
        <v>0</v>
      </c>
      <c r="ATL6" s="5">
        <f>IFERROR(VLOOKUP(ATL$1,'Renta Fija Mixta + Metales Agre'!$B$22:$C$35,2,FALSE),0%)</f>
        <v>0</v>
      </c>
      <c r="ATM6" s="5">
        <f>IFERROR(VLOOKUP(ATM$1,'Renta Fija Mixta + Metales Agre'!$B$22:$C$35,2,FALSE),0%)</f>
        <v>0</v>
      </c>
      <c r="ATN6" s="5">
        <f>IFERROR(VLOOKUP(ATN$1,'Renta Fija Mixta + Metales Agre'!$B$22:$C$35,2,FALSE),0%)</f>
        <v>0</v>
      </c>
      <c r="ATO6" s="5">
        <f>IFERROR(VLOOKUP(ATO$1,'Renta Fija Mixta + Metales Agre'!$B$22:$C$35,2,FALSE),0%)</f>
        <v>0</v>
      </c>
      <c r="ATP6" s="5">
        <f>IFERROR(VLOOKUP(ATP$1,'Renta Fija Mixta + Metales Agre'!$B$22:$C$35,2,FALSE),0%)</f>
        <v>0</v>
      </c>
      <c r="ATQ6" s="5">
        <f>IFERROR(VLOOKUP(ATQ$1,'Renta Fija Mixta + Metales Agre'!$B$22:$C$35,2,FALSE),0%)</f>
        <v>0</v>
      </c>
      <c r="ATR6" s="5">
        <f>IFERROR(VLOOKUP(ATR$1,'Renta Fija Mixta + Metales Agre'!$B$22:$C$35,2,FALSE),0%)</f>
        <v>0</v>
      </c>
      <c r="ATS6" s="5">
        <f>IFERROR(VLOOKUP(ATS$1,'Renta Fija Mixta + Metales Agre'!$B$22:$C$35,2,FALSE),0%)</f>
        <v>0</v>
      </c>
      <c r="ATT6" s="5">
        <f>IFERROR(VLOOKUP(ATT$1,'Renta Fija Mixta + Metales Agre'!$B$22:$C$35,2,FALSE),0%)</f>
        <v>0</v>
      </c>
      <c r="ATU6" s="5">
        <f>IFERROR(VLOOKUP(ATU$1,'Renta Fija Mixta + Metales Agre'!$B$22:$C$35,2,FALSE),0%)</f>
        <v>0</v>
      </c>
      <c r="ATV6" s="5">
        <f>IFERROR(VLOOKUP(ATV$1,'Renta Fija Mixta + Metales Agre'!$B$22:$C$35,2,FALSE),0%)</f>
        <v>0</v>
      </c>
      <c r="ATW6" s="5">
        <f>IFERROR(VLOOKUP(ATW$1,'Renta Fija Mixta + Metales Agre'!$B$22:$C$35,2,FALSE),0%)</f>
        <v>0</v>
      </c>
      <c r="ATX6" s="5">
        <f>IFERROR(VLOOKUP(ATX$1,'Renta Fija Mixta + Metales Agre'!$B$22:$C$35,2,FALSE),0%)</f>
        <v>0</v>
      </c>
      <c r="ATY6" s="5">
        <f>IFERROR(VLOOKUP(ATY$1,'Renta Fija Mixta + Metales Agre'!$B$22:$C$35,2,FALSE),0%)</f>
        <v>0</v>
      </c>
      <c r="ATZ6" s="5">
        <f>IFERROR(VLOOKUP(ATZ$1,'Renta Fija Mixta + Metales Agre'!$B$22:$C$35,2,FALSE),0%)</f>
        <v>0</v>
      </c>
      <c r="AUA6" s="5">
        <f>IFERROR(VLOOKUP(AUA$1,'Renta Fija Mixta + Metales Agre'!$B$22:$C$35,2,FALSE),0%)</f>
        <v>0</v>
      </c>
      <c r="AUB6" s="5">
        <f>IFERROR(VLOOKUP(AUB$1,'Renta Fija Mixta + Metales Agre'!$B$22:$C$35,2,FALSE),0%)</f>
        <v>0</v>
      </c>
      <c r="AUC6" s="5">
        <f>IFERROR(VLOOKUP(AUC$1,'Renta Fija Mixta + Metales Agre'!$B$22:$C$35,2,FALSE),0%)</f>
        <v>0</v>
      </c>
      <c r="AUD6" s="5">
        <f>IFERROR(VLOOKUP(AUD$1,'Renta Fija Mixta + Metales Agre'!$B$22:$C$35,2,FALSE),0%)</f>
        <v>0</v>
      </c>
      <c r="AUE6" s="5">
        <f>IFERROR(VLOOKUP(AUE$1,'Renta Fija Mixta + Metales Agre'!$B$22:$C$35,2,FALSE),0%)</f>
        <v>0</v>
      </c>
      <c r="AUF6" s="5">
        <f>IFERROR(VLOOKUP(AUF$1,'Renta Fija Mixta + Metales Agre'!$B$22:$C$35,2,FALSE),0%)</f>
        <v>0</v>
      </c>
      <c r="AUG6" s="5">
        <f>IFERROR(VLOOKUP(AUG$1,'Renta Fija Mixta + Metales Agre'!$B$22:$C$35,2,FALSE),0%)</f>
        <v>0</v>
      </c>
      <c r="AUH6" s="5">
        <f>IFERROR(VLOOKUP(AUH$1,'Renta Fija Mixta + Metales Agre'!$B$22:$C$35,2,FALSE),0%)</f>
        <v>0</v>
      </c>
      <c r="AUI6" s="5">
        <f>IFERROR(VLOOKUP(AUI$1,'Renta Fija Mixta + Metales Agre'!$B$22:$C$35,2,FALSE),0%)</f>
        <v>0</v>
      </c>
      <c r="AUJ6" s="5">
        <f>IFERROR(VLOOKUP(AUJ$1,'Renta Fija Mixta + Metales Agre'!$B$22:$C$35,2,FALSE),0%)</f>
        <v>0</v>
      </c>
      <c r="AUK6" s="5">
        <f>IFERROR(VLOOKUP(AUK$1,'Renta Fija Mixta + Metales Agre'!$B$22:$C$35,2,FALSE),0%)</f>
        <v>0</v>
      </c>
      <c r="AUL6" s="5">
        <f>IFERROR(VLOOKUP(AUL$1,'Renta Fija Mixta + Metales Agre'!$B$22:$C$35,2,FALSE),0%)</f>
        <v>0</v>
      </c>
      <c r="AUM6" s="5">
        <f>IFERROR(VLOOKUP(AUM$1,'Renta Fija Mixta + Metales Agre'!$B$22:$C$35,2,FALSE),0%)</f>
        <v>0</v>
      </c>
      <c r="AUN6" s="5">
        <f>IFERROR(VLOOKUP(AUN$1,'Renta Fija Mixta + Metales Agre'!$B$22:$C$35,2,FALSE),0%)</f>
        <v>0</v>
      </c>
      <c r="AUO6" s="5">
        <f>IFERROR(VLOOKUP(AUO$1,'Renta Fija Mixta + Metales Agre'!$B$22:$C$35,2,FALSE),0%)</f>
        <v>0</v>
      </c>
      <c r="AUP6" s="5">
        <f>IFERROR(VLOOKUP(AUP$1,'Renta Fija Mixta + Metales Agre'!$B$22:$C$35,2,FALSE),0%)</f>
        <v>0</v>
      </c>
      <c r="AUQ6" s="5">
        <f>IFERROR(VLOOKUP(AUQ$1,'Renta Fija Mixta + Metales Agre'!$B$22:$C$35,2,FALSE),0%)</f>
        <v>0</v>
      </c>
      <c r="AUR6" s="5">
        <f>IFERROR(VLOOKUP(AUR$1,'Renta Fija Mixta + Metales Agre'!$B$22:$C$35,2,FALSE),0%)</f>
        <v>0</v>
      </c>
      <c r="AUS6" s="5">
        <f>IFERROR(VLOOKUP(AUS$1,'Renta Fija Mixta + Metales Agre'!$B$22:$C$35,2,FALSE),0%)</f>
        <v>0</v>
      </c>
      <c r="AUT6" s="5">
        <f>IFERROR(VLOOKUP(AUT$1,'Renta Fija Mixta + Metales Agre'!$B$22:$C$35,2,FALSE),0%)</f>
        <v>0</v>
      </c>
      <c r="AUU6" s="5">
        <f>IFERROR(VLOOKUP(AUU$1,'Renta Fija Mixta + Metales Agre'!$B$22:$C$35,2,FALSE),0%)</f>
        <v>0</v>
      </c>
      <c r="AUV6" s="5">
        <f>IFERROR(VLOOKUP(AUV$1,'Renta Fija Mixta + Metales Agre'!$B$22:$C$35,2,FALSE),0%)</f>
        <v>0</v>
      </c>
      <c r="AUW6" s="5">
        <f>IFERROR(VLOOKUP(AUW$1,'Renta Fija Mixta + Metales Agre'!$B$22:$C$35,2,FALSE),0%)</f>
        <v>0</v>
      </c>
      <c r="AUX6" s="5">
        <f>IFERROR(VLOOKUP(AUX$1,'Renta Fija Mixta + Metales Agre'!$B$22:$C$35,2,FALSE),0%)</f>
        <v>0</v>
      </c>
      <c r="AUY6" s="5">
        <f>IFERROR(VLOOKUP(AUY$1,'Renta Fija Mixta + Metales Agre'!$B$22:$C$35,2,FALSE),0%)</f>
        <v>0</v>
      </c>
      <c r="AUZ6" s="5">
        <f>IFERROR(VLOOKUP(AUZ$1,'Renta Fija Mixta + Metales Agre'!$B$22:$C$35,2,FALSE),0%)</f>
        <v>0</v>
      </c>
      <c r="AVA6" s="5">
        <f>IFERROR(VLOOKUP(AVA$1,'Renta Fija Mixta + Metales Agre'!$B$22:$C$35,2,FALSE),0%)</f>
        <v>0</v>
      </c>
      <c r="AVB6" s="5">
        <f>IFERROR(VLOOKUP(AVB$1,'Renta Fija Mixta + Metales Agre'!$B$22:$C$35,2,FALSE),0%)</f>
        <v>0</v>
      </c>
      <c r="AVC6" s="5">
        <f>IFERROR(VLOOKUP(AVC$1,'Renta Fija Mixta + Metales Agre'!$B$22:$C$35,2,FALSE),0%)</f>
        <v>0</v>
      </c>
      <c r="AVD6" s="5">
        <f>IFERROR(VLOOKUP(AVD$1,'Renta Fija Mixta + Metales Agre'!$B$22:$C$35,2,FALSE),0%)</f>
        <v>0</v>
      </c>
      <c r="AVE6" s="5">
        <f>IFERROR(VLOOKUP(AVE$1,'Renta Fija Mixta + Metales Agre'!$B$22:$C$35,2,FALSE),0%)</f>
        <v>0</v>
      </c>
      <c r="AVF6" s="5">
        <f>IFERROR(VLOOKUP(AVF$1,'Renta Fija Mixta + Metales Agre'!$B$22:$C$35,2,FALSE),0%)</f>
        <v>0</v>
      </c>
      <c r="AVG6" s="5">
        <f>IFERROR(VLOOKUP(AVG$1,'Renta Fija Mixta + Metales Agre'!$B$22:$C$35,2,FALSE),0%)</f>
        <v>0</v>
      </c>
      <c r="AVH6" s="5">
        <f>IFERROR(VLOOKUP(AVH$1,'Renta Fija Mixta + Metales Agre'!$B$22:$C$35,2,FALSE),0%)</f>
        <v>0</v>
      </c>
      <c r="AVI6" s="5">
        <f>IFERROR(VLOOKUP(AVI$1,'Renta Fija Mixta + Metales Agre'!$B$22:$C$35,2,FALSE),0%)</f>
        <v>0</v>
      </c>
      <c r="AVJ6" s="5">
        <f>IFERROR(VLOOKUP(AVJ$1,'Renta Fija Mixta + Metales Agre'!$B$22:$C$35,2,FALSE),0%)</f>
        <v>0</v>
      </c>
      <c r="AVK6" s="5">
        <f>IFERROR(VLOOKUP(AVK$1,'Renta Fija Mixta + Metales Agre'!$B$22:$C$35,2,FALSE),0%)</f>
        <v>0</v>
      </c>
      <c r="AVL6" s="5">
        <f>IFERROR(VLOOKUP(AVL$1,'Renta Fija Mixta + Metales Agre'!$B$22:$C$35,2,FALSE),0%)</f>
        <v>0</v>
      </c>
      <c r="AVM6" s="5">
        <f>IFERROR(VLOOKUP(AVM$1,'Renta Fija Mixta + Metales Agre'!$B$22:$C$35,2,FALSE),0%)</f>
        <v>0</v>
      </c>
      <c r="AVN6" s="5">
        <f>IFERROR(VLOOKUP(AVN$1,'Renta Fija Mixta + Metales Agre'!$B$22:$C$35,2,FALSE),0%)</f>
        <v>0</v>
      </c>
      <c r="AVO6" s="5">
        <f>IFERROR(VLOOKUP(AVO$1,'Renta Fija Mixta + Metales Agre'!$B$22:$C$35,2,FALSE),0%)</f>
        <v>0</v>
      </c>
      <c r="AVP6" s="5">
        <f>IFERROR(VLOOKUP(AVP$1,'Renta Fija Mixta + Metales Agre'!$B$22:$C$35,2,FALSE),0%)</f>
        <v>0</v>
      </c>
      <c r="AVQ6" s="5">
        <f>IFERROR(VLOOKUP(AVQ$1,'Renta Fija Mixta + Metales Agre'!$B$22:$C$35,2,FALSE),0%)</f>
        <v>0</v>
      </c>
      <c r="AVR6" s="5">
        <f>IFERROR(VLOOKUP(AVR$1,'Renta Fija Mixta + Metales Agre'!$B$22:$C$35,2,FALSE),0%)</f>
        <v>0</v>
      </c>
      <c r="AVS6" s="5">
        <f>IFERROR(VLOOKUP(AVS$1,'Renta Fija Mixta + Metales Agre'!$B$22:$C$35,2,FALSE),0%)</f>
        <v>0</v>
      </c>
      <c r="AVT6" s="5">
        <f>IFERROR(VLOOKUP(AVT$1,'Renta Fija Mixta + Metales Agre'!$B$22:$C$35,2,FALSE),0%)</f>
        <v>0</v>
      </c>
      <c r="AVU6" s="5">
        <f>IFERROR(VLOOKUP(AVU$1,'Renta Fija Mixta + Metales Agre'!$B$22:$C$35,2,FALSE),0%)</f>
        <v>0</v>
      </c>
      <c r="AVV6" s="5">
        <f>IFERROR(VLOOKUP(AVV$1,'Renta Fija Mixta + Metales Agre'!$B$22:$C$35,2,FALSE),0%)</f>
        <v>0</v>
      </c>
      <c r="AVW6" s="5">
        <f>IFERROR(VLOOKUP(AVW$1,'Renta Fija Mixta + Metales Agre'!$B$22:$C$35,2,FALSE),0%)</f>
        <v>0</v>
      </c>
      <c r="AVX6" s="5">
        <f>IFERROR(VLOOKUP(AVX$1,'Renta Fija Mixta + Metales Agre'!$B$22:$C$35,2,FALSE),0%)</f>
        <v>0</v>
      </c>
      <c r="AVY6" s="5">
        <f>IFERROR(VLOOKUP(AVY$1,'Renta Fija Mixta + Metales Agre'!$B$22:$C$35,2,FALSE),0%)</f>
        <v>0</v>
      </c>
      <c r="AVZ6" s="5">
        <f>IFERROR(VLOOKUP(AVZ$1,'Renta Fija Mixta + Metales Agre'!$B$22:$C$35,2,FALSE),0%)</f>
        <v>0</v>
      </c>
      <c r="AWA6" s="5">
        <f>IFERROR(VLOOKUP(AWA$1,'Renta Fija Mixta + Metales Agre'!$B$22:$C$35,2,FALSE),0%)</f>
        <v>0</v>
      </c>
      <c r="AWB6" s="5">
        <f>IFERROR(VLOOKUP(AWB$1,'Renta Fija Mixta + Metales Agre'!$B$22:$C$35,2,FALSE),0%)</f>
        <v>0</v>
      </c>
      <c r="AWC6" s="5">
        <f>IFERROR(VLOOKUP(AWC$1,'Renta Fija Mixta + Metales Agre'!$B$22:$C$35,2,FALSE),0%)</f>
        <v>0</v>
      </c>
      <c r="AWD6" s="5">
        <f>IFERROR(VLOOKUP(AWD$1,'Renta Fija Mixta + Metales Agre'!$B$22:$C$35,2,FALSE),0%)</f>
        <v>0</v>
      </c>
      <c r="AWE6" s="5">
        <f>IFERROR(VLOOKUP(AWE$1,'Renta Fija Mixta + Metales Agre'!$B$22:$C$35,2,FALSE),0%)</f>
        <v>0</v>
      </c>
      <c r="AWF6" s="5">
        <f>IFERROR(VLOOKUP(AWF$1,'Renta Fija Mixta + Metales Agre'!$B$22:$C$35,2,FALSE),0%)</f>
        <v>0</v>
      </c>
      <c r="AWG6" s="5">
        <f>IFERROR(VLOOKUP(AWG$1,'Renta Fija Mixta + Metales Agre'!$B$22:$C$35,2,FALSE),0%)</f>
        <v>0</v>
      </c>
      <c r="AWH6" s="5">
        <f>IFERROR(VLOOKUP(AWH$1,'Renta Fija Mixta + Metales Agre'!$B$22:$C$35,2,FALSE),0%)</f>
        <v>0</v>
      </c>
      <c r="AWI6" s="5">
        <f>IFERROR(VLOOKUP(AWI$1,'Renta Fija Mixta + Metales Agre'!$B$22:$C$35,2,FALSE),0%)</f>
        <v>0</v>
      </c>
      <c r="AWJ6" s="5">
        <f>IFERROR(VLOOKUP(AWJ$1,'Renta Fija Mixta + Metales Agre'!$B$22:$C$35,2,FALSE),0%)</f>
        <v>0</v>
      </c>
      <c r="AWK6" s="5">
        <f>IFERROR(VLOOKUP(AWK$1,'Renta Fija Mixta + Metales Agre'!$B$22:$C$35,2,FALSE),0%)</f>
        <v>0</v>
      </c>
      <c r="AWL6" s="5">
        <f>IFERROR(VLOOKUP(AWL$1,'Renta Fija Mixta + Metales Agre'!$B$22:$C$35,2,FALSE),0%)</f>
        <v>0</v>
      </c>
      <c r="AWM6" s="5">
        <f>IFERROR(VLOOKUP(AWM$1,'Renta Fija Mixta + Metales Agre'!$B$22:$C$35,2,FALSE),0%)</f>
        <v>0</v>
      </c>
      <c r="AWN6" s="5">
        <f>IFERROR(VLOOKUP(AWN$1,'Renta Fija Mixta + Metales Agre'!$B$22:$C$35,2,FALSE),0%)</f>
        <v>0</v>
      </c>
      <c r="AWO6" s="5">
        <f>IFERROR(VLOOKUP(AWO$1,'Renta Fija Mixta + Metales Agre'!$B$22:$C$35,2,FALSE),0%)</f>
        <v>0</v>
      </c>
      <c r="AWP6" s="5">
        <f>IFERROR(VLOOKUP(AWP$1,'Renta Fija Mixta + Metales Agre'!$B$22:$C$35,2,FALSE),0%)</f>
        <v>0</v>
      </c>
      <c r="AWQ6" s="5">
        <f>IFERROR(VLOOKUP(AWQ$1,'Renta Fija Mixta + Metales Agre'!$B$22:$C$35,2,FALSE),0%)</f>
        <v>0</v>
      </c>
      <c r="AWR6" s="5">
        <f>IFERROR(VLOOKUP(AWR$1,'Renta Fija Mixta + Metales Agre'!$B$22:$C$35,2,FALSE),0%)</f>
        <v>0</v>
      </c>
      <c r="AWS6" s="5">
        <f>IFERROR(VLOOKUP(AWS$1,'Renta Fija Mixta + Metales Agre'!$B$22:$C$35,2,FALSE),0%)</f>
        <v>0</v>
      </c>
      <c r="AWT6" s="5">
        <f>IFERROR(VLOOKUP(AWT$1,'Renta Fija Mixta + Metales Agre'!$B$22:$C$35,2,FALSE),0%)</f>
        <v>0</v>
      </c>
      <c r="AWU6" s="5">
        <f>IFERROR(VLOOKUP(AWU$1,'Renta Fija Mixta + Metales Agre'!$B$22:$C$35,2,FALSE),0%)</f>
        <v>0</v>
      </c>
      <c r="AWV6" s="5">
        <f>IFERROR(VLOOKUP(AWV$1,'Renta Fija Mixta + Metales Agre'!$B$22:$C$35,2,FALSE),0%)</f>
        <v>0</v>
      </c>
      <c r="AWW6" s="5">
        <f>IFERROR(VLOOKUP(AWW$1,'Renta Fija Mixta + Metales Agre'!$B$22:$C$35,2,FALSE),0%)</f>
        <v>0</v>
      </c>
      <c r="AWX6" s="5">
        <f>IFERROR(VLOOKUP(AWX$1,'Renta Fija Mixta + Metales Agre'!$B$22:$C$35,2,FALSE),0%)</f>
        <v>0</v>
      </c>
      <c r="AWY6" s="5">
        <f>IFERROR(VLOOKUP(AWY$1,'Renta Fija Mixta + Metales Agre'!$B$22:$C$35,2,FALSE),0%)</f>
        <v>0</v>
      </c>
      <c r="AWZ6" s="5">
        <f>IFERROR(VLOOKUP(AWZ$1,'Renta Fija Mixta + Metales Agre'!$B$22:$C$35,2,FALSE),0%)</f>
        <v>0</v>
      </c>
      <c r="AXA6" s="5">
        <f>IFERROR(VLOOKUP(AXA$1,'Renta Fija Mixta + Metales Agre'!$B$22:$C$35,2,FALSE),0%)</f>
        <v>0</v>
      </c>
      <c r="AXB6" s="5">
        <f>IFERROR(VLOOKUP(AXB$1,'Renta Fija Mixta + Metales Agre'!$B$22:$C$35,2,FALSE),0%)</f>
        <v>0</v>
      </c>
      <c r="AXC6" s="5">
        <f>IFERROR(VLOOKUP(AXC$1,'Renta Fija Mixta + Metales Agre'!$B$22:$C$35,2,FALSE),0%)</f>
        <v>0</v>
      </c>
      <c r="AXD6" s="5">
        <f>IFERROR(VLOOKUP(AXD$1,'Renta Fija Mixta + Metales Agre'!$B$22:$C$35,2,FALSE),0%)</f>
        <v>0</v>
      </c>
      <c r="AXE6" s="5">
        <f>IFERROR(VLOOKUP(AXE$1,'Renta Fija Mixta + Metales Agre'!$B$22:$C$35,2,FALSE),0%)</f>
        <v>0</v>
      </c>
      <c r="AXF6" s="5">
        <f>IFERROR(VLOOKUP(AXF$1,'Renta Fija Mixta + Metales Agre'!$B$22:$C$35,2,FALSE),0%)</f>
        <v>0</v>
      </c>
      <c r="AXG6" s="5">
        <f>IFERROR(VLOOKUP(AXG$1,'Renta Fija Mixta + Metales Agre'!$B$22:$C$35,2,FALSE),0%)</f>
        <v>0</v>
      </c>
      <c r="AXH6" s="5">
        <f>IFERROR(VLOOKUP(AXH$1,'Renta Fija Mixta + Metales Agre'!$B$22:$C$35,2,FALSE),0%)</f>
        <v>0</v>
      </c>
      <c r="AXI6" s="5">
        <f>IFERROR(VLOOKUP(AXI$1,'Renta Fija Mixta + Metales Agre'!$B$22:$C$35,2,FALSE),0%)</f>
        <v>0</v>
      </c>
      <c r="AXJ6" s="5">
        <f>IFERROR(VLOOKUP(AXJ$1,'Renta Fija Mixta + Metales Agre'!$B$22:$C$35,2,FALSE),0%)</f>
        <v>0</v>
      </c>
      <c r="AXK6" s="5">
        <f>IFERROR(VLOOKUP(AXK$1,'Renta Fija Mixta + Metales Agre'!$B$22:$C$35,2,FALSE),0%)</f>
        <v>0</v>
      </c>
      <c r="AXL6" s="5">
        <f>IFERROR(VLOOKUP(AXL$1,'Renta Fija Mixta + Metales Agre'!$B$22:$C$35,2,FALSE),0%)</f>
        <v>0</v>
      </c>
      <c r="AXM6" s="5">
        <f>IFERROR(VLOOKUP(AXM$1,'Renta Fija Mixta + Metales Agre'!$B$22:$C$35,2,FALSE),0%)</f>
        <v>0</v>
      </c>
      <c r="AXN6" s="5">
        <f>IFERROR(VLOOKUP(AXN$1,'Renta Fija Mixta + Metales Agre'!$B$22:$C$35,2,FALSE),0%)</f>
        <v>0</v>
      </c>
      <c r="AXO6" s="5">
        <f>IFERROR(VLOOKUP(AXO$1,'Renta Fija Mixta + Metales Agre'!$B$22:$C$35,2,FALSE),0%)</f>
        <v>0</v>
      </c>
      <c r="AXP6" s="5">
        <f>IFERROR(VLOOKUP(AXP$1,'Renta Fija Mixta + Metales Agre'!$B$22:$C$35,2,FALSE),0%)</f>
        <v>0</v>
      </c>
      <c r="AXQ6" s="5">
        <f>IFERROR(VLOOKUP(AXQ$1,'Renta Fija Mixta + Metales Agre'!$B$22:$C$35,2,FALSE),0%)</f>
        <v>0</v>
      </c>
      <c r="AXR6" s="5">
        <f>IFERROR(VLOOKUP(AXR$1,'Renta Fija Mixta + Metales Agre'!$B$22:$C$35,2,FALSE),0%)</f>
        <v>0</v>
      </c>
      <c r="AXS6" s="5">
        <f>IFERROR(VLOOKUP(AXS$1,'Renta Fija Mixta + Metales Agre'!$B$22:$C$35,2,FALSE),0%)</f>
        <v>0</v>
      </c>
      <c r="AXT6" s="5">
        <f>IFERROR(VLOOKUP(AXT$1,'Renta Fija Mixta + Metales Agre'!$B$22:$C$35,2,FALSE),0%)</f>
        <v>0</v>
      </c>
      <c r="AXU6" s="5">
        <f>IFERROR(VLOOKUP(AXU$1,'Renta Fija Mixta + Metales Agre'!$B$22:$C$35,2,FALSE),0%)</f>
        <v>0</v>
      </c>
      <c r="AXV6" s="5">
        <f>IFERROR(VLOOKUP(AXV$1,'Renta Fija Mixta + Metales Agre'!$B$22:$C$35,2,FALSE),0%)</f>
        <v>0</v>
      </c>
      <c r="AXW6" s="5">
        <f>IFERROR(VLOOKUP(AXW$1,'Renta Fija Mixta + Metales Agre'!$B$22:$C$35,2,FALSE),0%)</f>
        <v>0</v>
      </c>
      <c r="AXX6" s="5">
        <f>IFERROR(VLOOKUP(AXX$1,'Renta Fija Mixta + Metales Agre'!$B$22:$C$35,2,FALSE),0%)</f>
        <v>0</v>
      </c>
      <c r="AXY6" s="5">
        <f>IFERROR(VLOOKUP(AXY$1,'Renta Fija Mixta + Metales Agre'!$B$22:$C$35,2,FALSE),0%)</f>
        <v>0</v>
      </c>
      <c r="AXZ6" s="5">
        <f>IFERROR(VLOOKUP(AXZ$1,'Renta Fija Mixta + Metales Agre'!$B$22:$C$35,2,FALSE),0%)</f>
        <v>0</v>
      </c>
      <c r="AYA6" s="5">
        <f>IFERROR(VLOOKUP(AYA$1,'Renta Fija Mixta + Metales Agre'!$B$22:$C$35,2,FALSE),0%)</f>
        <v>0</v>
      </c>
      <c r="AYB6" s="5">
        <f>IFERROR(VLOOKUP(AYB$1,'Renta Fija Mixta + Metales Agre'!$B$22:$C$35,2,FALSE),0%)</f>
        <v>0</v>
      </c>
      <c r="AYC6" s="5">
        <f>IFERROR(VLOOKUP(AYC$1,'Renta Fija Mixta + Metales Agre'!$B$22:$C$35,2,FALSE),0%)</f>
        <v>0</v>
      </c>
      <c r="AYD6" s="5">
        <f>IFERROR(VLOOKUP(AYD$1,'Renta Fija Mixta + Metales Agre'!$B$22:$C$35,2,FALSE),0%)</f>
        <v>0</v>
      </c>
      <c r="AYE6" s="5">
        <f>IFERROR(VLOOKUP(AYE$1,'Renta Fija Mixta + Metales Agre'!$B$22:$C$35,2,FALSE),0%)</f>
        <v>0</v>
      </c>
      <c r="AYF6" s="5">
        <f>IFERROR(VLOOKUP(AYF$1,'Renta Fija Mixta + Metales Agre'!$B$22:$C$35,2,FALSE),0%)</f>
        <v>0</v>
      </c>
      <c r="AYG6" s="5">
        <f>IFERROR(VLOOKUP(AYG$1,'Renta Fija Mixta + Metales Agre'!$B$22:$C$35,2,FALSE),0%)</f>
        <v>0</v>
      </c>
      <c r="AYH6" s="5">
        <f>IFERROR(VLOOKUP(AYH$1,'Renta Fija Mixta + Metales Agre'!$B$22:$C$35,2,FALSE),0%)</f>
        <v>0</v>
      </c>
      <c r="AYI6" s="5">
        <f>IFERROR(VLOOKUP(AYI$1,'Renta Fija Mixta + Metales Agre'!$B$22:$C$35,2,FALSE),0%)</f>
        <v>0</v>
      </c>
      <c r="AYJ6" s="5">
        <f>IFERROR(VLOOKUP(AYJ$1,'Renta Fija Mixta + Metales Agre'!$B$22:$C$35,2,FALSE),0%)</f>
        <v>0</v>
      </c>
      <c r="AYK6" s="5">
        <f>IFERROR(VLOOKUP(AYK$1,'Renta Fija Mixta + Metales Agre'!$B$22:$C$35,2,FALSE),0%)</f>
        <v>0</v>
      </c>
      <c r="AYL6" s="5">
        <f>IFERROR(VLOOKUP(AYL$1,'Renta Fija Mixta + Metales Agre'!$B$22:$C$35,2,FALSE),0%)</f>
        <v>0</v>
      </c>
      <c r="AYM6" s="5">
        <f>IFERROR(VLOOKUP(AYM$1,'Renta Fija Mixta + Metales Agre'!$B$22:$C$35,2,FALSE),0%)</f>
        <v>0</v>
      </c>
      <c r="AYN6" s="5">
        <f>IFERROR(VLOOKUP(AYN$1,'Renta Fija Mixta + Metales Agre'!$B$22:$C$35,2,FALSE),0%)</f>
        <v>0</v>
      </c>
      <c r="AYO6" s="5">
        <f>IFERROR(VLOOKUP(AYO$1,'Renta Fija Mixta + Metales Agre'!$B$22:$C$35,2,FALSE),0%)</f>
        <v>0</v>
      </c>
      <c r="AYP6" s="5">
        <f>IFERROR(VLOOKUP(AYP$1,'Renta Fija Mixta + Metales Agre'!$B$22:$C$35,2,FALSE),0%)</f>
        <v>0</v>
      </c>
      <c r="AYQ6" s="5">
        <f>IFERROR(VLOOKUP(AYQ$1,'Renta Fija Mixta + Metales Agre'!$B$22:$C$35,2,FALSE),0%)</f>
        <v>0</v>
      </c>
      <c r="AYR6" s="5">
        <f>IFERROR(VLOOKUP(AYR$1,'Renta Fija Mixta + Metales Agre'!$B$22:$C$35,2,FALSE),0%)</f>
        <v>0</v>
      </c>
      <c r="AYS6" s="5">
        <f>IFERROR(VLOOKUP(AYS$1,'Renta Fija Mixta + Metales Agre'!$B$22:$C$35,2,FALSE),0%)</f>
        <v>0</v>
      </c>
      <c r="AYT6" s="5">
        <f>IFERROR(VLOOKUP(AYT$1,'Renta Fija Mixta + Metales Agre'!$B$22:$C$35,2,FALSE),0%)</f>
        <v>0</v>
      </c>
      <c r="AYU6" s="5">
        <f>IFERROR(VLOOKUP(AYU$1,'Renta Fija Mixta + Metales Agre'!$B$22:$C$35,2,FALSE),0%)</f>
        <v>0</v>
      </c>
      <c r="AYV6" s="5">
        <f>IFERROR(VLOOKUP(AYV$1,'Renta Fija Mixta + Metales Agre'!$B$22:$C$35,2,FALSE),0%)</f>
        <v>0</v>
      </c>
      <c r="AYW6" s="5">
        <f>IFERROR(VLOOKUP(AYW$1,'Renta Fija Mixta + Metales Agre'!$B$22:$C$35,2,FALSE),0%)</f>
        <v>0</v>
      </c>
      <c r="AYX6" s="5">
        <f>IFERROR(VLOOKUP(AYX$1,'Renta Fija Mixta + Metales Agre'!$B$22:$C$35,2,FALSE),0%)</f>
        <v>0</v>
      </c>
      <c r="AYY6" s="5">
        <f>IFERROR(VLOOKUP(AYY$1,'Renta Fija Mixta + Metales Agre'!$B$22:$C$35,2,FALSE),0%)</f>
        <v>0</v>
      </c>
      <c r="AYZ6" s="5">
        <f>IFERROR(VLOOKUP(AYZ$1,'Renta Fija Mixta + Metales Agre'!$B$22:$C$35,2,FALSE),0%)</f>
        <v>0</v>
      </c>
      <c r="AZA6" s="5">
        <f>IFERROR(VLOOKUP(AZA$1,'Renta Fija Mixta + Metales Agre'!$B$22:$C$35,2,FALSE),0%)</f>
        <v>0</v>
      </c>
      <c r="AZB6" s="5">
        <f>IFERROR(VLOOKUP(AZB$1,'Renta Fija Mixta + Metales Agre'!$B$22:$C$35,2,FALSE),0%)</f>
        <v>0</v>
      </c>
      <c r="AZC6" s="5">
        <f>IFERROR(VLOOKUP(AZC$1,'Renta Fija Mixta + Metales Agre'!$B$22:$C$35,2,FALSE),0%)</f>
        <v>0</v>
      </c>
      <c r="AZD6" s="5">
        <f>IFERROR(VLOOKUP(AZD$1,'Renta Fija Mixta + Metales Agre'!$B$22:$C$35,2,FALSE),0%)</f>
        <v>0</v>
      </c>
      <c r="AZE6" s="5">
        <f>IFERROR(VLOOKUP(AZE$1,'Renta Fija Mixta + Metales Agre'!$B$22:$C$35,2,FALSE),0%)</f>
        <v>0</v>
      </c>
      <c r="AZF6" s="5">
        <f>IFERROR(VLOOKUP(AZF$1,'Renta Fija Mixta + Metales Agre'!$B$22:$C$35,2,FALSE),0%)</f>
        <v>0</v>
      </c>
      <c r="AZG6" s="5">
        <f>IFERROR(VLOOKUP(AZG$1,'Renta Fija Mixta + Metales Agre'!$B$22:$C$35,2,FALSE),0%)</f>
        <v>0</v>
      </c>
      <c r="AZH6" s="5">
        <f>IFERROR(VLOOKUP(AZH$1,'Renta Fija Mixta + Metales Agre'!$B$22:$C$35,2,FALSE),0%)</f>
        <v>0</v>
      </c>
      <c r="AZI6" s="5">
        <f>IFERROR(VLOOKUP(AZI$1,'Renta Fija Mixta + Metales Agre'!$B$22:$C$35,2,FALSE),0%)</f>
        <v>0</v>
      </c>
      <c r="AZJ6" s="5">
        <f>IFERROR(VLOOKUP(AZJ$1,'Renta Fija Mixta + Metales Agre'!$B$22:$C$35,2,FALSE),0%)</f>
        <v>0</v>
      </c>
      <c r="AZK6" s="5">
        <f>IFERROR(VLOOKUP(AZK$1,'Renta Fija Mixta + Metales Agre'!$B$22:$C$35,2,FALSE),0%)</f>
        <v>0</v>
      </c>
      <c r="AZL6" s="5">
        <f>IFERROR(VLOOKUP(AZL$1,'Renta Fija Mixta + Metales Agre'!$B$22:$C$35,2,FALSE),0%)</f>
        <v>0</v>
      </c>
      <c r="AZM6" s="5">
        <f>IFERROR(VLOOKUP(AZM$1,'Renta Fija Mixta + Metales Agre'!$B$22:$C$35,2,FALSE),0%)</f>
        <v>0</v>
      </c>
      <c r="AZN6" s="5">
        <f>IFERROR(VLOOKUP(AZN$1,'Renta Fija Mixta + Metales Agre'!$B$22:$C$35,2,FALSE),0%)</f>
        <v>0</v>
      </c>
      <c r="AZO6" s="5">
        <f>IFERROR(VLOOKUP(AZO$1,'Renta Fija Mixta + Metales Agre'!$B$22:$C$35,2,FALSE),0%)</f>
        <v>0</v>
      </c>
      <c r="AZP6" s="5">
        <f>IFERROR(VLOOKUP(AZP$1,'Renta Fija Mixta + Metales Agre'!$B$22:$C$35,2,FALSE),0%)</f>
        <v>0</v>
      </c>
      <c r="AZQ6" s="5">
        <f>IFERROR(VLOOKUP(AZQ$1,'Renta Fija Mixta + Metales Agre'!$B$22:$C$35,2,FALSE),0%)</f>
        <v>0</v>
      </c>
      <c r="AZR6" s="5">
        <f>IFERROR(VLOOKUP(AZR$1,'Renta Fija Mixta + Metales Agre'!$B$22:$C$35,2,FALSE),0%)</f>
        <v>0</v>
      </c>
      <c r="AZS6" s="5">
        <f>IFERROR(VLOOKUP(AZS$1,'Renta Fija Mixta + Metales Agre'!$B$22:$C$35,2,FALSE),0%)</f>
        <v>0</v>
      </c>
      <c r="AZT6" s="5">
        <f>IFERROR(VLOOKUP(AZT$1,'Renta Fija Mixta + Metales Agre'!$B$22:$C$35,2,FALSE),0%)</f>
        <v>0</v>
      </c>
      <c r="AZU6" s="5">
        <f>IFERROR(VLOOKUP(AZU$1,'Renta Fija Mixta + Metales Agre'!$B$22:$C$35,2,FALSE),0%)</f>
        <v>0</v>
      </c>
      <c r="AZV6" s="5">
        <f>IFERROR(VLOOKUP(AZV$1,'Renta Fija Mixta + Metales Agre'!$B$22:$C$35,2,FALSE),0%)</f>
        <v>0</v>
      </c>
      <c r="AZW6" s="5">
        <f>IFERROR(VLOOKUP(AZW$1,'Renta Fija Mixta + Metales Agre'!$B$22:$C$35,2,FALSE),0%)</f>
        <v>0</v>
      </c>
      <c r="AZX6" s="5">
        <f>IFERROR(VLOOKUP(AZX$1,'Renta Fija Mixta + Metales Agre'!$B$22:$C$35,2,FALSE),0%)</f>
        <v>0</v>
      </c>
      <c r="AZY6" s="5">
        <f>IFERROR(VLOOKUP(AZY$1,'Renta Fija Mixta + Metales Agre'!$B$22:$C$35,2,FALSE),0%)</f>
        <v>0</v>
      </c>
      <c r="AZZ6" s="5">
        <f>IFERROR(VLOOKUP(AZZ$1,'Renta Fija Mixta + Metales Agre'!$B$22:$C$35,2,FALSE),0%)</f>
        <v>0</v>
      </c>
      <c r="BAA6" s="5">
        <f>IFERROR(VLOOKUP(BAA$1,'Renta Fija Mixta + Metales Agre'!$B$22:$C$35,2,FALSE),0%)</f>
        <v>0</v>
      </c>
      <c r="BAB6" s="5">
        <f>IFERROR(VLOOKUP(BAB$1,'Renta Fija Mixta + Metales Agre'!$B$22:$C$35,2,FALSE),0%)</f>
        <v>0</v>
      </c>
      <c r="BAC6" s="5">
        <f>IFERROR(VLOOKUP(BAC$1,'Renta Fija Mixta + Metales Agre'!$B$22:$C$35,2,FALSE),0%)</f>
        <v>0</v>
      </c>
      <c r="BAD6" s="5">
        <f>IFERROR(VLOOKUP(BAD$1,'Renta Fija Mixta + Metales Agre'!$B$22:$C$35,2,FALSE),0%)</f>
        <v>0</v>
      </c>
      <c r="BAE6" s="5">
        <f>IFERROR(VLOOKUP(BAE$1,'Renta Fija Mixta + Metales Agre'!$B$22:$C$35,2,FALSE),0%)</f>
        <v>0</v>
      </c>
      <c r="BAF6" s="5">
        <f>IFERROR(VLOOKUP(BAF$1,'Renta Fija Mixta + Metales Agre'!$B$22:$C$35,2,FALSE),0%)</f>
        <v>0</v>
      </c>
      <c r="BAG6" s="5">
        <f>IFERROR(VLOOKUP(BAG$1,'Renta Fija Mixta + Metales Agre'!$B$22:$C$35,2,FALSE),0%)</f>
        <v>0</v>
      </c>
      <c r="BAH6" s="5">
        <f>IFERROR(VLOOKUP(BAH$1,'Renta Fija Mixta + Metales Agre'!$B$22:$C$35,2,FALSE),0%)</f>
        <v>0</v>
      </c>
      <c r="BAI6" s="5">
        <f>IFERROR(VLOOKUP(BAI$1,'Renta Fija Mixta + Metales Agre'!$B$22:$C$35,2,FALSE),0%)</f>
        <v>0</v>
      </c>
      <c r="BAJ6" s="5">
        <f>IFERROR(VLOOKUP(BAJ$1,'Renta Fija Mixta + Metales Agre'!$B$22:$C$35,2,FALSE),0%)</f>
        <v>0</v>
      </c>
      <c r="BAK6" s="5">
        <f>IFERROR(VLOOKUP(BAK$1,'Renta Fija Mixta + Metales Agre'!$B$22:$C$35,2,FALSE),0%)</f>
        <v>0</v>
      </c>
      <c r="BAL6" s="5">
        <f>IFERROR(VLOOKUP(BAL$1,'Renta Fija Mixta + Metales Agre'!$B$22:$C$35,2,FALSE),0%)</f>
        <v>0</v>
      </c>
      <c r="BAM6" s="5">
        <f>IFERROR(VLOOKUP(BAM$1,'Renta Fija Mixta + Metales Agre'!$B$22:$C$35,2,FALSE),0%)</f>
        <v>0</v>
      </c>
      <c r="BAN6" s="5">
        <f>IFERROR(VLOOKUP(BAN$1,'Renta Fija Mixta + Metales Agre'!$B$22:$C$35,2,FALSE),0%)</f>
        <v>0</v>
      </c>
      <c r="BAO6" s="5">
        <f>IFERROR(VLOOKUP(BAO$1,'Renta Fija Mixta + Metales Agre'!$B$22:$C$35,2,FALSE),0%)</f>
        <v>0</v>
      </c>
      <c r="BAP6" s="5">
        <f>IFERROR(VLOOKUP(BAP$1,'Renta Fija Mixta + Metales Agre'!$B$22:$C$35,2,FALSE),0%)</f>
        <v>0</v>
      </c>
      <c r="BAQ6" s="5">
        <f>IFERROR(VLOOKUP(BAQ$1,'Renta Fija Mixta + Metales Agre'!$B$22:$C$35,2,FALSE),0%)</f>
        <v>0</v>
      </c>
      <c r="BAR6" s="5">
        <f>IFERROR(VLOOKUP(BAR$1,'Renta Fija Mixta + Metales Agre'!$B$22:$C$35,2,FALSE),0%)</f>
        <v>0</v>
      </c>
      <c r="BAS6" s="5">
        <f>IFERROR(VLOOKUP(BAS$1,'Renta Fija Mixta + Metales Agre'!$B$22:$C$35,2,FALSE),0%)</f>
        <v>0</v>
      </c>
      <c r="BAT6" s="5">
        <f>IFERROR(VLOOKUP(BAT$1,'Renta Fija Mixta + Metales Agre'!$B$22:$C$35,2,FALSE),0%)</f>
        <v>0</v>
      </c>
      <c r="BAU6" s="5">
        <f>IFERROR(VLOOKUP(BAU$1,'Renta Fija Mixta + Metales Agre'!$B$22:$C$35,2,FALSE),0%)</f>
        <v>0</v>
      </c>
      <c r="BAV6" s="5">
        <f>IFERROR(VLOOKUP(BAV$1,'Renta Fija Mixta + Metales Agre'!$B$22:$C$35,2,FALSE),0%)</f>
        <v>0</v>
      </c>
      <c r="BAW6" s="5">
        <f>IFERROR(VLOOKUP(BAW$1,'Renta Fija Mixta + Metales Agre'!$B$22:$C$35,2,FALSE),0%)</f>
        <v>0</v>
      </c>
      <c r="BAX6" s="5">
        <f>IFERROR(VLOOKUP(BAX$1,'Renta Fija Mixta + Metales Agre'!$B$22:$C$35,2,FALSE),0%)</f>
        <v>0</v>
      </c>
      <c r="BAY6" s="5">
        <f>IFERROR(VLOOKUP(BAY$1,'Renta Fija Mixta + Metales Agre'!$B$22:$C$35,2,FALSE),0%)</f>
        <v>0</v>
      </c>
      <c r="BAZ6" s="5">
        <f>IFERROR(VLOOKUP(BAZ$1,'Renta Fija Mixta + Metales Agre'!$B$22:$C$35,2,FALSE),0%)</f>
        <v>0</v>
      </c>
      <c r="BBA6" s="5">
        <f>IFERROR(VLOOKUP(BBA$1,'Renta Fija Mixta + Metales Agre'!$B$22:$C$35,2,FALSE),0%)</f>
        <v>0</v>
      </c>
      <c r="BBB6" s="5">
        <f>IFERROR(VLOOKUP(BBB$1,'Renta Fija Mixta + Metales Agre'!$B$22:$C$35,2,FALSE),0%)</f>
        <v>0</v>
      </c>
      <c r="BBC6" s="5">
        <f>IFERROR(VLOOKUP(BBC$1,'Renta Fija Mixta + Metales Agre'!$B$22:$C$35,2,FALSE),0%)</f>
        <v>0</v>
      </c>
      <c r="BBD6" s="5">
        <f>IFERROR(VLOOKUP(BBD$1,'Renta Fija Mixta + Metales Agre'!$B$22:$C$35,2,FALSE),0%)</f>
        <v>0</v>
      </c>
      <c r="BBE6" s="5">
        <f>IFERROR(VLOOKUP(BBE$1,'Renta Fija Mixta + Metales Agre'!$B$22:$C$35,2,FALSE),0%)</f>
        <v>0</v>
      </c>
      <c r="BBF6" s="5">
        <f>IFERROR(VLOOKUP(BBF$1,'Renta Fija Mixta + Metales Agre'!$B$22:$C$35,2,FALSE),0%)</f>
        <v>0</v>
      </c>
      <c r="BBG6" s="5">
        <f>IFERROR(VLOOKUP(BBG$1,'Renta Fija Mixta + Metales Agre'!$B$22:$C$35,2,FALSE),0%)</f>
        <v>0</v>
      </c>
      <c r="BBH6" s="5">
        <f>IFERROR(VLOOKUP(BBH$1,'Renta Fija Mixta + Metales Agre'!$B$22:$C$35,2,FALSE),0%)</f>
        <v>0</v>
      </c>
      <c r="BBI6" s="5">
        <f>IFERROR(VLOOKUP(BBI$1,'Renta Fija Mixta + Metales Agre'!$B$22:$C$35,2,FALSE),0%)</f>
        <v>0</v>
      </c>
      <c r="BBJ6" s="5">
        <f>IFERROR(VLOOKUP(BBJ$1,'Renta Fija Mixta + Metales Agre'!$B$22:$C$35,2,FALSE),0%)</f>
        <v>0</v>
      </c>
      <c r="BBK6" s="5">
        <f>IFERROR(VLOOKUP(BBK$1,'Renta Fija Mixta + Metales Agre'!$B$22:$C$35,2,FALSE),0%)</f>
        <v>0</v>
      </c>
      <c r="BBL6" s="5">
        <f>IFERROR(VLOOKUP(BBL$1,'Renta Fija Mixta + Metales Agre'!$B$22:$C$35,2,FALSE),0%)</f>
        <v>0</v>
      </c>
      <c r="BBM6" s="5">
        <f>IFERROR(VLOOKUP(BBM$1,'Renta Fija Mixta + Metales Agre'!$B$22:$C$35,2,FALSE),0%)</f>
        <v>0</v>
      </c>
      <c r="BBN6" s="5">
        <f>IFERROR(VLOOKUP(BBN$1,'Renta Fija Mixta + Metales Agre'!$B$22:$C$35,2,FALSE),0%)</f>
        <v>0</v>
      </c>
      <c r="BBO6" s="5">
        <f>IFERROR(VLOOKUP(BBO$1,'Renta Fija Mixta + Metales Agre'!$B$22:$C$35,2,FALSE),0%)</f>
        <v>0</v>
      </c>
      <c r="BBP6" s="5">
        <f>IFERROR(VLOOKUP(BBP$1,'Renta Fija Mixta + Metales Agre'!$B$22:$C$35,2,FALSE),0%)</f>
        <v>0</v>
      </c>
      <c r="BBQ6" s="5">
        <f>IFERROR(VLOOKUP(BBQ$1,'Renta Fija Mixta + Metales Agre'!$B$22:$C$35,2,FALSE),0%)</f>
        <v>0</v>
      </c>
      <c r="BBR6" s="5">
        <f>IFERROR(VLOOKUP(BBR$1,'Renta Fija Mixta + Metales Agre'!$B$22:$C$35,2,FALSE),0%)</f>
        <v>0</v>
      </c>
      <c r="BBS6" s="5">
        <f>IFERROR(VLOOKUP(BBS$1,'Renta Fija Mixta + Metales Agre'!$B$22:$C$35,2,FALSE),0%)</f>
        <v>0</v>
      </c>
      <c r="BBT6" s="5">
        <f>IFERROR(VLOOKUP(BBT$1,'Renta Fija Mixta + Metales Agre'!$B$22:$C$35,2,FALSE),0%)</f>
        <v>0</v>
      </c>
      <c r="BBU6" s="5">
        <f>IFERROR(VLOOKUP(BBU$1,'Renta Fija Mixta + Metales Agre'!$B$22:$C$35,2,FALSE),0%)</f>
        <v>0</v>
      </c>
      <c r="BBV6" s="5">
        <f>IFERROR(VLOOKUP(BBV$1,'Renta Fija Mixta + Metales Agre'!$B$22:$C$35,2,FALSE),0%)</f>
        <v>0</v>
      </c>
      <c r="BBW6" s="5">
        <f>IFERROR(VLOOKUP(BBW$1,'Renta Fija Mixta + Metales Agre'!$B$22:$C$35,2,FALSE),0%)</f>
        <v>0</v>
      </c>
      <c r="BBX6" s="5">
        <f>IFERROR(VLOOKUP(BBX$1,'Renta Fija Mixta + Metales Agre'!$B$22:$C$35,2,FALSE),0%)</f>
        <v>0</v>
      </c>
      <c r="BBY6" s="5">
        <f>IFERROR(VLOOKUP(BBY$1,'Renta Fija Mixta + Metales Agre'!$B$22:$C$35,2,FALSE),0%)</f>
        <v>0</v>
      </c>
      <c r="BBZ6" s="5">
        <f>IFERROR(VLOOKUP(BBZ$1,'Renta Fija Mixta + Metales Agre'!$B$22:$C$35,2,FALSE),0%)</f>
        <v>0</v>
      </c>
      <c r="BCA6" s="5">
        <f>IFERROR(VLOOKUP(BCA$1,'Renta Fija Mixta + Metales Agre'!$B$22:$C$35,2,FALSE),0%)</f>
        <v>0</v>
      </c>
      <c r="BCB6" s="5">
        <f>IFERROR(VLOOKUP(BCB$1,'Renta Fija Mixta + Metales Agre'!$B$22:$C$35,2,FALSE),0%)</f>
        <v>0</v>
      </c>
      <c r="BCC6" s="5">
        <f>IFERROR(VLOOKUP(BCC$1,'Renta Fija Mixta + Metales Agre'!$B$22:$C$35,2,FALSE),0%)</f>
        <v>0</v>
      </c>
      <c r="BCD6" s="5">
        <f>IFERROR(VLOOKUP(BCD$1,'Renta Fija Mixta + Metales Agre'!$B$22:$C$35,2,FALSE),0%)</f>
        <v>0</v>
      </c>
      <c r="BCE6" s="5">
        <f>IFERROR(VLOOKUP(BCE$1,'Renta Fija Mixta + Metales Agre'!$B$22:$C$35,2,FALSE),0%)</f>
        <v>0</v>
      </c>
      <c r="BCF6" s="5">
        <f>IFERROR(VLOOKUP(BCF$1,'Renta Fija Mixta + Metales Agre'!$B$22:$C$35,2,FALSE),0%)</f>
        <v>0</v>
      </c>
      <c r="BCG6" s="5">
        <f>IFERROR(VLOOKUP(BCG$1,'Renta Fija Mixta + Metales Agre'!$B$22:$C$35,2,FALSE),0%)</f>
        <v>0</v>
      </c>
      <c r="BCH6" s="5">
        <f>IFERROR(VLOOKUP(BCH$1,'Renta Fija Mixta + Metales Agre'!$B$22:$C$35,2,FALSE),0%)</f>
        <v>0</v>
      </c>
      <c r="BCI6" s="5">
        <f>IFERROR(VLOOKUP(BCI$1,'Renta Fija Mixta + Metales Agre'!$B$22:$C$35,2,FALSE),0%)</f>
        <v>0</v>
      </c>
      <c r="BCJ6" s="5">
        <f>IFERROR(VLOOKUP(BCJ$1,'Renta Fija Mixta + Metales Agre'!$B$22:$C$35,2,FALSE),0%)</f>
        <v>0</v>
      </c>
      <c r="BCK6" s="5">
        <f>IFERROR(VLOOKUP(BCK$1,'Renta Fija Mixta + Metales Agre'!$B$22:$C$35,2,FALSE),0%)</f>
        <v>0</v>
      </c>
      <c r="BCL6" s="5">
        <f>IFERROR(VLOOKUP(BCL$1,'Renta Fija Mixta + Metales Agre'!$B$22:$C$35,2,FALSE),0%)</f>
        <v>0</v>
      </c>
      <c r="BCM6" s="5">
        <f>IFERROR(VLOOKUP(BCM$1,'Renta Fija Mixta + Metales Agre'!$B$22:$C$35,2,FALSE),0%)</f>
        <v>0.0971</v>
      </c>
      <c r="BCN6" s="5">
        <f>IFERROR(VLOOKUP(BCN$1,'Renta Fija Mixta + Metales Agre'!$B$22:$C$35,2,FALSE),0%)</f>
        <v>0</v>
      </c>
      <c r="BCO6" s="5">
        <f>IFERROR(VLOOKUP(BCO$1,'Renta Fija Mixta + Metales Agre'!$B$22:$C$35,2,FALSE),0%)</f>
        <v>0</v>
      </c>
      <c r="BCP6" s="5">
        <f>IFERROR(VLOOKUP(BCP$1,'Renta Fija Mixta + Metales Agre'!$B$22:$C$35,2,FALSE),0%)</f>
        <v>0</v>
      </c>
      <c r="BCQ6" s="5">
        <f>IFERROR(VLOOKUP(BCQ$1,'Renta Fija Mixta + Metales Agre'!$B$22:$C$35,2,FALSE),0%)</f>
        <v>0</v>
      </c>
      <c r="BCR6" s="5">
        <f>IFERROR(VLOOKUP(BCR$1,'Renta Fija Mixta + Metales Agre'!$B$22:$C$35,2,FALSE),0%)</f>
        <v>0</v>
      </c>
      <c r="BCS6" s="5">
        <f>IFERROR(VLOOKUP(BCS$1,'Renta Fija Mixta + Metales Agre'!$B$22:$C$35,2,FALSE),0%)</f>
        <v>0</v>
      </c>
      <c r="BCT6" s="5">
        <f>IFERROR(VLOOKUP(BCT$1,'Renta Fija Mixta + Metales Agre'!$B$22:$C$35,2,FALSE),0%)</f>
        <v>0</v>
      </c>
      <c r="BCU6" s="5">
        <f>IFERROR(VLOOKUP(BCU$1,'Renta Fija Mixta + Metales Agre'!$B$22:$C$35,2,FALSE),0%)</f>
        <v>0</v>
      </c>
      <c r="BCV6" s="5">
        <f>IFERROR(VLOOKUP(BCV$1,'Renta Fija Mixta + Metales Agre'!$B$22:$C$35,2,FALSE),0%)</f>
        <v>0</v>
      </c>
      <c r="BCW6" s="5">
        <f>IFERROR(VLOOKUP(BCW$1,'Renta Fija Mixta + Metales Agre'!$B$22:$C$35,2,FALSE),0%)</f>
        <v>0</v>
      </c>
      <c r="BCX6" s="5">
        <f>IFERROR(VLOOKUP(BCX$1,'Renta Fija Mixta + Metales Agre'!$B$22:$C$35,2,FALSE),0%)</f>
        <v>0</v>
      </c>
      <c r="BCY6" s="5">
        <f>IFERROR(VLOOKUP(BCY$1,'Renta Fija Mixta + Metales Agre'!$B$22:$C$35,2,FALSE),0%)</f>
        <v>0</v>
      </c>
      <c r="BCZ6" s="5">
        <f>IFERROR(VLOOKUP(BCZ$1,'Renta Fija Mixta + Metales Agre'!$B$22:$C$35,2,FALSE),0%)</f>
        <v>0</v>
      </c>
      <c r="BDA6" s="5">
        <f>IFERROR(VLOOKUP(BDA$1,'Renta Fija Mixta + Metales Agre'!$B$22:$C$35,2,FALSE),0%)</f>
        <v>0</v>
      </c>
      <c r="BDB6" s="5">
        <f>IFERROR(VLOOKUP(BDB$1,'Renta Fija Mixta + Metales Agre'!$B$22:$C$35,2,FALSE),0%)</f>
        <v>0</v>
      </c>
      <c r="BDC6" s="5">
        <f>IFERROR(VLOOKUP(BDC$1,'Renta Fija Mixta + Metales Agre'!$B$22:$C$35,2,FALSE),0%)</f>
        <v>0</v>
      </c>
      <c r="BDD6" s="5">
        <f>IFERROR(VLOOKUP(BDD$1,'Renta Fija Mixta + Metales Agre'!$B$22:$C$35,2,FALSE),0%)</f>
        <v>0</v>
      </c>
      <c r="BDE6" s="5">
        <f>IFERROR(VLOOKUP(BDE$1,'Renta Fija Mixta + Metales Agre'!$B$22:$C$35,2,FALSE),0%)</f>
        <v>0</v>
      </c>
      <c r="BDF6" s="5">
        <f>IFERROR(VLOOKUP(BDF$1,'Renta Fija Mixta + Metales Agre'!$B$22:$C$35,2,FALSE),0%)</f>
        <v>0</v>
      </c>
      <c r="BDG6" s="5">
        <f>IFERROR(VLOOKUP(BDG$1,'Renta Fija Mixta + Metales Agre'!$B$22:$C$35,2,FALSE),0%)</f>
        <v>0</v>
      </c>
      <c r="BDH6" s="5">
        <f>IFERROR(VLOOKUP(BDH$1,'Renta Fija Mixta + Metales Agre'!$B$22:$C$35,2,FALSE),0%)</f>
        <v>0</v>
      </c>
      <c r="BDI6" s="5">
        <f>IFERROR(VLOOKUP(BDI$1,'Renta Fija Mixta + Metales Agre'!$B$22:$C$35,2,FALSE),0%)</f>
        <v>0</v>
      </c>
      <c r="BDJ6" s="5">
        <f>IFERROR(VLOOKUP(BDJ$1,'Renta Fija Mixta + Metales Agre'!$B$22:$C$35,2,FALSE),0%)</f>
        <v>0</v>
      </c>
      <c r="BDK6" s="5">
        <f>IFERROR(VLOOKUP(BDK$1,'Renta Fija Mixta + Metales Agre'!$B$22:$C$35,2,FALSE),0%)</f>
        <v>0</v>
      </c>
      <c r="BDL6" s="5">
        <f>IFERROR(VLOOKUP(BDL$1,'Renta Fija Mixta + Metales Agre'!$B$22:$C$35,2,FALSE),0%)</f>
        <v>0</v>
      </c>
      <c r="BDM6" s="5">
        <f>IFERROR(VLOOKUP(BDM$1,'Renta Fija Mixta + Metales Agre'!$B$22:$C$35,2,FALSE),0%)</f>
        <v>0</v>
      </c>
      <c r="BDN6" s="5">
        <f>IFERROR(VLOOKUP(BDN$1,'Renta Fija Mixta + Metales Agre'!$B$22:$C$35,2,FALSE),0%)</f>
        <v>0</v>
      </c>
      <c r="BDO6" s="5">
        <f>IFERROR(VLOOKUP(BDO$1,'Renta Fija Mixta + Metales Agre'!$B$22:$C$35,2,FALSE),0%)</f>
        <v>0</v>
      </c>
      <c r="BDP6" s="5">
        <f>IFERROR(VLOOKUP(BDP$1,'Renta Fija Mixta + Metales Agre'!$B$22:$C$35,2,FALSE),0%)</f>
        <v>0</v>
      </c>
      <c r="BDQ6" s="5">
        <f>IFERROR(VLOOKUP(BDQ$1,'Renta Fija Mixta + Metales Agre'!$B$22:$C$35,2,FALSE),0%)</f>
        <v>0</v>
      </c>
      <c r="BDR6" s="5">
        <f>IFERROR(VLOOKUP(BDR$1,'Renta Fija Mixta + Metales Agre'!$B$22:$C$35,2,FALSE),0%)</f>
        <v>0</v>
      </c>
      <c r="BDS6" s="5">
        <f>IFERROR(VLOOKUP(BDS$1,'Renta Fija Mixta + Metales Agre'!$B$22:$C$35,2,FALSE),0%)</f>
        <v>0</v>
      </c>
      <c r="BDT6" s="5">
        <f>IFERROR(VLOOKUP(BDT$1,'Renta Fija Mixta + Metales Agre'!$B$22:$C$35,2,FALSE),0%)</f>
        <v>0</v>
      </c>
      <c r="BDU6" s="5">
        <f>IFERROR(VLOOKUP(BDU$1,'Renta Fija Mixta + Metales Agre'!$B$22:$C$35,2,FALSE),0%)</f>
        <v>0</v>
      </c>
      <c r="BDV6" s="5">
        <f>IFERROR(VLOOKUP(BDV$1,'Renta Fija Mixta + Metales Agre'!$B$22:$C$35,2,FALSE),0%)</f>
        <v>0</v>
      </c>
      <c r="BDW6" s="5">
        <f>IFERROR(VLOOKUP(BDW$1,'Renta Fija Mixta + Metales Agre'!$B$22:$C$35,2,FALSE),0%)</f>
        <v>0</v>
      </c>
      <c r="BDX6" s="5">
        <f>IFERROR(VLOOKUP(BDX$1,'Renta Fija Mixta + Metales Agre'!$B$22:$C$35,2,FALSE),0%)</f>
        <v>0</v>
      </c>
      <c r="BDY6" s="5">
        <f>IFERROR(VLOOKUP(BDY$1,'Renta Fija Mixta + Metales Agre'!$B$22:$C$35,2,FALSE),0%)</f>
        <v>0</v>
      </c>
      <c r="BDZ6" s="5">
        <f>IFERROR(VLOOKUP(BDZ$1,'Renta Fija Mixta + Metales Agre'!$B$22:$C$35,2,FALSE),0%)</f>
        <v>0</v>
      </c>
      <c r="BEA6" s="5">
        <f>IFERROR(VLOOKUP(BEA$1,'Renta Fija Mixta + Metales Agre'!$B$22:$C$35,2,FALSE),0%)</f>
        <v>0</v>
      </c>
      <c r="BEB6" s="5">
        <f>IFERROR(VLOOKUP(BEB$1,'Renta Fija Mixta + Metales Agre'!$B$22:$C$35,2,FALSE),0%)</f>
        <v>0</v>
      </c>
      <c r="BEC6" s="5">
        <f>IFERROR(VLOOKUP(BEC$1,'Renta Fija Mixta + Metales Agre'!$B$22:$C$35,2,FALSE),0%)</f>
        <v>0</v>
      </c>
      <c r="BED6" s="5">
        <f>IFERROR(VLOOKUP(BED$1,'Renta Fija Mixta + Metales Agre'!$B$22:$C$35,2,FALSE),0%)</f>
        <v>0</v>
      </c>
      <c r="BEE6" s="5">
        <f>IFERROR(VLOOKUP(BEE$1,'Renta Fija Mixta + Metales Agre'!$B$22:$C$35,2,FALSE),0%)</f>
        <v>0</v>
      </c>
      <c r="BEF6" s="5">
        <f>IFERROR(VLOOKUP(BEF$1,'Renta Fija Mixta + Metales Agre'!$B$22:$C$35,2,FALSE),0%)</f>
        <v>0</v>
      </c>
      <c r="BEG6" s="5">
        <f>IFERROR(VLOOKUP(BEG$1,'Renta Fija Mixta + Metales Agre'!$B$22:$C$35,2,FALSE),0%)</f>
        <v>0</v>
      </c>
      <c r="BEH6" s="5">
        <f>IFERROR(VLOOKUP(BEH$1,'Renta Fija Mixta + Metales Agre'!$B$22:$C$35,2,FALSE),0%)</f>
        <v>0</v>
      </c>
      <c r="BEI6" s="5">
        <f>IFERROR(VLOOKUP(BEI$1,'Renta Fija Mixta + Metales Agre'!$B$22:$C$35,2,FALSE),0%)</f>
        <v>0</v>
      </c>
      <c r="BEJ6" s="5">
        <f>IFERROR(VLOOKUP(BEJ$1,'Renta Fija Mixta + Metales Agre'!$B$22:$C$35,2,FALSE),0%)</f>
        <v>0</v>
      </c>
      <c r="BEK6" s="5">
        <f>IFERROR(VLOOKUP(BEK$1,'Renta Fija Mixta + Metales Agre'!$B$22:$C$35,2,FALSE),0%)</f>
        <v>0</v>
      </c>
      <c r="BEL6" s="5">
        <f>IFERROR(VLOOKUP(BEL$1,'Renta Fija Mixta + Metales Agre'!$B$22:$C$35,2,FALSE),0%)</f>
        <v>0</v>
      </c>
      <c r="BEM6" s="5">
        <f>IFERROR(VLOOKUP(BEM$1,'Renta Fija Mixta + Metales Agre'!$B$22:$C$35,2,FALSE),0%)</f>
        <v>0</v>
      </c>
      <c r="BEN6" s="5">
        <f>IFERROR(VLOOKUP(BEN$1,'Renta Fija Mixta + Metales Agre'!$B$22:$C$35,2,FALSE),0%)</f>
        <v>0</v>
      </c>
      <c r="BEO6" s="5">
        <f>IFERROR(VLOOKUP(BEO$1,'Renta Fija Mixta + Metales Agre'!$B$22:$C$35,2,FALSE),0%)</f>
        <v>0</v>
      </c>
      <c r="BEP6" s="5">
        <f>IFERROR(VLOOKUP(BEP$1,'Renta Fija Mixta + Metales Agre'!$B$22:$C$35,2,FALSE),0%)</f>
        <v>0</v>
      </c>
      <c r="BEQ6" s="5">
        <f>IFERROR(VLOOKUP(BEQ$1,'Renta Fija Mixta + Metales Agre'!$B$22:$C$35,2,FALSE),0%)</f>
        <v>0</v>
      </c>
      <c r="BER6" s="5">
        <f>IFERROR(VLOOKUP(BER$1,'Renta Fija Mixta + Metales Agre'!$B$22:$C$35,2,FALSE),0%)</f>
        <v>0</v>
      </c>
      <c r="BES6" s="5">
        <f>IFERROR(VLOOKUP(BES$1,'Renta Fija Mixta + Metales Agre'!$B$22:$C$35,2,FALSE),0%)</f>
        <v>0</v>
      </c>
      <c r="BET6" s="5">
        <f>IFERROR(VLOOKUP(BET$1,'Renta Fija Mixta + Metales Agre'!$B$22:$C$35,2,FALSE),0%)</f>
        <v>0</v>
      </c>
      <c r="BEU6" s="5">
        <f>IFERROR(VLOOKUP(BEU$1,'Renta Fija Mixta + Metales Agre'!$B$22:$C$35,2,FALSE),0%)</f>
        <v>0</v>
      </c>
      <c r="BEV6" s="5">
        <f>IFERROR(VLOOKUP(BEV$1,'Renta Fija Mixta + Metales Agre'!$B$22:$C$35,2,FALSE),0%)</f>
        <v>0</v>
      </c>
      <c r="BEW6" s="5">
        <f>IFERROR(VLOOKUP(BEW$1,'Renta Fija Mixta + Metales Agre'!$B$22:$C$35,2,FALSE),0%)</f>
        <v>0</v>
      </c>
      <c r="BEX6" s="5">
        <f>IFERROR(VLOOKUP(BEX$1,'Renta Fija Mixta + Metales Agre'!$B$22:$C$35,2,FALSE),0%)</f>
        <v>0</v>
      </c>
      <c r="BEY6" s="5">
        <f>IFERROR(VLOOKUP(BEY$1,'Renta Fija Mixta + Metales Agre'!$B$22:$C$35,2,FALSE),0%)</f>
        <v>0.05212843602</v>
      </c>
      <c r="BEZ6" s="5">
        <f>IFERROR(VLOOKUP(BEZ$1,'Renta Fija Mixta + Metales Agre'!$B$22:$C$35,2,FALSE),0%)</f>
        <v>0</v>
      </c>
      <c r="BFA6" s="5">
        <f>IFERROR(VLOOKUP(BFA$1,'Renta Fija Mixta + Metales Agre'!$B$22:$C$35,2,FALSE),0%)</f>
        <v>0</v>
      </c>
      <c r="BFB6" s="5">
        <f>IFERROR(VLOOKUP(BFB$1,'Renta Fija Mixta + Metales Agre'!$B$22:$C$35,2,FALSE),0%)</f>
        <v>0</v>
      </c>
      <c r="BFC6" s="5">
        <f>IFERROR(VLOOKUP(BFC$1,'Renta Fija Mixta + Metales Agre'!$B$22:$C$35,2,FALSE),0%)</f>
        <v>0</v>
      </c>
      <c r="BFD6" s="5">
        <f>IFERROR(VLOOKUP(BFD$1,'Renta Fija Mixta + Metales Agre'!$B$22:$C$35,2,FALSE),0%)</f>
        <v>0</v>
      </c>
      <c r="BFE6" s="5">
        <f>IFERROR(VLOOKUP(BFE$1,'Renta Fija Mixta + Metales Agre'!$B$22:$C$35,2,FALSE),0%)</f>
        <v>0</v>
      </c>
      <c r="BFF6" s="5">
        <f>IFERROR(VLOOKUP(BFF$1,'Renta Fija Mixta + Metales Agre'!$B$22:$C$35,2,FALSE),0%)</f>
        <v>0</v>
      </c>
      <c r="BFG6" s="5">
        <f>IFERROR(VLOOKUP(BFG$1,'Renta Fija Mixta + Metales Agre'!$B$22:$C$35,2,FALSE),0%)</f>
        <v>0</v>
      </c>
      <c r="BFH6" s="5">
        <f>IFERROR(VLOOKUP(BFH$1,'Renta Fija Mixta + Metales Agre'!$B$22:$C$35,2,FALSE),0%)</f>
        <v>0</v>
      </c>
      <c r="BFI6" s="5">
        <f>IFERROR(VLOOKUP(BFI$1,'Renta Fija Mixta + Metales Agre'!$B$22:$C$35,2,FALSE),0%)</f>
        <v>0</v>
      </c>
      <c r="BFJ6" s="5">
        <f>IFERROR(VLOOKUP(BFJ$1,'Renta Fija Mixta + Metales Agre'!$B$22:$C$35,2,FALSE),0%)</f>
        <v>0</v>
      </c>
      <c r="BFK6" s="5">
        <f>IFERROR(VLOOKUP(BFK$1,'Renta Fija Mixta + Metales Agre'!$B$22:$C$35,2,FALSE),0%)</f>
        <v>0</v>
      </c>
      <c r="BFL6" s="5">
        <f>IFERROR(VLOOKUP(BFL$1,'Renta Fija Mixta + Metales Agre'!$B$22:$C$35,2,FALSE),0%)</f>
        <v>0</v>
      </c>
      <c r="BFM6" s="5">
        <f>IFERROR(VLOOKUP(BFM$1,'Renta Fija Mixta + Metales Agre'!$B$22:$C$35,2,FALSE),0%)</f>
        <v>0</v>
      </c>
      <c r="BFN6" s="5">
        <f>IFERROR(VLOOKUP(BFN$1,'Renta Fija Mixta + Metales Agre'!$B$22:$C$35,2,FALSE),0%)</f>
        <v>0</v>
      </c>
      <c r="BFO6" s="5">
        <f>IFERROR(VLOOKUP(BFO$1,'Renta Fija Mixta + Metales Agre'!$B$22:$C$35,2,FALSE),0%)</f>
        <v>0</v>
      </c>
      <c r="BFP6" s="5">
        <f>IFERROR(VLOOKUP(BFP$1,'Renta Fija Mixta + Metales Agre'!$B$22:$C$35,2,FALSE),0%)</f>
        <v>0</v>
      </c>
      <c r="BFQ6" s="5">
        <f>IFERROR(VLOOKUP(BFQ$1,'Renta Fija Mixta + Metales Agre'!$B$22:$C$35,2,FALSE),0%)</f>
        <v>0</v>
      </c>
      <c r="BFR6" s="5">
        <f>IFERROR(VLOOKUP(BFR$1,'Renta Fija Mixta + Metales Agre'!$B$22:$C$35,2,FALSE),0%)</f>
        <v>0</v>
      </c>
      <c r="BFS6" s="5">
        <f>IFERROR(VLOOKUP(BFS$1,'Renta Fija Mixta + Metales Agre'!$B$22:$C$35,2,FALSE),0%)</f>
        <v>0</v>
      </c>
      <c r="BFT6" s="5">
        <f>IFERROR(VLOOKUP(BFT$1,'Renta Fija Mixta + Metales Agre'!$B$22:$C$35,2,FALSE),0%)</f>
        <v>0</v>
      </c>
      <c r="BFU6" s="5">
        <f>IFERROR(VLOOKUP(BFU$1,'Renta Fija Mixta + Metales Agre'!$B$22:$C$35,2,FALSE),0%)</f>
        <v>0</v>
      </c>
      <c r="BFV6" s="5">
        <f>IFERROR(VLOOKUP(BFV$1,'Renta Fija Mixta + Metales Agre'!$B$22:$C$35,2,FALSE),0%)</f>
        <v>0</v>
      </c>
      <c r="BFW6" s="5">
        <f>IFERROR(VLOOKUP(BFW$1,'Renta Fija Mixta + Metales Agre'!$B$22:$C$35,2,FALSE),0%)</f>
        <v>0</v>
      </c>
      <c r="BFX6" s="5">
        <f>IFERROR(VLOOKUP(BFX$1,'Renta Fija Mixta + Metales Agre'!$B$22:$C$35,2,FALSE),0%)</f>
        <v>0</v>
      </c>
      <c r="BFY6" s="5">
        <f>IFERROR(VLOOKUP(BFY$1,'Renta Fija Mixta + Metales Agre'!$B$22:$C$35,2,FALSE),0%)</f>
        <v>0</v>
      </c>
      <c r="BFZ6" s="5">
        <f>IFERROR(VLOOKUP(BFZ$1,'Renta Fija Mixta + Metales Agre'!$B$22:$C$35,2,FALSE),0%)</f>
        <v>0</v>
      </c>
      <c r="BGA6" s="5">
        <f>IFERROR(VLOOKUP(BGA$1,'Renta Fija Mixta + Metales Agre'!$B$22:$C$35,2,FALSE),0%)</f>
        <v>0</v>
      </c>
      <c r="BGB6" s="5">
        <f>IFERROR(VLOOKUP(BGB$1,'Renta Fija Mixta + Metales Agre'!$B$22:$C$35,2,FALSE),0%)</f>
        <v>0</v>
      </c>
      <c r="BGC6" s="5">
        <f>IFERROR(VLOOKUP(BGC$1,'Renta Fija Mixta + Metales Agre'!$B$22:$C$35,2,FALSE),0%)</f>
        <v>0</v>
      </c>
      <c r="BGD6" s="5">
        <f>IFERROR(VLOOKUP(BGD$1,'Renta Fija Mixta + Metales Agre'!$B$22:$C$35,2,FALSE),0%)</f>
        <v>0</v>
      </c>
      <c r="BGE6" s="5">
        <f>IFERROR(VLOOKUP(BGE$1,'Renta Fija Mixta + Metales Agre'!$B$22:$C$35,2,FALSE),0%)</f>
        <v>0</v>
      </c>
      <c r="BGF6" s="5">
        <f>IFERROR(VLOOKUP(BGF$1,'Renta Fija Mixta + Metales Agre'!$B$22:$C$35,2,FALSE),0%)</f>
        <v>0</v>
      </c>
      <c r="BGG6" s="5">
        <f>IFERROR(VLOOKUP(BGG$1,'Renta Fija Mixta + Metales Agre'!$B$22:$C$35,2,FALSE),0%)</f>
        <v>0</v>
      </c>
      <c r="BGH6" s="5">
        <f>IFERROR(VLOOKUP(BGH$1,'Renta Fija Mixta + Metales Agre'!$B$22:$C$35,2,FALSE),0%)</f>
        <v>0</v>
      </c>
      <c r="BGI6" s="5">
        <f>IFERROR(VLOOKUP(BGI$1,'Renta Fija Mixta + Metales Agre'!$B$22:$C$35,2,FALSE),0%)</f>
        <v>0</v>
      </c>
      <c r="BGJ6" s="5">
        <f>IFERROR(VLOOKUP(BGJ$1,'Renta Fija Mixta + Metales Agre'!$B$22:$C$35,2,FALSE),0%)</f>
        <v>0</v>
      </c>
      <c r="BGK6" s="5">
        <f>IFERROR(VLOOKUP(BGK$1,'Renta Fija Mixta + Metales Agre'!$B$22:$C$35,2,FALSE),0%)</f>
        <v>0</v>
      </c>
      <c r="BGL6" s="5">
        <f>IFERROR(VLOOKUP(BGL$1,'Renta Fija Mixta + Metales Agre'!$B$22:$C$35,2,FALSE),0%)</f>
        <v>0</v>
      </c>
      <c r="BGM6" s="5">
        <f>IFERROR(VLOOKUP(BGM$1,'Renta Fija Mixta + Metales Agre'!$B$22:$C$35,2,FALSE),0%)</f>
        <v>0</v>
      </c>
      <c r="BGN6" s="5">
        <f>IFERROR(VLOOKUP(BGN$1,'Renta Fija Mixta + Metales Agre'!$B$22:$C$35,2,FALSE),0%)</f>
        <v>0</v>
      </c>
      <c r="BGO6" s="5">
        <f>IFERROR(VLOOKUP(BGO$1,'Renta Fija Mixta + Metales Agre'!$B$22:$C$35,2,FALSE),0%)</f>
        <v>0</v>
      </c>
      <c r="BGP6" s="5">
        <f>IFERROR(VLOOKUP(BGP$1,'Renta Fija Mixta + Metales Agre'!$B$22:$C$35,2,FALSE),0%)</f>
        <v>0</v>
      </c>
      <c r="BGQ6" s="5">
        <f>IFERROR(VLOOKUP(BGQ$1,'Renta Fija Mixta + Metales Agre'!$B$22:$C$35,2,FALSE),0%)</f>
        <v>0</v>
      </c>
      <c r="BGR6" s="5">
        <f>IFERROR(VLOOKUP(BGR$1,'Renta Fija Mixta + Metales Agre'!$B$22:$C$35,2,FALSE),0%)</f>
        <v>0</v>
      </c>
      <c r="BGS6" s="5">
        <f>IFERROR(VLOOKUP(BGS$1,'Renta Fija Mixta + Metales Agre'!$B$22:$C$35,2,FALSE),0%)</f>
        <v>0</v>
      </c>
      <c r="BGT6" s="5">
        <f>IFERROR(VLOOKUP(BGT$1,'Renta Fija Mixta + Metales Agre'!$B$22:$C$35,2,FALSE),0%)</f>
        <v>0</v>
      </c>
      <c r="BGU6" s="5">
        <f>IFERROR(VLOOKUP(BGU$1,'Renta Fija Mixta + Metales Agre'!$B$22:$C$35,2,FALSE),0%)</f>
        <v>0</v>
      </c>
      <c r="BGV6" s="5">
        <f>IFERROR(VLOOKUP(BGV$1,'Renta Fija Mixta + Metales Agre'!$B$22:$C$35,2,FALSE),0%)</f>
        <v>0</v>
      </c>
      <c r="BGW6" s="5">
        <f>IFERROR(VLOOKUP(BGW$1,'Renta Fija Mixta + Metales Agre'!$B$22:$C$35,2,FALSE),0%)</f>
        <v>0</v>
      </c>
      <c r="BGX6" s="5">
        <f>IFERROR(VLOOKUP(BGX$1,'Renta Fija Mixta + Metales Agre'!$B$22:$C$35,2,FALSE),0%)</f>
        <v>0</v>
      </c>
      <c r="BGY6" s="5">
        <f>IFERROR(VLOOKUP(BGY$1,'Renta Fija Mixta + Metales Agre'!$B$22:$C$35,2,FALSE),0%)</f>
        <v>0</v>
      </c>
      <c r="BGZ6" s="5">
        <f>IFERROR(VLOOKUP(BGZ$1,'Renta Fija Mixta + Metales Agre'!$B$22:$C$35,2,FALSE),0%)</f>
        <v>0</v>
      </c>
      <c r="BHA6" s="5">
        <f>IFERROR(VLOOKUP(BHA$1,'Renta Fija Mixta + Metales Agre'!$B$22:$C$35,2,FALSE),0%)</f>
        <v>0</v>
      </c>
      <c r="BHB6" s="5">
        <f>IFERROR(VLOOKUP(BHB$1,'Renta Fija Mixta + Metales Agre'!$B$22:$C$35,2,FALSE),0%)</f>
        <v>0</v>
      </c>
      <c r="BHC6" s="5">
        <f>IFERROR(VLOOKUP(BHC$1,'Renta Fija Mixta + Metales Agre'!$B$22:$C$35,2,FALSE),0%)</f>
        <v>0</v>
      </c>
      <c r="BHD6" s="5">
        <f>IFERROR(VLOOKUP(BHD$1,'Renta Fija Mixta + Metales Agre'!$B$22:$C$35,2,FALSE),0%)</f>
        <v>0</v>
      </c>
      <c r="BHE6" s="5">
        <f>IFERROR(VLOOKUP(BHE$1,'Renta Fija Mixta + Metales Agre'!$B$22:$C$35,2,FALSE),0%)</f>
        <v>0</v>
      </c>
      <c r="BHF6" s="5">
        <f>IFERROR(VLOOKUP(BHF$1,'Renta Fija Mixta + Metales Agre'!$B$22:$C$35,2,FALSE),0%)</f>
        <v>0</v>
      </c>
      <c r="BHG6" s="5">
        <f>IFERROR(VLOOKUP(BHG$1,'Renta Fija Mixta + Metales Agre'!$B$22:$C$35,2,FALSE),0%)</f>
        <v>0</v>
      </c>
      <c r="BHH6" s="5">
        <f>IFERROR(VLOOKUP(BHH$1,'Renta Fija Mixta + Metales Agre'!$B$22:$C$35,2,FALSE),0%)</f>
        <v>0</v>
      </c>
      <c r="BHI6" s="5">
        <f>IFERROR(VLOOKUP(BHI$1,'Renta Fija Mixta + Metales Agre'!$B$22:$C$35,2,FALSE),0%)</f>
        <v>0</v>
      </c>
      <c r="BHJ6" s="5">
        <f>IFERROR(VLOOKUP(BHJ$1,'Renta Fija Mixta + Metales Agre'!$B$22:$C$35,2,FALSE),0%)</f>
        <v>0</v>
      </c>
      <c r="BHK6" s="5">
        <f>IFERROR(VLOOKUP(BHK$1,'Renta Fija Mixta + Metales Agre'!$B$22:$C$35,2,FALSE),0%)</f>
        <v>0</v>
      </c>
      <c r="BHL6" s="5">
        <f>IFERROR(VLOOKUP(BHL$1,'Renta Fija Mixta + Metales Agre'!$B$22:$C$35,2,FALSE),0%)</f>
        <v>0</v>
      </c>
      <c r="BHM6" s="5">
        <f>IFERROR(VLOOKUP(BHM$1,'Renta Fija Mixta + Metales Agre'!$B$22:$C$35,2,FALSE),0%)</f>
        <v>0</v>
      </c>
      <c r="BHN6" s="5">
        <f>IFERROR(VLOOKUP(BHN$1,'Renta Fija Mixta + Metales Agre'!$B$22:$C$35,2,FALSE),0%)</f>
        <v>0</v>
      </c>
      <c r="BHO6" s="5">
        <f>IFERROR(VLOOKUP(BHO$1,'Renta Fija Mixta + Metales Agre'!$B$22:$C$35,2,FALSE),0%)</f>
        <v>0</v>
      </c>
      <c r="BHP6" s="5">
        <f>IFERROR(VLOOKUP(BHP$1,'Renta Fija Mixta + Metales Agre'!$B$22:$C$35,2,FALSE),0%)</f>
        <v>0</v>
      </c>
      <c r="BHQ6" s="5">
        <f>IFERROR(VLOOKUP(BHQ$1,'Renta Fija Mixta + Metales Agre'!$B$22:$C$35,2,FALSE),0%)</f>
        <v>0</v>
      </c>
      <c r="BHR6" s="5">
        <f>IFERROR(VLOOKUP(BHR$1,'Renta Fija Mixta + Metales Agre'!$B$22:$C$35,2,FALSE),0%)</f>
        <v>0</v>
      </c>
      <c r="BHS6" s="5">
        <f>IFERROR(VLOOKUP(BHS$1,'Renta Fija Mixta + Metales Agre'!$B$22:$C$35,2,FALSE),0%)</f>
        <v>0</v>
      </c>
      <c r="BHT6" s="5">
        <f>IFERROR(VLOOKUP(BHT$1,'Renta Fija Mixta + Metales Agre'!$B$22:$C$35,2,FALSE),0%)</f>
        <v>0</v>
      </c>
      <c r="BHU6" s="5">
        <f>IFERROR(VLOOKUP(BHU$1,'Renta Fija Mixta + Metales Agre'!$B$22:$C$35,2,FALSE),0%)</f>
        <v>0</v>
      </c>
      <c r="BHV6" s="5">
        <f>IFERROR(VLOOKUP(BHV$1,'Renta Fija Mixta + Metales Agre'!$B$22:$C$35,2,FALSE),0%)</f>
        <v>0</v>
      </c>
      <c r="BHW6" s="5">
        <f>IFERROR(VLOOKUP(BHW$1,'Renta Fija Mixta + Metales Agre'!$B$22:$C$35,2,FALSE),0%)</f>
        <v>0</v>
      </c>
      <c r="BHX6" s="5">
        <f>IFERROR(VLOOKUP(BHX$1,'Renta Fija Mixta + Metales Agre'!$B$22:$C$35,2,FALSE),0%)</f>
        <v>0</v>
      </c>
      <c r="BHY6" s="5">
        <f>IFERROR(VLOOKUP(BHY$1,'Renta Fija Mixta + Metales Agre'!$B$22:$C$35,2,FALSE),0%)</f>
        <v>0</v>
      </c>
      <c r="BHZ6" s="5">
        <f>IFERROR(VLOOKUP(BHZ$1,'Renta Fija Mixta + Metales Agre'!$B$22:$C$35,2,FALSE),0%)</f>
        <v>0</v>
      </c>
      <c r="BIA6" s="5">
        <f>IFERROR(VLOOKUP(BIA$1,'Renta Fija Mixta + Metales Agre'!$B$22:$C$35,2,FALSE),0%)</f>
        <v>0</v>
      </c>
      <c r="BIB6" s="5">
        <f>IFERROR(VLOOKUP(BIB$1,'Renta Fija Mixta + Metales Agre'!$B$22:$C$35,2,FALSE),0%)</f>
        <v>0</v>
      </c>
      <c r="BIC6" s="5">
        <f>IFERROR(VLOOKUP(BIC$1,'Renta Fija Mixta + Metales Agre'!$B$22:$C$35,2,FALSE),0%)</f>
        <v>0</v>
      </c>
      <c r="BID6" s="5">
        <f>IFERROR(VLOOKUP(BID$1,'Renta Fija Mixta + Metales Agre'!$B$22:$C$35,2,FALSE),0%)</f>
        <v>0</v>
      </c>
      <c r="BIE6" s="5">
        <f>IFERROR(VLOOKUP(BIE$1,'Renta Fija Mixta + Metales Agre'!$B$22:$C$35,2,FALSE),0%)</f>
        <v>0</v>
      </c>
      <c r="BIF6" s="5">
        <f>IFERROR(VLOOKUP(BIF$1,'Renta Fija Mixta + Metales Agre'!$B$22:$C$35,2,FALSE),0%)</f>
        <v>0</v>
      </c>
      <c r="BIG6" s="5">
        <f>IFERROR(VLOOKUP(BIG$1,'Renta Fija Mixta + Metales Agre'!$B$22:$C$35,2,FALSE),0%)</f>
        <v>0</v>
      </c>
      <c r="BIH6" s="5">
        <f>IFERROR(VLOOKUP(BIH$1,'Renta Fija Mixta + Metales Agre'!$B$22:$C$35,2,FALSE),0%)</f>
        <v>0</v>
      </c>
      <c r="BII6" s="5">
        <f>IFERROR(VLOOKUP(BII$1,'Renta Fija Mixta + Metales Agre'!$B$22:$C$35,2,FALSE),0%)</f>
        <v>0</v>
      </c>
      <c r="BIJ6" s="5">
        <f>IFERROR(VLOOKUP(BIJ$1,'Renta Fija Mixta + Metales Agre'!$B$22:$C$35,2,FALSE),0%)</f>
        <v>0</v>
      </c>
      <c r="BIK6" s="5">
        <f>IFERROR(VLOOKUP(BIK$1,'Renta Fija Mixta + Metales Agre'!$B$22:$C$35,2,FALSE),0%)</f>
        <v>0.1402368918</v>
      </c>
      <c r="BIL6" s="5">
        <f>IFERROR(VLOOKUP(BIL$1,'Renta Fija Mixta + Metales Agre'!$B$22:$C$35,2,FALSE),0%)</f>
        <v>0</v>
      </c>
      <c r="BIM6" s="5">
        <f>IFERROR(VLOOKUP(BIM$1,'Renta Fija Mixta + Metales Agre'!$B$22:$C$35,2,FALSE),0%)</f>
        <v>0</v>
      </c>
      <c r="BIN6" s="5">
        <f>IFERROR(VLOOKUP(BIN$1,'Renta Fija Mixta + Metales Agre'!$B$22:$C$35,2,FALSE),0%)</f>
        <v>0</v>
      </c>
      <c r="BIO6" s="5">
        <f>IFERROR(VLOOKUP(BIO$1,'Renta Fija Mixta + Metales Agre'!$B$22:$C$35,2,FALSE),0%)</f>
        <v>0</v>
      </c>
      <c r="BIP6" s="5">
        <f>IFERROR(VLOOKUP(BIP$1,'Renta Fija Mixta + Metales Agre'!$B$22:$C$35,2,FALSE),0%)</f>
        <v>0</v>
      </c>
      <c r="BIQ6" s="5">
        <f>IFERROR(VLOOKUP(BIQ$1,'Renta Fija Mixta + Metales Agre'!$B$22:$C$35,2,FALSE),0%)</f>
        <v>0</v>
      </c>
      <c r="BIR6" s="5">
        <f>IFERROR(VLOOKUP(BIR$1,'Renta Fija Mixta + Metales Agre'!$B$22:$C$35,2,FALSE),0%)</f>
        <v>0</v>
      </c>
      <c r="BIS6" s="5">
        <f>IFERROR(VLOOKUP(BIS$1,'Renta Fija Mixta + Metales Agre'!$B$22:$C$35,2,FALSE),0%)</f>
        <v>0</v>
      </c>
      <c r="BIT6" s="5">
        <f>IFERROR(VLOOKUP(BIT$1,'Renta Fija Mixta + Metales Agre'!$B$22:$C$35,2,FALSE),0%)</f>
        <v>0</v>
      </c>
      <c r="BIU6" s="5">
        <f>IFERROR(VLOOKUP(BIU$1,'Renta Fija Mixta + Metales Agre'!$B$22:$C$35,2,FALSE),0%)</f>
        <v>0</v>
      </c>
      <c r="BIV6" s="5">
        <f>IFERROR(VLOOKUP(BIV$1,'Renta Fija Mixta + Metales Agre'!$B$22:$C$35,2,FALSE),0%)</f>
        <v>0</v>
      </c>
      <c r="BIW6" s="5">
        <f>IFERROR(VLOOKUP(BIW$1,'Renta Fija Mixta + Metales Agre'!$B$22:$C$35,2,FALSE),0%)</f>
        <v>0</v>
      </c>
      <c r="BIX6" s="5">
        <f>IFERROR(VLOOKUP(BIX$1,'Renta Fija Mixta + Metales Agre'!$B$22:$C$35,2,FALSE),0%)</f>
        <v>0</v>
      </c>
      <c r="BIY6" s="5">
        <f>IFERROR(VLOOKUP(BIY$1,'Renta Fija Mixta + Metales Agre'!$B$22:$C$35,2,FALSE),0%)</f>
        <v>0</v>
      </c>
      <c r="BIZ6" s="5">
        <f>IFERROR(VLOOKUP(BIZ$1,'Renta Fija Mixta + Metales Agre'!$B$22:$C$35,2,FALSE),0%)</f>
        <v>0</v>
      </c>
      <c r="BJA6" s="5">
        <f>IFERROR(VLOOKUP(BJA$1,'Renta Fija Mixta + Metales Agre'!$B$22:$C$35,2,FALSE),0%)</f>
        <v>0</v>
      </c>
      <c r="BJB6" s="5">
        <f>IFERROR(VLOOKUP(BJB$1,'Renta Fija Mixta + Metales Agre'!$B$22:$C$35,2,FALSE),0%)</f>
        <v>0</v>
      </c>
      <c r="BJC6" s="5">
        <f>IFERROR(VLOOKUP(BJC$1,'Renta Fija Mixta + Metales Agre'!$B$22:$C$35,2,FALSE),0%)</f>
        <v>0</v>
      </c>
      <c r="BJD6" s="5">
        <f>IFERROR(VLOOKUP(BJD$1,'Renta Fija Mixta + Metales Agre'!$B$22:$C$35,2,FALSE),0%)</f>
        <v>0</v>
      </c>
      <c r="BJE6" s="5">
        <f>IFERROR(VLOOKUP(BJE$1,'Renta Fija Mixta + Metales Agre'!$B$22:$C$35,2,FALSE),0%)</f>
        <v>0</v>
      </c>
      <c r="BJF6" s="5">
        <f>IFERROR(VLOOKUP(BJF$1,'Renta Fija Mixta + Metales Agre'!$B$22:$C$35,2,FALSE),0%)</f>
        <v>0</v>
      </c>
      <c r="BJG6" s="5">
        <f>IFERROR(VLOOKUP(BJG$1,'Renta Fija Mixta + Metales Agre'!$B$22:$C$35,2,FALSE),0%)</f>
        <v>0</v>
      </c>
      <c r="BJH6" s="5">
        <f>IFERROR(VLOOKUP(BJH$1,'Renta Fija Mixta + Metales Agre'!$B$22:$C$35,2,FALSE),0%)</f>
        <v>0</v>
      </c>
      <c r="BJI6" s="5">
        <f>IFERROR(VLOOKUP(BJI$1,'Renta Fija Mixta + Metales Agre'!$B$22:$C$35,2,FALSE),0%)</f>
        <v>0</v>
      </c>
      <c r="BJJ6" s="5">
        <f>IFERROR(VLOOKUP(BJJ$1,'Renta Fija Mixta + Metales Agre'!$B$22:$C$35,2,FALSE),0%)</f>
        <v>0</v>
      </c>
      <c r="BJK6" s="5">
        <f>IFERROR(VLOOKUP(BJK$1,'Renta Fija Mixta + Metales Agre'!$B$22:$C$35,2,FALSE),0%)</f>
        <v>0</v>
      </c>
      <c r="BJL6" s="5">
        <f>IFERROR(VLOOKUP(BJL$1,'Renta Fija Mixta + Metales Agre'!$B$22:$C$35,2,FALSE),0%)</f>
        <v>0</v>
      </c>
      <c r="BJM6" s="5">
        <f>IFERROR(VLOOKUP(BJM$1,'Renta Fija Mixta + Metales Agre'!$B$22:$C$35,2,FALSE),0%)</f>
        <v>0</v>
      </c>
      <c r="BJN6" s="5">
        <f>IFERROR(VLOOKUP(BJN$1,'Renta Fija Mixta + Metales Agre'!$B$22:$C$35,2,FALSE),0%)</f>
        <v>0</v>
      </c>
      <c r="BJO6" s="5">
        <f>IFERROR(VLOOKUP(BJO$1,'Renta Fija Mixta + Metales Agre'!$B$22:$C$35,2,FALSE),0%)</f>
        <v>0</v>
      </c>
      <c r="BJP6" s="5">
        <f>IFERROR(VLOOKUP(BJP$1,'Renta Fija Mixta + Metales Agre'!$B$22:$C$35,2,FALSE),0%)</f>
        <v>0</v>
      </c>
      <c r="BJQ6" s="5">
        <f>IFERROR(VLOOKUP(BJQ$1,'Renta Fija Mixta + Metales Agre'!$B$22:$C$35,2,FALSE),0%)</f>
        <v>0</v>
      </c>
      <c r="BJR6" s="5">
        <f>IFERROR(VLOOKUP(BJR$1,'Renta Fija Mixta + Metales Agre'!$B$22:$C$35,2,FALSE),0%)</f>
        <v>0</v>
      </c>
      <c r="BJS6" s="5">
        <f>IFERROR(VLOOKUP(BJS$1,'Renta Fija Mixta + Metales Agre'!$B$22:$C$35,2,FALSE),0%)</f>
        <v>0</v>
      </c>
      <c r="BJT6" s="5">
        <f>IFERROR(VLOOKUP(BJT$1,'Renta Fija Mixta + Metales Agre'!$B$22:$C$35,2,FALSE),0%)</f>
        <v>0</v>
      </c>
      <c r="BJU6" s="5">
        <f>IFERROR(VLOOKUP(BJU$1,'Renta Fija Mixta + Metales Agre'!$B$22:$C$35,2,FALSE),0%)</f>
        <v>0</v>
      </c>
      <c r="BJV6" s="5">
        <f>IFERROR(VLOOKUP(BJV$1,'Renta Fija Mixta + Metales Agre'!$B$22:$C$35,2,FALSE),0%)</f>
        <v>0</v>
      </c>
      <c r="BJW6" s="5">
        <f>IFERROR(VLOOKUP(BJW$1,'Renta Fija Mixta + Metales Agre'!$B$22:$C$35,2,FALSE),0%)</f>
        <v>0</v>
      </c>
      <c r="BJX6" s="5">
        <f>IFERROR(VLOOKUP(BJX$1,'Renta Fija Mixta + Metales Agre'!$B$22:$C$35,2,FALSE),0%)</f>
        <v>0</v>
      </c>
      <c r="BJY6" s="5">
        <f>IFERROR(VLOOKUP(BJY$1,'Renta Fija Mixta + Metales Agre'!$B$22:$C$35,2,FALSE),0%)</f>
        <v>0</v>
      </c>
      <c r="BJZ6" s="5">
        <f>IFERROR(VLOOKUP(BJZ$1,'Renta Fija Mixta + Metales Agre'!$B$22:$C$35,2,FALSE),0%)</f>
        <v>0</v>
      </c>
      <c r="BKA6" s="5">
        <f>IFERROR(VLOOKUP(BKA$1,'Renta Fija Mixta + Metales Agre'!$B$22:$C$35,2,FALSE),0%)</f>
        <v>0</v>
      </c>
      <c r="BKB6" s="5">
        <f>IFERROR(VLOOKUP(BKB$1,'Renta Fija Mixta + Metales Agre'!$B$22:$C$35,2,FALSE),0%)</f>
        <v>0</v>
      </c>
      <c r="BKC6" s="5">
        <f>IFERROR(VLOOKUP(BKC$1,'Renta Fija Mixta + Metales Agre'!$B$22:$C$35,2,FALSE),0%)</f>
        <v>0</v>
      </c>
      <c r="BKD6" s="5">
        <f>IFERROR(VLOOKUP(BKD$1,'Renta Fija Mixta + Metales Agre'!$B$22:$C$35,2,FALSE),0%)</f>
        <v>0</v>
      </c>
      <c r="BKE6" s="5">
        <f>IFERROR(VLOOKUP(BKE$1,'Renta Fija Mixta + Metales Agre'!$B$22:$C$35,2,FALSE),0%)</f>
        <v>0</v>
      </c>
      <c r="BKF6" s="5">
        <f>IFERROR(VLOOKUP(BKF$1,'Renta Fija Mixta + Metales Agre'!$B$22:$C$35,2,FALSE),0%)</f>
        <v>0</v>
      </c>
      <c r="BKG6" s="5">
        <f>IFERROR(VLOOKUP(BKG$1,'Renta Fija Mixta + Metales Agre'!$B$22:$C$35,2,FALSE),0%)</f>
        <v>0</v>
      </c>
      <c r="BKH6" s="5">
        <f>IFERROR(VLOOKUP(BKH$1,'Renta Fija Mixta + Metales Agre'!$B$22:$C$35,2,FALSE),0%)</f>
        <v>0</v>
      </c>
      <c r="BKI6" s="5">
        <f>IFERROR(VLOOKUP(BKI$1,'Renta Fija Mixta + Metales Agre'!$B$22:$C$35,2,FALSE),0%)</f>
        <v>0</v>
      </c>
      <c r="BKJ6" s="5">
        <f>IFERROR(VLOOKUP(BKJ$1,'Renta Fija Mixta + Metales Agre'!$B$22:$C$35,2,FALSE),0%)</f>
        <v>0</v>
      </c>
      <c r="BKK6" s="5">
        <f>IFERROR(VLOOKUP(BKK$1,'Renta Fija Mixta + Metales Agre'!$B$22:$C$35,2,FALSE),0%)</f>
        <v>0</v>
      </c>
      <c r="BKL6" s="5">
        <f>IFERROR(VLOOKUP(BKL$1,'Renta Fija Mixta + Metales Agre'!$B$22:$C$35,2,FALSE),0%)</f>
        <v>0</v>
      </c>
      <c r="BKM6" s="5">
        <f>IFERROR(VLOOKUP(BKM$1,'Renta Fija Mixta + Metales Agre'!$B$22:$C$35,2,FALSE),0%)</f>
        <v>0</v>
      </c>
      <c r="BKN6" s="5">
        <f>IFERROR(VLOOKUP(BKN$1,'Renta Fija Mixta + Metales Agre'!$B$22:$C$35,2,FALSE),0%)</f>
        <v>0</v>
      </c>
      <c r="BKO6" s="5">
        <f>IFERROR(VLOOKUP(BKO$1,'Renta Fija Mixta + Metales Agre'!$B$22:$C$35,2,FALSE),0%)</f>
        <v>0.07811531213</v>
      </c>
      <c r="BKP6" s="5">
        <f>IFERROR(VLOOKUP(BKP$1,'Renta Fija Mixta + Metales Agre'!$B$22:$C$35,2,FALSE),0%)</f>
        <v>0</v>
      </c>
      <c r="BKQ6" s="5">
        <f>IFERROR(VLOOKUP(BKQ$1,'Renta Fija Mixta + Metales Agre'!$B$22:$C$35,2,FALSE),0%)</f>
        <v>0</v>
      </c>
      <c r="BKR6" s="5">
        <f>IFERROR(VLOOKUP(BKR$1,'Renta Fija Mixta + Metales Agre'!$B$22:$C$35,2,FALSE),0%)</f>
        <v>0</v>
      </c>
      <c r="BKS6" s="5">
        <f>IFERROR(VLOOKUP(BKS$1,'Renta Fija Mixta + Metales Agre'!$B$22:$C$35,2,FALSE),0%)</f>
        <v>0</v>
      </c>
      <c r="BKT6" s="5">
        <f>IFERROR(VLOOKUP(BKT$1,'Renta Fija Mixta + Metales Agre'!$B$22:$C$35,2,FALSE),0%)</f>
        <v>0</v>
      </c>
      <c r="BKU6" s="5">
        <f>IFERROR(VLOOKUP(BKU$1,'Renta Fija Mixta + Metales Agre'!$B$22:$C$35,2,FALSE),0%)</f>
        <v>0</v>
      </c>
      <c r="BKV6" s="5">
        <f>IFERROR(VLOOKUP(BKV$1,'Renta Fija Mixta + Metales Agre'!$B$22:$C$35,2,FALSE),0%)</f>
        <v>0</v>
      </c>
      <c r="BKW6" s="5">
        <f>IFERROR(VLOOKUP(BKW$1,'Renta Fija Mixta + Metales Agre'!$B$22:$C$35,2,FALSE),0%)</f>
        <v>0</v>
      </c>
      <c r="BKX6" s="5">
        <f>IFERROR(VLOOKUP(BKX$1,'Renta Fija Mixta + Metales Agre'!$B$22:$C$35,2,FALSE),0%)</f>
        <v>0</v>
      </c>
      <c r="BKY6" s="5">
        <f>IFERROR(VLOOKUP(BKY$1,'Renta Fija Mixta + Metales Agre'!$B$22:$C$35,2,FALSE),0%)</f>
        <v>0</v>
      </c>
      <c r="BKZ6" s="5">
        <f>IFERROR(VLOOKUP(BKZ$1,'Renta Fija Mixta + Metales Agre'!$B$22:$C$35,2,FALSE),0%)</f>
        <v>0</v>
      </c>
      <c r="BLA6" s="5">
        <f>IFERROR(VLOOKUP(BLA$1,'Renta Fija Mixta + Metales Agre'!$B$22:$C$35,2,FALSE),0%)</f>
        <v>0</v>
      </c>
      <c r="BLB6" s="5">
        <f>IFERROR(VLOOKUP(BLB$1,'Renta Fija Mixta + Metales Agre'!$B$22:$C$35,2,FALSE),0%)</f>
        <v>0</v>
      </c>
      <c r="BLC6" s="5">
        <f>IFERROR(VLOOKUP(BLC$1,'Renta Fija Mixta + Metales Agre'!$B$22:$C$35,2,FALSE),0%)</f>
        <v>0</v>
      </c>
      <c r="BLD6" s="5">
        <f>IFERROR(VLOOKUP(BLD$1,'Renta Fija Mixta + Metales Agre'!$B$22:$C$35,2,FALSE),0%)</f>
        <v>0</v>
      </c>
      <c r="BLE6" s="5">
        <f>IFERROR(VLOOKUP(BLE$1,'Renta Fija Mixta + Metales Agre'!$B$22:$C$35,2,FALSE),0%)</f>
        <v>0</v>
      </c>
      <c r="BLF6" s="5">
        <f>IFERROR(VLOOKUP(BLF$1,'Renta Fija Mixta + Metales Agre'!$B$22:$C$35,2,FALSE),0%)</f>
        <v>0</v>
      </c>
      <c r="BLG6" s="5">
        <f>IFERROR(VLOOKUP(BLG$1,'Renta Fija Mixta + Metales Agre'!$B$22:$C$35,2,FALSE),0%)</f>
        <v>0</v>
      </c>
      <c r="BLH6" s="5">
        <f>IFERROR(VLOOKUP(BLH$1,'Renta Fija Mixta + Metales Agre'!$B$22:$C$35,2,FALSE),0%)</f>
        <v>0</v>
      </c>
      <c r="BLI6" s="5">
        <f>IFERROR(VLOOKUP(BLI$1,'Renta Fija Mixta + Metales Agre'!$B$22:$C$35,2,FALSE),0%)</f>
        <v>0</v>
      </c>
      <c r="BLJ6" s="5">
        <f>IFERROR(VLOOKUP(BLJ$1,'Renta Fija Mixta + Metales Agre'!$B$22:$C$35,2,FALSE),0%)</f>
        <v>0</v>
      </c>
      <c r="BLK6" s="5">
        <f>IFERROR(VLOOKUP(BLK$1,'Renta Fija Mixta + Metales Agre'!$B$22:$C$35,2,FALSE),0%)</f>
        <v>0</v>
      </c>
      <c r="BLL6" s="5">
        <f>IFERROR(VLOOKUP(BLL$1,'Renta Fija Mixta + Metales Agre'!$B$22:$C$35,2,FALSE),0%)</f>
        <v>0</v>
      </c>
      <c r="BLM6" s="5">
        <f>IFERROR(VLOOKUP(BLM$1,'Renta Fija Mixta + Metales Agre'!$B$22:$C$35,2,FALSE),0%)</f>
        <v>0</v>
      </c>
      <c r="BLN6" s="5">
        <f>IFERROR(VLOOKUP(BLN$1,'Renta Fija Mixta + Metales Agre'!$B$22:$C$35,2,FALSE),0%)</f>
        <v>0</v>
      </c>
      <c r="BLO6" s="5">
        <f>IFERROR(VLOOKUP(BLO$1,'Renta Fija Mixta + Metales Agre'!$B$22:$C$35,2,FALSE),0%)</f>
        <v>0</v>
      </c>
      <c r="BLP6" s="5">
        <f>IFERROR(VLOOKUP(BLP$1,'Renta Fija Mixta + Metales Agre'!$B$22:$C$35,2,FALSE),0%)</f>
        <v>0</v>
      </c>
      <c r="BLQ6" s="5">
        <f>IFERROR(VLOOKUP(BLQ$1,'Renta Fija Mixta + Metales Agre'!$B$22:$C$35,2,FALSE),0%)</f>
        <v>0</v>
      </c>
      <c r="BLR6" s="5">
        <f>IFERROR(VLOOKUP(BLR$1,'Renta Fija Mixta + Metales Agre'!$B$22:$C$35,2,FALSE),0%)</f>
        <v>0</v>
      </c>
      <c r="BLS6" s="5">
        <f>IFERROR(VLOOKUP(BLS$1,'Renta Fija Mixta + Metales Agre'!$B$22:$C$35,2,FALSE),0%)</f>
        <v>0</v>
      </c>
      <c r="BLT6" s="5">
        <f>IFERROR(VLOOKUP(BLT$1,'Renta Fija Mixta + Metales Agre'!$B$22:$C$35,2,FALSE),0%)</f>
        <v>0</v>
      </c>
      <c r="BLU6" s="5">
        <f>IFERROR(VLOOKUP(BLU$1,'Renta Fija Mixta + Metales Agre'!$B$22:$C$35,2,FALSE),0%)</f>
        <v>0</v>
      </c>
      <c r="BLV6" s="5">
        <f>IFERROR(VLOOKUP(BLV$1,'Renta Fija Mixta + Metales Agre'!$B$22:$C$35,2,FALSE),0%)</f>
        <v>0</v>
      </c>
      <c r="BLW6" s="5">
        <f>IFERROR(VLOOKUP(BLW$1,'Renta Fija Mixta + Metales Agre'!$B$22:$C$35,2,FALSE),0%)</f>
        <v>0</v>
      </c>
      <c r="BLX6" s="5">
        <f>IFERROR(VLOOKUP(BLX$1,'Renta Fija Mixta + Metales Agre'!$B$22:$C$35,2,FALSE),0%)</f>
        <v>0</v>
      </c>
      <c r="BLY6" s="5">
        <f>IFERROR(VLOOKUP(BLY$1,'Renta Fija Mixta + Metales Agre'!$B$22:$C$35,2,FALSE),0%)</f>
        <v>0</v>
      </c>
      <c r="BLZ6" s="5">
        <f>IFERROR(VLOOKUP(BLZ$1,'Renta Fija Mixta + Metales Agre'!$B$22:$C$35,2,FALSE),0%)</f>
        <v>0</v>
      </c>
      <c r="BMA6" s="5">
        <f>IFERROR(VLOOKUP(BMA$1,'Renta Fija Mixta + Metales Agre'!$B$22:$C$35,2,FALSE),0%)</f>
        <v>0</v>
      </c>
      <c r="BMB6" s="5">
        <f>IFERROR(VLOOKUP(BMB$1,'Renta Fija Mixta + Metales Agre'!$B$22:$C$35,2,FALSE),0%)</f>
        <v>0</v>
      </c>
      <c r="BMC6" s="5">
        <f>IFERROR(VLOOKUP(BMC$1,'Renta Fija Mixta + Metales Agre'!$B$22:$C$35,2,FALSE),0%)</f>
        <v>0</v>
      </c>
      <c r="BMD6" s="5">
        <f>IFERROR(VLOOKUP(BMD$1,'Renta Fija Mixta + Metales Agre'!$B$22:$C$35,2,FALSE),0%)</f>
        <v>0</v>
      </c>
      <c r="BME6" s="5">
        <f>IFERROR(VLOOKUP(BME$1,'Renta Fija Mixta + Metales Agre'!$B$22:$C$35,2,FALSE),0%)</f>
        <v>0</v>
      </c>
      <c r="BMF6" s="5">
        <f>IFERROR(VLOOKUP(BMF$1,'Renta Fija Mixta + Metales Agre'!$B$22:$C$35,2,FALSE),0%)</f>
        <v>0</v>
      </c>
      <c r="BMG6" s="5">
        <f>IFERROR(VLOOKUP(BMG$1,'Renta Fija Mixta + Metales Agre'!$B$22:$C$35,2,FALSE),0%)</f>
        <v>0</v>
      </c>
      <c r="BMH6" s="5">
        <f>IFERROR(VLOOKUP(BMH$1,'Renta Fija Mixta + Metales Agre'!$B$22:$C$35,2,FALSE),0%)</f>
        <v>0</v>
      </c>
      <c r="BMI6" s="5">
        <f>IFERROR(VLOOKUP(BMI$1,'Renta Fija Mixta + Metales Agre'!$B$22:$C$35,2,FALSE),0%)</f>
        <v>0</v>
      </c>
      <c r="BMJ6" s="5">
        <f>IFERROR(VLOOKUP(BMJ$1,'Renta Fija Mixta + Metales Agre'!$B$22:$C$35,2,FALSE),0%)</f>
        <v>0</v>
      </c>
      <c r="BMK6" s="5">
        <f>IFERROR(VLOOKUP(BMK$1,'Renta Fija Mixta + Metales Agre'!$B$22:$C$35,2,FALSE),0%)</f>
        <v>0</v>
      </c>
      <c r="BML6" s="5">
        <f>IFERROR(VLOOKUP(BML$1,'Renta Fija Mixta + Metales Agre'!$B$22:$C$35,2,FALSE),0%)</f>
        <v>0</v>
      </c>
      <c r="BMM6" s="5">
        <f>IFERROR(VLOOKUP(BMM$1,'Renta Fija Mixta + Metales Agre'!$B$22:$C$35,2,FALSE),0%)</f>
        <v>0</v>
      </c>
      <c r="BMN6" s="5">
        <f>IFERROR(VLOOKUP(BMN$1,'Renta Fija Mixta + Metales Agre'!$B$22:$C$35,2,FALSE),0%)</f>
        <v>0</v>
      </c>
      <c r="BMO6" s="5">
        <f>IFERROR(VLOOKUP(BMO$1,'Renta Fija Mixta + Metales Agre'!$B$22:$C$35,2,FALSE),0%)</f>
        <v>0</v>
      </c>
      <c r="BMP6" s="5">
        <f>IFERROR(VLOOKUP(BMP$1,'Renta Fija Mixta + Metales Agre'!$B$22:$C$35,2,FALSE),0%)</f>
        <v>0</v>
      </c>
      <c r="BMQ6" s="5">
        <f>IFERROR(VLOOKUP(BMQ$1,'Renta Fija Mixta + Metales Agre'!$B$22:$C$35,2,FALSE),0%)</f>
        <v>0</v>
      </c>
      <c r="BMR6" s="5">
        <f>IFERROR(VLOOKUP(BMR$1,'Renta Fija Mixta + Metales Agre'!$B$22:$C$35,2,FALSE),0%)</f>
        <v>0</v>
      </c>
      <c r="BMS6" s="5">
        <f>IFERROR(VLOOKUP(BMS$1,'Renta Fija Mixta + Metales Agre'!$B$22:$C$35,2,FALSE),0%)</f>
        <v>0</v>
      </c>
      <c r="BMT6" s="5">
        <f>IFERROR(VLOOKUP(BMT$1,'Renta Fija Mixta + Metales Agre'!$B$22:$C$35,2,FALSE),0%)</f>
        <v>0</v>
      </c>
      <c r="BMU6" s="5">
        <f>IFERROR(VLOOKUP(BMU$1,'Renta Fija Mixta + Metales Agre'!$B$22:$C$35,2,FALSE),0%)</f>
        <v>0</v>
      </c>
      <c r="BMV6" s="5">
        <f>IFERROR(VLOOKUP(BMV$1,'Renta Fija Mixta + Metales Agre'!$B$22:$C$35,2,FALSE),0%)</f>
        <v>0</v>
      </c>
      <c r="BMW6" s="5">
        <f>IFERROR(VLOOKUP(BMW$1,'Renta Fija Mixta + Metales Agre'!$B$22:$C$35,2,FALSE),0%)</f>
        <v>0</v>
      </c>
      <c r="BMX6" s="5">
        <f>IFERROR(VLOOKUP(BMX$1,'Renta Fija Mixta + Metales Agre'!$B$22:$C$35,2,FALSE),0%)</f>
        <v>0</v>
      </c>
      <c r="BMY6" s="5">
        <f>IFERROR(VLOOKUP(BMY$1,'Renta Fija Mixta + Metales Agre'!$B$22:$C$35,2,FALSE),0%)</f>
        <v>0</v>
      </c>
      <c r="BMZ6" s="5">
        <f>IFERROR(VLOOKUP(BMZ$1,'Renta Fija Mixta + Metales Agre'!$B$22:$C$35,2,FALSE),0%)</f>
        <v>0</v>
      </c>
      <c r="BNA6" s="5">
        <f>IFERROR(VLOOKUP(BNA$1,'Renta Fija Mixta + Metales Agre'!$B$22:$C$35,2,FALSE),0%)</f>
        <v>0</v>
      </c>
      <c r="BNB6" s="5">
        <f>IFERROR(VLOOKUP(BNB$1,'Renta Fija Mixta + Metales Agre'!$B$22:$C$35,2,FALSE),0%)</f>
        <v>0</v>
      </c>
      <c r="BNC6" s="5">
        <f>IFERROR(VLOOKUP(BNC$1,'Renta Fija Mixta + Metales Agre'!$B$22:$C$35,2,FALSE),0%)</f>
        <v>0</v>
      </c>
      <c r="BND6" s="5">
        <f>IFERROR(VLOOKUP(BND$1,'Renta Fija Mixta + Metales Agre'!$B$22:$C$35,2,FALSE),0%)</f>
        <v>0</v>
      </c>
      <c r="BNE6" s="5">
        <f>IFERROR(VLOOKUP(BNE$1,'Renta Fija Mixta + Metales Agre'!$B$22:$C$35,2,FALSE),0%)</f>
        <v>0</v>
      </c>
      <c r="BNF6" s="5">
        <f>IFERROR(VLOOKUP(BNF$1,'Renta Fija Mixta + Metales Agre'!$B$22:$C$35,2,FALSE),0%)</f>
        <v>0</v>
      </c>
      <c r="BNG6" s="5">
        <f>IFERROR(VLOOKUP(BNG$1,'Renta Fija Mixta + Metales Agre'!$B$22:$C$35,2,FALSE),0%)</f>
        <v>0</v>
      </c>
      <c r="BNH6" s="5">
        <f>IFERROR(VLOOKUP(BNH$1,'Renta Fija Mixta + Metales Agre'!$B$22:$C$35,2,FALSE),0%)</f>
        <v>0</v>
      </c>
      <c r="BNI6" s="5">
        <f>IFERROR(VLOOKUP(BNI$1,'Renta Fija Mixta + Metales Agre'!$B$22:$C$35,2,FALSE),0%)</f>
        <v>0</v>
      </c>
      <c r="BNJ6" s="5">
        <f>IFERROR(VLOOKUP(BNJ$1,'Renta Fija Mixta + Metales Agre'!$B$22:$C$35,2,FALSE),0%)</f>
        <v>0</v>
      </c>
      <c r="BNK6" s="5">
        <f>IFERROR(VLOOKUP(BNK$1,'Renta Fija Mixta + Metales Agre'!$B$22:$C$35,2,FALSE),0%)</f>
        <v>0</v>
      </c>
      <c r="BNL6" s="5">
        <f>IFERROR(VLOOKUP(BNL$1,'Renta Fija Mixta + Metales Agre'!$B$22:$C$35,2,FALSE),0%)</f>
        <v>0</v>
      </c>
      <c r="BNM6" s="5">
        <f>IFERROR(VLOOKUP(BNM$1,'Renta Fija Mixta + Metales Agre'!$B$22:$C$35,2,FALSE),0%)</f>
        <v>0</v>
      </c>
      <c r="BNN6" s="5">
        <f>IFERROR(VLOOKUP(BNN$1,'Renta Fija Mixta + Metales Agre'!$B$22:$C$35,2,FALSE),0%)</f>
        <v>0</v>
      </c>
      <c r="BNO6" s="5">
        <f>IFERROR(VLOOKUP(BNO$1,'Renta Fija Mixta + Metales Agre'!$B$22:$C$35,2,FALSE),0%)</f>
        <v>0</v>
      </c>
      <c r="BNP6" s="5">
        <f>IFERROR(VLOOKUP(BNP$1,'Renta Fija Mixta + Metales Agre'!$B$22:$C$35,2,FALSE),0%)</f>
        <v>0</v>
      </c>
      <c r="BNQ6" s="5">
        <f>IFERROR(VLOOKUP(BNQ$1,'Renta Fija Mixta + Metales Agre'!$B$22:$C$35,2,FALSE),0%)</f>
        <v>0</v>
      </c>
      <c r="BNR6" s="5">
        <f>IFERROR(VLOOKUP(BNR$1,'Renta Fija Mixta + Metales Agre'!$B$22:$C$35,2,FALSE),0%)</f>
        <v>0</v>
      </c>
      <c r="BNS6" s="5">
        <f>IFERROR(VLOOKUP(BNS$1,'Renta Fija Mixta + Metales Agre'!$B$22:$C$35,2,FALSE),0%)</f>
        <v>0</v>
      </c>
      <c r="BNT6" s="5">
        <f>IFERROR(VLOOKUP(BNT$1,'Renta Fija Mixta + Metales Agre'!$B$22:$C$35,2,FALSE),0%)</f>
        <v>0</v>
      </c>
      <c r="BNU6" s="5">
        <f>IFERROR(VLOOKUP(BNU$1,'Renta Fija Mixta + Metales Agre'!$B$22:$C$35,2,FALSE),0%)</f>
        <v>0</v>
      </c>
      <c r="BNV6" s="5">
        <f>IFERROR(VLOOKUP(BNV$1,'Renta Fija Mixta + Metales Agre'!$B$22:$C$35,2,FALSE),0%)</f>
        <v>0</v>
      </c>
      <c r="BNW6" s="5">
        <f>IFERROR(VLOOKUP(BNW$1,'Renta Fija Mixta + Metales Agre'!$B$22:$C$35,2,FALSE),0%)</f>
        <v>0</v>
      </c>
      <c r="BNX6" s="5">
        <f>IFERROR(VLOOKUP(BNX$1,'Renta Fija Mixta + Metales Agre'!$B$22:$C$35,2,FALSE),0%)</f>
        <v>0</v>
      </c>
      <c r="BNY6" s="5">
        <f>IFERROR(VLOOKUP(BNY$1,'Renta Fija Mixta + Metales Agre'!$B$22:$C$35,2,FALSE),0%)</f>
        <v>0</v>
      </c>
      <c r="BNZ6" s="5">
        <f>IFERROR(VLOOKUP(BNZ$1,'Renta Fija Mixta + Metales Agre'!$B$22:$C$35,2,FALSE),0%)</f>
        <v>0</v>
      </c>
      <c r="BOA6" s="5">
        <f>IFERROR(VLOOKUP(BOA$1,'Renta Fija Mixta + Metales Agre'!$B$22:$C$35,2,FALSE),0%)</f>
        <v>0</v>
      </c>
      <c r="BOB6" s="5">
        <f>IFERROR(VLOOKUP(BOB$1,'Renta Fija Mixta + Metales Agre'!$B$22:$C$35,2,FALSE),0%)</f>
        <v>0</v>
      </c>
      <c r="BOC6" s="5">
        <f>IFERROR(VLOOKUP(BOC$1,'Renta Fija Mixta + Metales Agre'!$B$22:$C$35,2,FALSE),0%)</f>
        <v>0</v>
      </c>
      <c r="BOD6" s="5">
        <f>IFERROR(VLOOKUP(BOD$1,'Renta Fija Mixta + Metales Agre'!$B$22:$C$35,2,FALSE),0%)</f>
        <v>0</v>
      </c>
      <c r="BOE6" s="5">
        <f>IFERROR(VLOOKUP(BOE$1,'Renta Fija Mixta + Metales Agre'!$B$22:$C$35,2,FALSE),0%)</f>
        <v>0</v>
      </c>
      <c r="BOF6" s="5">
        <f>IFERROR(VLOOKUP(BOF$1,'Renta Fija Mixta + Metales Agre'!$B$22:$C$35,2,FALSE),0%)</f>
        <v>0</v>
      </c>
      <c r="BOG6" s="5">
        <f>IFERROR(VLOOKUP(BOG$1,'Renta Fija Mixta + Metales Agre'!$B$22:$C$35,2,FALSE),0%)</f>
        <v>0</v>
      </c>
      <c r="BOH6" s="5">
        <f>IFERROR(VLOOKUP(BOH$1,'Renta Fija Mixta + Metales Agre'!$B$22:$C$35,2,FALSE),0%)</f>
        <v>0</v>
      </c>
      <c r="BOI6" s="5">
        <f>IFERROR(VLOOKUP(BOI$1,'Renta Fija Mixta + Metales Agre'!$B$22:$C$35,2,FALSE),0%)</f>
        <v>0</v>
      </c>
      <c r="BOJ6" s="5">
        <f>IFERROR(VLOOKUP(BOJ$1,'Renta Fija Mixta + Metales Agre'!$B$22:$C$35,2,FALSE),0%)</f>
        <v>0</v>
      </c>
      <c r="BOK6" s="5">
        <f>IFERROR(VLOOKUP(BOK$1,'Renta Fija Mixta + Metales Agre'!$B$22:$C$35,2,FALSE),0%)</f>
        <v>0</v>
      </c>
      <c r="BOL6" s="5">
        <f>IFERROR(VLOOKUP(BOL$1,'Renta Fija Mixta + Metales Agre'!$B$22:$C$35,2,FALSE),0%)</f>
        <v>0</v>
      </c>
      <c r="BOM6" s="5">
        <f>IFERROR(VLOOKUP(BOM$1,'Renta Fija Mixta + Metales Agre'!$B$22:$C$35,2,FALSE),0%)</f>
        <v>0</v>
      </c>
      <c r="BON6" s="5">
        <f>IFERROR(VLOOKUP(BON$1,'Renta Fija Mixta + Metales Agre'!$B$22:$C$35,2,FALSE),0%)</f>
        <v>0</v>
      </c>
      <c r="BOO6" s="5">
        <f>IFERROR(VLOOKUP(BOO$1,'Renta Fija Mixta + Metales Agre'!$B$22:$C$35,2,FALSE),0%)</f>
        <v>0</v>
      </c>
      <c r="BOP6" s="5">
        <f>IFERROR(VLOOKUP(BOP$1,'Renta Fija Mixta + Metales Agre'!$B$22:$C$35,2,FALSE),0%)</f>
        <v>0</v>
      </c>
      <c r="BOQ6" s="5">
        <f>IFERROR(VLOOKUP(BOQ$1,'Renta Fija Mixta + Metales Agre'!$B$22:$C$35,2,FALSE),0%)</f>
        <v>0</v>
      </c>
      <c r="BOR6" s="5">
        <f>IFERROR(VLOOKUP(BOR$1,'Renta Fija Mixta + Metales Agre'!$B$22:$C$35,2,FALSE),0%)</f>
        <v>0.1338562519</v>
      </c>
      <c r="BOS6" s="5">
        <f>IFERROR(VLOOKUP(BOS$1,'Renta Fija Mixta + Metales Agre'!$B$22:$C$35,2,FALSE),0%)</f>
        <v>0</v>
      </c>
      <c r="BOT6" s="5">
        <f>IFERROR(VLOOKUP(BOT$1,'Renta Fija Mixta + Metales Agre'!$B$22:$C$35,2,FALSE),0%)</f>
        <v>0</v>
      </c>
      <c r="BOU6" s="5">
        <f>IFERROR(VLOOKUP(BOU$1,'Renta Fija Mixta + Metales Agre'!$B$22:$C$35,2,FALSE),0%)</f>
        <v>0</v>
      </c>
      <c r="BOV6" s="5">
        <f>IFERROR(VLOOKUP(BOV$1,'Renta Fija Mixta + Metales Agre'!$B$22:$C$35,2,FALSE),0%)</f>
        <v>0</v>
      </c>
      <c r="BOW6" s="5">
        <f>IFERROR(VLOOKUP(BOW$1,'Renta Fija Mixta + Metales Agre'!$B$22:$C$35,2,FALSE),0%)</f>
        <v>0</v>
      </c>
      <c r="BOX6" s="5">
        <f>IFERROR(VLOOKUP(BOX$1,'Renta Fija Mixta + Metales Agre'!$B$22:$C$35,2,FALSE),0%)</f>
        <v>0</v>
      </c>
      <c r="BOY6" s="5">
        <f>IFERROR(VLOOKUP(BOY$1,'Renta Fija Mixta + Metales Agre'!$B$22:$C$35,2,FALSE),0%)</f>
        <v>0</v>
      </c>
      <c r="BOZ6" s="5">
        <f>IFERROR(VLOOKUP(BOZ$1,'Renta Fija Mixta + Metales Agre'!$B$22:$C$35,2,FALSE),0%)</f>
        <v>0</v>
      </c>
      <c r="BPA6" s="5">
        <f>IFERROR(VLOOKUP(BPA$1,'Renta Fija Mixta + Metales Agre'!$B$22:$C$35,2,FALSE),0%)</f>
        <v>0</v>
      </c>
      <c r="BPB6" s="5">
        <f>IFERROR(VLOOKUP(BPB$1,'Renta Fija Mixta + Metales Agre'!$B$22:$C$35,2,FALSE),0%)</f>
        <v>0</v>
      </c>
      <c r="BPC6" s="5">
        <f>IFERROR(VLOOKUP(BPC$1,'Renta Fija Mixta + Metales Agre'!$B$22:$C$35,2,FALSE),0%)</f>
        <v>0</v>
      </c>
      <c r="BPD6" s="5">
        <f>IFERROR(VLOOKUP(BPD$1,'Renta Fija Mixta + Metales Agre'!$B$22:$C$35,2,FALSE),0%)</f>
        <v>0</v>
      </c>
      <c r="BPE6" s="5">
        <f>IFERROR(VLOOKUP(BPE$1,'Renta Fija Mixta + Metales Agre'!$B$22:$C$35,2,FALSE),0%)</f>
        <v>0</v>
      </c>
      <c r="BPF6" s="5">
        <f>IFERROR(VLOOKUP(BPF$1,'Renta Fija Mixta + Metales Agre'!$B$22:$C$35,2,FALSE),0%)</f>
        <v>0</v>
      </c>
      <c r="BPG6" s="5">
        <f>IFERROR(VLOOKUP(BPG$1,'Renta Fija Mixta + Metales Agre'!$B$22:$C$35,2,FALSE),0%)</f>
        <v>0</v>
      </c>
      <c r="BPH6" s="5">
        <f>IFERROR(VLOOKUP(BPH$1,'Renta Fija Mixta + Metales Agre'!$B$22:$C$35,2,FALSE),0%)</f>
        <v>0</v>
      </c>
      <c r="BPI6" s="5">
        <f>IFERROR(VLOOKUP(BPI$1,'Renta Fija Mixta + Metales Agre'!$B$22:$C$35,2,FALSE),0%)</f>
        <v>0</v>
      </c>
      <c r="BPJ6" s="5">
        <f>IFERROR(VLOOKUP(BPJ$1,'Renta Fija Mixta + Metales Agre'!$B$22:$C$35,2,FALSE),0%)</f>
        <v>0</v>
      </c>
      <c r="BPK6" s="5">
        <f>IFERROR(VLOOKUP(BPK$1,'Renta Fija Mixta + Metales Agre'!$B$22:$C$35,2,FALSE),0%)</f>
        <v>0</v>
      </c>
      <c r="BPL6" s="5">
        <f>IFERROR(VLOOKUP(BPL$1,'Renta Fija Mixta + Metales Agre'!$B$22:$C$35,2,FALSE),0%)</f>
        <v>0</v>
      </c>
      <c r="BPM6" s="5">
        <f>IFERROR(VLOOKUP(BPM$1,'Renta Fija Mixta + Metales Agre'!$B$22:$C$35,2,FALSE),0%)</f>
        <v>0</v>
      </c>
      <c r="BPN6" s="5">
        <f>IFERROR(VLOOKUP(BPN$1,'Renta Fija Mixta + Metales Agre'!$B$22:$C$35,2,FALSE),0%)</f>
        <v>0</v>
      </c>
      <c r="BPO6" s="5">
        <f>IFERROR(VLOOKUP(BPO$1,'Renta Fija Mixta + Metales Agre'!$B$22:$C$35,2,FALSE),0%)</f>
        <v>0</v>
      </c>
      <c r="BPP6" s="5">
        <f>IFERROR(VLOOKUP(BPP$1,'Renta Fija Mixta + Metales Agre'!$B$22:$C$35,2,FALSE),0%)</f>
        <v>0</v>
      </c>
      <c r="BPQ6" s="5">
        <f>IFERROR(VLOOKUP(BPQ$1,'Renta Fija Mixta + Metales Agre'!$B$22:$C$35,2,FALSE),0%)</f>
        <v>0</v>
      </c>
      <c r="BPR6" s="5">
        <f>IFERROR(VLOOKUP(BPR$1,'Renta Fija Mixta + Metales Agre'!$B$22:$C$35,2,FALSE),0%)</f>
        <v>0</v>
      </c>
      <c r="BPS6" s="5">
        <f>IFERROR(VLOOKUP(BPS$1,'Renta Fija Mixta + Metales Agre'!$B$22:$C$35,2,FALSE),0%)</f>
        <v>0</v>
      </c>
      <c r="BPT6" s="5">
        <f>IFERROR(VLOOKUP(BPT$1,'Renta Fija Mixta + Metales Agre'!$B$22:$C$35,2,FALSE),0%)</f>
        <v>0</v>
      </c>
      <c r="BPU6" s="5">
        <f>IFERROR(VLOOKUP(BPU$1,'Renta Fija Mixta + Metales Agre'!$B$22:$C$35,2,FALSE),0%)</f>
        <v>0</v>
      </c>
      <c r="BPV6" s="5">
        <f>IFERROR(VLOOKUP(BPV$1,'Renta Fija Mixta + Metales Agre'!$B$22:$C$35,2,FALSE),0%)</f>
        <v>0</v>
      </c>
      <c r="BPW6" s="5">
        <f>IFERROR(VLOOKUP(BPW$1,'Renta Fija Mixta + Metales Agre'!$B$22:$C$35,2,FALSE),0%)</f>
        <v>0</v>
      </c>
      <c r="BPX6" s="5">
        <f>IFERROR(VLOOKUP(BPX$1,'Renta Fija Mixta + Metales Agre'!$B$22:$C$35,2,FALSE),0%)</f>
        <v>0</v>
      </c>
      <c r="BPY6" s="5">
        <f>IFERROR(VLOOKUP(BPY$1,'Renta Fija Mixta + Metales Agre'!$B$22:$C$35,2,FALSE),0%)</f>
        <v>0</v>
      </c>
      <c r="BPZ6" s="5">
        <f>IFERROR(VLOOKUP(BPZ$1,'Renta Fija Mixta + Metales Agre'!$B$22:$C$35,2,FALSE),0%)</f>
        <v>0</v>
      </c>
      <c r="BQA6" s="5">
        <f>IFERROR(VLOOKUP(BQA$1,'Renta Fija Mixta + Metales Agre'!$B$22:$C$35,2,FALSE),0%)</f>
        <v>0</v>
      </c>
      <c r="BQB6" s="5">
        <f>IFERROR(VLOOKUP(BQB$1,'Renta Fija Mixta + Metales Agre'!$B$22:$C$35,2,FALSE),0%)</f>
        <v>0</v>
      </c>
      <c r="BQC6" s="5">
        <f>IFERROR(VLOOKUP(BQC$1,'Renta Fija Mixta + Metales Agre'!$B$22:$C$35,2,FALSE),0%)</f>
        <v>0</v>
      </c>
      <c r="BQD6" s="5">
        <f>IFERROR(VLOOKUP(BQD$1,'Renta Fija Mixta + Metales Agre'!$B$22:$C$35,2,FALSE),0%)</f>
        <v>0</v>
      </c>
      <c r="BQE6" s="5">
        <f>IFERROR(VLOOKUP(BQE$1,'Renta Fija Mixta + Metales Agre'!$B$22:$C$35,2,FALSE),0%)</f>
        <v>0</v>
      </c>
      <c r="BQF6" s="5">
        <f>IFERROR(VLOOKUP(BQF$1,'Renta Fija Mixta + Metales Agre'!$B$22:$C$35,2,FALSE),0%)</f>
        <v>0</v>
      </c>
      <c r="BQG6" s="5">
        <f>IFERROR(VLOOKUP(BQG$1,'Renta Fija Mixta + Metales Agre'!$B$22:$C$35,2,FALSE),0%)</f>
        <v>0</v>
      </c>
      <c r="BQH6" s="5">
        <f>IFERROR(VLOOKUP(BQH$1,'Renta Fija Mixta + Metales Agre'!$B$22:$C$35,2,FALSE),0%)</f>
        <v>0</v>
      </c>
      <c r="BQI6" s="5">
        <f>IFERROR(VLOOKUP(BQI$1,'Renta Fija Mixta + Metales Agre'!$B$22:$C$35,2,FALSE),0%)</f>
        <v>0</v>
      </c>
      <c r="BQJ6" s="5">
        <f>IFERROR(VLOOKUP(BQJ$1,'Renta Fija Mixta + Metales Agre'!$B$22:$C$35,2,FALSE),0%)</f>
        <v>0</v>
      </c>
      <c r="BQK6" s="5">
        <f>IFERROR(VLOOKUP(BQK$1,'Renta Fija Mixta + Metales Agre'!$B$22:$C$35,2,FALSE),0%)</f>
        <v>0</v>
      </c>
      <c r="BQL6" s="5">
        <f>IFERROR(VLOOKUP(BQL$1,'Renta Fija Mixta + Metales Agre'!$B$22:$C$35,2,FALSE),0%)</f>
        <v>0</v>
      </c>
      <c r="BQM6" s="5">
        <f>IFERROR(VLOOKUP(BQM$1,'Renta Fija Mixta + Metales Agre'!$B$22:$C$35,2,FALSE),0%)</f>
        <v>0</v>
      </c>
      <c r="BQN6" s="5">
        <f>IFERROR(VLOOKUP(BQN$1,'Renta Fija Mixta + Metales Agre'!$B$22:$C$35,2,FALSE),0%)</f>
        <v>0</v>
      </c>
      <c r="BQO6" s="5">
        <f>IFERROR(VLOOKUP(BQO$1,'Renta Fija Mixta + Metales Agre'!$B$22:$C$35,2,FALSE),0%)</f>
        <v>0</v>
      </c>
      <c r="BQP6" s="5">
        <f>IFERROR(VLOOKUP(BQP$1,'Renta Fija Mixta + Metales Agre'!$B$22:$C$35,2,FALSE),0%)</f>
        <v>0</v>
      </c>
      <c r="BQQ6" s="5">
        <f>IFERROR(VLOOKUP(BQQ$1,'Renta Fija Mixta + Metales Agre'!$B$22:$C$35,2,FALSE),0%)</f>
        <v>0</v>
      </c>
      <c r="BQR6" s="5">
        <f>IFERROR(VLOOKUP(BQR$1,'Renta Fija Mixta + Metales Agre'!$B$22:$C$35,2,FALSE),0%)</f>
        <v>0</v>
      </c>
      <c r="BQS6" s="5">
        <f>IFERROR(VLOOKUP(BQS$1,'Renta Fija Mixta + Metales Agre'!$B$22:$C$35,2,FALSE),0%)</f>
        <v>0</v>
      </c>
      <c r="BQT6" s="5">
        <f>IFERROR(VLOOKUP(BQT$1,'Renta Fija Mixta + Metales Agre'!$B$22:$C$35,2,FALSE),0%)</f>
        <v>0</v>
      </c>
      <c r="BQU6" s="5">
        <f>IFERROR(VLOOKUP(BQU$1,'Renta Fija Mixta + Metales Agre'!$B$22:$C$35,2,FALSE),0%)</f>
        <v>0</v>
      </c>
      <c r="BQV6" s="5">
        <f>IFERROR(VLOOKUP(BQV$1,'Renta Fija Mixta + Metales Agre'!$B$22:$C$35,2,FALSE),0%)</f>
        <v>0</v>
      </c>
      <c r="BQW6" s="5">
        <f>IFERROR(VLOOKUP(BQW$1,'Renta Fija Mixta + Metales Agre'!$B$22:$C$35,2,FALSE),0%)</f>
        <v>0</v>
      </c>
      <c r="BQX6" s="5">
        <f>IFERROR(VLOOKUP(BQX$1,'Renta Fija Mixta + Metales Agre'!$B$22:$C$35,2,FALSE),0%)</f>
        <v>0</v>
      </c>
      <c r="BQY6" s="5">
        <f>IFERROR(VLOOKUP(BQY$1,'Renta Fija Mixta + Metales Agre'!$B$22:$C$35,2,FALSE),0%)</f>
        <v>0</v>
      </c>
      <c r="BQZ6" s="5">
        <f>IFERROR(VLOOKUP(BQZ$1,'Renta Fija Mixta + Metales Agre'!$B$22:$C$35,2,FALSE),0%)</f>
        <v>0</v>
      </c>
      <c r="BRA6" s="5">
        <f>IFERROR(VLOOKUP(BRA$1,'Renta Fija Mixta + Metales Agre'!$B$22:$C$35,2,FALSE),0%)</f>
        <v>0</v>
      </c>
      <c r="BRB6" s="5">
        <f>IFERROR(VLOOKUP(BRB$1,'Renta Fija Mixta + Metales Agre'!$B$22:$C$35,2,FALSE),0%)</f>
        <v>0</v>
      </c>
      <c r="BRC6" s="5">
        <f>IFERROR(VLOOKUP(BRC$1,'Renta Fija Mixta + Metales Agre'!$B$22:$C$35,2,FALSE),0%)</f>
        <v>0</v>
      </c>
      <c r="BRD6" s="5">
        <f>IFERROR(VLOOKUP(BRD$1,'Renta Fija Mixta + Metales Agre'!$B$22:$C$35,2,FALSE),0%)</f>
        <v>0</v>
      </c>
      <c r="BRE6" s="5">
        <f>IFERROR(VLOOKUP(BRE$1,'Renta Fija Mixta + Metales Agre'!$B$22:$C$35,2,FALSE),0%)</f>
        <v>0</v>
      </c>
      <c r="BRF6" s="5">
        <f>IFERROR(VLOOKUP(BRF$1,'Renta Fija Mixta + Metales Agre'!$B$22:$C$35,2,FALSE),0%)</f>
        <v>0</v>
      </c>
      <c r="BRG6" s="5">
        <f>IFERROR(VLOOKUP(BRG$1,'Renta Fija Mixta + Metales Agre'!$B$22:$C$35,2,FALSE),0%)</f>
        <v>0</v>
      </c>
      <c r="BRH6" s="5">
        <f>IFERROR(VLOOKUP(BRH$1,'Renta Fija Mixta + Metales Agre'!$B$22:$C$35,2,FALSE),0%)</f>
        <v>0</v>
      </c>
      <c r="BRI6" s="5">
        <f>IFERROR(VLOOKUP(BRI$1,'Renta Fija Mixta + Metales Agre'!$B$22:$C$35,2,FALSE),0%)</f>
        <v>0</v>
      </c>
      <c r="BRJ6" s="5">
        <f>IFERROR(VLOOKUP(BRJ$1,'Renta Fija Mixta + Metales Agre'!$B$22:$C$35,2,FALSE),0%)</f>
        <v>0</v>
      </c>
      <c r="BRK6" s="5">
        <f>IFERROR(VLOOKUP(BRK$1,'Renta Fija Mixta + Metales Agre'!$B$22:$C$35,2,FALSE),0%)</f>
        <v>0</v>
      </c>
      <c r="BRL6" s="5">
        <f>IFERROR(VLOOKUP(BRL$1,'Renta Fija Mixta + Metales Agre'!$B$22:$C$35,2,FALSE),0%)</f>
        <v>0</v>
      </c>
      <c r="BRM6" s="5">
        <f>IFERROR(VLOOKUP(BRM$1,'Renta Fija Mixta + Metales Agre'!$B$22:$C$35,2,FALSE),0%)</f>
        <v>0</v>
      </c>
      <c r="BRN6" s="5">
        <f>IFERROR(VLOOKUP(BRN$1,'Renta Fija Mixta + Metales Agre'!$B$22:$C$35,2,FALSE),0%)</f>
        <v>0</v>
      </c>
      <c r="BRO6" s="5">
        <f>IFERROR(VLOOKUP(BRO$1,'Renta Fija Mixta + Metales Agre'!$B$22:$C$35,2,FALSE),0%)</f>
        <v>0</v>
      </c>
      <c r="BRP6" s="5">
        <f>IFERROR(VLOOKUP(BRP$1,'Renta Fija Mixta + Metales Agre'!$B$22:$C$35,2,FALSE),0%)</f>
        <v>0</v>
      </c>
      <c r="BRQ6" s="5">
        <f>IFERROR(VLOOKUP(BRQ$1,'Renta Fija Mixta + Metales Agre'!$B$22:$C$35,2,FALSE),0%)</f>
        <v>0</v>
      </c>
      <c r="BRR6" s="5">
        <f>IFERROR(VLOOKUP(BRR$1,'Renta Fija Mixta + Metales Agre'!$B$22:$C$35,2,FALSE),0%)</f>
        <v>0</v>
      </c>
      <c r="BRS6" s="5">
        <f>IFERROR(VLOOKUP(BRS$1,'Renta Fija Mixta + Metales Agre'!$B$22:$C$35,2,FALSE),0%)</f>
        <v>0</v>
      </c>
      <c r="BRT6" s="5">
        <f>IFERROR(VLOOKUP(BRT$1,'Renta Fija Mixta + Metales Agre'!$B$22:$C$35,2,FALSE),0%)</f>
        <v>0</v>
      </c>
      <c r="BRU6" s="5">
        <f>IFERROR(VLOOKUP(BRU$1,'Renta Fija Mixta + Metales Agre'!$B$22:$C$35,2,FALSE),0%)</f>
        <v>0</v>
      </c>
      <c r="BRV6" s="5">
        <f>IFERROR(VLOOKUP(BRV$1,'Renta Fija Mixta + Metales Agre'!$B$22:$C$35,2,FALSE),0%)</f>
        <v>0</v>
      </c>
      <c r="BRW6" s="5">
        <f>IFERROR(VLOOKUP(BRW$1,'Renta Fija Mixta + Metales Agre'!$B$22:$C$35,2,FALSE),0%)</f>
        <v>0</v>
      </c>
      <c r="BRX6" s="5">
        <f>IFERROR(VLOOKUP(BRX$1,'Renta Fija Mixta + Metales Agre'!$B$22:$C$35,2,FALSE),0%)</f>
        <v>0</v>
      </c>
      <c r="BRY6" s="5">
        <f>IFERROR(VLOOKUP(BRY$1,'Renta Fija Mixta + Metales Agre'!$B$22:$C$35,2,FALSE),0%)</f>
        <v>0</v>
      </c>
      <c r="BRZ6" s="5">
        <f>IFERROR(VLOOKUP(BRZ$1,'Renta Fija Mixta + Metales Agre'!$B$22:$C$35,2,FALSE),0%)</f>
        <v>0</v>
      </c>
      <c r="BSA6" s="5">
        <f>IFERROR(VLOOKUP(BSA$1,'Renta Fija Mixta + Metales Agre'!$B$22:$C$35,2,FALSE),0%)</f>
        <v>0</v>
      </c>
      <c r="BSB6" s="5">
        <f>IFERROR(VLOOKUP(BSB$1,'Renta Fija Mixta + Metales Agre'!$B$22:$C$35,2,FALSE),0%)</f>
        <v>0</v>
      </c>
      <c r="BSC6" s="5">
        <f>IFERROR(VLOOKUP(BSC$1,'Renta Fija Mixta + Metales Agre'!$B$22:$C$35,2,FALSE),0%)</f>
        <v>0</v>
      </c>
      <c r="BSD6" s="5">
        <f>IFERROR(VLOOKUP(BSD$1,'Renta Fija Mixta + Metales Agre'!$B$22:$C$35,2,FALSE),0%)</f>
        <v>0</v>
      </c>
      <c r="BSE6" s="5">
        <f>IFERROR(VLOOKUP(BSE$1,'Renta Fija Mixta + Metales Agre'!$B$22:$C$35,2,FALSE),0%)</f>
        <v>0</v>
      </c>
      <c r="BSF6" s="5">
        <f>IFERROR(VLOOKUP(BSF$1,'Renta Fija Mixta + Metales Agre'!$B$22:$C$35,2,FALSE),0%)</f>
        <v>0</v>
      </c>
      <c r="BSG6" s="5">
        <f>IFERROR(VLOOKUP(BSG$1,'Renta Fija Mixta + Metales Agre'!$B$22:$C$35,2,FALSE),0%)</f>
        <v>0</v>
      </c>
      <c r="BSH6" s="5">
        <f>IFERROR(VLOOKUP(BSH$1,'Renta Fija Mixta + Metales Agre'!$B$22:$C$35,2,FALSE),0%)</f>
        <v>0</v>
      </c>
      <c r="BSI6" s="5">
        <f>IFERROR(VLOOKUP(BSI$1,'Renta Fija Mixta + Metales Agre'!$B$22:$C$35,2,FALSE),0%)</f>
        <v>0</v>
      </c>
      <c r="BSJ6" s="5">
        <f>IFERROR(VLOOKUP(BSJ$1,'Renta Fija Mixta + Metales Agre'!$B$22:$C$35,2,FALSE),0%)</f>
        <v>0</v>
      </c>
      <c r="BSK6" s="5">
        <f>IFERROR(VLOOKUP(BSK$1,'Renta Fija Mixta + Metales Agre'!$B$22:$C$35,2,FALSE),0%)</f>
        <v>0</v>
      </c>
      <c r="BSL6" s="5">
        <f>IFERROR(VLOOKUP(BSL$1,'Renta Fija Mixta + Metales Agre'!$B$22:$C$35,2,FALSE),0%)</f>
        <v>0</v>
      </c>
      <c r="BSM6" s="5">
        <f>IFERROR(VLOOKUP(BSM$1,'Renta Fija Mixta + Metales Agre'!$B$22:$C$35,2,FALSE),0%)</f>
        <v>0</v>
      </c>
      <c r="BSN6" s="5">
        <f>IFERROR(VLOOKUP(BSN$1,'Renta Fija Mixta + Metales Agre'!$B$22:$C$35,2,FALSE),0%)</f>
        <v>0</v>
      </c>
      <c r="BSO6" s="5">
        <f>IFERROR(VLOOKUP(BSO$1,'Renta Fija Mixta + Metales Agre'!$B$22:$C$35,2,FALSE),0%)</f>
        <v>0</v>
      </c>
      <c r="BSP6" s="5">
        <f>IFERROR(VLOOKUP(BSP$1,'Renta Fija Mixta + Metales Agre'!$B$22:$C$35,2,FALSE),0%)</f>
        <v>0</v>
      </c>
      <c r="BSQ6" s="5">
        <f>IFERROR(VLOOKUP(BSQ$1,'Renta Fija Mixta + Metales Agre'!$B$22:$C$35,2,FALSE),0%)</f>
        <v>0</v>
      </c>
      <c r="BSR6" s="5">
        <f>IFERROR(VLOOKUP(BSR$1,'Renta Fija Mixta + Metales Agre'!$B$22:$C$35,2,FALSE),0%)</f>
        <v>0</v>
      </c>
      <c r="BSS6" s="5">
        <f>IFERROR(VLOOKUP(BSS$1,'Renta Fija Mixta + Metales Agre'!$B$22:$C$35,2,FALSE),0%)</f>
        <v>0</v>
      </c>
      <c r="BST6" s="5">
        <f>IFERROR(VLOOKUP(BST$1,'Renta Fija Mixta + Metales Agre'!$B$22:$C$35,2,FALSE),0%)</f>
        <v>0</v>
      </c>
      <c r="BSU6" s="5">
        <f>IFERROR(VLOOKUP(BSU$1,'Renta Fija Mixta + Metales Agre'!$B$22:$C$35,2,FALSE),0%)</f>
        <v>0</v>
      </c>
      <c r="BSV6" s="5">
        <f>IFERROR(VLOOKUP(BSV$1,'Renta Fija Mixta + Metales Agre'!$B$22:$C$35,2,FALSE),0%)</f>
        <v>0</v>
      </c>
      <c r="BSW6" s="5">
        <f>IFERROR(VLOOKUP(BSW$1,'Renta Fija Mixta + Metales Agre'!$B$22:$C$35,2,FALSE),0%)</f>
        <v>0</v>
      </c>
      <c r="BSX6" s="5">
        <f>IFERROR(VLOOKUP(BSX$1,'Renta Fija Mixta + Metales Agre'!$B$22:$C$35,2,FALSE),0%)</f>
        <v>0</v>
      </c>
      <c r="BSY6" s="5">
        <f>IFERROR(VLOOKUP(BSY$1,'Renta Fija Mixta + Metales Agre'!$B$22:$C$35,2,FALSE),0%)</f>
        <v>0</v>
      </c>
      <c r="BSZ6" s="5">
        <f>IFERROR(VLOOKUP(BSZ$1,'Renta Fija Mixta + Metales Agre'!$B$22:$C$35,2,FALSE),0%)</f>
        <v>0</v>
      </c>
      <c r="BTA6" s="5">
        <f>IFERROR(VLOOKUP(BTA$1,'Renta Fija Mixta + Metales Agre'!$B$22:$C$35,2,FALSE),0%)</f>
        <v>0</v>
      </c>
      <c r="BTB6" s="5">
        <f>IFERROR(VLOOKUP(BTB$1,'Renta Fija Mixta + Metales Agre'!$B$22:$C$35,2,FALSE),0%)</f>
        <v>0</v>
      </c>
      <c r="BTC6" s="5">
        <f>IFERROR(VLOOKUP(BTC$1,'Renta Fija Mixta + Metales Agre'!$B$22:$C$35,2,FALSE),0%)</f>
        <v>0</v>
      </c>
      <c r="BTD6" s="5">
        <f>IFERROR(VLOOKUP(BTD$1,'Renta Fija Mixta + Metales Agre'!$B$22:$C$35,2,FALSE),0%)</f>
        <v>0</v>
      </c>
      <c r="BTE6" s="5">
        <f>IFERROR(VLOOKUP(BTE$1,'Renta Fija Mixta + Metales Agre'!$B$22:$C$35,2,FALSE),0%)</f>
        <v>0</v>
      </c>
      <c r="BTF6" s="5">
        <f>IFERROR(VLOOKUP(BTF$1,'Renta Fija Mixta + Metales Agre'!$B$22:$C$35,2,FALSE),0%)</f>
        <v>0</v>
      </c>
      <c r="BTG6" s="5">
        <f>IFERROR(VLOOKUP(BTG$1,'Renta Fija Mixta + Metales Agre'!$B$22:$C$35,2,FALSE),0%)</f>
        <v>0</v>
      </c>
      <c r="BTH6" s="5">
        <f>IFERROR(VLOOKUP(BTH$1,'Renta Fija Mixta + Metales Agre'!$B$22:$C$35,2,FALSE),0%)</f>
        <v>0</v>
      </c>
      <c r="BTI6" s="5">
        <f>IFERROR(VLOOKUP(BTI$1,'Renta Fija Mixta + Metales Agre'!$B$22:$C$35,2,FALSE),0%)</f>
        <v>0</v>
      </c>
      <c r="BTJ6" s="5">
        <f>IFERROR(VLOOKUP(BTJ$1,'Renta Fija Mixta + Metales Agre'!$B$22:$C$35,2,FALSE),0%)</f>
        <v>0</v>
      </c>
      <c r="BTK6" s="5">
        <f>IFERROR(VLOOKUP(BTK$1,'Renta Fija Mixta + Metales Agre'!$B$22:$C$35,2,FALSE),0%)</f>
        <v>0</v>
      </c>
      <c r="BTL6" s="5">
        <f>IFERROR(VLOOKUP(BTL$1,'Renta Fija Mixta + Metales Agre'!$B$22:$C$35,2,FALSE),0%)</f>
        <v>0</v>
      </c>
      <c r="BTM6" s="5">
        <f>IFERROR(VLOOKUP(BTM$1,'Renta Fija Mixta + Metales Agre'!$B$22:$C$35,2,FALSE),0%)</f>
        <v>0</v>
      </c>
      <c r="BTN6" s="5">
        <f>IFERROR(VLOOKUP(BTN$1,'Renta Fija Mixta + Metales Agre'!$B$22:$C$35,2,FALSE),0%)</f>
        <v>0</v>
      </c>
      <c r="BTO6" s="5">
        <f>IFERROR(VLOOKUP(BTO$1,'Renta Fija Mixta + Metales Agre'!$B$22:$C$35,2,FALSE),0%)</f>
        <v>0</v>
      </c>
      <c r="BTP6" s="5">
        <f>IFERROR(VLOOKUP(BTP$1,'Renta Fija Mixta + Metales Agre'!$B$22:$C$35,2,FALSE),0%)</f>
        <v>0</v>
      </c>
      <c r="BTQ6" s="5">
        <f>IFERROR(VLOOKUP(BTQ$1,'Renta Fija Mixta + Metales Agre'!$B$22:$C$35,2,FALSE),0%)</f>
        <v>0</v>
      </c>
      <c r="BTR6" s="5">
        <f>IFERROR(VLOOKUP(BTR$1,'Renta Fija Mixta + Metales Agre'!$B$22:$C$35,2,FALSE),0%)</f>
        <v>0</v>
      </c>
      <c r="BTS6" s="5">
        <f>IFERROR(VLOOKUP(BTS$1,'Renta Fija Mixta + Metales Agre'!$B$22:$C$35,2,FALSE),0%)</f>
        <v>0</v>
      </c>
      <c r="BTT6" s="5">
        <f>IFERROR(VLOOKUP(BTT$1,'Renta Fija Mixta + Metales Agre'!$B$22:$C$35,2,FALSE),0%)</f>
        <v>0</v>
      </c>
      <c r="BTU6" s="5">
        <f>IFERROR(VLOOKUP(BTU$1,'Renta Fija Mixta + Metales Agre'!$B$22:$C$35,2,FALSE),0%)</f>
        <v>0</v>
      </c>
      <c r="BTV6" s="5">
        <f>IFERROR(VLOOKUP(BTV$1,'Renta Fija Mixta + Metales Agre'!$B$22:$C$35,2,FALSE),0%)</f>
        <v>0</v>
      </c>
      <c r="BTW6" s="5">
        <f>IFERROR(VLOOKUP(BTW$1,'Renta Fija Mixta + Metales Agre'!$B$22:$C$35,2,FALSE),0%)</f>
        <v>0</v>
      </c>
      <c r="BTX6" s="5">
        <f>IFERROR(VLOOKUP(BTX$1,'Renta Fija Mixta + Metales Agre'!$B$22:$C$35,2,FALSE),0%)</f>
        <v>0</v>
      </c>
      <c r="BTY6" s="5">
        <f>IFERROR(VLOOKUP(BTY$1,'Renta Fija Mixta + Metales Agre'!$B$22:$C$35,2,FALSE),0%)</f>
        <v>0</v>
      </c>
      <c r="BTZ6" s="5">
        <f>IFERROR(VLOOKUP(BTZ$1,'Renta Fija Mixta + Metales Agre'!$B$22:$C$35,2,FALSE),0%)</f>
        <v>0</v>
      </c>
      <c r="BUA6" s="5">
        <f>IFERROR(VLOOKUP(BUA$1,'Renta Fija Mixta + Metales Agre'!$B$22:$C$35,2,FALSE),0%)</f>
        <v>0</v>
      </c>
      <c r="BUB6" s="5">
        <f>IFERROR(VLOOKUP(BUB$1,'Renta Fija Mixta + Metales Agre'!$B$22:$C$35,2,FALSE),0%)</f>
        <v>0</v>
      </c>
      <c r="BUC6" s="5">
        <f>IFERROR(VLOOKUP(BUC$1,'Renta Fija Mixta + Metales Agre'!$B$22:$C$35,2,FALSE),0%)</f>
        <v>0</v>
      </c>
      <c r="BUD6" s="5">
        <f>IFERROR(VLOOKUP(BUD$1,'Renta Fija Mixta + Metales Agre'!$B$22:$C$35,2,FALSE),0%)</f>
        <v>0</v>
      </c>
      <c r="BUE6" s="5">
        <f>IFERROR(VLOOKUP(BUE$1,'Renta Fija Mixta + Metales Agre'!$B$22:$C$35,2,FALSE),0%)</f>
        <v>0</v>
      </c>
      <c r="BUF6" s="5">
        <f>IFERROR(VLOOKUP(BUF$1,'Renta Fija Mixta + Metales Agre'!$B$22:$C$35,2,FALSE),0%)</f>
        <v>0</v>
      </c>
      <c r="BUG6" s="5">
        <f>IFERROR(VLOOKUP(BUG$1,'Renta Fija Mixta + Metales Agre'!$B$22:$C$35,2,FALSE),0%)</f>
        <v>0</v>
      </c>
      <c r="BUH6" s="5">
        <f>IFERROR(VLOOKUP(BUH$1,'Renta Fija Mixta + Metales Agre'!$B$22:$C$35,2,FALSE),0%)</f>
        <v>0</v>
      </c>
      <c r="BUI6" s="5">
        <f>IFERROR(VLOOKUP(BUI$1,'Renta Fija Mixta + Metales Agre'!$B$22:$C$35,2,FALSE),0%)</f>
        <v>0</v>
      </c>
      <c r="BUJ6" s="5">
        <f>IFERROR(VLOOKUP(BUJ$1,'Renta Fija Mixta + Metales Agre'!$B$22:$C$35,2,FALSE),0%)</f>
        <v>0</v>
      </c>
      <c r="BUK6" s="5">
        <f>IFERROR(VLOOKUP(BUK$1,'Renta Fija Mixta + Metales Agre'!$B$22:$C$35,2,FALSE),0%)</f>
        <v>0</v>
      </c>
      <c r="BUL6" s="5">
        <f>IFERROR(VLOOKUP(BUL$1,'Renta Fija Mixta + Metales Agre'!$B$22:$C$35,2,FALSE),0%)</f>
        <v>0</v>
      </c>
      <c r="BUM6" s="5">
        <f>IFERROR(VLOOKUP(BUM$1,'Renta Fija Mixta + Metales Agre'!$B$22:$C$35,2,FALSE),0%)</f>
        <v>0</v>
      </c>
      <c r="BUN6" s="5">
        <f>IFERROR(VLOOKUP(BUN$1,'Renta Fija Mixta + Metales Agre'!$B$22:$C$35,2,FALSE),0%)</f>
        <v>0</v>
      </c>
      <c r="BUO6" s="5">
        <f>IFERROR(VLOOKUP(BUO$1,'Renta Fija Mixta + Metales Agre'!$B$22:$C$35,2,FALSE),0%)</f>
        <v>0</v>
      </c>
      <c r="BUP6" s="5">
        <f>IFERROR(VLOOKUP(BUP$1,'Renta Fija Mixta + Metales Agre'!$B$22:$C$35,2,FALSE),0%)</f>
        <v>0</v>
      </c>
      <c r="BUQ6" s="5">
        <f>IFERROR(VLOOKUP(BUQ$1,'Renta Fija Mixta + Metales Agre'!$B$22:$C$35,2,FALSE),0%)</f>
        <v>0</v>
      </c>
      <c r="BUR6" s="5">
        <f>IFERROR(VLOOKUP(BUR$1,'Renta Fija Mixta + Metales Agre'!$B$22:$C$35,2,FALSE),0%)</f>
        <v>0</v>
      </c>
      <c r="BUS6" s="5">
        <f>IFERROR(VLOOKUP(BUS$1,'Renta Fija Mixta + Metales Agre'!$B$22:$C$35,2,FALSE),0%)</f>
        <v>0</v>
      </c>
      <c r="BUT6" s="5">
        <f>IFERROR(VLOOKUP(BUT$1,'Renta Fija Mixta + Metales Agre'!$B$22:$C$35,2,FALSE),0%)</f>
        <v>0</v>
      </c>
      <c r="BUU6" s="5">
        <f>IFERROR(VLOOKUP(BUU$1,'Renta Fija Mixta + Metales Agre'!$B$22:$C$35,2,FALSE),0%)</f>
        <v>0</v>
      </c>
      <c r="BUV6" s="5">
        <f>IFERROR(VLOOKUP(BUV$1,'Renta Fija Mixta + Metales Agre'!$B$22:$C$35,2,FALSE),0%)</f>
        <v>0</v>
      </c>
      <c r="BUW6" s="5">
        <f>IFERROR(VLOOKUP(BUW$1,'Renta Fija Mixta + Metales Agre'!$B$22:$C$35,2,FALSE),0%)</f>
        <v>0</v>
      </c>
      <c r="BUX6" s="5">
        <f>IFERROR(VLOOKUP(BUX$1,'Renta Fija Mixta + Metales Agre'!$B$22:$C$35,2,FALSE),0%)</f>
        <v>0</v>
      </c>
      <c r="BUY6" s="5">
        <f>IFERROR(VLOOKUP(BUY$1,'Renta Fija Mixta + Metales Agre'!$B$22:$C$35,2,FALSE),0%)</f>
        <v>0</v>
      </c>
      <c r="BUZ6" s="5">
        <f>IFERROR(VLOOKUP(BUZ$1,'Renta Fija Mixta + Metales Agre'!$B$22:$C$35,2,FALSE),0%)</f>
        <v>0</v>
      </c>
      <c r="BVA6" s="5">
        <f>IFERROR(VLOOKUP(BVA$1,'Renta Fija Mixta + Metales Agre'!$B$22:$C$35,2,FALSE),0%)</f>
        <v>0</v>
      </c>
      <c r="BVB6" s="5">
        <f>IFERROR(VLOOKUP(BVB$1,'Renta Fija Mixta + Metales Agre'!$B$22:$C$35,2,FALSE),0%)</f>
        <v>0</v>
      </c>
      <c r="BVC6" s="5">
        <f>IFERROR(VLOOKUP(BVC$1,'Renta Fija Mixta + Metales Agre'!$B$22:$C$35,2,FALSE),0%)</f>
        <v>0</v>
      </c>
      <c r="BVD6" s="5">
        <f>IFERROR(VLOOKUP(BVD$1,'Renta Fija Mixta + Metales Agre'!$B$22:$C$35,2,FALSE),0%)</f>
        <v>0</v>
      </c>
      <c r="BVE6" s="5">
        <f>IFERROR(VLOOKUP(BVE$1,'Renta Fija Mixta + Metales Agre'!$B$22:$C$35,2,FALSE),0%)</f>
        <v>0</v>
      </c>
      <c r="BVF6" s="5">
        <f>IFERROR(VLOOKUP(BVF$1,'Renta Fija Mixta + Metales Agre'!$B$22:$C$35,2,FALSE),0%)</f>
        <v>0</v>
      </c>
      <c r="BVG6" s="5">
        <f>IFERROR(VLOOKUP(BVG$1,'Renta Fija Mixta + Metales Agre'!$B$22:$C$35,2,FALSE),0%)</f>
        <v>0</v>
      </c>
      <c r="BVH6" s="5">
        <f>IFERROR(VLOOKUP(BVH$1,'Renta Fija Mixta + Metales Agre'!$B$22:$C$35,2,FALSE),0%)</f>
        <v>0</v>
      </c>
      <c r="BVI6" s="5">
        <f>IFERROR(VLOOKUP(BVI$1,'Renta Fija Mixta + Metales Agre'!$B$22:$C$35,2,FALSE),0%)</f>
        <v>0</v>
      </c>
      <c r="BVJ6" s="5">
        <f>IFERROR(VLOOKUP(BVJ$1,'Renta Fija Mixta + Metales Agre'!$B$22:$C$35,2,FALSE),0%)</f>
        <v>0</v>
      </c>
      <c r="BVK6" s="5">
        <f>IFERROR(VLOOKUP(BVK$1,'Renta Fija Mixta + Metales Agre'!$B$22:$C$35,2,FALSE),0%)</f>
        <v>0</v>
      </c>
      <c r="BVL6" s="5">
        <f>IFERROR(VLOOKUP(BVL$1,'Renta Fija Mixta + Metales Agre'!$B$22:$C$35,2,FALSE),0%)</f>
        <v>0</v>
      </c>
      <c r="BVM6" s="5">
        <f>IFERROR(VLOOKUP(BVM$1,'Renta Fija Mixta + Metales Agre'!$B$22:$C$35,2,FALSE),0%)</f>
        <v>0</v>
      </c>
      <c r="BVN6" s="5">
        <f>IFERROR(VLOOKUP(BVN$1,'Renta Fija Mixta + Metales Agre'!$B$22:$C$35,2,FALSE),0%)</f>
        <v>0</v>
      </c>
      <c r="BVO6" s="5">
        <f>IFERROR(VLOOKUP(BVO$1,'Renta Fija Mixta + Metales Agre'!$B$22:$C$35,2,FALSE),0%)</f>
        <v>0</v>
      </c>
      <c r="BVP6" s="5">
        <f>IFERROR(VLOOKUP(BVP$1,'Renta Fija Mixta + Metales Agre'!$B$22:$C$35,2,FALSE),0%)</f>
        <v>0</v>
      </c>
      <c r="BVQ6" s="5">
        <f>IFERROR(VLOOKUP(BVQ$1,'Renta Fija Mixta + Metales Agre'!$B$22:$C$35,2,FALSE),0%)</f>
        <v>0</v>
      </c>
      <c r="BVR6" s="5">
        <f>IFERROR(VLOOKUP(BVR$1,'Renta Fija Mixta + Metales Agre'!$B$22:$C$35,2,FALSE),0%)</f>
        <v>0</v>
      </c>
      <c r="BVS6" s="5">
        <f>IFERROR(VLOOKUP(BVS$1,'Renta Fija Mixta + Metales Agre'!$B$22:$C$35,2,FALSE),0%)</f>
        <v>0</v>
      </c>
      <c r="BVT6" s="5">
        <f>IFERROR(VLOOKUP(BVT$1,'Renta Fija Mixta + Metales Agre'!$B$22:$C$35,2,FALSE),0%)</f>
        <v>0</v>
      </c>
      <c r="BVU6" s="5">
        <f>IFERROR(VLOOKUP(BVU$1,'Renta Fija Mixta + Metales Agre'!$B$22:$C$35,2,FALSE),0%)</f>
        <v>0</v>
      </c>
      <c r="BVV6" s="5">
        <f>IFERROR(VLOOKUP(BVV$1,'Renta Fija Mixta + Metales Agre'!$B$22:$C$35,2,FALSE),0%)</f>
        <v>0</v>
      </c>
      <c r="BVW6" s="5">
        <f>IFERROR(VLOOKUP(BVW$1,'Renta Fija Mixta + Metales Agre'!$B$22:$C$35,2,FALSE),0%)</f>
        <v>0</v>
      </c>
      <c r="BVX6" s="5">
        <f>IFERROR(VLOOKUP(BVX$1,'Renta Fija Mixta + Metales Agre'!$B$22:$C$35,2,FALSE),0%)</f>
        <v>0</v>
      </c>
      <c r="BVY6" s="5">
        <f>IFERROR(VLOOKUP(BVY$1,'Renta Fija Mixta + Metales Agre'!$B$22:$C$35,2,FALSE),0%)</f>
        <v>0</v>
      </c>
      <c r="BVZ6" s="5">
        <f>IFERROR(VLOOKUP(BVZ$1,'Renta Fija Mixta + Metales Agre'!$B$22:$C$35,2,FALSE),0%)</f>
        <v>0</v>
      </c>
      <c r="BWA6" s="5">
        <f>IFERROR(VLOOKUP(BWA$1,'Renta Fija Mixta + Metales Agre'!$B$22:$C$35,2,FALSE),0%)</f>
        <v>0</v>
      </c>
      <c r="BWB6" s="5">
        <f>IFERROR(VLOOKUP(BWB$1,'Renta Fija Mixta + Metales Agre'!$B$22:$C$35,2,FALSE),0%)</f>
        <v>0</v>
      </c>
      <c r="BWC6" s="5">
        <f>IFERROR(VLOOKUP(BWC$1,'Renta Fija Mixta + Metales Agre'!$B$22:$C$35,2,FALSE),0%)</f>
        <v>0</v>
      </c>
      <c r="BWD6" s="5">
        <f>IFERROR(VLOOKUP(BWD$1,'Renta Fija Mixta + Metales Agre'!$B$22:$C$35,2,FALSE),0%)</f>
        <v>0</v>
      </c>
      <c r="BWE6" s="5">
        <f>IFERROR(VLOOKUP(BWE$1,'Renta Fija Mixta + Metales Agre'!$B$22:$C$35,2,FALSE),0%)</f>
        <v>0</v>
      </c>
      <c r="BWF6" s="5">
        <f>IFERROR(VLOOKUP(BWF$1,'Renta Fija Mixta + Metales Agre'!$B$22:$C$35,2,FALSE),0%)</f>
        <v>0</v>
      </c>
      <c r="BWG6" s="5">
        <f>IFERROR(VLOOKUP(BWG$1,'Renta Fija Mixta + Metales Agre'!$B$22:$C$35,2,FALSE),0%)</f>
        <v>0</v>
      </c>
      <c r="BWH6" s="5">
        <f>IFERROR(VLOOKUP(BWH$1,'Renta Fija Mixta + Metales Agre'!$B$22:$C$35,2,FALSE),0%)</f>
        <v>0</v>
      </c>
      <c r="BWI6" s="5">
        <f>IFERROR(VLOOKUP(BWI$1,'Renta Fija Mixta + Metales Agre'!$B$22:$C$35,2,FALSE),0%)</f>
        <v>0</v>
      </c>
      <c r="BWJ6" s="5">
        <f>IFERROR(VLOOKUP(BWJ$1,'Renta Fija Mixta + Metales Agre'!$B$22:$C$35,2,FALSE),0%)</f>
        <v>0</v>
      </c>
      <c r="BWK6" s="5">
        <f>IFERROR(VLOOKUP(BWK$1,'Renta Fija Mixta + Metales Agre'!$B$22:$C$35,2,FALSE),0%)</f>
        <v>0</v>
      </c>
      <c r="BWL6" s="5">
        <f>IFERROR(VLOOKUP(BWL$1,'Renta Fija Mixta + Metales Agre'!$B$22:$C$35,2,FALSE),0%)</f>
        <v>0</v>
      </c>
      <c r="BWM6" s="5">
        <f>IFERROR(VLOOKUP(BWM$1,'Renta Fija Mixta + Metales Agre'!$B$22:$C$35,2,FALSE),0%)</f>
        <v>0</v>
      </c>
      <c r="BWN6" s="5">
        <f>IFERROR(VLOOKUP(BWN$1,'Renta Fija Mixta + Metales Agre'!$B$22:$C$35,2,FALSE),0%)</f>
        <v>0</v>
      </c>
      <c r="BWO6" s="5">
        <f>IFERROR(VLOOKUP(BWO$1,'Renta Fija Mixta + Metales Agre'!$B$22:$C$35,2,FALSE),0%)</f>
        <v>0</v>
      </c>
      <c r="BWP6" s="5">
        <f>IFERROR(VLOOKUP(BWP$1,'Renta Fija Mixta + Metales Agre'!$B$22:$C$35,2,FALSE),0%)</f>
        <v>0</v>
      </c>
      <c r="BWQ6" s="5">
        <f>IFERROR(VLOOKUP(BWQ$1,'Renta Fija Mixta + Metales Agre'!$B$22:$C$35,2,FALSE),0%)</f>
        <v>0</v>
      </c>
      <c r="BWR6" s="5">
        <f>IFERROR(VLOOKUP(BWR$1,'Renta Fija Mixta + Metales Agre'!$B$22:$C$35,2,FALSE),0%)</f>
        <v>0</v>
      </c>
      <c r="BWS6" s="5">
        <f>IFERROR(VLOOKUP(BWS$1,'Renta Fija Mixta + Metales Agre'!$B$22:$C$35,2,FALSE),0%)</f>
        <v>0</v>
      </c>
      <c r="BWT6" s="5">
        <f>IFERROR(VLOOKUP(BWT$1,'Renta Fija Mixta + Metales Agre'!$B$22:$C$35,2,FALSE),0%)</f>
        <v>0</v>
      </c>
      <c r="BWU6" s="5">
        <f>IFERROR(VLOOKUP(BWU$1,'Renta Fija Mixta + Metales Agre'!$B$22:$C$35,2,FALSE),0%)</f>
        <v>0</v>
      </c>
      <c r="BWV6" s="5">
        <f>IFERROR(VLOOKUP(BWV$1,'Renta Fija Mixta + Metales Agre'!$B$22:$C$35,2,FALSE),0%)</f>
        <v>0</v>
      </c>
      <c r="BWW6" s="5">
        <f>IFERROR(VLOOKUP(BWW$1,'Renta Fija Mixta + Metales Agre'!$B$22:$C$35,2,FALSE),0%)</f>
        <v>0</v>
      </c>
      <c r="BWX6" s="5">
        <f>IFERROR(VLOOKUP(BWX$1,'Renta Fija Mixta + Metales Agre'!$B$22:$C$35,2,FALSE),0%)</f>
        <v>0</v>
      </c>
      <c r="BWY6" s="5">
        <f>IFERROR(VLOOKUP(BWY$1,'Renta Fija Mixta + Metales Agre'!$B$22:$C$35,2,FALSE),0%)</f>
        <v>0</v>
      </c>
      <c r="BWZ6" s="5">
        <f>IFERROR(VLOOKUP(BWZ$1,'Renta Fija Mixta + Metales Agre'!$B$22:$C$35,2,FALSE),0%)</f>
        <v>0</v>
      </c>
      <c r="BXA6" s="5">
        <f>IFERROR(VLOOKUP(BXA$1,'Renta Fija Mixta + Metales Agre'!$B$22:$C$35,2,FALSE),0%)</f>
        <v>0</v>
      </c>
      <c r="BXB6" s="5">
        <f>IFERROR(VLOOKUP(BXB$1,'Renta Fija Mixta + Metales Agre'!$B$22:$C$35,2,FALSE),0%)</f>
        <v>0</v>
      </c>
      <c r="BXC6" s="5">
        <f>IFERROR(VLOOKUP(BXC$1,'Renta Fija Mixta + Metales Agre'!$B$22:$C$35,2,FALSE),0%)</f>
        <v>0</v>
      </c>
      <c r="BXD6" s="5">
        <f>IFERROR(VLOOKUP(BXD$1,'Renta Fija Mixta + Metales Agre'!$B$22:$C$35,2,FALSE),0%)</f>
        <v>0</v>
      </c>
      <c r="BXE6" s="5">
        <f>IFERROR(VLOOKUP(BXE$1,'Renta Fija Mixta + Metales Agre'!$B$22:$C$35,2,FALSE),0%)</f>
        <v>0</v>
      </c>
      <c r="BXF6" s="5">
        <f>IFERROR(VLOOKUP(BXF$1,'Renta Fija Mixta + Metales Agre'!$B$22:$C$35,2,FALSE),0%)</f>
        <v>0</v>
      </c>
      <c r="BXG6" s="5">
        <f>IFERROR(VLOOKUP(BXG$1,'Renta Fija Mixta + Metales Agre'!$B$22:$C$35,2,FALSE),0%)</f>
        <v>0</v>
      </c>
      <c r="BXH6" s="5">
        <f>IFERROR(VLOOKUP(BXH$1,'Renta Fija Mixta + Metales Agre'!$B$22:$C$35,2,FALSE),0%)</f>
        <v>0</v>
      </c>
      <c r="BXI6" s="5">
        <f>IFERROR(VLOOKUP(BXI$1,'Renta Fija Mixta + Metales Agre'!$B$22:$C$35,2,FALSE),0%)</f>
        <v>0</v>
      </c>
      <c r="BXJ6" s="5">
        <f>IFERROR(VLOOKUP(BXJ$1,'Renta Fija Mixta + Metales Agre'!$B$22:$C$35,2,FALSE),0%)</f>
        <v>0</v>
      </c>
      <c r="BXK6" s="5">
        <f>IFERROR(VLOOKUP(BXK$1,'Renta Fija Mixta + Metales Agre'!$B$22:$C$35,2,FALSE),0%)</f>
        <v>0</v>
      </c>
      <c r="BXL6" s="5">
        <f>IFERROR(VLOOKUP(BXL$1,'Renta Fija Mixta + Metales Agre'!$B$22:$C$35,2,FALSE),0%)</f>
        <v>0</v>
      </c>
      <c r="BXM6" s="5">
        <f>IFERROR(VLOOKUP(BXM$1,'Renta Fija Mixta + Metales Agre'!$B$22:$C$35,2,FALSE),0%)</f>
        <v>0</v>
      </c>
      <c r="BXN6" s="5">
        <f>IFERROR(VLOOKUP(BXN$1,'Renta Fija Mixta + Metales Agre'!$B$22:$C$35,2,FALSE),0%)</f>
        <v>0</v>
      </c>
      <c r="BXO6" s="5">
        <f>IFERROR(VLOOKUP(BXO$1,'Renta Fija Mixta + Metales Agre'!$B$22:$C$35,2,FALSE),0%)</f>
        <v>0</v>
      </c>
      <c r="BXP6" s="5">
        <f>IFERROR(VLOOKUP(BXP$1,'Renta Fija Mixta + Metales Agre'!$B$22:$C$35,2,FALSE),0%)</f>
        <v>0</v>
      </c>
      <c r="BXQ6" s="5">
        <f>IFERROR(VLOOKUP(BXQ$1,'Renta Fija Mixta + Metales Agre'!$B$22:$C$35,2,FALSE),0%)</f>
        <v>0</v>
      </c>
      <c r="BXR6" s="5">
        <f>IFERROR(VLOOKUP(BXR$1,'Renta Fija Mixta + Metales Agre'!$B$22:$C$35,2,FALSE),0%)</f>
        <v>0</v>
      </c>
      <c r="BXS6" s="5">
        <f>IFERROR(VLOOKUP(BXS$1,'Renta Fija Mixta + Metales Agre'!$B$22:$C$35,2,FALSE),0%)</f>
        <v>0</v>
      </c>
      <c r="BXT6" s="5">
        <f>IFERROR(VLOOKUP(BXT$1,'Renta Fija Mixta + Metales Agre'!$B$22:$C$35,2,FALSE),0%)</f>
        <v>0</v>
      </c>
      <c r="BXU6" s="5">
        <f>IFERROR(VLOOKUP(BXU$1,'Renta Fija Mixta + Metales Agre'!$B$22:$C$35,2,FALSE),0%)</f>
        <v>0</v>
      </c>
      <c r="BXV6" s="5">
        <f>IFERROR(VLOOKUP(BXV$1,'Renta Fija Mixta + Metales Agre'!$B$22:$C$35,2,FALSE),0%)</f>
        <v>0</v>
      </c>
      <c r="BXW6" s="5">
        <f>IFERROR(VLOOKUP(BXW$1,'Renta Fija Mixta + Metales Agre'!$B$22:$C$35,2,FALSE),0%)</f>
        <v>0</v>
      </c>
      <c r="BXX6" s="5">
        <f>IFERROR(VLOOKUP(BXX$1,'Renta Fija Mixta + Metales Agre'!$B$22:$C$35,2,FALSE),0%)</f>
        <v>0</v>
      </c>
      <c r="BXY6" s="5">
        <f>IFERROR(VLOOKUP(BXY$1,'Renta Fija Mixta + Metales Agre'!$B$22:$C$35,2,FALSE),0%)</f>
        <v>0</v>
      </c>
      <c r="BXZ6" s="5">
        <f>IFERROR(VLOOKUP(BXZ$1,'Renta Fija Mixta + Metales Agre'!$B$22:$C$35,2,FALSE),0%)</f>
        <v>0</v>
      </c>
      <c r="BYA6" s="5">
        <f>IFERROR(VLOOKUP(BYA$1,'Renta Fija Mixta + Metales Agre'!$B$22:$C$35,2,FALSE),0%)</f>
        <v>0</v>
      </c>
      <c r="BYB6" s="5">
        <f>IFERROR(VLOOKUP(BYB$1,'Renta Fija Mixta + Metales Agre'!$B$22:$C$35,2,FALSE),0%)</f>
        <v>0</v>
      </c>
      <c r="BYC6" s="5">
        <f>IFERROR(VLOOKUP(BYC$1,'Renta Fija Mixta + Metales Agre'!$B$22:$C$35,2,FALSE),0%)</f>
        <v>0</v>
      </c>
      <c r="BYD6" s="5">
        <f>IFERROR(VLOOKUP(BYD$1,'Renta Fija Mixta + Metales Agre'!$B$22:$C$35,2,FALSE),0%)</f>
        <v>0</v>
      </c>
      <c r="BYE6" s="5">
        <f>IFERROR(VLOOKUP(BYE$1,'Renta Fija Mixta + Metales Agre'!$B$22:$C$35,2,FALSE),0%)</f>
        <v>0</v>
      </c>
      <c r="BYF6" s="5">
        <f>IFERROR(VLOOKUP(BYF$1,'Renta Fija Mixta + Metales Agre'!$B$22:$C$35,2,FALSE),0%)</f>
        <v>0</v>
      </c>
      <c r="BYG6" s="5">
        <f>IFERROR(VLOOKUP(BYG$1,'Renta Fija Mixta + Metales Agre'!$B$22:$C$35,2,FALSE),0%)</f>
        <v>0</v>
      </c>
      <c r="BYH6" s="5">
        <f>IFERROR(VLOOKUP(BYH$1,'Renta Fija Mixta + Metales Agre'!$B$22:$C$35,2,FALSE),0%)</f>
        <v>0</v>
      </c>
      <c r="BYI6" s="5">
        <f>IFERROR(VLOOKUP(BYI$1,'Renta Fija Mixta + Metales Agre'!$B$22:$C$35,2,FALSE),0%)</f>
        <v>0</v>
      </c>
      <c r="BYJ6" s="5">
        <f>IFERROR(VLOOKUP(BYJ$1,'Renta Fija Mixta + Metales Agre'!$B$22:$C$35,2,FALSE),0%)</f>
        <v>0</v>
      </c>
      <c r="BYK6" s="5">
        <f>IFERROR(VLOOKUP(BYK$1,'Renta Fija Mixta + Metales Agre'!$B$22:$C$35,2,FALSE),0%)</f>
        <v>0</v>
      </c>
      <c r="BYL6" s="5">
        <f>IFERROR(VLOOKUP(BYL$1,'Renta Fija Mixta + Metales Agre'!$B$22:$C$35,2,FALSE),0%)</f>
        <v>0</v>
      </c>
    </row>
    <row r="7">
      <c r="A7" s="4" t="s">
        <v>2019</v>
      </c>
      <c r="B7" s="5">
        <f>IFERROR(VLOOKUP(B$1,Dividendos!$B$24:$C$39,2,FALSE),0%)</f>
        <v>0</v>
      </c>
      <c r="C7" s="5">
        <f>IFERROR(VLOOKUP(C$1,Dividendos!$B$24:$C$39,2,FALSE),0%)</f>
        <v>0</v>
      </c>
      <c r="D7" s="5">
        <f>IFERROR(VLOOKUP(D$1,Dividendos!$B$24:$C$39,2,FALSE),0%)</f>
        <v>0</v>
      </c>
      <c r="E7" s="5">
        <f>IFERROR(VLOOKUP(E$1,Dividendos!$B$24:$C$39,2,FALSE),0%)</f>
        <v>0</v>
      </c>
      <c r="F7" s="5">
        <f>IFERROR(VLOOKUP(F$1,Dividendos!$B$24:$C$39,2,FALSE),0%)</f>
        <v>0</v>
      </c>
      <c r="G7" s="5">
        <f>IFERROR(VLOOKUP(G$1,Dividendos!$B$24:$C$39,2,FALSE),0%)</f>
        <v>0</v>
      </c>
      <c r="H7" s="5">
        <f>IFERROR(VLOOKUP(H$1,Dividendos!$B$24:$C$39,2,FALSE),0%)</f>
        <v>0</v>
      </c>
      <c r="I7" s="5">
        <f>IFERROR(VLOOKUP(I$1,Dividendos!$B$24:$C$39,2,FALSE),0%)</f>
        <v>0</v>
      </c>
      <c r="J7" s="5">
        <f>IFERROR(VLOOKUP(J$1,Dividendos!$B$24:$C$39,2,FALSE),0%)</f>
        <v>0</v>
      </c>
      <c r="K7" s="5">
        <f>IFERROR(VLOOKUP(K$1,Dividendos!$B$24:$C$39,2,FALSE),0%)</f>
        <v>0</v>
      </c>
      <c r="L7" s="5">
        <f>IFERROR(VLOOKUP(L$1,Dividendos!$B$24:$C$39,2,FALSE),0%)</f>
        <v>0</v>
      </c>
      <c r="M7" s="5">
        <f>IFERROR(VLOOKUP(M$1,Dividendos!$B$24:$C$39,2,FALSE),0%)</f>
        <v>0</v>
      </c>
      <c r="N7" s="5">
        <f>IFERROR(VLOOKUP(N$1,Dividendos!$B$24:$C$39,2,FALSE),0%)</f>
        <v>0</v>
      </c>
      <c r="O7" s="5">
        <f>IFERROR(VLOOKUP(O$1,Dividendos!$B$24:$C$39,2,FALSE),0%)</f>
        <v>0</v>
      </c>
      <c r="P7" s="5">
        <f>IFERROR(VLOOKUP(P$1,Dividendos!$B$24:$C$39,2,FALSE),0%)</f>
        <v>0</v>
      </c>
      <c r="Q7" s="5">
        <f>IFERROR(VLOOKUP(Q$1,Dividendos!$B$24:$C$39,2,FALSE),0%)</f>
        <v>0</v>
      </c>
      <c r="R7" s="5">
        <f>IFERROR(VLOOKUP(R$1,Dividendos!$B$24:$C$39,2,FALSE),0%)</f>
        <v>0</v>
      </c>
      <c r="S7" s="5">
        <f>IFERROR(VLOOKUP(S$1,Dividendos!$B$24:$C$39,2,FALSE),0%)</f>
        <v>0</v>
      </c>
      <c r="T7" s="5">
        <f>IFERROR(VLOOKUP(T$1,Dividendos!$B$24:$C$39,2,FALSE),0%)</f>
        <v>0</v>
      </c>
      <c r="U7" s="5">
        <f>IFERROR(VLOOKUP(U$1,Dividendos!$B$24:$C$39,2,FALSE),0%)</f>
        <v>0</v>
      </c>
      <c r="V7" s="5">
        <f>IFERROR(VLOOKUP(V$1,Dividendos!$B$24:$C$39,2,FALSE),0%)</f>
        <v>0</v>
      </c>
      <c r="W7" s="5">
        <f>IFERROR(VLOOKUP(W$1,Dividendos!$B$24:$C$39,2,FALSE),0%)</f>
        <v>0</v>
      </c>
      <c r="X7" s="5">
        <f>IFERROR(VLOOKUP(X$1,Dividendos!$B$24:$C$39,2,FALSE),0%)</f>
        <v>0</v>
      </c>
      <c r="Y7" s="5">
        <f>IFERROR(VLOOKUP(Y$1,Dividendos!$B$24:$C$39,2,FALSE),0%)</f>
        <v>0</v>
      </c>
      <c r="Z7" s="5">
        <f>IFERROR(VLOOKUP(Z$1,Dividendos!$B$24:$C$39,2,FALSE),0%)</f>
        <v>0</v>
      </c>
      <c r="AA7" s="5">
        <f>IFERROR(VLOOKUP(AA$1,Dividendos!$B$24:$C$39,2,FALSE),0%)</f>
        <v>0</v>
      </c>
      <c r="AB7" s="5">
        <f>IFERROR(VLOOKUP(AB$1,Dividendos!$B$24:$C$39,2,FALSE),0%)</f>
        <v>0</v>
      </c>
      <c r="AC7" s="5">
        <f>IFERROR(VLOOKUP(AC$1,Dividendos!$B$24:$C$39,2,FALSE),0%)</f>
        <v>0</v>
      </c>
      <c r="AD7" s="5">
        <f>IFERROR(VLOOKUP(AD$1,Dividendos!$B$24:$C$39,2,FALSE),0%)</f>
        <v>0</v>
      </c>
      <c r="AE7" s="5">
        <f>IFERROR(VLOOKUP(AE$1,Dividendos!$B$24:$C$39,2,FALSE),0%)</f>
        <v>0</v>
      </c>
      <c r="AF7" s="5">
        <f>IFERROR(VLOOKUP(AF$1,Dividendos!$B$24:$C$39,2,FALSE),0%)</f>
        <v>0</v>
      </c>
      <c r="AG7" s="5">
        <f>IFERROR(VLOOKUP(AG$1,Dividendos!$B$24:$C$39,2,FALSE),0%)</f>
        <v>0</v>
      </c>
      <c r="AH7" s="5">
        <f>IFERROR(VLOOKUP(AH$1,Dividendos!$B$24:$C$39,2,FALSE),0%)</f>
        <v>0</v>
      </c>
      <c r="AI7" s="5">
        <f>IFERROR(VLOOKUP(AI$1,Dividendos!$B$24:$C$39,2,FALSE),0%)</f>
        <v>0</v>
      </c>
      <c r="AJ7" s="5">
        <f>IFERROR(VLOOKUP(AJ$1,Dividendos!$B$24:$C$39,2,FALSE),0%)</f>
        <v>0</v>
      </c>
      <c r="AK7" s="5">
        <f>IFERROR(VLOOKUP(AK$1,Dividendos!$B$24:$C$39,2,FALSE),0%)</f>
        <v>0.04518648024</v>
      </c>
      <c r="AL7" s="5">
        <f>IFERROR(VLOOKUP(AL$1,Dividendos!$B$24:$C$39,2,FALSE),0%)</f>
        <v>0</v>
      </c>
      <c r="AM7" s="5">
        <f>IFERROR(VLOOKUP(AM$1,Dividendos!$B$24:$C$39,2,FALSE),0%)</f>
        <v>0</v>
      </c>
      <c r="AN7" s="5">
        <f>IFERROR(VLOOKUP(AN$1,Dividendos!$B$24:$C$39,2,FALSE),0%)</f>
        <v>0</v>
      </c>
      <c r="AO7" s="5">
        <f>IFERROR(VLOOKUP(AO$1,Dividendos!$B$24:$C$39,2,FALSE),0%)</f>
        <v>0</v>
      </c>
      <c r="AP7" s="5">
        <f>IFERROR(VLOOKUP(AP$1,Dividendos!$B$24:$C$39,2,FALSE),0%)</f>
        <v>0</v>
      </c>
      <c r="AQ7" s="5">
        <f>IFERROR(VLOOKUP(AQ$1,Dividendos!$B$24:$C$39,2,FALSE),0%)</f>
        <v>0</v>
      </c>
      <c r="AR7" s="5">
        <f>IFERROR(VLOOKUP(AR$1,Dividendos!$B$24:$C$39,2,FALSE),0%)</f>
        <v>0</v>
      </c>
      <c r="AS7" s="5">
        <f>IFERROR(VLOOKUP(AS$1,Dividendos!$B$24:$C$39,2,FALSE),0%)</f>
        <v>0</v>
      </c>
      <c r="AT7" s="5">
        <f>IFERROR(VLOOKUP(AT$1,Dividendos!$B$24:$C$39,2,FALSE),0%)</f>
        <v>0</v>
      </c>
      <c r="AU7" s="5">
        <f>IFERROR(VLOOKUP(AU$1,Dividendos!$B$24:$C$39,2,FALSE),0%)</f>
        <v>0</v>
      </c>
      <c r="AV7" s="5">
        <f>IFERROR(VLOOKUP(AV$1,Dividendos!$B$24:$C$39,2,FALSE),0%)</f>
        <v>0</v>
      </c>
      <c r="AW7" s="5">
        <f>IFERROR(VLOOKUP(AW$1,Dividendos!$B$24:$C$39,2,FALSE),0%)</f>
        <v>0</v>
      </c>
      <c r="AX7" s="5">
        <f>IFERROR(VLOOKUP(AX$1,Dividendos!$B$24:$C$39,2,FALSE),0%)</f>
        <v>0</v>
      </c>
      <c r="AY7" s="5">
        <f>IFERROR(VLOOKUP(AY$1,Dividendos!$B$24:$C$39,2,FALSE),0%)</f>
        <v>0</v>
      </c>
      <c r="AZ7" s="5">
        <f>IFERROR(VLOOKUP(AZ$1,Dividendos!$B$24:$C$39,2,FALSE),0%)</f>
        <v>0</v>
      </c>
      <c r="BA7" s="5">
        <f>IFERROR(VLOOKUP(BA$1,Dividendos!$B$24:$C$39,2,FALSE),0%)</f>
        <v>0</v>
      </c>
      <c r="BB7" s="5">
        <f>IFERROR(VLOOKUP(BB$1,Dividendos!$B$24:$C$39,2,FALSE),0%)</f>
        <v>0</v>
      </c>
      <c r="BC7" s="5">
        <f>IFERROR(VLOOKUP(BC$1,Dividendos!$B$24:$C$39,2,FALSE),0%)</f>
        <v>0</v>
      </c>
      <c r="BD7" s="5">
        <f>IFERROR(VLOOKUP(BD$1,Dividendos!$B$24:$C$39,2,FALSE),0%)</f>
        <v>0</v>
      </c>
      <c r="BE7" s="5">
        <f>IFERROR(VLOOKUP(BE$1,Dividendos!$B$24:$C$39,2,FALSE),0%)</f>
        <v>0</v>
      </c>
      <c r="BF7" s="5">
        <f>IFERROR(VLOOKUP(BF$1,Dividendos!$B$24:$C$39,2,FALSE),0%)</f>
        <v>0</v>
      </c>
      <c r="BG7" s="5">
        <f>IFERROR(VLOOKUP(BG$1,Dividendos!$B$24:$C$39,2,FALSE),0%)</f>
        <v>0</v>
      </c>
      <c r="BH7" s="5">
        <f>IFERROR(VLOOKUP(BH$1,Dividendos!$B$24:$C$39,2,FALSE),0%)</f>
        <v>0</v>
      </c>
      <c r="BI7" s="5">
        <f>IFERROR(VLOOKUP(BI$1,Dividendos!$B$24:$C$39,2,FALSE),0%)</f>
        <v>0</v>
      </c>
      <c r="BJ7" s="5">
        <f>IFERROR(VLOOKUP(BJ$1,Dividendos!$B$24:$C$39,2,FALSE),0%)</f>
        <v>0</v>
      </c>
      <c r="BK7" s="5">
        <f>IFERROR(VLOOKUP(BK$1,Dividendos!$B$24:$C$39,2,FALSE),0%)</f>
        <v>0</v>
      </c>
      <c r="BL7" s="5">
        <f>IFERROR(VLOOKUP(BL$1,Dividendos!$B$24:$C$39,2,FALSE),0%)</f>
        <v>0</v>
      </c>
      <c r="BM7" s="5">
        <f>IFERROR(VLOOKUP(BM$1,Dividendos!$B$24:$C$39,2,FALSE),0%)</f>
        <v>0</v>
      </c>
      <c r="BN7" s="5">
        <f>IFERROR(VLOOKUP(BN$1,Dividendos!$B$24:$C$39,2,FALSE),0%)</f>
        <v>0</v>
      </c>
      <c r="BO7" s="5">
        <f>IFERROR(VLOOKUP(BO$1,Dividendos!$B$24:$C$39,2,FALSE),0%)</f>
        <v>0</v>
      </c>
      <c r="BP7" s="5">
        <f>IFERROR(VLOOKUP(BP$1,Dividendos!$B$24:$C$39,2,FALSE),0%)</f>
        <v>0</v>
      </c>
      <c r="BQ7" s="5">
        <f>IFERROR(VLOOKUP(BQ$1,Dividendos!$B$24:$C$39,2,FALSE),0%)</f>
        <v>0</v>
      </c>
      <c r="BR7" s="5">
        <f>IFERROR(VLOOKUP(BR$1,Dividendos!$B$24:$C$39,2,FALSE),0%)</f>
        <v>0.09622965425</v>
      </c>
      <c r="BS7" s="5">
        <f>IFERROR(VLOOKUP(BS$1,Dividendos!$B$24:$C$39,2,FALSE),0%)</f>
        <v>0</v>
      </c>
      <c r="BT7" s="5">
        <f>IFERROR(VLOOKUP(BT$1,Dividendos!$B$24:$C$39,2,FALSE),0%)</f>
        <v>0</v>
      </c>
      <c r="BU7" s="5">
        <f>IFERROR(VLOOKUP(BU$1,Dividendos!$B$24:$C$39,2,FALSE),0%)</f>
        <v>0</v>
      </c>
      <c r="BV7" s="5">
        <f>IFERROR(VLOOKUP(BV$1,Dividendos!$B$24:$C$39,2,FALSE),0%)</f>
        <v>0</v>
      </c>
      <c r="BW7" s="5">
        <f>IFERROR(VLOOKUP(BW$1,Dividendos!$B$24:$C$39,2,FALSE),0%)</f>
        <v>0</v>
      </c>
      <c r="BX7" s="5">
        <f>IFERROR(VLOOKUP(BX$1,Dividendos!$B$24:$C$39,2,FALSE),0%)</f>
        <v>0</v>
      </c>
      <c r="BY7" s="5">
        <f>IFERROR(VLOOKUP(BY$1,Dividendos!$B$24:$C$39,2,FALSE),0%)</f>
        <v>0</v>
      </c>
      <c r="BZ7" s="5">
        <f>IFERROR(VLOOKUP(BZ$1,Dividendos!$B$24:$C$39,2,FALSE),0%)</f>
        <v>0</v>
      </c>
      <c r="CA7" s="5">
        <f>IFERROR(VLOOKUP(CA$1,Dividendos!$B$24:$C$39,2,FALSE),0%)</f>
        <v>0</v>
      </c>
      <c r="CB7" s="5">
        <f>IFERROR(VLOOKUP(CB$1,Dividendos!$B$24:$C$39,2,FALSE),0%)</f>
        <v>0</v>
      </c>
      <c r="CC7" s="5">
        <f>IFERROR(VLOOKUP(CC$1,Dividendos!$B$24:$C$39,2,FALSE),0%)</f>
        <v>0</v>
      </c>
      <c r="CD7" s="5">
        <f>IFERROR(VLOOKUP(CD$1,Dividendos!$B$24:$C$39,2,FALSE),0%)</f>
        <v>0</v>
      </c>
      <c r="CE7" s="5">
        <f>IFERROR(VLOOKUP(CE$1,Dividendos!$B$24:$C$39,2,FALSE),0%)</f>
        <v>0</v>
      </c>
      <c r="CF7" s="5">
        <f>IFERROR(VLOOKUP(CF$1,Dividendos!$B$24:$C$39,2,FALSE),0%)</f>
        <v>0</v>
      </c>
      <c r="CG7" s="5">
        <f>IFERROR(VLOOKUP(CG$1,Dividendos!$B$24:$C$39,2,FALSE),0%)</f>
        <v>0</v>
      </c>
      <c r="CH7" s="5">
        <f>IFERROR(VLOOKUP(CH$1,Dividendos!$B$24:$C$39,2,FALSE),0%)</f>
        <v>0</v>
      </c>
      <c r="CI7" s="5">
        <f>IFERROR(VLOOKUP(CI$1,Dividendos!$B$24:$C$39,2,FALSE),0%)</f>
        <v>0</v>
      </c>
      <c r="CJ7" s="5">
        <f>IFERROR(VLOOKUP(CJ$1,Dividendos!$B$24:$C$39,2,FALSE),0%)</f>
        <v>0</v>
      </c>
      <c r="CK7" s="5">
        <f>IFERROR(VLOOKUP(CK$1,Dividendos!$B$24:$C$39,2,FALSE),0%)</f>
        <v>0</v>
      </c>
      <c r="CL7" s="5">
        <f>IFERROR(VLOOKUP(CL$1,Dividendos!$B$24:$C$39,2,FALSE),0%)</f>
        <v>0</v>
      </c>
      <c r="CM7" s="5">
        <f>IFERROR(VLOOKUP(CM$1,Dividendos!$B$24:$C$39,2,FALSE),0%)</f>
        <v>0</v>
      </c>
      <c r="CN7" s="5">
        <f>IFERROR(VLOOKUP(CN$1,Dividendos!$B$24:$C$39,2,FALSE),0%)</f>
        <v>0</v>
      </c>
      <c r="CO7" s="5">
        <f>IFERROR(VLOOKUP(CO$1,Dividendos!$B$24:$C$39,2,FALSE),0%)</f>
        <v>0</v>
      </c>
      <c r="CP7" s="5">
        <f>IFERROR(VLOOKUP(CP$1,Dividendos!$B$24:$C$39,2,FALSE),0%)</f>
        <v>0</v>
      </c>
      <c r="CQ7" s="5">
        <f>IFERROR(VLOOKUP(CQ$1,Dividendos!$B$24:$C$39,2,FALSE),0%)</f>
        <v>0</v>
      </c>
      <c r="CR7" s="5">
        <f>IFERROR(VLOOKUP(CR$1,Dividendos!$B$24:$C$39,2,FALSE),0%)</f>
        <v>0</v>
      </c>
      <c r="CS7" s="5">
        <f>IFERROR(VLOOKUP(CS$1,Dividendos!$B$24:$C$39,2,FALSE),0%)</f>
        <v>0</v>
      </c>
      <c r="CT7" s="5">
        <f>IFERROR(VLOOKUP(CT$1,Dividendos!$B$24:$C$39,2,FALSE),0%)</f>
        <v>0</v>
      </c>
      <c r="CU7" s="5">
        <f>IFERROR(VLOOKUP(CU$1,Dividendos!$B$24:$C$39,2,FALSE),0%)</f>
        <v>0</v>
      </c>
      <c r="CV7" s="5">
        <f>IFERROR(VLOOKUP(CV$1,Dividendos!$B$24:$C$39,2,FALSE),0%)</f>
        <v>0</v>
      </c>
      <c r="CW7" s="5">
        <f>IFERROR(VLOOKUP(CW$1,Dividendos!$B$24:$C$39,2,FALSE),0%)</f>
        <v>0</v>
      </c>
      <c r="CX7" s="5">
        <f>IFERROR(VLOOKUP(CX$1,Dividendos!$B$24:$C$39,2,FALSE),0%)</f>
        <v>0</v>
      </c>
      <c r="CY7" s="5">
        <f>IFERROR(VLOOKUP(CY$1,Dividendos!$B$24:$C$39,2,FALSE),0%)</f>
        <v>0</v>
      </c>
      <c r="CZ7" s="5">
        <f>IFERROR(VLOOKUP(CZ$1,Dividendos!$B$24:$C$39,2,FALSE),0%)</f>
        <v>0</v>
      </c>
      <c r="DA7" s="5">
        <f>IFERROR(VLOOKUP(DA$1,Dividendos!$B$24:$C$39,2,FALSE),0%)</f>
        <v>0</v>
      </c>
      <c r="DB7" s="5">
        <f>IFERROR(VLOOKUP(DB$1,Dividendos!$B$24:$C$39,2,FALSE),0%)</f>
        <v>0</v>
      </c>
      <c r="DC7" s="5">
        <f>IFERROR(VLOOKUP(DC$1,Dividendos!$B$24:$C$39,2,FALSE),0%)</f>
        <v>0</v>
      </c>
      <c r="DD7" s="5">
        <f>IFERROR(VLOOKUP(DD$1,Dividendos!$B$24:$C$39,2,FALSE),0%)</f>
        <v>0</v>
      </c>
      <c r="DE7" s="5">
        <f>IFERROR(VLOOKUP(DE$1,Dividendos!$B$24:$C$39,2,FALSE),0%)</f>
        <v>0</v>
      </c>
      <c r="DF7" s="5">
        <f>IFERROR(VLOOKUP(DF$1,Dividendos!$B$24:$C$39,2,FALSE),0%)</f>
        <v>0</v>
      </c>
      <c r="DG7" s="5">
        <f>IFERROR(VLOOKUP(DG$1,Dividendos!$B$24:$C$39,2,FALSE),0%)</f>
        <v>0</v>
      </c>
      <c r="DH7" s="5">
        <f>IFERROR(VLOOKUP(DH$1,Dividendos!$B$24:$C$39,2,FALSE),0%)</f>
        <v>0</v>
      </c>
      <c r="DI7" s="5">
        <f>IFERROR(VLOOKUP(DI$1,Dividendos!$B$24:$C$39,2,FALSE),0%)</f>
        <v>0</v>
      </c>
      <c r="DJ7" s="5">
        <f>IFERROR(VLOOKUP(DJ$1,Dividendos!$B$24:$C$39,2,FALSE),0%)</f>
        <v>0</v>
      </c>
      <c r="DK7" s="5">
        <f>IFERROR(VLOOKUP(DK$1,Dividendos!$B$24:$C$39,2,FALSE),0%)</f>
        <v>0</v>
      </c>
      <c r="DL7" s="5">
        <f>IFERROR(VLOOKUP(DL$1,Dividendos!$B$24:$C$39,2,FALSE),0%)</f>
        <v>0</v>
      </c>
      <c r="DM7" s="5">
        <f>IFERROR(VLOOKUP(DM$1,Dividendos!$B$24:$C$39,2,FALSE),0%)</f>
        <v>0</v>
      </c>
      <c r="DN7" s="5">
        <f>IFERROR(VLOOKUP(DN$1,Dividendos!$B$24:$C$39,2,FALSE),0%)</f>
        <v>0</v>
      </c>
      <c r="DO7" s="5">
        <f>IFERROR(VLOOKUP(DO$1,Dividendos!$B$24:$C$39,2,FALSE),0%)</f>
        <v>0</v>
      </c>
      <c r="DP7" s="5">
        <f>IFERROR(VLOOKUP(DP$1,Dividendos!$B$24:$C$39,2,FALSE),0%)</f>
        <v>0</v>
      </c>
      <c r="DQ7" s="5">
        <f>IFERROR(VLOOKUP(DQ$1,Dividendos!$B$24:$C$39,2,FALSE),0%)</f>
        <v>0</v>
      </c>
      <c r="DR7" s="5">
        <f>IFERROR(VLOOKUP(DR$1,Dividendos!$B$24:$C$39,2,FALSE),0%)</f>
        <v>0</v>
      </c>
      <c r="DS7" s="5">
        <f>IFERROR(VLOOKUP(DS$1,Dividendos!$B$24:$C$39,2,FALSE),0%)</f>
        <v>0</v>
      </c>
      <c r="DT7" s="5">
        <f>IFERROR(VLOOKUP(DT$1,Dividendos!$B$24:$C$39,2,FALSE),0%)</f>
        <v>0</v>
      </c>
      <c r="DU7" s="5">
        <f>IFERROR(VLOOKUP(DU$1,Dividendos!$B$24:$C$39,2,FALSE),0%)</f>
        <v>0</v>
      </c>
      <c r="DV7" s="5">
        <f>IFERROR(VLOOKUP(DV$1,Dividendos!$B$24:$C$39,2,FALSE),0%)</f>
        <v>0</v>
      </c>
      <c r="DW7" s="5">
        <f>IFERROR(VLOOKUP(DW$1,Dividendos!$B$24:$C$39,2,FALSE),0%)</f>
        <v>0</v>
      </c>
      <c r="DX7" s="5">
        <f>IFERROR(VLOOKUP(DX$1,Dividendos!$B$24:$C$39,2,FALSE),0%)</f>
        <v>0</v>
      </c>
      <c r="DY7" s="5">
        <f>IFERROR(VLOOKUP(DY$1,Dividendos!$B$24:$C$39,2,FALSE),0%)</f>
        <v>0</v>
      </c>
      <c r="DZ7" s="5">
        <f>IFERROR(VLOOKUP(DZ$1,Dividendos!$B$24:$C$39,2,FALSE),0%)</f>
        <v>0</v>
      </c>
      <c r="EA7" s="5">
        <f>IFERROR(VLOOKUP(EA$1,Dividendos!$B$24:$C$39,2,FALSE),0%)</f>
        <v>0</v>
      </c>
      <c r="EB7" s="5">
        <f>IFERROR(VLOOKUP(EB$1,Dividendos!$B$24:$C$39,2,FALSE),0%)</f>
        <v>0</v>
      </c>
      <c r="EC7" s="5">
        <f>IFERROR(VLOOKUP(EC$1,Dividendos!$B$24:$C$39,2,FALSE),0%)</f>
        <v>0</v>
      </c>
      <c r="ED7" s="5">
        <f>IFERROR(VLOOKUP(ED$1,Dividendos!$B$24:$C$39,2,FALSE),0%)</f>
        <v>0</v>
      </c>
      <c r="EE7" s="5">
        <f>IFERROR(VLOOKUP(EE$1,Dividendos!$B$24:$C$39,2,FALSE),0%)</f>
        <v>0</v>
      </c>
      <c r="EF7" s="5">
        <f>IFERROR(VLOOKUP(EF$1,Dividendos!$B$24:$C$39,2,FALSE),0%)</f>
        <v>0</v>
      </c>
      <c r="EG7" s="5">
        <f>IFERROR(VLOOKUP(EG$1,Dividendos!$B$24:$C$39,2,FALSE),0%)</f>
        <v>0</v>
      </c>
      <c r="EH7" s="5">
        <f>IFERROR(VLOOKUP(EH$1,Dividendos!$B$24:$C$39,2,FALSE),0%)</f>
        <v>0</v>
      </c>
      <c r="EI7" s="5">
        <f>IFERROR(VLOOKUP(EI$1,Dividendos!$B$24:$C$39,2,FALSE),0%)</f>
        <v>0</v>
      </c>
      <c r="EJ7" s="5">
        <f>IFERROR(VLOOKUP(EJ$1,Dividendos!$B$24:$C$39,2,FALSE),0%)</f>
        <v>0</v>
      </c>
      <c r="EK7" s="5">
        <f>IFERROR(VLOOKUP(EK$1,Dividendos!$B$24:$C$39,2,FALSE),0%)</f>
        <v>0</v>
      </c>
      <c r="EL7" s="5">
        <f>IFERROR(VLOOKUP(EL$1,Dividendos!$B$24:$C$39,2,FALSE),0%)</f>
        <v>0</v>
      </c>
      <c r="EM7" s="5">
        <f>IFERROR(VLOOKUP(EM$1,Dividendos!$B$24:$C$39,2,FALSE),0%)</f>
        <v>0</v>
      </c>
      <c r="EN7" s="5">
        <f>IFERROR(VLOOKUP(EN$1,Dividendos!$B$24:$C$39,2,FALSE),0%)</f>
        <v>0</v>
      </c>
      <c r="EO7" s="5">
        <f>IFERROR(VLOOKUP(EO$1,Dividendos!$B$24:$C$39,2,FALSE),0%)</f>
        <v>0</v>
      </c>
      <c r="EP7" s="5">
        <f>IFERROR(VLOOKUP(EP$1,Dividendos!$B$24:$C$39,2,FALSE),0%)</f>
        <v>0</v>
      </c>
      <c r="EQ7" s="5">
        <f>IFERROR(VLOOKUP(EQ$1,Dividendos!$B$24:$C$39,2,FALSE),0%)</f>
        <v>0</v>
      </c>
      <c r="ER7" s="5">
        <f>IFERROR(VLOOKUP(ER$1,Dividendos!$B$24:$C$39,2,FALSE),0%)</f>
        <v>0</v>
      </c>
      <c r="ES7" s="5">
        <f>IFERROR(VLOOKUP(ES$1,Dividendos!$B$24:$C$39,2,FALSE),0%)</f>
        <v>0</v>
      </c>
      <c r="ET7" s="5">
        <f>IFERROR(VLOOKUP(ET$1,Dividendos!$B$24:$C$39,2,FALSE),0%)</f>
        <v>0</v>
      </c>
      <c r="EU7" s="5">
        <f>IFERROR(VLOOKUP(EU$1,Dividendos!$B$24:$C$39,2,FALSE),0%)</f>
        <v>0.2171251174</v>
      </c>
      <c r="EV7" s="5">
        <f>IFERROR(VLOOKUP(EV$1,Dividendos!$B$24:$C$39,2,FALSE),0%)</f>
        <v>0</v>
      </c>
      <c r="EW7" s="5">
        <f>IFERROR(VLOOKUP(EW$1,Dividendos!$B$24:$C$39,2,FALSE),0%)</f>
        <v>0</v>
      </c>
      <c r="EX7" s="5">
        <f>IFERROR(VLOOKUP(EX$1,Dividendos!$B$24:$C$39,2,FALSE),0%)</f>
        <v>0</v>
      </c>
      <c r="EY7" s="5">
        <f>IFERROR(VLOOKUP(EY$1,Dividendos!$B$24:$C$39,2,FALSE),0%)</f>
        <v>0</v>
      </c>
      <c r="EZ7" s="5">
        <f>IFERROR(VLOOKUP(EZ$1,Dividendos!$B$24:$C$39,2,FALSE),0%)</f>
        <v>0</v>
      </c>
      <c r="FA7" s="5">
        <f>IFERROR(VLOOKUP(FA$1,Dividendos!$B$24:$C$39,2,FALSE),0%)</f>
        <v>0</v>
      </c>
      <c r="FB7" s="5">
        <f>IFERROR(VLOOKUP(FB$1,Dividendos!$B$24:$C$39,2,FALSE),0%)</f>
        <v>0</v>
      </c>
      <c r="FC7" s="5">
        <f>IFERROR(VLOOKUP(FC$1,Dividendos!$B$24:$C$39,2,FALSE),0%)</f>
        <v>0</v>
      </c>
      <c r="FD7" s="5">
        <f>IFERROR(VLOOKUP(FD$1,Dividendos!$B$24:$C$39,2,FALSE),0%)</f>
        <v>0</v>
      </c>
      <c r="FE7" s="5">
        <f>IFERROR(VLOOKUP(FE$1,Dividendos!$B$24:$C$39,2,FALSE),0%)</f>
        <v>0</v>
      </c>
      <c r="FF7" s="5">
        <f>IFERROR(VLOOKUP(FF$1,Dividendos!$B$24:$C$39,2,FALSE),0%)</f>
        <v>0</v>
      </c>
      <c r="FG7" s="5">
        <f>IFERROR(VLOOKUP(FG$1,Dividendos!$B$24:$C$39,2,FALSE),0%)</f>
        <v>0</v>
      </c>
      <c r="FH7" s="5">
        <f>IFERROR(VLOOKUP(FH$1,Dividendos!$B$24:$C$39,2,FALSE),0%)</f>
        <v>0</v>
      </c>
      <c r="FI7" s="5">
        <f>IFERROR(VLOOKUP(FI$1,Dividendos!$B$24:$C$39,2,FALSE),0%)</f>
        <v>0</v>
      </c>
      <c r="FJ7" s="5">
        <f>IFERROR(VLOOKUP(FJ$1,Dividendos!$B$24:$C$39,2,FALSE),0%)</f>
        <v>0</v>
      </c>
      <c r="FK7" s="5">
        <f>IFERROR(VLOOKUP(FK$1,Dividendos!$B$24:$C$39,2,FALSE),0%)</f>
        <v>0</v>
      </c>
      <c r="FL7" s="5">
        <f>IFERROR(VLOOKUP(FL$1,Dividendos!$B$24:$C$39,2,FALSE),0%)</f>
        <v>0</v>
      </c>
      <c r="FM7" s="5">
        <f>IFERROR(VLOOKUP(FM$1,Dividendos!$B$24:$C$39,2,FALSE),0%)</f>
        <v>0</v>
      </c>
      <c r="FN7" s="5">
        <f>IFERROR(VLOOKUP(FN$1,Dividendos!$B$24:$C$39,2,FALSE),0%)</f>
        <v>0</v>
      </c>
      <c r="FO7" s="5">
        <f>IFERROR(VLOOKUP(FO$1,Dividendos!$B$24:$C$39,2,FALSE),0%)</f>
        <v>0</v>
      </c>
      <c r="FP7" s="5">
        <f>IFERROR(VLOOKUP(FP$1,Dividendos!$B$24:$C$39,2,FALSE),0%)</f>
        <v>0</v>
      </c>
      <c r="FQ7" s="5">
        <f>IFERROR(VLOOKUP(FQ$1,Dividendos!$B$24:$C$39,2,FALSE),0%)</f>
        <v>0</v>
      </c>
      <c r="FR7" s="5">
        <f>IFERROR(VLOOKUP(FR$1,Dividendos!$B$24:$C$39,2,FALSE),0%)</f>
        <v>0</v>
      </c>
      <c r="FS7" s="5">
        <f>IFERROR(VLOOKUP(FS$1,Dividendos!$B$24:$C$39,2,FALSE),0%)</f>
        <v>0</v>
      </c>
      <c r="FT7" s="5">
        <f>IFERROR(VLOOKUP(FT$1,Dividendos!$B$24:$C$39,2,FALSE),0%)</f>
        <v>0</v>
      </c>
      <c r="FU7" s="5">
        <f>IFERROR(VLOOKUP(FU$1,Dividendos!$B$24:$C$39,2,FALSE),0%)</f>
        <v>0</v>
      </c>
      <c r="FV7" s="5">
        <f>IFERROR(VLOOKUP(FV$1,Dividendos!$B$24:$C$39,2,FALSE),0%)</f>
        <v>0</v>
      </c>
      <c r="FW7" s="5">
        <f>IFERROR(VLOOKUP(FW$1,Dividendos!$B$24:$C$39,2,FALSE),0%)</f>
        <v>0</v>
      </c>
      <c r="FX7" s="5">
        <f>IFERROR(VLOOKUP(FX$1,Dividendos!$B$24:$C$39,2,FALSE),0%)</f>
        <v>0</v>
      </c>
      <c r="FY7" s="5">
        <f>IFERROR(VLOOKUP(FY$1,Dividendos!$B$24:$C$39,2,FALSE),0%)</f>
        <v>0</v>
      </c>
      <c r="FZ7" s="5">
        <f>IFERROR(VLOOKUP(FZ$1,Dividendos!$B$24:$C$39,2,FALSE),0%)</f>
        <v>0</v>
      </c>
      <c r="GA7" s="5">
        <f>IFERROR(VLOOKUP(GA$1,Dividendos!$B$24:$C$39,2,FALSE),0%)</f>
        <v>0</v>
      </c>
      <c r="GB7" s="5">
        <f>IFERROR(VLOOKUP(GB$1,Dividendos!$B$24:$C$39,2,FALSE),0%)</f>
        <v>0</v>
      </c>
      <c r="GC7" s="5">
        <f>IFERROR(VLOOKUP(GC$1,Dividendos!$B$24:$C$39,2,FALSE),0%)</f>
        <v>0</v>
      </c>
      <c r="GD7" s="5">
        <f>IFERROR(VLOOKUP(GD$1,Dividendos!$B$24:$C$39,2,FALSE),0%)</f>
        <v>0</v>
      </c>
      <c r="GE7" s="5">
        <f>IFERROR(VLOOKUP(GE$1,Dividendos!$B$24:$C$39,2,FALSE),0%)</f>
        <v>0</v>
      </c>
      <c r="GF7" s="5">
        <f>IFERROR(VLOOKUP(GF$1,Dividendos!$B$24:$C$39,2,FALSE),0%)</f>
        <v>0</v>
      </c>
      <c r="GG7" s="5">
        <f>IFERROR(VLOOKUP(GG$1,Dividendos!$B$24:$C$39,2,FALSE),0%)</f>
        <v>0</v>
      </c>
      <c r="GH7" s="5">
        <f>IFERROR(VLOOKUP(GH$1,Dividendos!$B$24:$C$39,2,FALSE),0%)</f>
        <v>0</v>
      </c>
      <c r="GI7" s="5">
        <f>IFERROR(VLOOKUP(GI$1,Dividendos!$B$24:$C$39,2,FALSE),0%)</f>
        <v>0</v>
      </c>
      <c r="GJ7" s="5">
        <f>IFERROR(VLOOKUP(GJ$1,Dividendos!$B$24:$C$39,2,FALSE),0%)</f>
        <v>0</v>
      </c>
      <c r="GK7" s="5">
        <f>IFERROR(VLOOKUP(GK$1,Dividendos!$B$24:$C$39,2,FALSE),0%)</f>
        <v>0</v>
      </c>
      <c r="GL7" s="5">
        <f>IFERROR(VLOOKUP(GL$1,Dividendos!$B$24:$C$39,2,FALSE),0%)</f>
        <v>0</v>
      </c>
      <c r="GM7" s="5">
        <f>IFERROR(VLOOKUP(GM$1,Dividendos!$B$24:$C$39,2,FALSE),0%)</f>
        <v>0</v>
      </c>
      <c r="GN7" s="5">
        <f>IFERROR(VLOOKUP(GN$1,Dividendos!$B$24:$C$39,2,FALSE),0%)</f>
        <v>0</v>
      </c>
      <c r="GO7" s="5">
        <f>IFERROR(VLOOKUP(GO$1,Dividendos!$B$24:$C$39,2,FALSE),0%)</f>
        <v>0</v>
      </c>
      <c r="GP7" s="5">
        <f>IFERROR(VLOOKUP(GP$1,Dividendos!$B$24:$C$39,2,FALSE),0%)</f>
        <v>0</v>
      </c>
      <c r="GQ7" s="5">
        <f>IFERROR(VLOOKUP(GQ$1,Dividendos!$B$24:$C$39,2,FALSE),0%)</f>
        <v>0</v>
      </c>
      <c r="GR7" s="5">
        <f>IFERROR(VLOOKUP(GR$1,Dividendos!$B$24:$C$39,2,FALSE),0%)</f>
        <v>0</v>
      </c>
      <c r="GS7" s="5">
        <f>IFERROR(VLOOKUP(GS$1,Dividendos!$B$24:$C$39,2,FALSE),0%)</f>
        <v>0</v>
      </c>
      <c r="GT7" s="5">
        <f>IFERROR(VLOOKUP(GT$1,Dividendos!$B$24:$C$39,2,FALSE),0%)</f>
        <v>0</v>
      </c>
      <c r="GU7" s="5">
        <f>IFERROR(VLOOKUP(GU$1,Dividendos!$B$24:$C$39,2,FALSE),0%)</f>
        <v>0</v>
      </c>
      <c r="GV7" s="5">
        <f>IFERROR(VLOOKUP(GV$1,Dividendos!$B$24:$C$39,2,FALSE),0%)</f>
        <v>0</v>
      </c>
      <c r="GW7" s="5">
        <f>IFERROR(VLOOKUP(GW$1,Dividendos!$B$24:$C$39,2,FALSE),0%)</f>
        <v>0</v>
      </c>
      <c r="GX7" s="5">
        <f>IFERROR(VLOOKUP(GX$1,Dividendos!$B$24:$C$39,2,FALSE),0%)</f>
        <v>0</v>
      </c>
      <c r="GY7" s="5">
        <f>IFERROR(VLOOKUP(GY$1,Dividendos!$B$24:$C$39,2,FALSE),0%)</f>
        <v>0</v>
      </c>
      <c r="GZ7" s="5">
        <f>IFERROR(VLOOKUP(GZ$1,Dividendos!$B$24:$C$39,2,FALSE),0%)</f>
        <v>0</v>
      </c>
      <c r="HA7" s="5">
        <f>IFERROR(VLOOKUP(HA$1,Dividendos!$B$24:$C$39,2,FALSE),0%)</f>
        <v>0</v>
      </c>
      <c r="HB7" s="5">
        <f>IFERROR(VLOOKUP(HB$1,Dividendos!$B$24:$C$39,2,FALSE),0%)</f>
        <v>0</v>
      </c>
      <c r="HC7" s="5">
        <f>IFERROR(VLOOKUP(HC$1,Dividendos!$B$24:$C$39,2,FALSE),0%)</f>
        <v>0</v>
      </c>
      <c r="HD7" s="5">
        <f>IFERROR(VLOOKUP(HD$1,Dividendos!$B$24:$C$39,2,FALSE),0%)</f>
        <v>0</v>
      </c>
      <c r="HE7" s="5">
        <f>IFERROR(VLOOKUP(HE$1,Dividendos!$B$24:$C$39,2,FALSE),0%)</f>
        <v>0</v>
      </c>
      <c r="HF7" s="5">
        <f>IFERROR(VLOOKUP(HF$1,Dividendos!$B$24:$C$39,2,FALSE),0%)</f>
        <v>0</v>
      </c>
      <c r="HG7" s="5">
        <f>IFERROR(VLOOKUP(HG$1,Dividendos!$B$24:$C$39,2,FALSE),0%)</f>
        <v>0</v>
      </c>
      <c r="HH7" s="5">
        <f>IFERROR(VLOOKUP(HH$1,Dividendos!$B$24:$C$39,2,FALSE),0%)</f>
        <v>0</v>
      </c>
      <c r="HI7" s="5">
        <f>IFERROR(VLOOKUP(HI$1,Dividendos!$B$24:$C$39,2,FALSE),0%)</f>
        <v>0</v>
      </c>
      <c r="HJ7" s="5">
        <f>IFERROR(VLOOKUP(HJ$1,Dividendos!$B$24:$C$39,2,FALSE),0%)</f>
        <v>0</v>
      </c>
      <c r="HK7" s="5">
        <f>IFERROR(VLOOKUP(HK$1,Dividendos!$B$24:$C$39,2,FALSE),0%)</f>
        <v>0</v>
      </c>
      <c r="HL7" s="5">
        <f>IFERROR(VLOOKUP(HL$1,Dividendos!$B$24:$C$39,2,FALSE),0%)</f>
        <v>0</v>
      </c>
      <c r="HM7" s="5">
        <f>IFERROR(VLOOKUP(HM$1,Dividendos!$B$24:$C$39,2,FALSE),0%)</f>
        <v>0</v>
      </c>
      <c r="HN7" s="5">
        <f>IFERROR(VLOOKUP(HN$1,Dividendos!$B$24:$C$39,2,FALSE),0%)</f>
        <v>0</v>
      </c>
      <c r="HO7" s="5">
        <f>IFERROR(VLOOKUP(HO$1,Dividendos!$B$24:$C$39,2,FALSE),0%)</f>
        <v>0</v>
      </c>
      <c r="HP7" s="5">
        <f>IFERROR(VLOOKUP(HP$1,Dividendos!$B$24:$C$39,2,FALSE),0%)</f>
        <v>0</v>
      </c>
      <c r="HQ7" s="5">
        <f>IFERROR(VLOOKUP(HQ$1,Dividendos!$B$24:$C$39,2,FALSE),0%)</f>
        <v>0</v>
      </c>
      <c r="HR7" s="5">
        <f>IFERROR(VLOOKUP(HR$1,Dividendos!$B$24:$C$39,2,FALSE),0%)</f>
        <v>0</v>
      </c>
      <c r="HS7" s="5">
        <f>IFERROR(VLOOKUP(HS$1,Dividendos!$B$24:$C$39,2,FALSE),0%)</f>
        <v>0</v>
      </c>
      <c r="HT7" s="5">
        <f>IFERROR(VLOOKUP(HT$1,Dividendos!$B$24:$C$39,2,FALSE),0%)</f>
        <v>0</v>
      </c>
      <c r="HU7" s="5">
        <f>IFERROR(VLOOKUP(HU$1,Dividendos!$B$24:$C$39,2,FALSE),0%)</f>
        <v>0</v>
      </c>
      <c r="HV7" s="5">
        <f>IFERROR(VLOOKUP(HV$1,Dividendos!$B$24:$C$39,2,FALSE),0%)</f>
        <v>0</v>
      </c>
      <c r="HW7" s="5">
        <f>IFERROR(VLOOKUP(HW$1,Dividendos!$B$24:$C$39,2,FALSE),0%)</f>
        <v>0</v>
      </c>
      <c r="HX7" s="5">
        <f>IFERROR(VLOOKUP(HX$1,Dividendos!$B$24:$C$39,2,FALSE),0%)</f>
        <v>0</v>
      </c>
      <c r="HY7" s="5">
        <f>IFERROR(VLOOKUP(HY$1,Dividendos!$B$24:$C$39,2,FALSE),0%)</f>
        <v>0</v>
      </c>
      <c r="HZ7" s="5">
        <f>IFERROR(VLOOKUP(HZ$1,Dividendos!$B$24:$C$39,2,FALSE),0%)</f>
        <v>0</v>
      </c>
      <c r="IA7" s="5">
        <f>IFERROR(VLOOKUP(IA$1,Dividendos!$B$24:$C$39,2,FALSE),0%)</f>
        <v>0</v>
      </c>
      <c r="IB7" s="5">
        <f>IFERROR(VLOOKUP(IB$1,Dividendos!$B$24:$C$39,2,FALSE),0%)</f>
        <v>0</v>
      </c>
      <c r="IC7" s="5">
        <f>IFERROR(VLOOKUP(IC$1,Dividendos!$B$24:$C$39,2,FALSE),0%)</f>
        <v>0</v>
      </c>
      <c r="ID7" s="5">
        <f>IFERROR(VLOOKUP(ID$1,Dividendos!$B$24:$C$39,2,FALSE),0%)</f>
        <v>0</v>
      </c>
      <c r="IE7" s="5">
        <f>IFERROR(VLOOKUP(IE$1,Dividendos!$B$24:$C$39,2,FALSE),0%)</f>
        <v>0</v>
      </c>
      <c r="IF7" s="5">
        <f>IFERROR(VLOOKUP(IF$1,Dividendos!$B$24:$C$39,2,FALSE),0%)</f>
        <v>0</v>
      </c>
      <c r="IG7" s="5">
        <f>IFERROR(VLOOKUP(IG$1,Dividendos!$B$24:$C$39,2,FALSE),0%)</f>
        <v>0</v>
      </c>
      <c r="IH7" s="5">
        <f>IFERROR(VLOOKUP(IH$1,Dividendos!$B$24:$C$39,2,FALSE),0%)</f>
        <v>0</v>
      </c>
      <c r="II7" s="5">
        <f>IFERROR(VLOOKUP(II$1,Dividendos!$B$24:$C$39,2,FALSE),0%)</f>
        <v>0</v>
      </c>
      <c r="IJ7" s="5">
        <f>IFERROR(VLOOKUP(IJ$1,Dividendos!$B$24:$C$39,2,FALSE),0%)</f>
        <v>0</v>
      </c>
      <c r="IK7" s="5">
        <f>IFERROR(VLOOKUP(IK$1,Dividendos!$B$24:$C$39,2,FALSE),0%)</f>
        <v>0</v>
      </c>
      <c r="IL7" s="5">
        <f>IFERROR(VLOOKUP(IL$1,Dividendos!$B$24:$C$39,2,FALSE),0%)</f>
        <v>0</v>
      </c>
      <c r="IM7" s="5">
        <f>IFERROR(VLOOKUP(IM$1,Dividendos!$B$24:$C$39,2,FALSE),0%)</f>
        <v>0</v>
      </c>
      <c r="IN7" s="5">
        <f>IFERROR(VLOOKUP(IN$1,Dividendos!$B$24:$C$39,2,FALSE),0%)</f>
        <v>0</v>
      </c>
      <c r="IO7" s="5">
        <f>IFERROR(VLOOKUP(IO$1,Dividendos!$B$24:$C$39,2,FALSE),0%)</f>
        <v>0</v>
      </c>
      <c r="IP7" s="5">
        <f>IFERROR(VLOOKUP(IP$1,Dividendos!$B$24:$C$39,2,FALSE),0%)</f>
        <v>0</v>
      </c>
      <c r="IQ7" s="5">
        <f>IFERROR(VLOOKUP(IQ$1,Dividendos!$B$24:$C$39,2,FALSE),0%)</f>
        <v>0</v>
      </c>
      <c r="IR7" s="5">
        <f>IFERROR(VLOOKUP(IR$1,Dividendos!$B$24:$C$39,2,FALSE),0%)</f>
        <v>0</v>
      </c>
      <c r="IS7" s="5">
        <f>IFERROR(VLOOKUP(IS$1,Dividendos!$B$24:$C$39,2,FALSE),0%)</f>
        <v>0</v>
      </c>
      <c r="IT7" s="5">
        <f>IFERROR(VLOOKUP(IT$1,Dividendos!$B$24:$C$39,2,FALSE),0%)</f>
        <v>0</v>
      </c>
      <c r="IU7" s="5">
        <f>IFERROR(VLOOKUP(IU$1,Dividendos!$B$24:$C$39,2,FALSE),0%)</f>
        <v>0</v>
      </c>
      <c r="IV7" s="5">
        <f>IFERROR(VLOOKUP(IV$1,Dividendos!$B$24:$C$39,2,FALSE),0%)</f>
        <v>0</v>
      </c>
      <c r="IW7" s="5">
        <f>IFERROR(VLOOKUP(IW$1,Dividendos!$B$24:$C$39,2,FALSE),0%)</f>
        <v>0</v>
      </c>
      <c r="IX7" s="5">
        <f>IFERROR(VLOOKUP(IX$1,Dividendos!$B$24:$C$39,2,FALSE),0%)</f>
        <v>0</v>
      </c>
      <c r="IY7" s="5">
        <f>IFERROR(VLOOKUP(IY$1,Dividendos!$B$24:$C$39,2,FALSE),0%)</f>
        <v>0</v>
      </c>
      <c r="IZ7" s="5">
        <f>IFERROR(VLOOKUP(IZ$1,Dividendos!$B$24:$C$39,2,FALSE),0%)</f>
        <v>0</v>
      </c>
      <c r="JA7" s="5">
        <f>IFERROR(VLOOKUP(JA$1,Dividendos!$B$24:$C$39,2,FALSE),0%)</f>
        <v>0</v>
      </c>
      <c r="JB7" s="5">
        <f>IFERROR(VLOOKUP(JB$1,Dividendos!$B$24:$C$39,2,FALSE),0%)</f>
        <v>0</v>
      </c>
      <c r="JC7" s="5">
        <f>IFERROR(VLOOKUP(JC$1,Dividendos!$B$24:$C$39,2,FALSE),0%)</f>
        <v>0</v>
      </c>
      <c r="JD7" s="5">
        <f>IFERROR(VLOOKUP(JD$1,Dividendos!$B$24:$C$39,2,FALSE),0%)</f>
        <v>0</v>
      </c>
      <c r="JE7" s="5">
        <f>IFERROR(VLOOKUP(JE$1,Dividendos!$B$24:$C$39,2,FALSE),0%)</f>
        <v>0</v>
      </c>
      <c r="JF7" s="5">
        <f>IFERROR(VLOOKUP(JF$1,Dividendos!$B$24:$C$39,2,FALSE),0%)</f>
        <v>0</v>
      </c>
      <c r="JG7" s="5">
        <f>IFERROR(VLOOKUP(JG$1,Dividendos!$B$24:$C$39,2,FALSE),0%)</f>
        <v>0</v>
      </c>
      <c r="JH7" s="5">
        <f>IFERROR(VLOOKUP(JH$1,Dividendos!$B$24:$C$39,2,FALSE),0%)</f>
        <v>0.07588386551</v>
      </c>
      <c r="JI7" s="5">
        <f>IFERROR(VLOOKUP(JI$1,Dividendos!$B$24:$C$39,2,FALSE),0%)</f>
        <v>0</v>
      </c>
      <c r="JJ7" s="5">
        <f>IFERROR(VLOOKUP(JJ$1,Dividendos!$B$24:$C$39,2,FALSE),0%)</f>
        <v>0</v>
      </c>
      <c r="JK7" s="5">
        <f>IFERROR(VLOOKUP(JK$1,Dividendos!$B$24:$C$39,2,FALSE),0%)</f>
        <v>0</v>
      </c>
      <c r="JL7" s="5">
        <f>IFERROR(VLOOKUP(JL$1,Dividendos!$B$24:$C$39,2,FALSE),0%)</f>
        <v>0</v>
      </c>
      <c r="JM7" s="5">
        <f>IFERROR(VLOOKUP(JM$1,Dividendos!$B$24:$C$39,2,FALSE),0%)</f>
        <v>0</v>
      </c>
      <c r="JN7" s="5">
        <f>IFERROR(VLOOKUP(JN$1,Dividendos!$B$24:$C$39,2,FALSE),0%)</f>
        <v>0</v>
      </c>
      <c r="JO7" s="5">
        <f>IFERROR(VLOOKUP(JO$1,Dividendos!$B$24:$C$39,2,FALSE),0%)</f>
        <v>0</v>
      </c>
      <c r="JP7" s="5">
        <f>IFERROR(VLOOKUP(JP$1,Dividendos!$B$24:$C$39,2,FALSE),0%)</f>
        <v>0</v>
      </c>
      <c r="JQ7" s="5">
        <f>IFERROR(VLOOKUP(JQ$1,Dividendos!$B$24:$C$39,2,FALSE),0%)</f>
        <v>0</v>
      </c>
      <c r="JR7" s="5">
        <f>IFERROR(VLOOKUP(JR$1,Dividendos!$B$24:$C$39,2,FALSE),0%)</f>
        <v>0</v>
      </c>
      <c r="JS7" s="5">
        <f>IFERROR(VLOOKUP(JS$1,Dividendos!$B$24:$C$39,2,FALSE),0%)</f>
        <v>0</v>
      </c>
      <c r="JT7" s="5">
        <f>IFERROR(VLOOKUP(JT$1,Dividendos!$B$24:$C$39,2,FALSE),0%)</f>
        <v>0</v>
      </c>
      <c r="JU7" s="5">
        <f>IFERROR(VLOOKUP(JU$1,Dividendos!$B$24:$C$39,2,FALSE),0%)</f>
        <v>0</v>
      </c>
      <c r="JV7" s="5">
        <f>IFERROR(VLOOKUP(JV$1,Dividendos!$B$24:$C$39,2,FALSE),0%)</f>
        <v>0</v>
      </c>
      <c r="JW7" s="5">
        <f>IFERROR(VLOOKUP(JW$1,Dividendos!$B$24:$C$39,2,FALSE),0%)</f>
        <v>0</v>
      </c>
      <c r="JX7" s="5">
        <f>IFERROR(VLOOKUP(JX$1,Dividendos!$B$24:$C$39,2,FALSE),0%)</f>
        <v>0</v>
      </c>
      <c r="JY7" s="5">
        <f>IFERROR(VLOOKUP(JY$1,Dividendos!$B$24:$C$39,2,FALSE),0%)</f>
        <v>0</v>
      </c>
      <c r="JZ7" s="5">
        <f>IFERROR(VLOOKUP(JZ$1,Dividendos!$B$24:$C$39,2,FALSE),0%)</f>
        <v>0</v>
      </c>
      <c r="KA7" s="5">
        <f>IFERROR(VLOOKUP(KA$1,Dividendos!$B$24:$C$39,2,FALSE),0%)</f>
        <v>0</v>
      </c>
      <c r="KB7" s="5">
        <f>IFERROR(VLOOKUP(KB$1,Dividendos!$B$24:$C$39,2,FALSE),0%)</f>
        <v>0</v>
      </c>
      <c r="KC7" s="5">
        <f>IFERROR(VLOOKUP(KC$1,Dividendos!$B$24:$C$39,2,FALSE),0%)</f>
        <v>0</v>
      </c>
      <c r="KD7" s="5">
        <f>IFERROR(VLOOKUP(KD$1,Dividendos!$B$24:$C$39,2,FALSE),0%)</f>
        <v>0</v>
      </c>
      <c r="KE7" s="5">
        <f>IFERROR(VLOOKUP(KE$1,Dividendos!$B$24:$C$39,2,FALSE),0%)</f>
        <v>0</v>
      </c>
      <c r="KF7" s="5">
        <f>IFERROR(VLOOKUP(KF$1,Dividendos!$B$24:$C$39,2,FALSE),0%)</f>
        <v>0</v>
      </c>
      <c r="KG7" s="5">
        <f>IFERROR(VLOOKUP(KG$1,Dividendos!$B$24:$C$39,2,FALSE),0%)</f>
        <v>0</v>
      </c>
      <c r="KH7" s="5">
        <f>IFERROR(VLOOKUP(KH$1,Dividendos!$B$24:$C$39,2,FALSE),0%)</f>
        <v>0</v>
      </c>
      <c r="KI7" s="5">
        <f>IFERROR(VLOOKUP(KI$1,Dividendos!$B$24:$C$39,2,FALSE),0%)</f>
        <v>0</v>
      </c>
      <c r="KJ7" s="5">
        <f>IFERROR(VLOOKUP(KJ$1,Dividendos!$B$24:$C$39,2,FALSE),0%)</f>
        <v>0</v>
      </c>
      <c r="KK7" s="5">
        <f>IFERROR(VLOOKUP(KK$1,Dividendos!$B$24:$C$39,2,FALSE),0%)</f>
        <v>0</v>
      </c>
      <c r="KL7" s="5">
        <f>IFERROR(VLOOKUP(KL$1,Dividendos!$B$24:$C$39,2,FALSE),0%)</f>
        <v>0</v>
      </c>
      <c r="KM7" s="5">
        <f>IFERROR(VLOOKUP(KM$1,Dividendos!$B$24:$C$39,2,FALSE),0%)</f>
        <v>0</v>
      </c>
      <c r="KN7" s="5">
        <f>IFERROR(VLOOKUP(KN$1,Dividendos!$B$24:$C$39,2,FALSE),0%)</f>
        <v>0</v>
      </c>
      <c r="KO7" s="5">
        <f>IFERROR(VLOOKUP(KO$1,Dividendos!$B$24:$C$39,2,FALSE),0%)</f>
        <v>0</v>
      </c>
      <c r="KP7" s="5">
        <f>IFERROR(VLOOKUP(KP$1,Dividendos!$B$24:$C$39,2,FALSE),0%)</f>
        <v>0</v>
      </c>
      <c r="KQ7" s="5">
        <f>IFERROR(VLOOKUP(KQ$1,Dividendos!$B$24:$C$39,2,FALSE),0%)</f>
        <v>0</v>
      </c>
      <c r="KR7" s="5">
        <f>IFERROR(VLOOKUP(KR$1,Dividendos!$B$24:$C$39,2,FALSE),0%)</f>
        <v>0</v>
      </c>
      <c r="KS7" s="5">
        <f>IFERROR(VLOOKUP(KS$1,Dividendos!$B$24:$C$39,2,FALSE),0%)</f>
        <v>0</v>
      </c>
      <c r="KT7" s="5">
        <f>IFERROR(VLOOKUP(KT$1,Dividendos!$B$24:$C$39,2,FALSE),0%)</f>
        <v>0</v>
      </c>
      <c r="KU7" s="5">
        <f>IFERROR(VLOOKUP(KU$1,Dividendos!$B$24:$C$39,2,FALSE),0%)</f>
        <v>0</v>
      </c>
      <c r="KV7" s="5">
        <f>IFERROR(VLOOKUP(KV$1,Dividendos!$B$24:$C$39,2,FALSE),0%)</f>
        <v>0</v>
      </c>
      <c r="KW7" s="5">
        <f>IFERROR(VLOOKUP(KW$1,Dividendos!$B$24:$C$39,2,FALSE),0%)</f>
        <v>0</v>
      </c>
      <c r="KX7" s="5">
        <f>IFERROR(VLOOKUP(KX$1,Dividendos!$B$24:$C$39,2,FALSE),0%)</f>
        <v>0</v>
      </c>
      <c r="KY7" s="5">
        <f>IFERROR(VLOOKUP(KY$1,Dividendos!$B$24:$C$39,2,FALSE),0%)</f>
        <v>0</v>
      </c>
      <c r="KZ7" s="5">
        <f>IFERROR(VLOOKUP(KZ$1,Dividendos!$B$24:$C$39,2,FALSE),0%)</f>
        <v>0</v>
      </c>
      <c r="LA7" s="5">
        <f>IFERROR(VLOOKUP(LA$1,Dividendos!$B$24:$C$39,2,FALSE),0%)</f>
        <v>0</v>
      </c>
      <c r="LB7" s="5">
        <f>IFERROR(VLOOKUP(LB$1,Dividendos!$B$24:$C$39,2,FALSE),0%)</f>
        <v>0</v>
      </c>
      <c r="LC7" s="5">
        <f>IFERROR(VLOOKUP(LC$1,Dividendos!$B$24:$C$39,2,FALSE),0%)</f>
        <v>0</v>
      </c>
      <c r="LD7" s="5">
        <f>IFERROR(VLOOKUP(LD$1,Dividendos!$B$24:$C$39,2,FALSE),0%)</f>
        <v>0</v>
      </c>
      <c r="LE7" s="5">
        <f>IFERROR(VLOOKUP(LE$1,Dividendos!$B$24:$C$39,2,FALSE),0%)</f>
        <v>0</v>
      </c>
      <c r="LF7" s="5">
        <f>IFERROR(VLOOKUP(LF$1,Dividendos!$B$24:$C$39,2,FALSE),0%)</f>
        <v>0</v>
      </c>
      <c r="LG7" s="5">
        <f>IFERROR(VLOOKUP(LG$1,Dividendos!$B$24:$C$39,2,FALSE),0%)</f>
        <v>0</v>
      </c>
      <c r="LH7" s="5">
        <f>IFERROR(VLOOKUP(LH$1,Dividendos!$B$24:$C$39,2,FALSE),0%)</f>
        <v>0</v>
      </c>
      <c r="LI7" s="5">
        <f>IFERROR(VLOOKUP(LI$1,Dividendos!$B$24:$C$39,2,FALSE),0%)</f>
        <v>0</v>
      </c>
      <c r="LJ7" s="5">
        <f>IFERROR(VLOOKUP(LJ$1,Dividendos!$B$24:$C$39,2,FALSE),0%)</f>
        <v>0</v>
      </c>
      <c r="LK7" s="5">
        <f>IFERROR(VLOOKUP(LK$1,Dividendos!$B$24:$C$39,2,FALSE),0%)</f>
        <v>0</v>
      </c>
      <c r="LL7" s="5">
        <f>IFERROR(VLOOKUP(LL$1,Dividendos!$B$24:$C$39,2,FALSE),0%)</f>
        <v>0</v>
      </c>
      <c r="LM7" s="5">
        <f>IFERROR(VLOOKUP(LM$1,Dividendos!$B$24:$C$39,2,FALSE),0%)</f>
        <v>0</v>
      </c>
      <c r="LN7" s="5">
        <f>IFERROR(VLOOKUP(LN$1,Dividendos!$B$24:$C$39,2,FALSE),0%)</f>
        <v>0</v>
      </c>
      <c r="LO7" s="5">
        <f>IFERROR(VLOOKUP(LO$1,Dividendos!$B$24:$C$39,2,FALSE),0%)</f>
        <v>0</v>
      </c>
      <c r="LP7" s="5">
        <f>IFERROR(VLOOKUP(LP$1,Dividendos!$B$24:$C$39,2,FALSE),0%)</f>
        <v>0</v>
      </c>
      <c r="LQ7" s="5">
        <f>IFERROR(VLOOKUP(LQ$1,Dividendos!$B$24:$C$39,2,FALSE),0%)</f>
        <v>0</v>
      </c>
      <c r="LR7" s="5">
        <f>IFERROR(VLOOKUP(LR$1,Dividendos!$B$24:$C$39,2,FALSE),0%)</f>
        <v>0</v>
      </c>
      <c r="LS7" s="5">
        <f>IFERROR(VLOOKUP(LS$1,Dividendos!$B$24:$C$39,2,FALSE),0%)</f>
        <v>0</v>
      </c>
      <c r="LT7" s="5">
        <f>IFERROR(VLOOKUP(LT$1,Dividendos!$B$24:$C$39,2,FALSE),0%)</f>
        <v>0</v>
      </c>
      <c r="LU7" s="5">
        <f>IFERROR(VLOOKUP(LU$1,Dividendos!$B$24:$C$39,2,FALSE),0%)</f>
        <v>0</v>
      </c>
      <c r="LV7" s="5">
        <f>IFERROR(VLOOKUP(LV$1,Dividendos!$B$24:$C$39,2,FALSE),0%)</f>
        <v>0</v>
      </c>
      <c r="LW7" s="5">
        <f>IFERROR(VLOOKUP(LW$1,Dividendos!$B$24:$C$39,2,FALSE),0%)</f>
        <v>0</v>
      </c>
      <c r="LX7" s="5">
        <f>IFERROR(VLOOKUP(LX$1,Dividendos!$B$24:$C$39,2,FALSE),0%)</f>
        <v>0</v>
      </c>
      <c r="LY7" s="5">
        <f>IFERROR(VLOOKUP(LY$1,Dividendos!$B$24:$C$39,2,FALSE),0%)</f>
        <v>0</v>
      </c>
      <c r="LZ7" s="5">
        <f>IFERROR(VLOOKUP(LZ$1,Dividendos!$B$24:$C$39,2,FALSE),0%)</f>
        <v>0</v>
      </c>
      <c r="MA7" s="5">
        <f>IFERROR(VLOOKUP(MA$1,Dividendos!$B$24:$C$39,2,FALSE),0%)</f>
        <v>0</v>
      </c>
      <c r="MB7" s="5">
        <f>IFERROR(VLOOKUP(MB$1,Dividendos!$B$24:$C$39,2,FALSE),0%)</f>
        <v>0</v>
      </c>
      <c r="MC7" s="5">
        <f>IFERROR(VLOOKUP(MC$1,Dividendos!$B$24:$C$39,2,FALSE),0%)</f>
        <v>0</v>
      </c>
      <c r="MD7" s="5">
        <f>IFERROR(VLOOKUP(MD$1,Dividendos!$B$24:$C$39,2,FALSE),0%)</f>
        <v>0</v>
      </c>
      <c r="ME7" s="5">
        <f>IFERROR(VLOOKUP(ME$1,Dividendos!$B$24:$C$39,2,FALSE),0%)</f>
        <v>0</v>
      </c>
      <c r="MF7" s="5">
        <f>IFERROR(VLOOKUP(MF$1,Dividendos!$B$24:$C$39,2,FALSE),0%)</f>
        <v>0</v>
      </c>
      <c r="MG7" s="5">
        <f>IFERROR(VLOOKUP(MG$1,Dividendos!$B$24:$C$39,2,FALSE),0%)</f>
        <v>0</v>
      </c>
      <c r="MH7" s="5">
        <f>IFERROR(VLOOKUP(MH$1,Dividendos!$B$24:$C$39,2,FALSE),0%)</f>
        <v>0</v>
      </c>
      <c r="MI7" s="5">
        <f>IFERROR(VLOOKUP(MI$1,Dividendos!$B$24:$C$39,2,FALSE),0%)</f>
        <v>0</v>
      </c>
      <c r="MJ7" s="5">
        <f>IFERROR(VLOOKUP(MJ$1,Dividendos!$B$24:$C$39,2,FALSE),0%)</f>
        <v>0</v>
      </c>
      <c r="MK7" s="5">
        <f>IFERROR(VLOOKUP(MK$1,Dividendos!$B$24:$C$39,2,FALSE),0%)</f>
        <v>0</v>
      </c>
      <c r="ML7" s="5">
        <f>IFERROR(VLOOKUP(ML$1,Dividendos!$B$24:$C$39,2,FALSE),0%)</f>
        <v>0</v>
      </c>
      <c r="MM7" s="5">
        <f>IFERROR(VLOOKUP(MM$1,Dividendos!$B$24:$C$39,2,FALSE),0%)</f>
        <v>0</v>
      </c>
      <c r="MN7" s="5">
        <f>IFERROR(VLOOKUP(MN$1,Dividendos!$B$24:$C$39,2,FALSE),0%)</f>
        <v>0</v>
      </c>
      <c r="MO7" s="5">
        <f>IFERROR(VLOOKUP(MO$1,Dividendos!$B$24:$C$39,2,FALSE),0%)</f>
        <v>0</v>
      </c>
      <c r="MP7" s="5">
        <f>IFERROR(VLOOKUP(MP$1,Dividendos!$B$24:$C$39,2,FALSE),0%)</f>
        <v>0</v>
      </c>
      <c r="MQ7" s="5">
        <f>IFERROR(VLOOKUP(MQ$1,Dividendos!$B$24:$C$39,2,FALSE),0%)</f>
        <v>0</v>
      </c>
      <c r="MR7" s="5">
        <f>IFERROR(VLOOKUP(MR$1,Dividendos!$B$24:$C$39,2,FALSE),0%)</f>
        <v>0</v>
      </c>
      <c r="MS7" s="5">
        <f>IFERROR(VLOOKUP(MS$1,Dividendos!$B$24:$C$39,2,FALSE),0%)</f>
        <v>0</v>
      </c>
      <c r="MT7" s="5">
        <f>IFERROR(VLOOKUP(MT$1,Dividendos!$B$24:$C$39,2,FALSE),0%)</f>
        <v>0</v>
      </c>
      <c r="MU7" s="5">
        <f>IFERROR(VLOOKUP(MU$1,Dividendos!$B$24:$C$39,2,FALSE),0%)</f>
        <v>0</v>
      </c>
      <c r="MV7" s="5">
        <f>IFERROR(VLOOKUP(MV$1,Dividendos!$B$24:$C$39,2,FALSE),0%)</f>
        <v>0</v>
      </c>
      <c r="MW7" s="5">
        <f>IFERROR(VLOOKUP(MW$1,Dividendos!$B$24:$C$39,2,FALSE),0%)</f>
        <v>0</v>
      </c>
      <c r="MX7" s="5">
        <f>IFERROR(VLOOKUP(MX$1,Dividendos!$B$24:$C$39,2,FALSE),0%)</f>
        <v>0</v>
      </c>
      <c r="MY7" s="5">
        <f>IFERROR(VLOOKUP(MY$1,Dividendos!$B$24:$C$39,2,FALSE),0%)</f>
        <v>0</v>
      </c>
      <c r="MZ7" s="5">
        <f>IFERROR(VLOOKUP(MZ$1,Dividendos!$B$24:$C$39,2,FALSE),0%)</f>
        <v>0</v>
      </c>
      <c r="NA7" s="5">
        <f>IFERROR(VLOOKUP(NA$1,Dividendos!$B$24:$C$39,2,FALSE),0%)</f>
        <v>0</v>
      </c>
      <c r="NB7" s="5">
        <f>IFERROR(VLOOKUP(NB$1,Dividendos!$B$24:$C$39,2,FALSE),0%)</f>
        <v>0</v>
      </c>
      <c r="NC7" s="5">
        <f>IFERROR(VLOOKUP(NC$1,Dividendos!$B$24:$C$39,2,FALSE),0%)</f>
        <v>0</v>
      </c>
      <c r="ND7" s="5">
        <f>IFERROR(VLOOKUP(ND$1,Dividendos!$B$24:$C$39,2,FALSE),0%)</f>
        <v>0</v>
      </c>
      <c r="NE7" s="5">
        <f>IFERROR(VLOOKUP(NE$1,Dividendos!$B$24:$C$39,2,FALSE),0%)</f>
        <v>0</v>
      </c>
      <c r="NF7" s="5">
        <f>IFERROR(VLOOKUP(NF$1,Dividendos!$B$24:$C$39,2,FALSE),0%)</f>
        <v>0</v>
      </c>
      <c r="NG7" s="5">
        <f>IFERROR(VLOOKUP(NG$1,Dividendos!$B$24:$C$39,2,FALSE),0%)</f>
        <v>0</v>
      </c>
      <c r="NH7" s="5">
        <f>IFERROR(VLOOKUP(NH$1,Dividendos!$B$24:$C$39,2,FALSE),0%)</f>
        <v>0</v>
      </c>
      <c r="NI7" s="5">
        <f>IFERROR(VLOOKUP(NI$1,Dividendos!$B$24:$C$39,2,FALSE),0%)</f>
        <v>0</v>
      </c>
      <c r="NJ7" s="5">
        <f>IFERROR(VLOOKUP(NJ$1,Dividendos!$B$24:$C$39,2,FALSE),0%)</f>
        <v>0</v>
      </c>
      <c r="NK7" s="5">
        <f>IFERROR(VLOOKUP(NK$1,Dividendos!$B$24:$C$39,2,FALSE),0%)</f>
        <v>0</v>
      </c>
      <c r="NL7" s="5">
        <f>IFERROR(VLOOKUP(NL$1,Dividendos!$B$24:$C$39,2,FALSE),0%)</f>
        <v>0</v>
      </c>
      <c r="NM7" s="5">
        <f>IFERROR(VLOOKUP(NM$1,Dividendos!$B$24:$C$39,2,FALSE),0%)</f>
        <v>0</v>
      </c>
      <c r="NN7" s="5">
        <f>IFERROR(VLOOKUP(NN$1,Dividendos!$B$24:$C$39,2,FALSE),0%)</f>
        <v>0</v>
      </c>
      <c r="NO7" s="5">
        <f>IFERROR(VLOOKUP(NO$1,Dividendos!$B$24:$C$39,2,FALSE),0%)</f>
        <v>0</v>
      </c>
      <c r="NP7" s="5">
        <f>IFERROR(VLOOKUP(NP$1,Dividendos!$B$24:$C$39,2,FALSE),0%)</f>
        <v>0</v>
      </c>
      <c r="NQ7" s="5">
        <f>IFERROR(VLOOKUP(NQ$1,Dividendos!$B$24:$C$39,2,FALSE),0%)</f>
        <v>0</v>
      </c>
      <c r="NR7" s="5">
        <f>IFERROR(VLOOKUP(NR$1,Dividendos!$B$24:$C$39,2,FALSE),0%)</f>
        <v>0</v>
      </c>
      <c r="NS7" s="5">
        <f>IFERROR(VLOOKUP(NS$1,Dividendos!$B$24:$C$39,2,FALSE),0%)</f>
        <v>0</v>
      </c>
      <c r="NT7" s="5">
        <f>IFERROR(VLOOKUP(NT$1,Dividendos!$B$24:$C$39,2,FALSE),0%)</f>
        <v>0</v>
      </c>
      <c r="NU7" s="5">
        <f>IFERROR(VLOOKUP(NU$1,Dividendos!$B$24:$C$39,2,FALSE),0%)</f>
        <v>0</v>
      </c>
      <c r="NV7" s="5">
        <f>IFERROR(VLOOKUP(NV$1,Dividendos!$B$24:$C$39,2,FALSE),0%)</f>
        <v>0</v>
      </c>
      <c r="NW7" s="5">
        <f>IFERROR(VLOOKUP(NW$1,Dividendos!$B$24:$C$39,2,FALSE),0%)</f>
        <v>0</v>
      </c>
      <c r="NX7" s="5">
        <f>IFERROR(VLOOKUP(NX$1,Dividendos!$B$24:$C$39,2,FALSE),0%)</f>
        <v>0</v>
      </c>
      <c r="NY7" s="5">
        <f>IFERROR(VLOOKUP(NY$1,Dividendos!$B$24:$C$39,2,FALSE),0%)</f>
        <v>0</v>
      </c>
      <c r="NZ7" s="5">
        <f>IFERROR(VLOOKUP(NZ$1,Dividendos!$B$24:$C$39,2,FALSE),0%)</f>
        <v>0</v>
      </c>
      <c r="OA7" s="5">
        <f>IFERROR(VLOOKUP(OA$1,Dividendos!$B$24:$C$39,2,FALSE),0%)</f>
        <v>0</v>
      </c>
      <c r="OB7" s="5">
        <f>IFERROR(VLOOKUP(OB$1,Dividendos!$B$24:$C$39,2,FALSE),0%)</f>
        <v>0</v>
      </c>
      <c r="OC7" s="5">
        <f>IFERROR(VLOOKUP(OC$1,Dividendos!$B$24:$C$39,2,FALSE),0%)</f>
        <v>0</v>
      </c>
      <c r="OD7" s="5">
        <f>IFERROR(VLOOKUP(OD$1,Dividendos!$B$24:$C$39,2,FALSE),0%)</f>
        <v>0</v>
      </c>
      <c r="OE7" s="5">
        <f>IFERROR(VLOOKUP(OE$1,Dividendos!$B$24:$C$39,2,FALSE),0%)</f>
        <v>0</v>
      </c>
      <c r="OF7" s="5">
        <f>IFERROR(VLOOKUP(OF$1,Dividendos!$B$24:$C$39,2,FALSE),0%)</f>
        <v>0</v>
      </c>
      <c r="OG7" s="5">
        <f>IFERROR(VLOOKUP(OG$1,Dividendos!$B$24:$C$39,2,FALSE),0%)</f>
        <v>0</v>
      </c>
      <c r="OH7" s="5">
        <f>IFERROR(VLOOKUP(OH$1,Dividendos!$B$24:$C$39,2,FALSE),0%)</f>
        <v>0</v>
      </c>
      <c r="OI7" s="5">
        <f>IFERROR(VLOOKUP(OI$1,Dividendos!$B$24:$C$39,2,FALSE),0%)</f>
        <v>0</v>
      </c>
      <c r="OJ7" s="5">
        <f>IFERROR(VLOOKUP(OJ$1,Dividendos!$B$24:$C$39,2,FALSE),0%)</f>
        <v>0</v>
      </c>
      <c r="OK7" s="5">
        <f>IFERROR(VLOOKUP(OK$1,Dividendos!$B$24:$C$39,2,FALSE),0%)</f>
        <v>0</v>
      </c>
      <c r="OL7" s="5">
        <f>IFERROR(VLOOKUP(OL$1,Dividendos!$B$24:$C$39,2,FALSE),0%)</f>
        <v>0</v>
      </c>
      <c r="OM7" s="5">
        <f>IFERROR(VLOOKUP(OM$1,Dividendos!$B$24:$C$39,2,FALSE),0%)</f>
        <v>0</v>
      </c>
      <c r="ON7" s="5">
        <f>IFERROR(VLOOKUP(ON$1,Dividendos!$B$24:$C$39,2,FALSE),0%)</f>
        <v>0</v>
      </c>
      <c r="OO7" s="5">
        <f>IFERROR(VLOOKUP(OO$1,Dividendos!$B$24:$C$39,2,FALSE),0%)</f>
        <v>0</v>
      </c>
      <c r="OP7" s="5">
        <f>IFERROR(VLOOKUP(OP$1,Dividendos!$B$24:$C$39,2,FALSE),0%)</f>
        <v>0</v>
      </c>
      <c r="OQ7" s="5">
        <f>IFERROR(VLOOKUP(OQ$1,Dividendos!$B$24:$C$39,2,FALSE),0%)</f>
        <v>0</v>
      </c>
      <c r="OR7" s="5">
        <f>IFERROR(VLOOKUP(OR$1,Dividendos!$B$24:$C$39,2,FALSE),0%)</f>
        <v>0</v>
      </c>
      <c r="OS7" s="5">
        <f>IFERROR(VLOOKUP(OS$1,Dividendos!$B$24:$C$39,2,FALSE),0%)</f>
        <v>0</v>
      </c>
      <c r="OT7" s="5">
        <f>IFERROR(VLOOKUP(OT$1,Dividendos!$B$24:$C$39,2,FALSE),0%)</f>
        <v>0</v>
      </c>
      <c r="OU7" s="5">
        <f>IFERROR(VLOOKUP(OU$1,Dividendos!$B$24:$C$39,2,FALSE),0%)</f>
        <v>0</v>
      </c>
      <c r="OV7" s="5">
        <f>IFERROR(VLOOKUP(OV$1,Dividendos!$B$24:$C$39,2,FALSE),0%)</f>
        <v>0</v>
      </c>
      <c r="OW7" s="5">
        <f>IFERROR(VLOOKUP(OW$1,Dividendos!$B$24:$C$39,2,FALSE),0%)</f>
        <v>0</v>
      </c>
      <c r="OX7" s="5">
        <f>IFERROR(VLOOKUP(OX$1,Dividendos!$B$24:$C$39,2,FALSE),0%)</f>
        <v>0</v>
      </c>
      <c r="OY7" s="5">
        <f>IFERROR(VLOOKUP(OY$1,Dividendos!$B$24:$C$39,2,FALSE),0%)</f>
        <v>0</v>
      </c>
      <c r="OZ7" s="5">
        <f>IFERROR(VLOOKUP(OZ$1,Dividendos!$B$24:$C$39,2,FALSE),0%)</f>
        <v>0</v>
      </c>
      <c r="PA7" s="5">
        <f>IFERROR(VLOOKUP(PA$1,Dividendos!$B$24:$C$39,2,FALSE),0%)</f>
        <v>0</v>
      </c>
      <c r="PB7" s="5">
        <f>IFERROR(VLOOKUP(PB$1,Dividendos!$B$24:$C$39,2,FALSE),0%)</f>
        <v>0</v>
      </c>
      <c r="PC7" s="5">
        <f>IFERROR(VLOOKUP(PC$1,Dividendos!$B$24:$C$39,2,FALSE),0%)</f>
        <v>0</v>
      </c>
      <c r="PD7" s="5">
        <f>IFERROR(VLOOKUP(PD$1,Dividendos!$B$24:$C$39,2,FALSE),0%)</f>
        <v>0</v>
      </c>
      <c r="PE7" s="5">
        <f>IFERROR(VLOOKUP(PE$1,Dividendos!$B$24:$C$39,2,FALSE),0%)</f>
        <v>0</v>
      </c>
      <c r="PF7" s="5">
        <f>IFERROR(VLOOKUP(PF$1,Dividendos!$B$24:$C$39,2,FALSE),0%)</f>
        <v>0</v>
      </c>
      <c r="PG7" s="5">
        <f>IFERROR(VLOOKUP(PG$1,Dividendos!$B$24:$C$39,2,FALSE),0%)</f>
        <v>0</v>
      </c>
      <c r="PH7" s="5">
        <f>IFERROR(VLOOKUP(PH$1,Dividendos!$B$24:$C$39,2,FALSE),0%)</f>
        <v>0</v>
      </c>
      <c r="PI7" s="5">
        <f>IFERROR(VLOOKUP(PI$1,Dividendos!$B$24:$C$39,2,FALSE),0%)</f>
        <v>0</v>
      </c>
      <c r="PJ7" s="5">
        <f>IFERROR(VLOOKUP(PJ$1,Dividendos!$B$24:$C$39,2,FALSE),0%)</f>
        <v>0</v>
      </c>
      <c r="PK7" s="5">
        <f>IFERROR(VLOOKUP(PK$1,Dividendos!$B$24:$C$39,2,FALSE),0%)</f>
        <v>0</v>
      </c>
      <c r="PL7" s="5">
        <f>IFERROR(VLOOKUP(PL$1,Dividendos!$B$24:$C$39,2,FALSE),0%)</f>
        <v>0</v>
      </c>
      <c r="PM7" s="5">
        <f>IFERROR(VLOOKUP(PM$1,Dividendos!$B$24:$C$39,2,FALSE),0%)</f>
        <v>0</v>
      </c>
      <c r="PN7" s="5">
        <f>IFERROR(VLOOKUP(PN$1,Dividendos!$B$24:$C$39,2,FALSE),0%)</f>
        <v>0</v>
      </c>
      <c r="PO7" s="5">
        <f>IFERROR(VLOOKUP(PO$1,Dividendos!$B$24:$C$39,2,FALSE),0%)</f>
        <v>0</v>
      </c>
      <c r="PP7" s="5">
        <f>IFERROR(VLOOKUP(PP$1,Dividendos!$B$24:$C$39,2,FALSE),0%)</f>
        <v>0</v>
      </c>
      <c r="PQ7" s="5">
        <f>IFERROR(VLOOKUP(PQ$1,Dividendos!$B$24:$C$39,2,FALSE),0%)</f>
        <v>0</v>
      </c>
      <c r="PR7" s="5">
        <f>IFERROR(VLOOKUP(PR$1,Dividendos!$B$24:$C$39,2,FALSE),0%)</f>
        <v>0</v>
      </c>
      <c r="PS7" s="5">
        <f>IFERROR(VLOOKUP(PS$1,Dividendos!$B$24:$C$39,2,FALSE),0%)</f>
        <v>0</v>
      </c>
      <c r="PT7" s="5">
        <f>IFERROR(VLOOKUP(PT$1,Dividendos!$B$24:$C$39,2,FALSE),0%)</f>
        <v>0</v>
      </c>
      <c r="PU7" s="5">
        <f>IFERROR(VLOOKUP(PU$1,Dividendos!$B$24:$C$39,2,FALSE),0%)</f>
        <v>0</v>
      </c>
      <c r="PV7" s="5">
        <f>IFERROR(VLOOKUP(PV$1,Dividendos!$B$24:$C$39,2,FALSE),0%)</f>
        <v>0</v>
      </c>
      <c r="PW7" s="5">
        <f>IFERROR(VLOOKUP(PW$1,Dividendos!$B$24:$C$39,2,FALSE),0%)</f>
        <v>0</v>
      </c>
      <c r="PX7" s="5">
        <f>IFERROR(VLOOKUP(PX$1,Dividendos!$B$24:$C$39,2,FALSE),0%)</f>
        <v>0</v>
      </c>
      <c r="PY7" s="5">
        <f>IFERROR(VLOOKUP(PY$1,Dividendos!$B$24:$C$39,2,FALSE),0%)</f>
        <v>0</v>
      </c>
      <c r="PZ7" s="5">
        <f>IFERROR(VLOOKUP(PZ$1,Dividendos!$B$24:$C$39,2,FALSE),0%)</f>
        <v>0</v>
      </c>
      <c r="QA7" s="5">
        <f>IFERROR(VLOOKUP(QA$1,Dividendos!$B$24:$C$39,2,FALSE),0%)</f>
        <v>0</v>
      </c>
      <c r="QB7" s="5">
        <f>IFERROR(VLOOKUP(QB$1,Dividendos!$B$24:$C$39,2,FALSE),0%)</f>
        <v>0</v>
      </c>
      <c r="QC7" s="5">
        <f>IFERROR(VLOOKUP(QC$1,Dividendos!$B$24:$C$39,2,FALSE),0%)</f>
        <v>0</v>
      </c>
      <c r="QD7" s="5">
        <f>IFERROR(VLOOKUP(QD$1,Dividendos!$B$24:$C$39,2,FALSE),0%)</f>
        <v>0</v>
      </c>
      <c r="QE7" s="5">
        <f>IFERROR(VLOOKUP(QE$1,Dividendos!$B$24:$C$39,2,FALSE),0%)</f>
        <v>0</v>
      </c>
      <c r="QF7" s="5">
        <f>IFERROR(VLOOKUP(QF$1,Dividendos!$B$24:$C$39,2,FALSE),0%)</f>
        <v>0</v>
      </c>
      <c r="QG7" s="5">
        <f>IFERROR(VLOOKUP(QG$1,Dividendos!$B$24:$C$39,2,FALSE),0%)</f>
        <v>0</v>
      </c>
      <c r="QH7" s="5">
        <f>IFERROR(VLOOKUP(QH$1,Dividendos!$B$24:$C$39,2,FALSE),0%)</f>
        <v>0</v>
      </c>
      <c r="QI7" s="5">
        <f>IFERROR(VLOOKUP(QI$1,Dividendos!$B$24:$C$39,2,FALSE),0%)</f>
        <v>0</v>
      </c>
      <c r="QJ7" s="5">
        <f>IFERROR(VLOOKUP(QJ$1,Dividendos!$B$24:$C$39,2,FALSE),0%)</f>
        <v>0</v>
      </c>
      <c r="QK7" s="5">
        <f>IFERROR(VLOOKUP(QK$1,Dividendos!$B$24:$C$39,2,FALSE),0%)</f>
        <v>0</v>
      </c>
      <c r="QL7" s="5">
        <f>IFERROR(VLOOKUP(QL$1,Dividendos!$B$24:$C$39,2,FALSE),0%)</f>
        <v>0</v>
      </c>
      <c r="QM7" s="5">
        <f>IFERROR(VLOOKUP(QM$1,Dividendos!$B$24:$C$39,2,FALSE),0%)</f>
        <v>0</v>
      </c>
      <c r="QN7" s="5">
        <f>IFERROR(VLOOKUP(QN$1,Dividendos!$B$24:$C$39,2,FALSE),0%)</f>
        <v>0</v>
      </c>
      <c r="QO7" s="5">
        <f>IFERROR(VLOOKUP(QO$1,Dividendos!$B$24:$C$39,2,FALSE),0%)</f>
        <v>0</v>
      </c>
      <c r="QP7" s="5">
        <f>IFERROR(VLOOKUP(QP$1,Dividendos!$B$24:$C$39,2,FALSE),0%)</f>
        <v>0</v>
      </c>
      <c r="QQ7" s="5">
        <f>IFERROR(VLOOKUP(QQ$1,Dividendos!$B$24:$C$39,2,FALSE),0%)</f>
        <v>0</v>
      </c>
      <c r="QR7" s="5">
        <f>IFERROR(VLOOKUP(QR$1,Dividendos!$B$24:$C$39,2,FALSE),0%)</f>
        <v>0</v>
      </c>
      <c r="QS7" s="5">
        <f>IFERROR(VLOOKUP(QS$1,Dividendos!$B$24:$C$39,2,FALSE),0%)</f>
        <v>0</v>
      </c>
      <c r="QT7" s="5">
        <f>IFERROR(VLOOKUP(QT$1,Dividendos!$B$24:$C$39,2,FALSE),0%)</f>
        <v>0</v>
      </c>
      <c r="QU7" s="5">
        <f>IFERROR(VLOOKUP(QU$1,Dividendos!$B$24:$C$39,2,FALSE),0%)</f>
        <v>0</v>
      </c>
      <c r="QV7" s="5">
        <f>IFERROR(VLOOKUP(QV$1,Dividendos!$B$24:$C$39,2,FALSE),0%)</f>
        <v>0</v>
      </c>
      <c r="QW7" s="5">
        <f>IFERROR(VLOOKUP(QW$1,Dividendos!$B$24:$C$39,2,FALSE),0%)</f>
        <v>0</v>
      </c>
      <c r="QX7" s="5">
        <f>IFERROR(VLOOKUP(QX$1,Dividendos!$B$24:$C$39,2,FALSE),0%)</f>
        <v>0</v>
      </c>
      <c r="QY7" s="5">
        <f>IFERROR(VLOOKUP(QY$1,Dividendos!$B$24:$C$39,2,FALSE),0%)</f>
        <v>0</v>
      </c>
      <c r="QZ7" s="5">
        <f>IFERROR(VLOOKUP(QZ$1,Dividendos!$B$24:$C$39,2,FALSE),0%)</f>
        <v>0</v>
      </c>
      <c r="RA7" s="5">
        <f>IFERROR(VLOOKUP(RA$1,Dividendos!$B$24:$C$39,2,FALSE),0%)</f>
        <v>0</v>
      </c>
      <c r="RB7" s="5">
        <f>IFERROR(VLOOKUP(RB$1,Dividendos!$B$24:$C$39,2,FALSE),0%)</f>
        <v>0</v>
      </c>
      <c r="RC7" s="5">
        <f>IFERROR(VLOOKUP(RC$1,Dividendos!$B$24:$C$39,2,FALSE),0%)</f>
        <v>0</v>
      </c>
      <c r="RD7" s="5">
        <f>IFERROR(VLOOKUP(RD$1,Dividendos!$B$24:$C$39,2,FALSE),0%)</f>
        <v>0</v>
      </c>
      <c r="RE7" s="5">
        <f>IFERROR(VLOOKUP(RE$1,Dividendos!$B$24:$C$39,2,FALSE),0%)</f>
        <v>0</v>
      </c>
      <c r="RF7" s="5">
        <f>IFERROR(VLOOKUP(RF$1,Dividendos!$B$24:$C$39,2,FALSE),0%)</f>
        <v>0</v>
      </c>
      <c r="RG7" s="5">
        <f>IFERROR(VLOOKUP(RG$1,Dividendos!$B$24:$C$39,2,FALSE),0%)</f>
        <v>0</v>
      </c>
      <c r="RH7" s="5">
        <f>IFERROR(VLOOKUP(RH$1,Dividendos!$B$24:$C$39,2,FALSE),0%)</f>
        <v>0</v>
      </c>
      <c r="RI7" s="5">
        <f>IFERROR(VLOOKUP(RI$1,Dividendos!$B$24:$C$39,2,FALSE),0%)</f>
        <v>0</v>
      </c>
      <c r="RJ7" s="5">
        <f>IFERROR(VLOOKUP(RJ$1,Dividendos!$B$24:$C$39,2,FALSE),0%)</f>
        <v>0</v>
      </c>
      <c r="RK7" s="5">
        <f>IFERROR(VLOOKUP(RK$1,Dividendos!$B$24:$C$39,2,FALSE),0%)</f>
        <v>0</v>
      </c>
      <c r="RL7" s="5">
        <f>IFERROR(VLOOKUP(RL$1,Dividendos!$B$24:$C$39,2,FALSE),0%)</f>
        <v>0</v>
      </c>
      <c r="RM7" s="5">
        <f>IFERROR(VLOOKUP(RM$1,Dividendos!$B$24:$C$39,2,FALSE),0%)</f>
        <v>0</v>
      </c>
      <c r="RN7" s="5">
        <f>IFERROR(VLOOKUP(RN$1,Dividendos!$B$24:$C$39,2,FALSE),0%)</f>
        <v>0</v>
      </c>
      <c r="RO7" s="5">
        <f>IFERROR(VLOOKUP(RO$1,Dividendos!$B$24:$C$39,2,FALSE),0%)</f>
        <v>0</v>
      </c>
      <c r="RP7" s="5">
        <f>IFERROR(VLOOKUP(RP$1,Dividendos!$B$24:$C$39,2,FALSE),0%)</f>
        <v>0</v>
      </c>
      <c r="RQ7" s="5">
        <f>IFERROR(VLOOKUP(RQ$1,Dividendos!$B$24:$C$39,2,FALSE),0%)</f>
        <v>0</v>
      </c>
      <c r="RR7" s="5">
        <f>IFERROR(VLOOKUP(RR$1,Dividendos!$B$24:$C$39,2,FALSE),0%)</f>
        <v>0</v>
      </c>
      <c r="RS7" s="5">
        <f>IFERROR(VLOOKUP(RS$1,Dividendos!$B$24:$C$39,2,FALSE),0%)</f>
        <v>0</v>
      </c>
      <c r="RT7" s="5">
        <f>IFERROR(VLOOKUP(RT$1,Dividendos!$B$24:$C$39,2,FALSE),0%)</f>
        <v>0</v>
      </c>
      <c r="RU7" s="5">
        <f>IFERROR(VLOOKUP(RU$1,Dividendos!$B$24:$C$39,2,FALSE),0%)</f>
        <v>0</v>
      </c>
      <c r="RV7" s="5">
        <f>IFERROR(VLOOKUP(RV$1,Dividendos!$B$24:$C$39,2,FALSE),0%)</f>
        <v>0</v>
      </c>
      <c r="RW7" s="5">
        <f>IFERROR(VLOOKUP(RW$1,Dividendos!$B$24:$C$39,2,FALSE),0%)</f>
        <v>0</v>
      </c>
      <c r="RX7" s="5">
        <f>IFERROR(VLOOKUP(RX$1,Dividendos!$B$24:$C$39,2,FALSE),0%)</f>
        <v>0</v>
      </c>
      <c r="RY7" s="5">
        <f>IFERROR(VLOOKUP(RY$1,Dividendos!$B$24:$C$39,2,FALSE),0%)</f>
        <v>0</v>
      </c>
      <c r="RZ7" s="5">
        <f>IFERROR(VLOOKUP(RZ$1,Dividendos!$B$24:$C$39,2,FALSE),0%)</f>
        <v>0</v>
      </c>
      <c r="SA7" s="5">
        <f>IFERROR(VLOOKUP(SA$1,Dividendos!$B$24:$C$39,2,FALSE),0%)</f>
        <v>0</v>
      </c>
      <c r="SB7" s="5">
        <f>IFERROR(VLOOKUP(SB$1,Dividendos!$B$24:$C$39,2,FALSE),0%)</f>
        <v>0</v>
      </c>
      <c r="SC7" s="5">
        <f>IFERROR(VLOOKUP(SC$1,Dividendos!$B$24:$C$39,2,FALSE),0%)</f>
        <v>0</v>
      </c>
      <c r="SD7" s="5">
        <f>IFERROR(VLOOKUP(SD$1,Dividendos!$B$24:$C$39,2,FALSE),0%)</f>
        <v>0</v>
      </c>
      <c r="SE7" s="5">
        <f>IFERROR(VLOOKUP(SE$1,Dividendos!$B$24:$C$39,2,FALSE),0%)</f>
        <v>0</v>
      </c>
      <c r="SF7" s="5">
        <f>IFERROR(VLOOKUP(SF$1,Dividendos!$B$24:$C$39,2,FALSE),0%)</f>
        <v>0</v>
      </c>
      <c r="SG7" s="5">
        <f>IFERROR(VLOOKUP(SG$1,Dividendos!$B$24:$C$39,2,FALSE),0%)</f>
        <v>0</v>
      </c>
      <c r="SH7" s="5">
        <f>IFERROR(VLOOKUP(SH$1,Dividendos!$B$24:$C$39,2,FALSE),0%)</f>
        <v>0</v>
      </c>
      <c r="SI7" s="5">
        <f>IFERROR(VLOOKUP(SI$1,Dividendos!$B$24:$C$39,2,FALSE),0%)</f>
        <v>0</v>
      </c>
      <c r="SJ7" s="5">
        <f>IFERROR(VLOOKUP(SJ$1,Dividendos!$B$24:$C$39,2,FALSE),0%)</f>
        <v>0</v>
      </c>
      <c r="SK7" s="5">
        <f>IFERROR(VLOOKUP(SK$1,Dividendos!$B$24:$C$39,2,FALSE),0%)</f>
        <v>0</v>
      </c>
      <c r="SL7" s="5">
        <f>IFERROR(VLOOKUP(SL$1,Dividendos!$B$24:$C$39,2,FALSE),0%)</f>
        <v>0</v>
      </c>
      <c r="SM7" s="5">
        <f>IFERROR(VLOOKUP(SM$1,Dividendos!$B$24:$C$39,2,FALSE),0%)</f>
        <v>0</v>
      </c>
      <c r="SN7" s="5">
        <f>IFERROR(VLOOKUP(SN$1,Dividendos!$B$24:$C$39,2,FALSE),0%)</f>
        <v>0</v>
      </c>
      <c r="SO7" s="5">
        <f>IFERROR(VLOOKUP(SO$1,Dividendos!$B$24:$C$39,2,FALSE),0%)</f>
        <v>0</v>
      </c>
      <c r="SP7" s="5">
        <f>IFERROR(VLOOKUP(SP$1,Dividendos!$B$24:$C$39,2,FALSE),0%)</f>
        <v>0</v>
      </c>
      <c r="SQ7" s="5">
        <f>IFERROR(VLOOKUP(SQ$1,Dividendos!$B$24:$C$39,2,FALSE),0%)</f>
        <v>0</v>
      </c>
      <c r="SR7" s="5">
        <f>IFERROR(VLOOKUP(SR$1,Dividendos!$B$24:$C$39,2,FALSE),0%)</f>
        <v>0</v>
      </c>
      <c r="SS7" s="5">
        <f>IFERROR(VLOOKUP(SS$1,Dividendos!$B$24:$C$39,2,FALSE),0%)</f>
        <v>0</v>
      </c>
      <c r="ST7" s="5">
        <f>IFERROR(VLOOKUP(ST$1,Dividendos!$B$24:$C$39,2,FALSE),0%)</f>
        <v>0</v>
      </c>
      <c r="SU7" s="5">
        <f>IFERROR(VLOOKUP(SU$1,Dividendos!$B$24:$C$39,2,FALSE),0%)</f>
        <v>0</v>
      </c>
      <c r="SV7" s="5">
        <f>IFERROR(VLOOKUP(SV$1,Dividendos!$B$24:$C$39,2,FALSE),0%)</f>
        <v>0</v>
      </c>
      <c r="SW7" s="5">
        <f>IFERROR(VLOOKUP(SW$1,Dividendos!$B$24:$C$39,2,FALSE),0%)</f>
        <v>0</v>
      </c>
      <c r="SX7" s="5">
        <f>IFERROR(VLOOKUP(SX$1,Dividendos!$B$24:$C$39,2,FALSE),0%)</f>
        <v>0</v>
      </c>
      <c r="SY7" s="5">
        <f>IFERROR(VLOOKUP(SY$1,Dividendos!$B$24:$C$39,2,FALSE),0%)</f>
        <v>0</v>
      </c>
      <c r="SZ7" s="5">
        <f>IFERROR(VLOOKUP(SZ$1,Dividendos!$B$24:$C$39,2,FALSE),0%)</f>
        <v>0</v>
      </c>
      <c r="TA7" s="5">
        <f>IFERROR(VLOOKUP(TA$1,Dividendos!$B$24:$C$39,2,FALSE),0%)</f>
        <v>0</v>
      </c>
      <c r="TB7" s="5">
        <f>IFERROR(VLOOKUP(TB$1,Dividendos!$B$24:$C$39,2,FALSE),0%)</f>
        <v>0</v>
      </c>
      <c r="TC7" s="5">
        <f>IFERROR(VLOOKUP(TC$1,Dividendos!$B$24:$C$39,2,FALSE),0%)</f>
        <v>0</v>
      </c>
      <c r="TD7" s="5">
        <f>IFERROR(VLOOKUP(TD$1,Dividendos!$B$24:$C$39,2,FALSE),0%)</f>
        <v>0</v>
      </c>
      <c r="TE7" s="5">
        <f>IFERROR(VLOOKUP(TE$1,Dividendos!$B$24:$C$39,2,FALSE),0%)</f>
        <v>0</v>
      </c>
      <c r="TF7" s="5">
        <f>IFERROR(VLOOKUP(TF$1,Dividendos!$B$24:$C$39,2,FALSE),0%)</f>
        <v>0</v>
      </c>
      <c r="TG7" s="5">
        <f>IFERROR(VLOOKUP(TG$1,Dividendos!$B$24:$C$39,2,FALSE),0%)</f>
        <v>0</v>
      </c>
      <c r="TH7" s="5">
        <f>IFERROR(VLOOKUP(TH$1,Dividendos!$B$24:$C$39,2,FALSE),0%)</f>
        <v>0</v>
      </c>
      <c r="TI7" s="5">
        <f>IFERROR(VLOOKUP(TI$1,Dividendos!$B$24:$C$39,2,FALSE),0%)</f>
        <v>0</v>
      </c>
      <c r="TJ7" s="5">
        <f>IFERROR(VLOOKUP(TJ$1,Dividendos!$B$24:$C$39,2,FALSE),0%)</f>
        <v>0</v>
      </c>
      <c r="TK7" s="5">
        <f>IFERROR(VLOOKUP(TK$1,Dividendos!$B$24:$C$39,2,FALSE),0%)</f>
        <v>0</v>
      </c>
      <c r="TL7" s="5">
        <f>IFERROR(VLOOKUP(TL$1,Dividendos!$B$24:$C$39,2,FALSE),0%)</f>
        <v>0</v>
      </c>
      <c r="TM7" s="5">
        <f>IFERROR(VLOOKUP(TM$1,Dividendos!$B$24:$C$39,2,FALSE),0%)</f>
        <v>0</v>
      </c>
      <c r="TN7" s="5">
        <f>IFERROR(VLOOKUP(TN$1,Dividendos!$B$24:$C$39,2,FALSE),0%)</f>
        <v>0</v>
      </c>
      <c r="TO7" s="5">
        <f>IFERROR(VLOOKUP(TO$1,Dividendos!$B$24:$C$39,2,FALSE),0%)</f>
        <v>0</v>
      </c>
      <c r="TP7" s="5">
        <f>IFERROR(VLOOKUP(TP$1,Dividendos!$B$24:$C$39,2,FALSE),0%)</f>
        <v>0</v>
      </c>
      <c r="TQ7" s="5">
        <f>IFERROR(VLOOKUP(TQ$1,Dividendos!$B$24:$C$39,2,FALSE),0%)</f>
        <v>0</v>
      </c>
      <c r="TR7" s="5">
        <f>IFERROR(VLOOKUP(TR$1,Dividendos!$B$24:$C$39,2,FALSE),0%)</f>
        <v>0</v>
      </c>
      <c r="TS7" s="5">
        <f>IFERROR(VLOOKUP(TS$1,Dividendos!$B$24:$C$39,2,FALSE),0%)</f>
        <v>0</v>
      </c>
      <c r="TT7" s="5">
        <f>IFERROR(VLOOKUP(TT$1,Dividendos!$B$24:$C$39,2,FALSE),0%)</f>
        <v>0</v>
      </c>
      <c r="TU7" s="5">
        <f>IFERROR(VLOOKUP(TU$1,Dividendos!$B$24:$C$39,2,FALSE),0%)</f>
        <v>0</v>
      </c>
      <c r="TV7" s="5">
        <f>IFERROR(VLOOKUP(TV$1,Dividendos!$B$24:$C$39,2,FALSE),0%)</f>
        <v>0</v>
      </c>
      <c r="TW7" s="5">
        <f>IFERROR(VLOOKUP(TW$1,Dividendos!$B$24:$C$39,2,FALSE),0%)</f>
        <v>0</v>
      </c>
      <c r="TX7" s="5">
        <f>IFERROR(VLOOKUP(TX$1,Dividendos!$B$24:$C$39,2,FALSE),0%)</f>
        <v>0</v>
      </c>
      <c r="TY7" s="5">
        <f>IFERROR(VLOOKUP(TY$1,Dividendos!$B$24:$C$39,2,FALSE),0%)</f>
        <v>0</v>
      </c>
      <c r="TZ7" s="5">
        <f>IFERROR(VLOOKUP(TZ$1,Dividendos!$B$24:$C$39,2,FALSE),0%)</f>
        <v>0</v>
      </c>
      <c r="UA7" s="5">
        <f>IFERROR(VLOOKUP(UA$1,Dividendos!$B$24:$C$39,2,FALSE),0%)</f>
        <v>0</v>
      </c>
      <c r="UB7" s="5">
        <f>IFERROR(VLOOKUP(UB$1,Dividendos!$B$24:$C$39,2,FALSE),0%)</f>
        <v>0</v>
      </c>
      <c r="UC7" s="5">
        <f>IFERROR(VLOOKUP(UC$1,Dividendos!$B$24:$C$39,2,FALSE),0%)</f>
        <v>0</v>
      </c>
      <c r="UD7" s="5">
        <f>IFERROR(VLOOKUP(UD$1,Dividendos!$B$24:$C$39,2,FALSE),0%)</f>
        <v>0</v>
      </c>
      <c r="UE7" s="5">
        <f>IFERROR(VLOOKUP(UE$1,Dividendos!$B$24:$C$39,2,FALSE),0%)</f>
        <v>0</v>
      </c>
      <c r="UF7" s="5">
        <f>IFERROR(VLOOKUP(UF$1,Dividendos!$B$24:$C$39,2,FALSE),0%)</f>
        <v>0</v>
      </c>
      <c r="UG7" s="5">
        <f>IFERROR(VLOOKUP(UG$1,Dividendos!$B$24:$C$39,2,FALSE),0%)</f>
        <v>0</v>
      </c>
      <c r="UH7" s="5">
        <f>IFERROR(VLOOKUP(UH$1,Dividendos!$B$24:$C$39,2,FALSE),0%)</f>
        <v>0</v>
      </c>
      <c r="UI7" s="5">
        <f>IFERROR(VLOOKUP(UI$1,Dividendos!$B$24:$C$39,2,FALSE),0%)</f>
        <v>0</v>
      </c>
      <c r="UJ7" s="5">
        <f>IFERROR(VLOOKUP(UJ$1,Dividendos!$B$24:$C$39,2,FALSE),0%)</f>
        <v>0</v>
      </c>
      <c r="UK7" s="5">
        <f>IFERROR(VLOOKUP(UK$1,Dividendos!$B$24:$C$39,2,FALSE),0%)</f>
        <v>0</v>
      </c>
      <c r="UL7" s="5">
        <f>IFERROR(VLOOKUP(UL$1,Dividendos!$B$24:$C$39,2,FALSE),0%)</f>
        <v>0</v>
      </c>
      <c r="UM7" s="5">
        <f>IFERROR(VLOOKUP(UM$1,Dividendos!$B$24:$C$39,2,FALSE),0%)</f>
        <v>0</v>
      </c>
      <c r="UN7" s="5">
        <f>IFERROR(VLOOKUP(UN$1,Dividendos!$B$24:$C$39,2,FALSE),0%)</f>
        <v>0</v>
      </c>
      <c r="UO7" s="5">
        <f>IFERROR(VLOOKUP(UO$1,Dividendos!$B$24:$C$39,2,FALSE),0%)</f>
        <v>0</v>
      </c>
      <c r="UP7" s="5">
        <f>IFERROR(VLOOKUP(UP$1,Dividendos!$B$24:$C$39,2,FALSE),0%)</f>
        <v>0</v>
      </c>
      <c r="UQ7" s="5">
        <f>IFERROR(VLOOKUP(UQ$1,Dividendos!$B$24:$C$39,2,FALSE),0%)</f>
        <v>0</v>
      </c>
      <c r="UR7" s="5">
        <f>IFERROR(VLOOKUP(UR$1,Dividendos!$B$24:$C$39,2,FALSE),0%)</f>
        <v>0</v>
      </c>
      <c r="US7" s="5">
        <f>IFERROR(VLOOKUP(US$1,Dividendos!$B$24:$C$39,2,FALSE),0%)</f>
        <v>0</v>
      </c>
      <c r="UT7" s="5">
        <f>IFERROR(VLOOKUP(UT$1,Dividendos!$B$24:$C$39,2,FALSE),0%)</f>
        <v>0</v>
      </c>
      <c r="UU7" s="5">
        <f>IFERROR(VLOOKUP(UU$1,Dividendos!$B$24:$C$39,2,FALSE),0%)</f>
        <v>0</v>
      </c>
      <c r="UV7" s="5">
        <f>IFERROR(VLOOKUP(UV$1,Dividendos!$B$24:$C$39,2,FALSE),0%)</f>
        <v>0</v>
      </c>
      <c r="UW7" s="5">
        <f>IFERROR(VLOOKUP(UW$1,Dividendos!$B$24:$C$39,2,FALSE),0%)</f>
        <v>0</v>
      </c>
      <c r="UX7" s="5">
        <f>IFERROR(VLOOKUP(UX$1,Dividendos!$B$24:$C$39,2,FALSE),0%)</f>
        <v>0</v>
      </c>
      <c r="UY7" s="5">
        <f>IFERROR(VLOOKUP(UY$1,Dividendos!$B$24:$C$39,2,FALSE),0%)</f>
        <v>0</v>
      </c>
      <c r="UZ7" s="5">
        <f>IFERROR(VLOOKUP(UZ$1,Dividendos!$B$24:$C$39,2,FALSE),0%)</f>
        <v>0</v>
      </c>
      <c r="VA7" s="5">
        <f>IFERROR(VLOOKUP(VA$1,Dividendos!$B$24:$C$39,2,FALSE),0%)</f>
        <v>0</v>
      </c>
      <c r="VB7" s="5">
        <f>IFERROR(VLOOKUP(VB$1,Dividendos!$B$24:$C$39,2,FALSE),0%)</f>
        <v>0</v>
      </c>
      <c r="VC7" s="5">
        <f>IFERROR(VLOOKUP(VC$1,Dividendos!$B$24:$C$39,2,FALSE),0%)</f>
        <v>0</v>
      </c>
      <c r="VD7" s="5">
        <f>IFERROR(VLOOKUP(VD$1,Dividendos!$B$24:$C$39,2,FALSE),0%)</f>
        <v>0</v>
      </c>
      <c r="VE7" s="5">
        <f>IFERROR(VLOOKUP(VE$1,Dividendos!$B$24:$C$39,2,FALSE),0%)</f>
        <v>0</v>
      </c>
      <c r="VF7" s="5">
        <f>IFERROR(VLOOKUP(VF$1,Dividendos!$B$24:$C$39,2,FALSE),0%)</f>
        <v>0</v>
      </c>
      <c r="VG7" s="5">
        <f>IFERROR(VLOOKUP(VG$1,Dividendos!$B$24:$C$39,2,FALSE),0%)</f>
        <v>0</v>
      </c>
      <c r="VH7" s="5">
        <f>IFERROR(VLOOKUP(VH$1,Dividendos!$B$24:$C$39,2,FALSE),0%)</f>
        <v>0</v>
      </c>
      <c r="VI7" s="5">
        <f>IFERROR(VLOOKUP(VI$1,Dividendos!$B$24:$C$39,2,FALSE),0%)</f>
        <v>0</v>
      </c>
      <c r="VJ7" s="5">
        <f>IFERROR(VLOOKUP(VJ$1,Dividendos!$B$24:$C$39,2,FALSE),0%)</f>
        <v>0</v>
      </c>
      <c r="VK7" s="5">
        <f>IFERROR(VLOOKUP(VK$1,Dividendos!$B$24:$C$39,2,FALSE),0%)</f>
        <v>0</v>
      </c>
      <c r="VL7" s="5">
        <f>IFERROR(VLOOKUP(VL$1,Dividendos!$B$24:$C$39,2,FALSE),0%)</f>
        <v>0</v>
      </c>
      <c r="VM7" s="5">
        <f>IFERROR(VLOOKUP(VM$1,Dividendos!$B$24:$C$39,2,FALSE),0%)</f>
        <v>0</v>
      </c>
      <c r="VN7" s="5">
        <f>IFERROR(VLOOKUP(VN$1,Dividendos!$B$24:$C$39,2,FALSE),0%)</f>
        <v>0</v>
      </c>
      <c r="VO7" s="5">
        <f>IFERROR(VLOOKUP(VO$1,Dividendos!$B$24:$C$39,2,FALSE),0%)</f>
        <v>0</v>
      </c>
      <c r="VP7" s="5">
        <f>IFERROR(VLOOKUP(VP$1,Dividendos!$B$24:$C$39,2,FALSE),0%)</f>
        <v>0</v>
      </c>
      <c r="VQ7" s="5">
        <f>IFERROR(VLOOKUP(VQ$1,Dividendos!$B$24:$C$39,2,FALSE),0%)</f>
        <v>0</v>
      </c>
      <c r="VR7" s="5">
        <f>IFERROR(VLOOKUP(VR$1,Dividendos!$B$24:$C$39,2,FALSE),0%)</f>
        <v>0</v>
      </c>
      <c r="VS7" s="5">
        <f>IFERROR(VLOOKUP(VS$1,Dividendos!$B$24:$C$39,2,FALSE),0%)</f>
        <v>0</v>
      </c>
      <c r="VT7" s="5">
        <f>IFERROR(VLOOKUP(VT$1,Dividendos!$B$24:$C$39,2,FALSE),0%)</f>
        <v>0</v>
      </c>
      <c r="VU7" s="5">
        <f>IFERROR(VLOOKUP(VU$1,Dividendos!$B$24:$C$39,2,FALSE),0%)</f>
        <v>0</v>
      </c>
      <c r="VV7" s="5">
        <f>IFERROR(VLOOKUP(VV$1,Dividendos!$B$24:$C$39,2,FALSE),0%)</f>
        <v>0</v>
      </c>
      <c r="VW7" s="5">
        <f>IFERROR(VLOOKUP(VW$1,Dividendos!$B$24:$C$39,2,FALSE),0%)</f>
        <v>0</v>
      </c>
      <c r="VX7" s="5">
        <f>IFERROR(VLOOKUP(VX$1,Dividendos!$B$24:$C$39,2,FALSE),0%)</f>
        <v>0</v>
      </c>
      <c r="VY7" s="5">
        <f>IFERROR(VLOOKUP(VY$1,Dividendos!$B$24:$C$39,2,FALSE),0%)</f>
        <v>0</v>
      </c>
      <c r="VZ7" s="5">
        <f>IFERROR(VLOOKUP(VZ$1,Dividendos!$B$24:$C$39,2,FALSE),0%)</f>
        <v>0</v>
      </c>
      <c r="WA7" s="5">
        <f>IFERROR(VLOOKUP(WA$1,Dividendos!$B$24:$C$39,2,FALSE),0%)</f>
        <v>0</v>
      </c>
      <c r="WB7" s="5">
        <f>IFERROR(VLOOKUP(WB$1,Dividendos!$B$24:$C$39,2,FALSE),0%)</f>
        <v>0</v>
      </c>
      <c r="WC7" s="5">
        <f>IFERROR(VLOOKUP(WC$1,Dividendos!$B$24:$C$39,2,FALSE),0%)</f>
        <v>0</v>
      </c>
      <c r="WD7" s="5">
        <f>IFERROR(VLOOKUP(WD$1,Dividendos!$B$24:$C$39,2,FALSE),0%)</f>
        <v>0</v>
      </c>
      <c r="WE7" s="5">
        <f>IFERROR(VLOOKUP(WE$1,Dividendos!$B$24:$C$39,2,FALSE),0%)</f>
        <v>0</v>
      </c>
      <c r="WF7" s="5">
        <f>IFERROR(VLOOKUP(WF$1,Dividendos!$B$24:$C$39,2,FALSE),0%)</f>
        <v>0</v>
      </c>
      <c r="WG7" s="5">
        <f>IFERROR(VLOOKUP(WG$1,Dividendos!$B$24:$C$39,2,FALSE),0%)</f>
        <v>0</v>
      </c>
      <c r="WH7" s="5">
        <f>IFERROR(VLOOKUP(WH$1,Dividendos!$B$24:$C$39,2,FALSE),0%)</f>
        <v>0</v>
      </c>
      <c r="WI7" s="5">
        <f>IFERROR(VLOOKUP(WI$1,Dividendos!$B$24:$C$39,2,FALSE),0%)</f>
        <v>0</v>
      </c>
      <c r="WJ7" s="5">
        <f>IFERROR(VLOOKUP(WJ$1,Dividendos!$B$24:$C$39,2,FALSE),0%)</f>
        <v>0</v>
      </c>
      <c r="WK7" s="5">
        <f>IFERROR(VLOOKUP(WK$1,Dividendos!$B$24:$C$39,2,FALSE),0%)</f>
        <v>0</v>
      </c>
      <c r="WL7" s="5">
        <f>IFERROR(VLOOKUP(WL$1,Dividendos!$B$24:$C$39,2,FALSE),0%)</f>
        <v>0</v>
      </c>
      <c r="WM7" s="5">
        <f>IFERROR(VLOOKUP(WM$1,Dividendos!$B$24:$C$39,2,FALSE),0%)</f>
        <v>0</v>
      </c>
      <c r="WN7" s="5">
        <f>IFERROR(VLOOKUP(WN$1,Dividendos!$B$24:$C$39,2,FALSE),0%)</f>
        <v>0</v>
      </c>
      <c r="WO7" s="5">
        <f>IFERROR(VLOOKUP(WO$1,Dividendos!$B$24:$C$39,2,FALSE),0%)</f>
        <v>0</v>
      </c>
      <c r="WP7" s="5">
        <f>IFERROR(VLOOKUP(WP$1,Dividendos!$B$24:$C$39,2,FALSE),0%)</f>
        <v>0</v>
      </c>
      <c r="WQ7" s="5">
        <f>IFERROR(VLOOKUP(WQ$1,Dividendos!$B$24:$C$39,2,FALSE),0%)</f>
        <v>0</v>
      </c>
      <c r="WR7" s="5">
        <f>IFERROR(VLOOKUP(WR$1,Dividendos!$B$24:$C$39,2,FALSE),0%)</f>
        <v>0</v>
      </c>
      <c r="WS7" s="5">
        <f>IFERROR(VLOOKUP(WS$1,Dividendos!$B$24:$C$39,2,FALSE),0%)</f>
        <v>0</v>
      </c>
      <c r="WT7" s="5">
        <f>IFERROR(VLOOKUP(WT$1,Dividendos!$B$24:$C$39,2,FALSE),0%)</f>
        <v>0</v>
      </c>
      <c r="WU7" s="5">
        <f>IFERROR(VLOOKUP(WU$1,Dividendos!$B$24:$C$39,2,FALSE),0%)</f>
        <v>0</v>
      </c>
      <c r="WV7" s="5">
        <f>IFERROR(VLOOKUP(WV$1,Dividendos!$B$24:$C$39,2,FALSE),0%)</f>
        <v>0</v>
      </c>
      <c r="WW7" s="5">
        <f>IFERROR(VLOOKUP(WW$1,Dividendos!$B$24:$C$39,2,FALSE),0%)</f>
        <v>0</v>
      </c>
      <c r="WX7" s="5">
        <f>IFERROR(VLOOKUP(WX$1,Dividendos!$B$24:$C$39,2,FALSE),0%)</f>
        <v>0</v>
      </c>
      <c r="WY7" s="5">
        <f>IFERROR(VLOOKUP(WY$1,Dividendos!$B$24:$C$39,2,FALSE),0%)</f>
        <v>0</v>
      </c>
      <c r="WZ7" s="5">
        <f>IFERROR(VLOOKUP(WZ$1,Dividendos!$B$24:$C$39,2,FALSE),0%)</f>
        <v>0</v>
      </c>
      <c r="XA7" s="5">
        <f>IFERROR(VLOOKUP(XA$1,Dividendos!$B$24:$C$39,2,FALSE),0%)</f>
        <v>0</v>
      </c>
      <c r="XB7" s="5">
        <f>IFERROR(VLOOKUP(XB$1,Dividendos!$B$24:$C$39,2,FALSE),0%)</f>
        <v>0</v>
      </c>
      <c r="XC7" s="5">
        <f>IFERROR(VLOOKUP(XC$1,Dividendos!$B$24:$C$39,2,FALSE),0%)</f>
        <v>0</v>
      </c>
      <c r="XD7" s="5">
        <f>IFERROR(VLOOKUP(XD$1,Dividendos!$B$24:$C$39,2,FALSE),0%)</f>
        <v>0</v>
      </c>
      <c r="XE7" s="5">
        <f>IFERROR(VLOOKUP(XE$1,Dividendos!$B$24:$C$39,2,FALSE),0%)</f>
        <v>0</v>
      </c>
      <c r="XF7" s="5">
        <f>IFERROR(VLOOKUP(XF$1,Dividendos!$B$24:$C$39,2,FALSE),0%)</f>
        <v>0</v>
      </c>
      <c r="XG7" s="5">
        <f>IFERROR(VLOOKUP(XG$1,Dividendos!$B$24:$C$39,2,FALSE),0%)</f>
        <v>0</v>
      </c>
      <c r="XH7" s="5">
        <f>IFERROR(VLOOKUP(XH$1,Dividendos!$B$24:$C$39,2,FALSE),0%)</f>
        <v>0</v>
      </c>
      <c r="XI7" s="5">
        <f>IFERROR(VLOOKUP(XI$1,Dividendos!$B$24:$C$39,2,FALSE),0%)</f>
        <v>0</v>
      </c>
      <c r="XJ7" s="5">
        <f>IFERROR(VLOOKUP(XJ$1,Dividendos!$B$24:$C$39,2,FALSE),0%)</f>
        <v>0</v>
      </c>
      <c r="XK7" s="5">
        <f>IFERROR(VLOOKUP(XK$1,Dividendos!$B$24:$C$39,2,FALSE),0%)</f>
        <v>0</v>
      </c>
      <c r="XL7" s="5">
        <f>IFERROR(VLOOKUP(XL$1,Dividendos!$B$24:$C$39,2,FALSE),0%)</f>
        <v>0</v>
      </c>
      <c r="XM7" s="5">
        <f>IFERROR(VLOOKUP(XM$1,Dividendos!$B$24:$C$39,2,FALSE),0%)</f>
        <v>0</v>
      </c>
      <c r="XN7" s="5">
        <f>IFERROR(VLOOKUP(XN$1,Dividendos!$B$24:$C$39,2,FALSE),0%)</f>
        <v>0</v>
      </c>
      <c r="XO7" s="5">
        <f>IFERROR(VLOOKUP(XO$1,Dividendos!$B$24:$C$39,2,FALSE),0%)</f>
        <v>0</v>
      </c>
      <c r="XP7" s="5">
        <f>IFERROR(VLOOKUP(XP$1,Dividendos!$B$24:$C$39,2,FALSE),0%)</f>
        <v>0</v>
      </c>
      <c r="XQ7" s="5">
        <f>IFERROR(VLOOKUP(XQ$1,Dividendos!$B$24:$C$39,2,FALSE),0%)</f>
        <v>0</v>
      </c>
      <c r="XR7" s="5">
        <f>IFERROR(VLOOKUP(XR$1,Dividendos!$B$24:$C$39,2,FALSE),0%)</f>
        <v>0</v>
      </c>
      <c r="XS7" s="5">
        <f>IFERROR(VLOOKUP(XS$1,Dividendos!$B$24:$C$39,2,FALSE),0%)</f>
        <v>0</v>
      </c>
      <c r="XT7" s="5">
        <f>IFERROR(VLOOKUP(XT$1,Dividendos!$B$24:$C$39,2,FALSE),0%)</f>
        <v>0</v>
      </c>
      <c r="XU7" s="5">
        <f>IFERROR(VLOOKUP(XU$1,Dividendos!$B$24:$C$39,2,FALSE),0%)</f>
        <v>0</v>
      </c>
      <c r="XV7" s="5">
        <f>IFERROR(VLOOKUP(XV$1,Dividendos!$B$24:$C$39,2,FALSE),0%)</f>
        <v>0</v>
      </c>
      <c r="XW7" s="5">
        <f>IFERROR(VLOOKUP(XW$1,Dividendos!$B$24:$C$39,2,FALSE),0%)</f>
        <v>0</v>
      </c>
      <c r="XX7" s="5">
        <f>IFERROR(VLOOKUP(XX$1,Dividendos!$B$24:$C$39,2,FALSE),0%)</f>
        <v>0</v>
      </c>
      <c r="XY7" s="5">
        <f>IFERROR(VLOOKUP(XY$1,Dividendos!$B$24:$C$39,2,FALSE),0%)</f>
        <v>0</v>
      </c>
      <c r="XZ7" s="5">
        <f>IFERROR(VLOOKUP(XZ$1,Dividendos!$B$24:$C$39,2,FALSE),0%)</f>
        <v>0</v>
      </c>
      <c r="YA7" s="5">
        <f>IFERROR(VLOOKUP(YA$1,Dividendos!$B$24:$C$39,2,FALSE),0%)</f>
        <v>0</v>
      </c>
      <c r="YB7" s="5">
        <f>IFERROR(VLOOKUP(YB$1,Dividendos!$B$24:$C$39,2,FALSE),0%)</f>
        <v>0</v>
      </c>
      <c r="YC7" s="5">
        <f>IFERROR(VLOOKUP(YC$1,Dividendos!$B$24:$C$39,2,FALSE),0%)</f>
        <v>0</v>
      </c>
      <c r="YD7" s="5">
        <f>IFERROR(VLOOKUP(YD$1,Dividendos!$B$24:$C$39,2,FALSE),0%)</f>
        <v>0</v>
      </c>
      <c r="YE7" s="5">
        <f>IFERROR(VLOOKUP(YE$1,Dividendos!$B$24:$C$39,2,FALSE),0%)</f>
        <v>0.0545</v>
      </c>
      <c r="YF7" s="5">
        <f>IFERROR(VLOOKUP(YF$1,Dividendos!$B$24:$C$39,2,FALSE),0%)</f>
        <v>0</v>
      </c>
      <c r="YG7" s="5">
        <f>IFERROR(VLOOKUP(YG$1,Dividendos!$B$24:$C$39,2,FALSE),0%)</f>
        <v>0</v>
      </c>
      <c r="YH7" s="5">
        <f>IFERROR(VLOOKUP(YH$1,Dividendos!$B$24:$C$39,2,FALSE),0%)</f>
        <v>0</v>
      </c>
      <c r="YI7" s="5">
        <f>IFERROR(VLOOKUP(YI$1,Dividendos!$B$24:$C$39,2,FALSE),0%)</f>
        <v>0</v>
      </c>
      <c r="YJ7" s="5">
        <f>IFERROR(VLOOKUP(YJ$1,Dividendos!$B$24:$C$39,2,FALSE),0%)</f>
        <v>0</v>
      </c>
      <c r="YK7" s="5">
        <f>IFERROR(VLOOKUP(YK$1,Dividendos!$B$24:$C$39,2,FALSE),0%)</f>
        <v>0</v>
      </c>
      <c r="YL7" s="5">
        <f>IFERROR(VLOOKUP(YL$1,Dividendos!$B$24:$C$39,2,FALSE),0%)</f>
        <v>0</v>
      </c>
      <c r="YM7" s="5">
        <f>IFERROR(VLOOKUP(YM$1,Dividendos!$B$24:$C$39,2,FALSE),0%)</f>
        <v>0</v>
      </c>
      <c r="YN7" s="5">
        <f>IFERROR(VLOOKUP(YN$1,Dividendos!$B$24:$C$39,2,FALSE),0%)</f>
        <v>0</v>
      </c>
      <c r="YO7" s="5">
        <f>IFERROR(VLOOKUP(YO$1,Dividendos!$B$24:$C$39,2,FALSE),0%)</f>
        <v>0</v>
      </c>
      <c r="YP7" s="5">
        <f>IFERROR(VLOOKUP(YP$1,Dividendos!$B$24:$C$39,2,FALSE),0%)</f>
        <v>0</v>
      </c>
      <c r="YQ7" s="5">
        <f>IFERROR(VLOOKUP(YQ$1,Dividendos!$B$24:$C$39,2,FALSE),0%)</f>
        <v>0</v>
      </c>
      <c r="YR7" s="5">
        <f>IFERROR(VLOOKUP(YR$1,Dividendos!$B$24:$C$39,2,FALSE),0%)</f>
        <v>0</v>
      </c>
      <c r="YS7" s="5">
        <f>IFERROR(VLOOKUP(YS$1,Dividendos!$B$24:$C$39,2,FALSE),0%)</f>
        <v>0</v>
      </c>
      <c r="YT7" s="5">
        <f>IFERROR(VLOOKUP(YT$1,Dividendos!$B$24:$C$39,2,FALSE),0%)</f>
        <v>0</v>
      </c>
      <c r="YU7" s="5">
        <f>IFERROR(VLOOKUP(YU$1,Dividendos!$B$24:$C$39,2,FALSE),0%)</f>
        <v>0</v>
      </c>
      <c r="YV7" s="5">
        <f>IFERROR(VLOOKUP(YV$1,Dividendos!$B$24:$C$39,2,FALSE),0%)</f>
        <v>0</v>
      </c>
      <c r="YW7" s="5">
        <f>IFERROR(VLOOKUP(YW$1,Dividendos!$B$24:$C$39,2,FALSE),0%)</f>
        <v>0</v>
      </c>
      <c r="YX7" s="5">
        <f>IFERROR(VLOOKUP(YX$1,Dividendos!$B$24:$C$39,2,FALSE),0%)</f>
        <v>0</v>
      </c>
      <c r="YY7" s="5">
        <f>IFERROR(VLOOKUP(YY$1,Dividendos!$B$24:$C$39,2,FALSE),0%)</f>
        <v>0</v>
      </c>
      <c r="YZ7" s="5">
        <f>IFERROR(VLOOKUP(YZ$1,Dividendos!$B$24:$C$39,2,FALSE),0%)</f>
        <v>0</v>
      </c>
      <c r="ZA7" s="5">
        <f>IFERROR(VLOOKUP(ZA$1,Dividendos!$B$24:$C$39,2,FALSE),0%)</f>
        <v>0</v>
      </c>
      <c r="ZB7" s="5">
        <f>IFERROR(VLOOKUP(ZB$1,Dividendos!$B$24:$C$39,2,FALSE),0%)</f>
        <v>0</v>
      </c>
      <c r="ZC7" s="5">
        <f>IFERROR(VLOOKUP(ZC$1,Dividendos!$B$24:$C$39,2,FALSE),0%)</f>
        <v>0</v>
      </c>
      <c r="ZD7" s="5">
        <f>IFERROR(VLOOKUP(ZD$1,Dividendos!$B$24:$C$39,2,FALSE),0%)</f>
        <v>0</v>
      </c>
      <c r="ZE7" s="5">
        <f>IFERROR(VLOOKUP(ZE$1,Dividendos!$B$24:$C$39,2,FALSE),0%)</f>
        <v>0</v>
      </c>
      <c r="ZF7" s="5">
        <f>IFERROR(VLOOKUP(ZF$1,Dividendos!$B$24:$C$39,2,FALSE),0%)</f>
        <v>0</v>
      </c>
      <c r="ZG7" s="5">
        <f>IFERROR(VLOOKUP(ZG$1,Dividendos!$B$24:$C$39,2,FALSE),0%)</f>
        <v>0</v>
      </c>
      <c r="ZH7" s="5">
        <f>IFERROR(VLOOKUP(ZH$1,Dividendos!$B$24:$C$39,2,FALSE),0%)</f>
        <v>0</v>
      </c>
      <c r="ZI7" s="5">
        <f>IFERROR(VLOOKUP(ZI$1,Dividendos!$B$24:$C$39,2,FALSE),0%)</f>
        <v>0</v>
      </c>
      <c r="ZJ7" s="5">
        <f>IFERROR(VLOOKUP(ZJ$1,Dividendos!$B$24:$C$39,2,FALSE),0%)</f>
        <v>0</v>
      </c>
      <c r="ZK7" s="5">
        <f>IFERROR(VLOOKUP(ZK$1,Dividendos!$B$24:$C$39,2,FALSE),0%)</f>
        <v>0</v>
      </c>
      <c r="ZL7" s="5">
        <f>IFERROR(VLOOKUP(ZL$1,Dividendos!$B$24:$C$39,2,FALSE),0%)</f>
        <v>0</v>
      </c>
      <c r="ZM7" s="5">
        <f>IFERROR(VLOOKUP(ZM$1,Dividendos!$B$24:$C$39,2,FALSE),0%)</f>
        <v>0</v>
      </c>
      <c r="ZN7" s="5">
        <f>IFERROR(VLOOKUP(ZN$1,Dividendos!$B$24:$C$39,2,FALSE),0%)</f>
        <v>0</v>
      </c>
      <c r="ZO7" s="5">
        <f>IFERROR(VLOOKUP(ZO$1,Dividendos!$B$24:$C$39,2,FALSE),0%)</f>
        <v>0</v>
      </c>
      <c r="ZP7" s="5">
        <f>IFERROR(VLOOKUP(ZP$1,Dividendos!$B$24:$C$39,2,FALSE),0%)</f>
        <v>0</v>
      </c>
      <c r="ZQ7" s="5">
        <f>IFERROR(VLOOKUP(ZQ$1,Dividendos!$B$24:$C$39,2,FALSE),0%)</f>
        <v>0</v>
      </c>
      <c r="ZR7" s="5">
        <f>IFERROR(VLOOKUP(ZR$1,Dividendos!$B$24:$C$39,2,FALSE),0%)</f>
        <v>0</v>
      </c>
      <c r="ZS7" s="5">
        <f>IFERROR(VLOOKUP(ZS$1,Dividendos!$B$24:$C$39,2,FALSE),0%)</f>
        <v>0</v>
      </c>
      <c r="ZT7" s="5">
        <f>IFERROR(VLOOKUP(ZT$1,Dividendos!$B$24:$C$39,2,FALSE),0%)</f>
        <v>0</v>
      </c>
      <c r="ZU7" s="5">
        <f>IFERROR(VLOOKUP(ZU$1,Dividendos!$B$24:$C$39,2,FALSE),0%)</f>
        <v>0</v>
      </c>
      <c r="ZV7" s="5">
        <f>IFERROR(VLOOKUP(ZV$1,Dividendos!$B$24:$C$39,2,FALSE),0%)</f>
        <v>0</v>
      </c>
      <c r="ZW7" s="5">
        <f>IFERROR(VLOOKUP(ZW$1,Dividendos!$B$24:$C$39,2,FALSE),0%)</f>
        <v>0</v>
      </c>
      <c r="ZX7" s="5">
        <f>IFERROR(VLOOKUP(ZX$1,Dividendos!$B$24:$C$39,2,FALSE),0%)</f>
        <v>0</v>
      </c>
      <c r="ZY7" s="5">
        <f>IFERROR(VLOOKUP(ZY$1,Dividendos!$B$24:$C$39,2,FALSE),0%)</f>
        <v>0</v>
      </c>
      <c r="ZZ7" s="5">
        <f>IFERROR(VLOOKUP(ZZ$1,Dividendos!$B$24:$C$39,2,FALSE),0%)</f>
        <v>0</v>
      </c>
      <c r="AAA7" s="5">
        <f>IFERROR(VLOOKUP(AAA$1,Dividendos!$B$24:$C$39,2,FALSE),0%)</f>
        <v>0</v>
      </c>
      <c r="AAB7" s="5">
        <f>IFERROR(VLOOKUP(AAB$1,Dividendos!$B$24:$C$39,2,FALSE),0%)</f>
        <v>0</v>
      </c>
      <c r="AAC7" s="5">
        <f>IFERROR(VLOOKUP(AAC$1,Dividendos!$B$24:$C$39,2,FALSE),0%)</f>
        <v>0</v>
      </c>
      <c r="AAD7" s="5">
        <f>IFERROR(VLOOKUP(AAD$1,Dividendos!$B$24:$C$39,2,FALSE),0%)</f>
        <v>0</v>
      </c>
      <c r="AAE7" s="5">
        <f>IFERROR(VLOOKUP(AAE$1,Dividendos!$B$24:$C$39,2,FALSE),0%)</f>
        <v>0</v>
      </c>
      <c r="AAF7" s="5">
        <f>IFERROR(VLOOKUP(AAF$1,Dividendos!$B$24:$C$39,2,FALSE),0%)</f>
        <v>0</v>
      </c>
      <c r="AAG7" s="5">
        <f>IFERROR(VLOOKUP(AAG$1,Dividendos!$B$24:$C$39,2,FALSE),0%)</f>
        <v>0</v>
      </c>
      <c r="AAH7" s="5">
        <f>IFERROR(VLOOKUP(AAH$1,Dividendos!$B$24:$C$39,2,FALSE),0%)</f>
        <v>0</v>
      </c>
      <c r="AAI7" s="5">
        <f>IFERROR(VLOOKUP(AAI$1,Dividendos!$B$24:$C$39,2,FALSE),0%)</f>
        <v>0</v>
      </c>
      <c r="AAJ7" s="5">
        <f>IFERROR(VLOOKUP(AAJ$1,Dividendos!$B$24:$C$39,2,FALSE),0%)</f>
        <v>0</v>
      </c>
      <c r="AAK7" s="5">
        <f>IFERROR(VLOOKUP(AAK$1,Dividendos!$B$24:$C$39,2,FALSE),0%)</f>
        <v>0</v>
      </c>
      <c r="AAL7" s="5">
        <f>IFERROR(VLOOKUP(AAL$1,Dividendos!$B$24:$C$39,2,FALSE),0%)</f>
        <v>0</v>
      </c>
      <c r="AAM7" s="5">
        <f>IFERROR(VLOOKUP(AAM$1,Dividendos!$B$24:$C$39,2,FALSE),0%)</f>
        <v>0</v>
      </c>
      <c r="AAN7" s="5">
        <f>IFERROR(VLOOKUP(AAN$1,Dividendos!$B$24:$C$39,2,FALSE),0%)</f>
        <v>0</v>
      </c>
      <c r="AAO7" s="5">
        <f>IFERROR(VLOOKUP(AAO$1,Dividendos!$B$24:$C$39,2,FALSE),0%)</f>
        <v>0</v>
      </c>
      <c r="AAP7" s="5">
        <f>IFERROR(VLOOKUP(AAP$1,Dividendos!$B$24:$C$39,2,FALSE),0%)</f>
        <v>0</v>
      </c>
      <c r="AAQ7" s="5">
        <f>IFERROR(VLOOKUP(AAQ$1,Dividendos!$B$24:$C$39,2,FALSE),0%)</f>
        <v>0</v>
      </c>
      <c r="AAR7" s="5">
        <f>IFERROR(VLOOKUP(AAR$1,Dividendos!$B$24:$C$39,2,FALSE),0%)</f>
        <v>0</v>
      </c>
      <c r="AAS7" s="5">
        <f>IFERROR(VLOOKUP(AAS$1,Dividendos!$B$24:$C$39,2,FALSE),0%)</f>
        <v>0</v>
      </c>
      <c r="AAT7" s="5">
        <f>IFERROR(VLOOKUP(AAT$1,Dividendos!$B$24:$C$39,2,FALSE),0%)</f>
        <v>0</v>
      </c>
      <c r="AAU7" s="5">
        <f>IFERROR(VLOOKUP(AAU$1,Dividendos!$B$24:$C$39,2,FALSE),0%)</f>
        <v>0</v>
      </c>
      <c r="AAV7" s="5">
        <f>IFERROR(VLOOKUP(AAV$1,Dividendos!$B$24:$C$39,2,FALSE),0%)</f>
        <v>0</v>
      </c>
      <c r="AAW7" s="5">
        <f>IFERROR(VLOOKUP(AAW$1,Dividendos!$B$24:$C$39,2,FALSE),0%)</f>
        <v>0</v>
      </c>
      <c r="AAX7" s="5">
        <f>IFERROR(VLOOKUP(AAX$1,Dividendos!$B$24:$C$39,2,FALSE),0%)</f>
        <v>0</v>
      </c>
      <c r="AAY7" s="5">
        <f>IFERROR(VLOOKUP(AAY$1,Dividendos!$B$24:$C$39,2,FALSE),0%)</f>
        <v>0</v>
      </c>
      <c r="AAZ7" s="5">
        <f>IFERROR(VLOOKUP(AAZ$1,Dividendos!$B$24:$C$39,2,FALSE),0%)</f>
        <v>0</v>
      </c>
      <c r="ABA7" s="5">
        <f>IFERROR(VLOOKUP(ABA$1,Dividendos!$B$24:$C$39,2,FALSE),0%)</f>
        <v>0</v>
      </c>
      <c r="ABB7" s="5">
        <f>IFERROR(VLOOKUP(ABB$1,Dividendos!$B$24:$C$39,2,FALSE),0%)</f>
        <v>0</v>
      </c>
      <c r="ABC7" s="5">
        <f>IFERROR(VLOOKUP(ABC$1,Dividendos!$B$24:$C$39,2,FALSE),0%)</f>
        <v>0</v>
      </c>
      <c r="ABD7" s="5">
        <f>IFERROR(VLOOKUP(ABD$1,Dividendos!$B$24:$C$39,2,FALSE),0%)</f>
        <v>0</v>
      </c>
      <c r="ABE7" s="5">
        <f>IFERROR(VLOOKUP(ABE$1,Dividendos!$B$24:$C$39,2,FALSE),0%)</f>
        <v>0</v>
      </c>
      <c r="ABF7" s="5">
        <f>IFERROR(VLOOKUP(ABF$1,Dividendos!$B$24:$C$39,2,FALSE),0%)</f>
        <v>0</v>
      </c>
      <c r="ABG7" s="5">
        <f>IFERROR(VLOOKUP(ABG$1,Dividendos!$B$24:$C$39,2,FALSE),0%)</f>
        <v>0</v>
      </c>
      <c r="ABH7" s="5">
        <f>IFERROR(VLOOKUP(ABH$1,Dividendos!$B$24:$C$39,2,FALSE),0%)</f>
        <v>0</v>
      </c>
      <c r="ABI7" s="5">
        <f>IFERROR(VLOOKUP(ABI$1,Dividendos!$B$24:$C$39,2,FALSE),0%)</f>
        <v>0</v>
      </c>
      <c r="ABJ7" s="5">
        <f>IFERROR(VLOOKUP(ABJ$1,Dividendos!$B$24:$C$39,2,FALSE),0%)</f>
        <v>0</v>
      </c>
      <c r="ABK7" s="5">
        <f>IFERROR(VLOOKUP(ABK$1,Dividendos!$B$24:$C$39,2,FALSE),0%)</f>
        <v>0</v>
      </c>
      <c r="ABL7" s="5">
        <f>IFERROR(VLOOKUP(ABL$1,Dividendos!$B$24:$C$39,2,FALSE),0%)</f>
        <v>0</v>
      </c>
      <c r="ABM7" s="5">
        <f>IFERROR(VLOOKUP(ABM$1,Dividendos!$B$24:$C$39,2,FALSE),0%)</f>
        <v>0</v>
      </c>
      <c r="ABN7" s="5">
        <f>IFERROR(VLOOKUP(ABN$1,Dividendos!$B$24:$C$39,2,FALSE),0%)</f>
        <v>0</v>
      </c>
      <c r="ABO7" s="5">
        <f>IFERROR(VLOOKUP(ABO$1,Dividendos!$B$24:$C$39,2,FALSE),0%)</f>
        <v>0</v>
      </c>
      <c r="ABP7" s="5">
        <f>IFERROR(VLOOKUP(ABP$1,Dividendos!$B$24:$C$39,2,FALSE),0%)</f>
        <v>0</v>
      </c>
      <c r="ABQ7" s="5">
        <f>IFERROR(VLOOKUP(ABQ$1,Dividendos!$B$24:$C$39,2,FALSE),0%)</f>
        <v>0</v>
      </c>
      <c r="ABR7" s="5">
        <f>IFERROR(VLOOKUP(ABR$1,Dividendos!$B$24:$C$39,2,FALSE),0%)</f>
        <v>0</v>
      </c>
      <c r="ABS7" s="5">
        <f>IFERROR(VLOOKUP(ABS$1,Dividendos!$B$24:$C$39,2,FALSE),0%)</f>
        <v>0</v>
      </c>
      <c r="ABT7" s="5">
        <f>IFERROR(VLOOKUP(ABT$1,Dividendos!$B$24:$C$39,2,FALSE),0%)</f>
        <v>0</v>
      </c>
      <c r="ABU7" s="5">
        <f>IFERROR(VLOOKUP(ABU$1,Dividendos!$B$24:$C$39,2,FALSE),0%)</f>
        <v>0</v>
      </c>
      <c r="ABV7" s="5">
        <f>IFERROR(VLOOKUP(ABV$1,Dividendos!$B$24:$C$39,2,FALSE),0%)</f>
        <v>0</v>
      </c>
      <c r="ABW7" s="5">
        <f>IFERROR(VLOOKUP(ABW$1,Dividendos!$B$24:$C$39,2,FALSE),0%)</f>
        <v>0</v>
      </c>
      <c r="ABX7" s="5">
        <f>IFERROR(VLOOKUP(ABX$1,Dividendos!$B$24:$C$39,2,FALSE),0%)</f>
        <v>0</v>
      </c>
      <c r="ABY7" s="5">
        <f>IFERROR(VLOOKUP(ABY$1,Dividendos!$B$24:$C$39,2,FALSE),0%)</f>
        <v>0</v>
      </c>
      <c r="ABZ7" s="5">
        <f>IFERROR(VLOOKUP(ABZ$1,Dividendos!$B$24:$C$39,2,FALSE),0%)</f>
        <v>0</v>
      </c>
      <c r="ACA7" s="5">
        <f>IFERROR(VLOOKUP(ACA$1,Dividendos!$B$24:$C$39,2,FALSE),0%)</f>
        <v>0</v>
      </c>
      <c r="ACB7" s="5">
        <f>IFERROR(VLOOKUP(ACB$1,Dividendos!$B$24:$C$39,2,FALSE),0%)</f>
        <v>0</v>
      </c>
      <c r="ACC7" s="5">
        <f>IFERROR(VLOOKUP(ACC$1,Dividendos!$B$24:$C$39,2,FALSE),0%)</f>
        <v>0</v>
      </c>
      <c r="ACD7" s="5">
        <f>IFERROR(VLOOKUP(ACD$1,Dividendos!$B$24:$C$39,2,FALSE),0%)</f>
        <v>0</v>
      </c>
      <c r="ACE7" s="5">
        <f>IFERROR(VLOOKUP(ACE$1,Dividendos!$B$24:$C$39,2,FALSE),0%)</f>
        <v>0</v>
      </c>
      <c r="ACF7" s="5">
        <f>IFERROR(VLOOKUP(ACF$1,Dividendos!$B$24:$C$39,2,FALSE),0%)</f>
        <v>0</v>
      </c>
      <c r="ACG7" s="5">
        <f>IFERROR(VLOOKUP(ACG$1,Dividendos!$B$24:$C$39,2,FALSE),0%)</f>
        <v>0</v>
      </c>
      <c r="ACH7" s="5">
        <f>IFERROR(VLOOKUP(ACH$1,Dividendos!$B$24:$C$39,2,FALSE),0%)</f>
        <v>0</v>
      </c>
      <c r="ACI7" s="5">
        <f>IFERROR(VLOOKUP(ACI$1,Dividendos!$B$24:$C$39,2,FALSE),0%)</f>
        <v>0</v>
      </c>
      <c r="ACJ7" s="5">
        <f>IFERROR(VLOOKUP(ACJ$1,Dividendos!$B$24:$C$39,2,FALSE),0%)</f>
        <v>0</v>
      </c>
      <c r="ACK7" s="5">
        <f>IFERROR(VLOOKUP(ACK$1,Dividendos!$B$24:$C$39,2,FALSE),0%)</f>
        <v>0</v>
      </c>
      <c r="ACL7" s="5">
        <f>IFERROR(VLOOKUP(ACL$1,Dividendos!$B$24:$C$39,2,FALSE),0%)</f>
        <v>0</v>
      </c>
      <c r="ACM7" s="5">
        <f>IFERROR(VLOOKUP(ACM$1,Dividendos!$B$24:$C$39,2,FALSE),0%)</f>
        <v>0</v>
      </c>
      <c r="ACN7" s="5">
        <f>IFERROR(VLOOKUP(ACN$1,Dividendos!$B$24:$C$39,2,FALSE),0%)</f>
        <v>0</v>
      </c>
      <c r="ACO7" s="5">
        <f>IFERROR(VLOOKUP(ACO$1,Dividendos!$B$24:$C$39,2,FALSE),0%)</f>
        <v>0</v>
      </c>
      <c r="ACP7" s="5">
        <f>IFERROR(VLOOKUP(ACP$1,Dividendos!$B$24:$C$39,2,FALSE),0%)</f>
        <v>0</v>
      </c>
      <c r="ACQ7" s="5">
        <f>IFERROR(VLOOKUP(ACQ$1,Dividendos!$B$24:$C$39,2,FALSE),0%)</f>
        <v>0</v>
      </c>
      <c r="ACR7" s="5">
        <f>IFERROR(VLOOKUP(ACR$1,Dividendos!$B$24:$C$39,2,FALSE),0%)</f>
        <v>0</v>
      </c>
      <c r="ACS7" s="5">
        <f>IFERROR(VLOOKUP(ACS$1,Dividendos!$B$24:$C$39,2,FALSE),0%)</f>
        <v>0</v>
      </c>
      <c r="ACT7" s="5">
        <f>IFERROR(VLOOKUP(ACT$1,Dividendos!$B$24:$C$39,2,FALSE),0%)</f>
        <v>0</v>
      </c>
      <c r="ACU7" s="5">
        <f>IFERROR(VLOOKUP(ACU$1,Dividendos!$B$24:$C$39,2,FALSE),0%)</f>
        <v>0</v>
      </c>
      <c r="ACV7" s="5">
        <f>IFERROR(VLOOKUP(ACV$1,Dividendos!$B$24:$C$39,2,FALSE),0%)</f>
        <v>0</v>
      </c>
      <c r="ACW7" s="5">
        <f>IFERROR(VLOOKUP(ACW$1,Dividendos!$B$24:$C$39,2,FALSE),0%)</f>
        <v>0</v>
      </c>
      <c r="ACX7" s="5">
        <f>IFERROR(VLOOKUP(ACX$1,Dividendos!$B$24:$C$39,2,FALSE),0%)</f>
        <v>0</v>
      </c>
      <c r="ACY7" s="5">
        <f>IFERROR(VLOOKUP(ACY$1,Dividendos!$B$24:$C$39,2,FALSE),0%)</f>
        <v>0</v>
      </c>
      <c r="ACZ7" s="5">
        <f>IFERROR(VLOOKUP(ACZ$1,Dividendos!$B$24:$C$39,2,FALSE),0%)</f>
        <v>0</v>
      </c>
      <c r="ADA7" s="5">
        <f>IFERROR(VLOOKUP(ADA$1,Dividendos!$B$24:$C$39,2,FALSE),0%)</f>
        <v>0</v>
      </c>
      <c r="ADB7" s="5">
        <f>IFERROR(VLOOKUP(ADB$1,Dividendos!$B$24:$C$39,2,FALSE),0%)</f>
        <v>0</v>
      </c>
      <c r="ADC7" s="5">
        <f>IFERROR(VLOOKUP(ADC$1,Dividendos!$B$24:$C$39,2,FALSE),0%)</f>
        <v>0</v>
      </c>
      <c r="ADD7" s="5">
        <f>IFERROR(VLOOKUP(ADD$1,Dividendos!$B$24:$C$39,2,FALSE),0%)</f>
        <v>0</v>
      </c>
      <c r="ADE7" s="5">
        <f>IFERROR(VLOOKUP(ADE$1,Dividendos!$B$24:$C$39,2,FALSE),0%)</f>
        <v>0</v>
      </c>
      <c r="ADF7" s="5">
        <f>IFERROR(VLOOKUP(ADF$1,Dividendos!$B$24:$C$39,2,FALSE),0%)</f>
        <v>0</v>
      </c>
      <c r="ADG7" s="5">
        <f>IFERROR(VLOOKUP(ADG$1,Dividendos!$B$24:$C$39,2,FALSE),0%)</f>
        <v>0</v>
      </c>
      <c r="ADH7" s="5">
        <f>IFERROR(VLOOKUP(ADH$1,Dividendos!$B$24:$C$39,2,FALSE),0%)</f>
        <v>0</v>
      </c>
      <c r="ADI7" s="5">
        <f>IFERROR(VLOOKUP(ADI$1,Dividendos!$B$24:$C$39,2,FALSE),0%)</f>
        <v>0</v>
      </c>
      <c r="ADJ7" s="5">
        <f>IFERROR(VLOOKUP(ADJ$1,Dividendos!$B$24:$C$39,2,FALSE),0%)</f>
        <v>0</v>
      </c>
      <c r="ADK7" s="5">
        <f>IFERROR(VLOOKUP(ADK$1,Dividendos!$B$24:$C$39,2,FALSE),0%)</f>
        <v>0</v>
      </c>
      <c r="ADL7" s="5">
        <f>IFERROR(VLOOKUP(ADL$1,Dividendos!$B$24:$C$39,2,FALSE),0%)</f>
        <v>0</v>
      </c>
      <c r="ADM7" s="5">
        <f>IFERROR(VLOOKUP(ADM$1,Dividendos!$B$24:$C$39,2,FALSE),0%)</f>
        <v>0</v>
      </c>
      <c r="ADN7" s="5">
        <f>IFERROR(VLOOKUP(ADN$1,Dividendos!$B$24:$C$39,2,FALSE),0%)</f>
        <v>0</v>
      </c>
      <c r="ADO7" s="5">
        <f>IFERROR(VLOOKUP(ADO$1,Dividendos!$B$24:$C$39,2,FALSE),0%)</f>
        <v>0</v>
      </c>
      <c r="ADP7" s="5">
        <f>IFERROR(VLOOKUP(ADP$1,Dividendos!$B$24:$C$39,2,FALSE),0%)</f>
        <v>0</v>
      </c>
      <c r="ADQ7" s="5">
        <f>IFERROR(VLOOKUP(ADQ$1,Dividendos!$B$24:$C$39,2,FALSE),0%)</f>
        <v>0</v>
      </c>
      <c r="ADR7" s="5">
        <f>IFERROR(VLOOKUP(ADR$1,Dividendos!$B$24:$C$39,2,FALSE),0%)</f>
        <v>0</v>
      </c>
      <c r="ADS7" s="5">
        <f>IFERROR(VLOOKUP(ADS$1,Dividendos!$B$24:$C$39,2,FALSE),0%)</f>
        <v>0</v>
      </c>
      <c r="ADT7" s="5">
        <f>IFERROR(VLOOKUP(ADT$1,Dividendos!$B$24:$C$39,2,FALSE),0%)</f>
        <v>0</v>
      </c>
      <c r="ADU7" s="5">
        <f>IFERROR(VLOOKUP(ADU$1,Dividendos!$B$24:$C$39,2,FALSE),0%)</f>
        <v>0</v>
      </c>
      <c r="ADV7" s="5">
        <f>IFERROR(VLOOKUP(ADV$1,Dividendos!$B$24:$C$39,2,FALSE),0%)</f>
        <v>0</v>
      </c>
      <c r="ADW7" s="5">
        <f>IFERROR(VLOOKUP(ADW$1,Dividendos!$B$24:$C$39,2,FALSE),0%)</f>
        <v>0</v>
      </c>
      <c r="ADX7" s="5">
        <f>IFERROR(VLOOKUP(ADX$1,Dividendos!$B$24:$C$39,2,FALSE),0%)</f>
        <v>0</v>
      </c>
      <c r="ADY7" s="5">
        <f>IFERROR(VLOOKUP(ADY$1,Dividendos!$B$24:$C$39,2,FALSE),0%)</f>
        <v>0</v>
      </c>
      <c r="ADZ7" s="5">
        <f>IFERROR(VLOOKUP(ADZ$1,Dividendos!$B$24:$C$39,2,FALSE),0%)</f>
        <v>0</v>
      </c>
      <c r="AEA7" s="5">
        <f>IFERROR(VLOOKUP(AEA$1,Dividendos!$B$24:$C$39,2,FALSE),0%)</f>
        <v>0</v>
      </c>
      <c r="AEB7" s="5">
        <f>IFERROR(VLOOKUP(AEB$1,Dividendos!$B$24:$C$39,2,FALSE),0%)</f>
        <v>0</v>
      </c>
      <c r="AEC7" s="5">
        <f>IFERROR(VLOOKUP(AEC$1,Dividendos!$B$24:$C$39,2,FALSE),0%)</f>
        <v>0</v>
      </c>
      <c r="AED7" s="5">
        <f>IFERROR(VLOOKUP(AED$1,Dividendos!$B$24:$C$39,2,FALSE),0%)</f>
        <v>0</v>
      </c>
      <c r="AEE7" s="5">
        <f>IFERROR(VLOOKUP(AEE$1,Dividendos!$B$24:$C$39,2,FALSE),0%)</f>
        <v>0</v>
      </c>
      <c r="AEF7" s="5">
        <f>IFERROR(VLOOKUP(AEF$1,Dividendos!$B$24:$C$39,2,FALSE),0%)</f>
        <v>0</v>
      </c>
      <c r="AEG7" s="5">
        <f>IFERROR(VLOOKUP(AEG$1,Dividendos!$B$24:$C$39,2,FALSE),0%)</f>
        <v>0</v>
      </c>
      <c r="AEH7" s="5">
        <f>IFERROR(VLOOKUP(AEH$1,Dividendos!$B$24:$C$39,2,FALSE),0%)</f>
        <v>0</v>
      </c>
      <c r="AEI7" s="5">
        <f>IFERROR(VLOOKUP(AEI$1,Dividendos!$B$24:$C$39,2,FALSE),0%)</f>
        <v>0</v>
      </c>
      <c r="AEJ7" s="5">
        <f>IFERROR(VLOOKUP(AEJ$1,Dividendos!$B$24:$C$39,2,FALSE),0%)</f>
        <v>0</v>
      </c>
      <c r="AEK7" s="5">
        <f>IFERROR(VLOOKUP(AEK$1,Dividendos!$B$24:$C$39,2,FALSE),0%)</f>
        <v>0</v>
      </c>
      <c r="AEL7" s="5">
        <f>IFERROR(VLOOKUP(AEL$1,Dividendos!$B$24:$C$39,2,FALSE),0%)</f>
        <v>0</v>
      </c>
      <c r="AEM7" s="5">
        <f>IFERROR(VLOOKUP(AEM$1,Dividendos!$B$24:$C$39,2,FALSE),0%)</f>
        <v>0</v>
      </c>
      <c r="AEN7" s="5">
        <f>IFERROR(VLOOKUP(AEN$1,Dividendos!$B$24:$C$39,2,FALSE),0%)</f>
        <v>0</v>
      </c>
      <c r="AEO7" s="5">
        <f>IFERROR(VLOOKUP(AEO$1,Dividendos!$B$24:$C$39,2,FALSE),0%)</f>
        <v>0</v>
      </c>
      <c r="AEP7" s="5">
        <f>IFERROR(VLOOKUP(AEP$1,Dividendos!$B$24:$C$39,2,FALSE),0%)</f>
        <v>0</v>
      </c>
      <c r="AEQ7" s="5">
        <f>IFERROR(VLOOKUP(AEQ$1,Dividendos!$B$24:$C$39,2,FALSE),0%)</f>
        <v>0</v>
      </c>
      <c r="AER7" s="5">
        <f>IFERROR(VLOOKUP(AER$1,Dividendos!$B$24:$C$39,2,FALSE),0%)</f>
        <v>0</v>
      </c>
      <c r="AES7" s="5">
        <f>IFERROR(VLOOKUP(AES$1,Dividendos!$B$24:$C$39,2,FALSE),0%)</f>
        <v>0</v>
      </c>
      <c r="AET7" s="5">
        <f>IFERROR(VLOOKUP(AET$1,Dividendos!$B$24:$C$39,2,FALSE),0%)</f>
        <v>0</v>
      </c>
      <c r="AEU7" s="5">
        <f>IFERROR(VLOOKUP(AEU$1,Dividendos!$B$24:$C$39,2,FALSE),0%)</f>
        <v>0</v>
      </c>
      <c r="AEV7" s="5">
        <f>IFERROR(VLOOKUP(AEV$1,Dividendos!$B$24:$C$39,2,FALSE),0%)</f>
        <v>0</v>
      </c>
      <c r="AEW7" s="5">
        <f>IFERROR(VLOOKUP(AEW$1,Dividendos!$B$24:$C$39,2,FALSE),0%)</f>
        <v>0</v>
      </c>
      <c r="AEX7" s="5">
        <f>IFERROR(VLOOKUP(AEX$1,Dividendos!$B$24:$C$39,2,FALSE),0%)</f>
        <v>0</v>
      </c>
      <c r="AEY7" s="5">
        <f>IFERROR(VLOOKUP(AEY$1,Dividendos!$B$24:$C$39,2,FALSE),0%)</f>
        <v>0</v>
      </c>
      <c r="AEZ7" s="5">
        <f>IFERROR(VLOOKUP(AEZ$1,Dividendos!$B$24:$C$39,2,FALSE),0%)</f>
        <v>0</v>
      </c>
      <c r="AFA7" s="5">
        <f>IFERROR(VLOOKUP(AFA$1,Dividendos!$B$24:$C$39,2,FALSE),0%)</f>
        <v>0</v>
      </c>
      <c r="AFB7" s="5">
        <f>IFERROR(VLOOKUP(AFB$1,Dividendos!$B$24:$C$39,2,FALSE),0%)</f>
        <v>0</v>
      </c>
      <c r="AFC7" s="5">
        <f>IFERROR(VLOOKUP(AFC$1,Dividendos!$B$24:$C$39,2,FALSE),0%)</f>
        <v>0</v>
      </c>
      <c r="AFD7" s="5">
        <f>IFERROR(VLOOKUP(AFD$1,Dividendos!$B$24:$C$39,2,FALSE),0%)</f>
        <v>0</v>
      </c>
      <c r="AFE7" s="5">
        <f>IFERROR(VLOOKUP(AFE$1,Dividendos!$B$24:$C$39,2,FALSE),0%)</f>
        <v>0</v>
      </c>
      <c r="AFF7" s="5">
        <f>IFERROR(VLOOKUP(AFF$1,Dividendos!$B$24:$C$39,2,FALSE),0%)</f>
        <v>0</v>
      </c>
      <c r="AFG7" s="5">
        <f>IFERROR(VLOOKUP(AFG$1,Dividendos!$B$24:$C$39,2,FALSE),0%)</f>
        <v>0</v>
      </c>
      <c r="AFH7" s="5">
        <f>IFERROR(VLOOKUP(AFH$1,Dividendos!$B$24:$C$39,2,FALSE),0%)</f>
        <v>0</v>
      </c>
      <c r="AFI7" s="5">
        <f>IFERROR(VLOOKUP(AFI$1,Dividendos!$B$24:$C$39,2,FALSE),0%)</f>
        <v>0</v>
      </c>
      <c r="AFJ7" s="5">
        <f>IFERROR(VLOOKUP(AFJ$1,Dividendos!$B$24:$C$39,2,FALSE),0%)</f>
        <v>0</v>
      </c>
      <c r="AFK7" s="5">
        <f>IFERROR(VLOOKUP(AFK$1,Dividendos!$B$24:$C$39,2,FALSE),0%)</f>
        <v>0</v>
      </c>
      <c r="AFL7" s="5">
        <f>IFERROR(VLOOKUP(AFL$1,Dividendos!$B$24:$C$39,2,FALSE),0%)</f>
        <v>0</v>
      </c>
      <c r="AFM7" s="5">
        <f>IFERROR(VLOOKUP(AFM$1,Dividendos!$B$24:$C$39,2,FALSE),0%)</f>
        <v>0</v>
      </c>
      <c r="AFN7" s="5">
        <f>IFERROR(VLOOKUP(AFN$1,Dividendos!$B$24:$C$39,2,FALSE),0%)</f>
        <v>0</v>
      </c>
      <c r="AFO7" s="5">
        <f>IFERROR(VLOOKUP(AFO$1,Dividendos!$B$24:$C$39,2,FALSE),0%)</f>
        <v>0</v>
      </c>
      <c r="AFP7" s="5">
        <f>IFERROR(VLOOKUP(AFP$1,Dividendos!$B$24:$C$39,2,FALSE),0%)</f>
        <v>0</v>
      </c>
      <c r="AFQ7" s="5">
        <f>IFERROR(VLOOKUP(AFQ$1,Dividendos!$B$24:$C$39,2,FALSE),0%)</f>
        <v>0</v>
      </c>
      <c r="AFR7" s="5">
        <f>IFERROR(VLOOKUP(AFR$1,Dividendos!$B$24:$C$39,2,FALSE),0%)</f>
        <v>0</v>
      </c>
      <c r="AFS7" s="5">
        <f>IFERROR(VLOOKUP(AFS$1,Dividendos!$B$24:$C$39,2,FALSE),0%)</f>
        <v>0</v>
      </c>
      <c r="AFT7" s="5">
        <f>IFERROR(VLOOKUP(AFT$1,Dividendos!$B$24:$C$39,2,FALSE),0%)</f>
        <v>0</v>
      </c>
      <c r="AFU7" s="5">
        <f>IFERROR(VLOOKUP(AFU$1,Dividendos!$B$24:$C$39,2,FALSE),0%)</f>
        <v>0</v>
      </c>
      <c r="AFV7" s="5">
        <f>IFERROR(VLOOKUP(AFV$1,Dividendos!$B$24:$C$39,2,FALSE),0%)</f>
        <v>0</v>
      </c>
      <c r="AFW7" s="5">
        <f>IFERROR(VLOOKUP(AFW$1,Dividendos!$B$24:$C$39,2,FALSE),0%)</f>
        <v>0</v>
      </c>
      <c r="AFX7" s="5">
        <f>IFERROR(VLOOKUP(AFX$1,Dividendos!$B$24:$C$39,2,FALSE),0%)</f>
        <v>0</v>
      </c>
      <c r="AFY7" s="5">
        <f>IFERROR(VLOOKUP(AFY$1,Dividendos!$B$24:$C$39,2,FALSE),0%)</f>
        <v>0</v>
      </c>
      <c r="AFZ7" s="5">
        <f>IFERROR(VLOOKUP(AFZ$1,Dividendos!$B$24:$C$39,2,FALSE),0%)</f>
        <v>0</v>
      </c>
      <c r="AGA7" s="5">
        <f>IFERROR(VLOOKUP(AGA$1,Dividendos!$B$24:$C$39,2,FALSE),0%)</f>
        <v>0</v>
      </c>
      <c r="AGB7" s="5">
        <f>IFERROR(VLOOKUP(AGB$1,Dividendos!$B$24:$C$39,2,FALSE),0%)</f>
        <v>0</v>
      </c>
      <c r="AGC7" s="5">
        <f>IFERROR(VLOOKUP(AGC$1,Dividendos!$B$24:$C$39,2,FALSE),0%)</f>
        <v>0</v>
      </c>
      <c r="AGD7" s="5">
        <f>IFERROR(VLOOKUP(AGD$1,Dividendos!$B$24:$C$39,2,FALSE),0%)</f>
        <v>0</v>
      </c>
      <c r="AGE7" s="5">
        <f>IFERROR(VLOOKUP(AGE$1,Dividendos!$B$24:$C$39,2,FALSE),0%)</f>
        <v>0</v>
      </c>
      <c r="AGF7" s="5">
        <f>IFERROR(VLOOKUP(AGF$1,Dividendos!$B$24:$C$39,2,FALSE),0%)</f>
        <v>0</v>
      </c>
      <c r="AGG7" s="5">
        <f>IFERROR(VLOOKUP(AGG$1,Dividendos!$B$24:$C$39,2,FALSE),0%)</f>
        <v>0</v>
      </c>
      <c r="AGH7" s="5">
        <f>IFERROR(VLOOKUP(AGH$1,Dividendos!$B$24:$C$39,2,FALSE),0%)</f>
        <v>0</v>
      </c>
      <c r="AGI7" s="5">
        <f>IFERROR(VLOOKUP(AGI$1,Dividendos!$B$24:$C$39,2,FALSE),0%)</f>
        <v>0</v>
      </c>
      <c r="AGJ7" s="5">
        <f>IFERROR(VLOOKUP(AGJ$1,Dividendos!$B$24:$C$39,2,FALSE),0%)</f>
        <v>0</v>
      </c>
      <c r="AGK7" s="5">
        <f>IFERROR(VLOOKUP(AGK$1,Dividendos!$B$24:$C$39,2,FALSE),0%)</f>
        <v>0</v>
      </c>
      <c r="AGL7" s="5">
        <f>IFERROR(VLOOKUP(AGL$1,Dividendos!$B$24:$C$39,2,FALSE),0%)</f>
        <v>0</v>
      </c>
      <c r="AGM7" s="5">
        <f>IFERROR(VLOOKUP(AGM$1,Dividendos!$B$24:$C$39,2,FALSE),0%)</f>
        <v>0</v>
      </c>
      <c r="AGN7" s="5">
        <f>IFERROR(VLOOKUP(AGN$1,Dividendos!$B$24:$C$39,2,FALSE),0%)</f>
        <v>0</v>
      </c>
      <c r="AGO7" s="5">
        <f>IFERROR(VLOOKUP(AGO$1,Dividendos!$B$24:$C$39,2,FALSE),0%)</f>
        <v>0</v>
      </c>
      <c r="AGP7" s="5">
        <f>IFERROR(VLOOKUP(AGP$1,Dividendos!$B$24:$C$39,2,FALSE),0%)</f>
        <v>0</v>
      </c>
      <c r="AGQ7" s="5">
        <f>IFERROR(VLOOKUP(AGQ$1,Dividendos!$B$24:$C$39,2,FALSE),0%)</f>
        <v>0</v>
      </c>
      <c r="AGR7" s="5">
        <f>IFERROR(VLOOKUP(AGR$1,Dividendos!$B$24:$C$39,2,FALSE),0%)</f>
        <v>0</v>
      </c>
      <c r="AGS7" s="5">
        <f>IFERROR(VLOOKUP(AGS$1,Dividendos!$B$24:$C$39,2,FALSE),0%)</f>
        <v>0</v>
      </c>
      <c r="AGT7" s="5">
        <f>IFERROR(VLOOKUP(AGT$1,Dividendos!$B$24:$C$39,2,FALSE),0%)</f>
        <v>0</v>
      </c>
      <c r="AGU7" s="5">
        <f>IFERROR(VLOOKUP(AGU$1,Dividendos!$B$24:$C$39,2,FALSE),0%)</f>
        <v>0</v>
      </c>
      <c r="AGV7" s="5">
        <f>IFERROR(VLOOKUP(AGV$1,Dividendos!$B$24:$C$39,2,FALSE),0%)</f>
        <v>0</v>
      </c>
      <c r="AGW7" s="5">
        <f>IFERROR(VLOOKUP(AGW$1,Dividendos!$B$24:$C$39,2,FALSE),0%)</f>
        <v>0</v>
      </c>
      <c r="AGX7" s="5">
        <f>IFERROR(VLOOKUP(AGX$1,Dividendos!$B$24:$C$39,2,FALSE),0%)</f>
        <v>0</v>
      </c>
      <c r="AGY7" s="5">
        <f>IFERROR(VLOOKUP(AGY$1,Dividendos!$B$24:$C$39,2,FALSE),0%)</f>
        <v>0</v>
      </c>
      <c r="AGZ7" s="5">
        <f>IFERROR(VLOOKUP(AGZ$1,Dividendos!$B$24:$C$39,2,FALSE),0%)</f>
        <v>0</v>
      </c>
      <c r="AHA7" s="5">
        <f>IFERROR(VLOOKUP(AHA$1,Dividendos!$B$24:$C$39,2,FALSE),0%)</f>
        <v>0</v>
      </c>
      <c r="AHB7" s="5">
        <f>IFERROR(VLOOKUP(AHB$1,Dividendos!$B$24:$C$39,2,FALSE),0%)</f>
        <v>0</v>
      </c>
      <c r="AHC7" s="5">
        <f>IFERROR(VLOOKUP(AHC$1,Dividendos!$B$24:$C$39,2,FALSE),0%)</f>
        <v>0</v>
      </c>
      <c r="AHD7" s="5">
        <f>IFERROR(VLOOKUP(AHD$1,Dividendos!$B$24:$C$39,2,FALSE),0%)</f>
        <v>0</v>
      </c>
      <c r="AHE7" s="5">
        <f>IFERROR(VLOOKUP(AHE$1,Dividendos!$B$24:$C$39,2,FALSE),0%)</f>
        <v>0</v>
      </c>
      <c r="AHF7" s="5">
        <f>IFERROR(VLOOKUP(AHF$1,Dividendos!$B$24:$C$39,2,FALSE),0%)</f>
        <v>0</v>
      </c>
      <c r="AHG7" s="5">
        <f>IFERROR(VLOOKUP(AHG$1,Dividendos!$B$24:$C$39,2,FALSE),0%)</f>
        <v>0</v>
      </c>
      <c r="AHH7" s="5">
        <f>IFERROR(VLOOKUP(AHH$1,Dividendos!$B$24:$C$39,2,FALSE),0%)</f>
        <v>0</v>
      </c>
      <c r="AHI7" s="5">
        <f>IFERROR(VLOOKUP(AHI$1,Dividendos!$B$24:$C$39,2,FALSE),0%)</f>
        <v>0</v>
      </c>
      <c r="AHJ7" s="5">
        <f>IFERROR(VLOOKUP(AHJ$1,Dividendos!$B$24:$C$39,2,FALSE),0%)</f>
        <v>0</v>
      </c>
      <c r="AHK7" s="5">
        <f>IFERROR(VLOOKUP(AHK$1,Dividendos!$B$24:$C$39,2,FALSE),0%)</f>
        <v>0</v>
      </c>
      <c r="AHL7" s="5">
        <f>IFERROR(VLOOKUP(AHL$1,Dividendos!$B$24:$C$39,2,FALSE),0%)</f>
        <v>0</v>
      </c>
      <c r="AHM7" s="5">
        <f>IFERROR(VLOOKUP(AHM$1,Dividendos!$B$24:$C$39,2,FALSE),0%)</f>
        <v>0</v>
      </c>
      <c r="AHN7" s="5">
        <f>IFERROR(VLOOKUP(AHN$1,Dividendos!$B$24:$C$39,2,FALSE),0%)</f>
        <v>0</v>
      </c>
      <c r="AHO7" s="5">
        <f>IFERROR(VLOOKUP(AHO$1,Dividendos!$B$24:$C$39,2,FALSE),0%)</f>
        <v>0</v>
      </c>
      <c r="AHP7" s="5">
        <f>IFERROR(VLOOKUP(AHP$1,Dividendos!$B$24:$C$39,2,FALSE),0%)</f>
        <v>0</v>
      </c>
      <c r="AHQ7" s="5">
        <f>IFERROR(VLOOKUP(AHQ$1,Dividendos!$B$24:$C$39,2,FALSE),0%)</f>
        <v>0</v>
      </c>
      <c r="AHR7" s="5">
        <f>IFERROR(VLOOKUP(AHR$1,Dividendos!$B$24:$C$39,2,FALSE),0%)</f>
        <v>0</v>
      </c>
      <c r="AHS7" s="5">
        <f>IFERROR(VLOOKUP(AHS$1,Dividendos!$B$24:$C$39,2,FALSE),0%)</f>
        <v>0</v>
      </c>
      <c r="AHT7" s="5">
        <f>IFERROR(VLOOKUP(AHT$1,Dividendos!$B$24:$C$39,2,FALSE),0%)</f>
        <v>0</v>
      </c>
      <c r="AHU7" s="5">
        <f>IFERROR(VLOOKUP(AHU$1,Dividendos!$B$24:$C$39,2,FALSE),0%)</f>
        <v>0</v>
      </c>
      <c r="AHV7" s="5">
        <f>IFERROR(VLOOKUP(AHV$1,Dividendos!$B$24:$C$39,2,FALSE),0%)</f>
        <v>0</v>
      </c>
      <c r="AHW7" s="5">
        <f>IFERROR(VLOOKUP(AHW$1,Dividendos!$B$24:$C$39,2,FALSE),0%)</f>
        <v>0</v>
      </c>
      <c r="AHX7" s="5">
        <f>IFERROR(VLOOKUP(AHX$1,Dividendos!$B$24:$C$39,2,FALSE),0%)</f>
        <v>0</v>
      </c>
      <c r="AHY7" s="5">
        <f>IFERROR(VLOOKUP(AHY$1,Dividendos!$B$24:$C$39,2,FALSE),0%)</f>
        <v>0</v>
      </c>
      <c r="AHZ7" s="5">
        <f>IFERROR(VLOOKUP(AHZ$1,Dividendos!$B$24:$C$39,2,FALSE),0%)</f>
        <v>0</v>
      </c>
      <c r="AIA7" s="5">
        <f>IFERROR(VLOOKUP(AIA$1,Dividendos!$B$24:$C$39,2,FALSE),0%)</f>
        <v>0</v>
      </c>
      <c r="AIB7" s="5">
        <f>IFERROR(VLOOKUP(AIB$1,Dividendos!$B$24:$C$39,2,FALSE),0%)</f>
        <v>0</v>
      </c>
      <c r="AIC7" s="5">
        <f>IFERROR(VLOOKUP(AIC$1,Dividendos!$B$24:$C$39,2,FALSE),0%)</f>
        <v>0</v>
      </c>
      <c r="AID7" s="5">
        <f>IFERROR(VLOOKUP(AID$1,Dividendos!$B$24:$C$39,2,FALSE),0%)</f>
        <v>0</v>
      </c>
      <c r="AIE7" s="5">
        <f>IFERROR(VLOOKUP(AIE$1,Dividendos!$B$24:$C$39,2,FALSE),0%)</f>
        <v>0</v>
      </c>
      <c r="AIF7" s="5">
        <f>IFERROR(VLOOKUP(AIF$1,Dividendos!$B$24:$C$39,2,FALSE),0%)</f>
        <v>0</v>
      </c>
      <c r="AIG7" s="5">
        <f>IFERROR(VLOOKUP(AIG$1,Dividendos!$B$24:$C$39,2,FALSE),0%)</f>
        <v>0</v>
      </c>
      <c r="AIH7" s="5">
        <f>IFERROR(VLOOKUP(AIH$1,Dividendos!$B$24:$C$39,2,FALSE),0%)</f>
        <v>0</v>
      </c>
      <c r="AII7" s="5">
        <f>IFERROR(VLOOKUP(AII$1,Dividendos!$B$24:$C$39,2,FALSE),0%)</f>
        <v>0</v>
      </c>
      <c r="AIJ7" s="5">
        <f>IFERROR(VLOOKUP(AIJ$1,Dividendos!$B$24:$C$39,2,FALSE),0%)</f>
        <v>0</v>
      </c>
      <c r="AIK7" s="5">
        <f>IFERROR(VLOOKUP(AIK$1,Dividendos!$B$24:$C$39,2,FALSE),0%)</f>
        <v>0</v>
      </c>
      <c r="AIL7" s="5">
        <f>IFERROR(VLOOKUP(AIL$1,Dividendos!$B$24:$C$39,2,FALSE),0%)</f>
        <v>0</v>
      </c>
      <c r="AIM7" s="5">
        <f>IFERROR(VLOOKUP(AIM$1,Dividendos!$B$24:$C$39,2,FALSE),0%)</f>
        <v>0</v>
      </c>
      <c r="AIN7" s="5">
        <f>IFERROR(VLOOKUP(AIN$1,Dividendos!$B$24:$C$39,2,FALSE),0%)</f>
        <v>0</v>
      </c>
      <c r="AIO7" s="5">
        <f>IFERROR(VLOOKUP(AIO$1,Dividendos!$B$24:$C$39,2,FALSE),0%)</f>
        <v>0</v>
      </c>
      <c r="AIP7" s="5">
        <f>IFERROR(VLOOKUP(AIP$1,Dividendos!$B$24:$C$39,2,FALSE),0%)</f>
        <v>0</v>
      </c>
      <c r="AIQ7" s="5">
        <f>IFERROR(VLOOKUP(AIQ$1,Dividendos!$B$24:$C$39,2,FALSE),0%)</f>
        <v>0</v>
      </c>
      <c r="AIR7" s="5">
        <f>IFERROR(VLOOKUP(AIR$1,Dividendos!$B$24:$C$39,2,FALSE),0%)</f>
        <v>0</v>
      </c>
      <c r="AIS7" s="5">
        <f>IFERROR(VLOOKUP(AIS$1,Dividendos!$B$24:$C$39,2,FALSE),0%)</f>
        <v>0</v>
      </c>
      <c r="AIT7" s="5">
        <f>IFERROR(VLOOKUP(AIT$1,Dividendos!$B$24:$C$39,2,FALSE),0%)</f>
        <v>0</v>
      </c>
      <c r="AIU7" s="5">
        <f>IFERROR(VLOOKUP(AIU$1,Dividendos!$B$24:$C$39,2,FALSE),0%)</f>
        <v>0</v>
      </c>
      <c r="AIV7" s="5">
        <f>IFERROR(VLOOKUP(AIV$1,Dividendos!$B$24:$C$39,2,FALSE),0%)</f>
        <v>0</v>
      </c>
      <c r="AIW7" s="5">
        <f>IFERROR(VLOOKUP(AIW$1,Dividendos!$B$24:$C$39,2,FALSE),0%)</f>
        <v>0</v>
      </c>
      <c r="AIX7" s="5">
        <f>IFERROR(VLOOKUP(AIX$1,Dividendos!$B$24:$C$39,2,FALSE),0%)</f>
        <v>0</v>
      </c>
      <c r="AIY7" s="5">
        <f>IFERROR(VLOOKUP(AIY$1,Dividendos!$B$24:$C$39,2,FALSE),0%)</f>
        <v>0</v>
      </c>
      <c r="AIZ7" s="5">
        <f>IFERROR(VLOOKUP(AIZ$1,Dividendos!$B$24:$C$39,2,FALSE),0%)</f>
        <v>0</v>
      </c>
      <c r="AJA7" s="5">
        <f>IFERROR(VLOOKUP(AJA$1,Dividendos!$B$24:$C$39,2,FALSE),0%)</f>
        <v>0</v>
      </c>
      <c r="AJB7" s="5">
        <f>IFERROR(VLOOKUP(AJB$1,Dividendos!$B$24:$C$39,2,FALSE),0%)</f>
        <v>0</v>
      </c>
      <c r="AJC7" s="5">
        <f>IFERROR(VLOOKUP(AJC$1,Dividendos!$B$24:$C$39,2,FALSE),0%)</f>
        <v>0</v>
      </c>
      <c r="AJD7" s="5">
        <f>IFERROR(VLOOKUP(AJD$1,Dividendos!$B$24:$C$39,2,FALSE),0%)</f>
        <v>0</v>
      </c>
      <c r="AJE7" s="5">
        <f>IFERROR(VLOOKUP(AJE$1,Dividendos!$B$24:$C$39,2,FALSE),0%)</f>
        <v>0</v>
      </c>
      <c r="AJF7" s="5">
        <f>IFERROR(VLOOKUP(AJF$1,Dividendos!$B$24:$C$39,2,FALSE),0%)</f>
        <v>0</v>
      </c>
      <c r="AJG7" s="5">
        <f>IFERROR(VLOOKUP(AJG$1,Dividendos!$B$24:$C$39,2,FALSE),0%)</f>
        <v>0</v>
      </c>
      <c r="AJH7" s="5">
        <f>IFERROR(VLOOKUP(AJH$1,Dividendos!$B$24:$C$39,2,FALSE),0%)</f>
        <v>0</v>
      </c>
      <c r="AJI7" s="5">
        <f>IFERROR(VLOOKUP(AJI$1,Dividendos!$B$24:$C$39,2,FALSE),0%)</f>
        <v>0</v>
      </c>
      <c r="AJJ7" s="5">
        <f>IFERROR(VLOOKUP(AJJ$1,Dividendos!$B$24:$C$39,2,FALSE),0%)</f>
        <v>0</v>
      </c>
      <c r="AJK7" s="5">
        <f>IFERROR(VLOOKUP(AJK$1,Dividendos!$B$24:$C$39,2,FALSE),0%)</f>
        <v>0</v>
      </c>
      <c r="AJL7" s="5">
        <f>IFERROR(VLOOKUP(AJL$1,Dividendos!$B$24:$C$39,2,FALSE),0%)</f>
        <v>0</v>
      </c>
      <c r="AJM7" s="5">
        <f>IFERROR(VLOOKUP(AJM$1,Dividendos!$B$24:$C$39,2,FALSE),0%)</f>
        <v>0</v>
      </c>
      <c r="AJN7" s="5">
        <f>IFERROR(VLOOKUP(AJN$1,Dividendos!$B$24:$C$39,2,FALSE),0%)</f>
        <v>0</v>
      </c>
      <c r="AJO7" s="5">
        <f>IFERROR(VLOOKUP(AJO$1,Dividendos!$B$24:$C$39,2,FALSE),0%)</f>
        <v>0</v>
      </c>
      <c r="AJP7" s="5">
        <f>IFERROR(VLOOKUP(AJP$1,Dividendos!$B$24:$C$39,2,FALSE),0%)</f>
        <v>0</v>
      </c>
      <c r="AJQ7" s="5">
        <f>IFERROR(VLOOKUP(AJQ$1,Dividendos!$B$24:$C$39,2,FALSE),0%)</f>
        <v>0</v>
      </c>
      <c r="AJR7" s="5">
        <f>IFERROR(VLOOKUP(AJR$1,Dividendos!$B$24:$C$39,2,FALSE),0%)</f>
        <v>0</v>
      </c>
      <c r="AJS7" s="5">
        <f>IFERROR(VLOOKUP(AJS$1,Dividendos!$B$24:$C$39,2,FALSE),0%)</f>
        <v>0</v>
      </c>
      <c r="AJT7" s="5">
        <f>IFERROR(VLOOKUP(AJT$1,Dividendos!$B$24:$C$39,2,FALSE),0%)</f>
        <v>0</v>
      </c>
      <c r="AJU7" s="5">
        <f>IFERROR(VLOOKUP(AJU$1,Dividendos!$B$24:$C$39,2,FALSE),0%)</f>
        <v>0</v>
      </c>
      <c r="AJV7" s="5">
        <f>IFERROR(VLOOKUP(AJV$1,Dividendos!$B$24:$C$39,2,FALSE),0%)</f>
        <v>0</v>
      </c>
      <c r="AJW7" s="5">
        <f>IFERROR(VLOOKUP(AJW$1,Dividendos!$B$24:$C$39,2,FALSE),0%)</f>
        <v>0</v>
      </c>
      <c r="AJX7" s="5">
        <f>IFERROR(VLOOKUP(AJX$1,Dividendos!$B$24:$C$39,2,FALSE),0%)</f>
        <v>0</v>
      </c>
      <c r="AJY7" s="5">
        <f>IFERROR(VLOOKUP(AJY$1,Dividendos!$B$24:$C$39,2,FALSE),0%)</f>
        <v>0</v>
      </c>
      <c r="AJZ7" s="5">
        <f>IFERROR(VLOOKUP(AJZ$1,Dividendos!$B$24:$C$39,2,FALSE),0%)</f>
        <v>0</v>
      </c>
      <c r="AKA7" s="5">
        <f>IFERROR(VLOOKUP(AKA$1,Dividendos!$B$24:$C$39,2,FALSE),0%)</f>
        <v>0</v>
      </c>
      <c r="AKB7" s="5">
        <f>IFERROR(VLOOKUP(AKB$1,Dividendos!$B$24:$C$39,2,FALSE),0%)</f>
        <v>0</v>
      </c>
      <c r="AKC7" s="5">
        <f>IFERROR(VLOOKUP(AKC$1,Dividendos!$B$24:$C$39,2,FALSE),0%)</f>
        <v>0</v>
      </c>
      <c r="AKD7" s="5">
        <f>IFERROR(VLOOKUP(AKD$1,Dividendos!$B$24:$C$39,2,FALSE),0%)</f>
        <v>0</v>
      </c>
      <c r="AKE7" s="5">
        <f>IFERROR(VLOOKUP(AKE$1,Dividendos!$B$24:$C$39,2,FALSE),0%)</f>
        <v>0</v>
      </c>
      <c r="AKF7" s="5">
        <f>IFERROR(VLOOKUP(AKF$1,Dividendos!$B$24:$C$39,2,FALSE),0%)</f>
        <v>0</v>
      </c>
      <c r="AKG7" s="5">
        <f>IFERROR(VLOOKUP(AKG$1,Dividendos!$B$24:$C$39,2,FALSE),0%)</f>
        <v>0</v>
      </c>
      <c r="AKH7" s="5">
        <f>IFERROR(VLOOKUP(AKH$1,Dividendos!$B$24:$C$39,2,FALSE),0%)</f>
        <v>0</v>
      </c>
      <c r="AKI7" s="5">
        <f>IFERROR(VLOOKUP(AKI$1,Dividendos!$B$24:$C$39,2,FALSE),0%)</f>
        <v>0</v>
      </c>
      <c r="AKJ7" s="5">
        <f>IFERROR(VLOOKUP(AKJ$1,Dividendos!$B$24:$C$39,2,FALSE),0%)</f>
        <v>0</v>
      </c>
      <c r="AKK7" s="5">
        <f>IFERROR(VLOOKUP(AKK$1,Dividendos!$B$24:$C$39,2,FALSE),0%)</f>
        <v>0</v>
      </c>
      <c r="AKL7" s="5">
        <f>IFERROR(VLOOKUP(AKL$1,Dividendos!$B$24:$C$39,2,FALSE),0%)</f>
        <v>0</v>
      </c>
      <c r="AKM7" s="5">
        <f>IFERROR(VLOOKUP(AKM$1,Dividendos!$B$24:$C$39,2,FALSE),0%)</f>
        <v>0</v>
      </c>
      <c r="AKN7" s="5">
        <f>IFERROR(VLOOKUP(AKN$1,Dividendos!$B$24:$C$39,2,FALSE),0%)</f>
        <v>0</v>
      </c>
      <c r="AKO7" s="5">
        <f>IFERROR(VLOOKUP(AKO$1,Dividendos!$B$24:$C$39,2,FALSE),0%)</f>
        <v>0</v>
      </c>
      <c r="AKP7" s="5">
        <f>IFERROR(VLOOKUP(AKP$1,Dividendos!$B$24:$C$39,2,FALSE),0%)</f>
        <v>0</v>
      </c>
      <c r="AKQ7" s="5">
        <f>IFERROR(VLOOKUP(AKQ$1,Dividendos!$B$24:$C$39,2,FALSE),0%)</f>
        <v>0</v>
      </c>
      <c r="AKR7" s="5">
        <f>IFERROR(VLOOKUP(AKR$1,Dividendos!$B$24:$C$39,2,FALSE),0%)</f>
        <v>0</v>
      </c>
      <c r="AKS7" s="5">
        <f>IFERROR(VLOOKUP(AKS$1,Dividendos!$B$24:$C$39,2,FALSE),0%)</f>
        <v>0</v>
      </c>
      <c r="AKT7" s="5">
        <f>IFERROR(VLOOKUP(AKT$1,Dividendos!$B$24:$C$39,2,FALSE),0%)</f>
        <v>0</v>
      </c>
      <c r="AKU7" s="5">
        <f>IFERROR(VLOOKUP(AKU$1,Dividendos!$B$24:$C$39,2,FALSE),0%)</f>
        <v>0</v>
      </c>
      <c r="AKV7" s="5">
        <f>IFERROR(VLOOKUP(AKV$1,Dividendos!$B$24:$C$39,2,FALSE),0%)</f>
        <v>0</v>
      </c>
      <c r="AKW7" s="5">
        <f>IFERROR(VLOOKUP(AKW$1,Dividendos!$B$24:$C$39,2,FALSE),0%)</f>
        <v>0</v>
      </c>
      <c r="AKX7" s="5">
        <f>IFERROR(VLOOKUP(AKX$1,Dividendos!$B$24:$C$39,2,FALSE),0%)</f>
        <v>0</v>
      </c>
      <c r="AKY7" s="5">
        <f>IFERROR(VLOOKUP(AKY$1,Dividendos!$B$24:$C$39,2,FALSE),0%)</f>
        <v>0</v>
      </c>
      <c r="AKZ7" s="5">
        <f>IFERROR(VLOOKUP(AKZ$1,Dividendos!$B$24:$C$39,2,FALSE),0%)</f>
        <v>0</v>
      </c>
      <c r="ALA7" s="5">
        <f>IFERROR(VLOOKUP(ALA$1,Dividendos!$B$24:$C$39,2,FALSE),0%)</f>
        <v>0</v>
      </c>
      <c r="ALB7" s="5">
        <f>IFERROR(VLOOKUP(ALB$1,Dividendos!$B$24:$C$39,2,FALSE),0%)</f>
        <v>0</v>
      </c>
      <c r="ALC7" s="5">
        <f>IFERROR(VLOOKUP(ALC$1,Dividendos!$B$24:$C$39,2,FALSE),0%)</f>
        <v>0</v>
      </c>
      <c r="ALD7" s="5">
        <f>IFERROR(VLOOKUP(ALD$1,Dividendos!$B$24:$C$39,2,FALSE),0%)</f>
        <v>0</v>
      </c>
      <c r="ALE7" s="5">
        <f>IFERROR(VLOOKUP(ALE$1,Dividendos!$B$24:$C$39,2,FALSE),0%)</f>
        <v>0</v>
      </c>
      <c r="ALF7" s="5">
        <f>IFERROR(VLOOKUP(ALF$1,Dividendos!$B$24:$C$39,2,FALSE),0%)</f>
        <v>0</v>
      </c>
      <c r="ALG7" s="5">
        <f>IFERROR(VLOOKUP(ALG$1,Dividendos!$B$24:$C$39,2,FALSE),0%)</f>
        <v>0</v>
      </c>
      <c r="ALH7" s="5">
        <f>IFERROR(VLOOKUP(ALH$1,Dividendos!$B$24:$C$39,2,FALSE),0%)</f>
        <v>0</v>
      </c>
      <c r="ALI7" s="5">
        <f>IFERROR(VLOOKUP(ALI$1,Dividendos!$B$24:$C$39,2,FALSE),0%)</f>
        <v>0</v>
      </c>
      <c r="ALJ7" s="5">
        <f>IFERROR(VLOOKUP(ALJ$1,Dividendos!$B$24:$C$39,2,FALSE),0%)</f>
        <v>0</v>
      </c>
      <c r="ALK7" s="5">
        <f>IFERROR(VLOOKUP(ALK$1,Dividendos!$B$24:$C$39,2,FALSE),0%)</f>
        <v>0</v>
      </c>
      <c r="ALL7" s="5">
        <f>IFERROR(VLOOKUP(ALL$1,Dividendos!$B$24:$C$39,2,FALSE),0%)</f>
        <v>0</v>
      </c>
      <c r="ALM7" s="5">
        <f>IFERROR(VLOOKUP(ALM$1,Dividendos!$B$24:$C$39,2,FALSE),0%)</f>
        <v>0</v>
      </c>
      <c r="ALN7" s="5">
        <f>IFERROR(VLOOKUP(ALN$1,Dividendos!$B$24:$C$39,2,FALSE),0%)</f>
        <v>0</v>
      </c>
      <c r="ALO7" s="5">
        <f>IFERROR(VLOOKUP(ALO$1,Dividendos!$B$24:$C$39,2,FALSE),0%)</f>
        <v>0</v>
      </c>
      <c r="ALP7" s="5">
        <f>IFERROR(VLOOKUP(ALP$1,Dividendos!$B$24:$C$39,2,FALSE),0%)</f>
        <v>0</v>
      </c>
      <c r="ALQ7" s="5">
        <f>IFERROR(VLOOKUP(ALQ$1,Dividendos!$B$24:$C$39,2,FALSE),0%)</f>
        <v>0</v>
      </c>
      <c r="ALR7" s="5">
        <f>IFERROR(VLOOKUP(ALR$1,Dividendos!$B$24:$C$39,2,FALSE),0%)</f>
        <v>0</v>
      </c>
      <c r="ALS7" s="5">
        <f>IFERROR(VLOOKUP(ALS$1,Dividendos!$B$24:$C$39,2,FALSE),0%)</f>
        <v>0</v>
      </c>
      <c r="ALT7" s="5">
        <f>IFERROR(VLOOKUP(ALT$1,Dividendos!$B$24:$C$39,2,FALSE),0%)</f>
        <v>0</v>
      </c>
      <c r="ALU7" s="5">
        <f>IFERROR(VLOOKUP(ALU$1,Dividendos!$B$24:$C$39,2,FALSE),0%)</f>
        <v>0</v>
      </c>
      <c r="ALV7" s="5">
        <f>IFERROR(VLOOKUP(ALV$1,Dividendos!$B$24:$C$39,2,FALSE),0%)</f>
        <v>0</v>
      </c>
      <c r="ALW7" s="5">
        <f>IFERROR(VLOOKUP(ALW$1,Dividendos!$B$24:$C$39,2,FALSE),0%)</f>
        <v>0</v>
      </c>
      <c r="ALX7" s="5">
        <f>IFERROR(VLOOKUP(ALX$1,Dividendos!$B$24:$C$39,2,FALSE),0%)</f>
        <v>0</v>
      </c>
      <c r="ALY7" s="5">
        <f>IFERROR(VLOOKUP(ALY$1,Dividendos!$B$24:$C$39,2,FALSE),0%)</f>
        <v>0</v>
      </c>
      <c r="ALZ7" s="5">
        <f>IFERROR(VLOOKUP(ALZ$1,Dividendos!$B$24:$C$39,2,FALSE),0%)</f>
        <v>0</v>
      </c>
      <c r="AMA7" s="5">
        <f>IFERROR(VLOOKUP(AMA$1,Dividendos!$B$24:$C$39,2,FALSE),0%)</f>
        <v>0</v>
      </c>
      <c r="AMB7" s="5">
        <f>IFERROR(VLOOKUP(AMB$1,Dividendos!$B$24:$C$39,2,FALSE),0%)</f>
        <v>0</v>
      </c>
      <c r="AMC7" s="5">
        <f>IFERROR(VLOOKUP(AMC$1,Dividendos!$B$24:$C$39,2,FALSE),0%)</f>
        <v>0</v>
      </c>
      <c r="AMD7" s="5">
        <f>IFERROR(VLOOKUP(AMD$1,Dividendos!$B$24:$C$39,2,FALSE),0%)</f>
        <v>0</v>
      </c>
      <c r="AME7" s="5">
        <f>IFERROR(VLOOKUP(AME$1,Dividendos!$B$24:$C$39,2,FALSE),0%)</f>
        <v>0</v>
      </c>
      <c r="AMF7" s="5">
        <f>IFERROR(VLOOKUP(AMF$1,Dividendos!$B$24:$C$39,2,FALSE),0%)</f>
        <v>0</v>
      </c>
      <c r="AMG7" s="5">
        <f>IFERROR(VLOOKUP(AMG$1,Dividendos!$B$24:$C$39,2,FALSE),0%)</f>
        <v>0</v>
      </c>
      <c r="AMH7" s="5">
        <f>IFERROR(VLOOKUP(AMH$1,Dividendos!$B$24:$C$39,2,FALSE),0%)</f>
        <v>0</v>
      </c>
      <c r="AMI7" s="5">
        <f>IFERROR(VLOOKUP(AMI$1,Dividendos!$B$24:$C$39,2,FALSE),0%)</f>
        <v>0</v>
      </c>
      <c r="AMJ7" s="5">
        <f>IFERROR(VLOOKUP(AMJ$1,Dividendos!$B$24:$C$39,2,FALSE),0%)</f>
        <v>0</v>
      </c>
      <c r="AMK7" s="5">
        <f>IFERROR(VLOOKUP(AMK$1,Dividendos!$B$24:$C$39,2,FALSE),0%)</f>
        <v>0</v>
      </c>
      <c r="AML7" s="5">
        <f>IFERROR(VLOOKUP(AML$1,Dividendos!$B$24:$C$39,2,FALSE),0%)</f>
        <v>0</v>
      </c>
      <c r="AMM7" s="5">
        <f>IFERROR(VLOOKUP(AMM$1,Dividendos!$B$24:$C$39,2,FALSE),0%)</f>
        <v>0</v>
      </c>
      <c r="AMN7" s="5">
        <f>IFERROR(VLOOKUP(AMN$1,Dividendos!$B$24:$C$39,2,FALSE),0%)</f>
        <v>0</v>
      </c>
      <c r="AMO7" s="5">
        <f>IFERROR(VLOOKUP(AMO$1,Dividendos!$B$24:$C$39,2,FALSE),0%)</f>
        <v>0</v>
      </c>
      <c r="AMP7" s="5">
        <f>IFERROR(VLOOKUP(AMP$1,Dividendos!$B$24:$C$39,2,FALSE),0%)</f>
        <v>0</v>
      </c>
      <c r="AMQ7" s="5">
        <f>IFERROR(VLOOKUP(AMQ$1,Dividendos!$B$24:$C$39,2,FALSE),0%)</f>
        <v>0</v>
      </c>
      <c r="AMR7" s="5">
        <f>IFERROR(VLOOKUP(AMR$1,Dividendos!$B$24:$C$39,2,FALSE),0%)</f>
        <v>0</v>
      </c>
      <c r="AMS7" s="5">
        <f>IFERROR(VLOOKUP(AMS$1,Dividendos!$B$24:$C$39,2,FALSE),0%)</f>
        <v>0</v>
      </c>
      <c r="AMT7" s="5">
        <f>IFERROR(VLOOKUP(AMT$1,Dividendos!$B$24:$C$39,2,FALSE),0%)</f>
        <v>0</v>
      </c>
      <c r="AMU7" s="5">
        <f>IFERROR(VLOOKUP(AMU$1,Dividendos!$B$24:$C$39,2,FALSE),0%)</f>
        <v>0</v>
      </c>
      <c r="AMV7" s="5">
        <f>IFERROR(VLOOKUP(AMV$1,Dividendos!$B$24:$C$39,2,FALSE),0%)</f>
        <v>0</v>
      </c>
      <c r="AMW7" s="5">
        <f>IFERROR(VLOOKUP(AMW$1,Dividendos!$B$24:$C$39,2,FALSE),0%)</f>
        <v>0</v>
      </c>
      <c r="AMX7" s="5">
        <f>IFERROR(VLOOKUP(AMX$1,Dividendos!$B$24:$C$39,2,FALSE),0%)</f>
        <v>0</v>
      </c>
      <c r="AMY7" s="5">
        <f>IFERROR(VLOOKUP(AMY$1,Dividendos!$B$24:$C$39,2,FALSE),0%)</f>
        <v>0</v>
      </c>
      <c r="AMZ7" s="5">
        <f>IFERROR(VLOOKUP(AMZ$1,Dividendos!$B$24:$C$39,2,FALSE),0%)</f>
        <v>0</v>
      </c>
      <c r="ANA7" s="5">
        <f>IFERROR(VLOOKUP(ANA$1,Dividendos!$B$24:$C$39,2,FALSE),0%)</f>
        <v>0</v>
      </c>
      <c r="ANB7" s="5">
        <f>IFERROR(VLOOKUP(ANB$1,Dividendos!$B$24:$C$39,2,FALSE),0%)</f>
        <v>0</v>
      </c>
      <c r="ANC7" s="5">
        <f>IFERROR(VLOOKUP(ANC$1,Dividendos!$B$24:$C$39,2,FALSE),0%)</f>
        <v>0</v>
      </c>
      <c r="AND7" s="5">
        <f>IFERROR(VLOOKUP(AND$1,Dividendos!$B$24:$C$39,2,FALSE),0%)</f>
        <v>0</v>
      </c>
      <c r="ANE7" s="5">
        <f>IFERROR(VLOOKUP(ANE$1,Dividendos!$B$24:$C$39,2,FALSE),0%)</f>
        <v>0</v>
      </c>
      <c r="ANF7" s="5">
        <f>IFERROR(VLOOKUP(ANF$1,Dividendos!$B$24:$C$39,2,FALSE),0%)</f>
        <v>0</v>
      </c>
      <c r="ANG7" s="5">
        <f>IFERROR(VLOOKUP(ANG$1,Dividendos!$B$24:$C$39,2,FALSE),0%)</f>
        <v>0</v>
      </c>
      <c r="ANH7" s="5">
        <f>IFERROR(VLOOKUP(ANH$1,Dividendos!$B$24:$C$39,2,FALSE),0%)</f>
        <v>0</v>
      </c>
      <c r="ANI7" s="5">
        <f>IFERROR(VLOOKUP(ANI$1,Dividendos!$B$24:$C$39,2,FALSE),0%)</f>
        <v>0</v>
      </c>
      <c r="ANJ7" s="5">
        <f>IFERROR(VLOOKUP(ANJ$1,Dividendos!$B$24:$C$39,2,FALSE),0%)</f>
        <v>0</v>
      </c>
      <c r="ANK7" s="5">
        <f>IFERROR(VLOOKUP(ANK$1,Dividendos!$B$24:$C$39,2,FALSE),0%)</f>
        <v>0</v>
      </c>
      <c r="ANL7" s="5">
        <f>IFERROR(VLOOKUP(ANL$1,Dividendos!$B$24:$C$39,2,FALSE),0%)</f>
        <v>0</v>
      </c>
      <c r="ANM7" s="5">
        <f>IFERROR(VLOOKUP(ANM$1,Dividendos!$B$24:$C$39,2,FALSE),0%)</f>
        <v>0</v>
      </c>
      <c r="ANN7" s="5">
        <f>IFERROR(VLOOKUP(ANN$1,Dividendos!$B$24:$C$39,2,FALSE),0%)</f>
        <v>0</v>
      </c>
      <c r="ANO7" s="5">
        <f>IFERROR(VLOOKUP(ANO$1,Dividendos!$B$24:$C$39,2,FALSE),0%)</f>
        <v>0</v>
      </c>
      <c r="ANP7" s="5">
        <f>IFERROR(VLOOKUP(ANP$1,Dividendos!$B$24:$C$39,2,FALSE),0%)</f>
        <v>0</v>
      </c>
      <c r="ANQ7" s="5">
        <f>IFERROR(VLOOKUP(ANQ$1,Dividendos!$B$24:$C$39,2,FALSE),0%)</f>
        <v>0</v>
      </c>
      <c r="ANR7" s="5">
        <f>IFERROR(VLOOKUP(ANR$1,Dividendos!$B$24:$C$39,2,FALSE),0%)</f>
        <v>0</v>
      </c>
      <c r="ANS7" s="5">
        <f>IFERROR(VLOOKUP(ANS$1,Dividendos!$B$24:$C$39,2,FALSE),0%)</f>
        <v>0</v>
      </c>
      <c r="ANT7" s="5">
        <f>IFERROR(VLOOKUP(ANT$1,Dividendos!$B$24:$C$39,2,FALSE),0%)</f>
        <v>0</v>
      </c>
      <c r="ANU7" s="5">
        <f>IFERROR(VLOOKUP(ANU$1,Dividendos!$B$24:$C$39,2,FALSE),0%)</f>
        <v>0</v>
      </c>
      <c r="ANV7" s="5">
        <f>IFERROR(VLOOKUP(ANV$1,Dividendos!$B$24:$C$39,2,FALSE),0%)</f>
        <v>0</v>
      </c>
      <c r="ANW7" s="5">
        <f>IFERROR(VLOOKUP(ANW$1,Dividendos!$B$24:$C$39,2,FALSE),0%)</f>
        <v>0</v>
      </c>
      <c r="ANX7" s="5">
        <f>IFERROR(VLOOKUP(ANX$1,Dividendos!$B$24:$C$39,2,FALSE),0%)</f>
        <v>0</v>
      </c>
      <c r="ANY7" s="5">
        <f>IFERROR(VLOOKUP(ANY$1,Dividendos!$B$24:$C$39,2,FALSE),0%)</f>
        <v>0</v>
      </c>
      <c r="ANZ7" s="5">
        <f>IFERROR(VLOOKUP(ANZ$1,Dividendos!$B$24:$C$39,2,FALSE),0%)</f>
        <v>0</v>
      </c>
      <c r="AOA7" s="5">
        <f>IFERROR(VLOOKUP(AOA$1,Dividendos!$B$24:$C$39,2,FALSE),0%)</f>
        <v>0</v>
      </c>
      <c r="AOB7" s="5">
        <f>IFERROR(VLOOKUP(AOB$1,Dividendos!$B$24:$C$39,2,FALSE),0%)</f>
        <v>0</v>
      </c>
      <c r="AOC7" s="5">
        <f>IFERROR(VLOOKUP(AOC$1,Dividendos!$B$24:$C$39,2,FALSE),0%)</f>
        <v>0</v>
      </c>
      <c r="AOD7" s="5">
        <f>IFERROR(VLOOKUP(AOD$1,Dividendos!$B$24:$C$39,2,FALSE),0%)</f>
        <v>0</v>
      </c>
      <c r="AOE7" s="5">
        <f>IFERROR(VLOOKUP(AOE$1,Dividendos!$B$24:$C$39,2,FALSE),0%)</f>
        <v>0</v>
      </c>
      <c r="AOF7" s="5">
        <f>IFERROR(VLOOKUP(AOF$1,Dividendos!$B$24:$C$39,2,FALSE),0%)</f>
        <v>0</v>
      </c>
      <c r="AOG7" s="5">
        <f>IFERROR(VLOOKUP(AOG$1,Dividendos!$B$24:$C$39,2,FALSE),0%)</f>
        <v>0</v>
      </c>
      <c r="AOH7" s="5">
        <f>IFERROR(VLOOKUP(AOH$1,Dividendos!$B$24:$C$39,2,FALSE),0%)</f>
        <v>0</v>
      </c>
      <c r="AOI7" s="5">
        <f>IFERROR(VLOOKUP(AOI$1,Dividendos!$B$24:$C$39,2,FALSE),0%)</f>
        <v>0</v>
      </c>
      <c r="AOJ7" s="5">
        <f>IFERROR(VLOOKUP(AOJ$1,Dividendos!$B$24:$C$39,2,FALSE),0%)</f>
        <v>0</v>
      </c>
      <c r="AOK7" s="5">
        <f>IFERROR(VLOOKUP(AOK$1,Dividendos!$B$24:$C$39,2,FALSE),0%)</f>
        <v>0</v>
      </c>
      <c r="AOL7" s="5">
        <f>IFERROR(VLOOKUP(AOL$1,Dividendos!$B$24:$C$39,2,FALSE),0%)</f>
        <v>0</v>
      </c>
      <c r="AOM7" s="5">
        <f>IFERROR(VLOOKUP(AOM$1,Dividendos!$B$24:$C$39,2,FALSE),0%)</f>
        <v>0</v>
      </c>
      <c r="AON7" s="5">
        <f>IFERROR(VLOOKUP(AON$1,Dividendos!$B$24:$C$39,2,FALSE),0%)</f>
        <v>0</v>
      </c>
      <c r="AOO7" s="5">
        <f>IFERROR(VLOOKUP(AOO$1,Dividendos!$B$24:$C$39,2,FALSE),0%)</f>
        <v>0</v>
      </c>
      <c r="AOP7" s="5">
        <f>IFERROR(VLOOKUP(AOP$1,Dividendos!$B$24:$C$39,2,FALSE),0%)</f>
        <v>0</v>
      </c>
      <c r="AOQ7" s="5">
        <f>IFERROR(VLOOKUP(AOQ$1,Dividendos!$B$24:$C$39,2,FALSE),0%)</f>
        <v>0</v>
      </c>
      <c r="AOR7" s="5">
        <f>IFERROR(VLOOKUP(AOR$1,Dividendos!$B$24:$C$39,2,FALSE),0%)</f>
        <v>0</v>
      </c>
      <c r="AOS7" s="5">
        <f>IFERROR(VLOOKUP(AOS$1,Dividendos!$B$24:$C$39,2,FALSE),0%)</f>
        <v>0</v>
      </c>
      <c r="AOT7" s="5">
        <f>IFERROR(VLOOKUP(AOT$1,Dividendos!$B$24:$C$39,2,FALSE),0%)</f>
        <v>0</v>
      </c>
      <c r="AOU7" s="5">
        <f>IFERROR(VLOOKUP(AOU$1,Dividendos!$B$24:$C$39,2,FALSE),0%)</f>
        <v>0</v>
      </c>
      <c r="AOV7" s="5">
        <f>IFERROR(VLOOKUP(AOV$1,Dividendos!$B$24:$C$39,2,FALSE),0%)</f>
        <v>0</v>
      </c>
      <c r="AOW7" s="5">
        <f>IFERROR(VLOOKUP(AOW$1,Dividendos!$B$24:$C$39,2,FALSE),0%)</f>
        <v>0</v>
      </c>
      <c r="AOX7" s="5">
        <f>IFERROR(VLOOKUP(AOX$1,Dividendos!$B$24:$C$39,2,FALSE),0%)</f>
        <v>0</v>
      </c>
      <c r="AOY7" s="5">
        <f>IFERROR(VLOOKUP(AOY$1,Dividendos!$B$24:$C$39,2,FALSE),0%)</f>
        <v>0</v>
      </c>
      <c r="AOZ7" s="5">
        <f>IFERROR(VLOOKUP(AOZ$1,Dividendos!$B$24:$C$39,2,FALSE),0%)</f>
        <v>0</v>
      </c>
      <c r="APA7" s="5">
        <f>IFERROR(VLOOKUP(APA$1,Dividendos!$B$24:$C$39,2,FALSE),0%)</f>
        <v>0</v>
      </c>
      <c r="APB7" s="5">
        <f>IFERROR(VLOOKUP(APB$1,Dividendos!$B$24:$C$39,2,FALSE),0%)</f>
        <v>0</v>
      </c>
      <c r="APC7" s="5">
        <f>IFERROR(VLOOKUP(APC$1,Dividendos!$B$24:$C$39,2,FALSE),0%)</f>
        <v>0</v>
      </c>
      <c r="APD7" s="5">
        <f>IFERROR(VLOOKUP(APD$1,Dividendos!$B$24:$C$39,2,FALSE),0%)</f>
        <v>0</v>
      </c>
      <c r="APE7" s="5">
        <f>IFERROR(VLOOKUP(APE$1,Dividendos!$B$24:$C$39,2,FALSE),0%)</f>
        <v>0</v>
      </c>
      <c r="APF7" s="5">
        <f>IFERROR(VLOOKUP(APF$1,Dividendos!$B$24:$C$39,2,FALSE),0%)</f>
        <v>0</v>
      </c>
      <c r="APG7" s="5">
        <f>IFERROR(VLOOKUP(APG$1,Dividendos!$B$24:$C$39,2,FALSE),0%)</f>
        <v>0</v>
      </c>
      <c r="APH7" s="5">
        <f>IFERROR(VLOOKUP(APH$1,Dividendos!$B$24:$C$39,2,FALSE),0%)</f>
        <v>0</v>
      </c>
      <c r="API7" s="5">
        <f>IFERROR(VLOOKUP(API$1,Dividendos!$B$24:$C$39,2,FALSE),0%)</f>
        <v>0</v>
      </c>
      <c r="APJ7" s="5">
        <f>IFERROR(VLOOKUP(APJ$1,Dividendos!$B$24:$C$39,2,FALSE),0%)</f>
        <v>0</v>
      </c>
      <c r="APK7" s="5">
        <f>IFERROR(VLOOKUP(APK$1,Dividendos!$B$24:$C$39,2,FALSE),0%)</f>
        <v>0</v>
      </c>
      <c r="APL7" s="5">
        <f>IFERROR(VLOOKUP(APL$1,Dividendos!$B$24:$C$39,2,FALSE),0%)</f>
        <v>0</v>
      </c>
      <c r="APM7" s="5">
        <f>IFERROR(VLOOKUP(APM$1,Dividendos!$B$24:$C$39,2,FALSE),0%)</f>
        <v>0</v>
      </c>
      <c r="APN7" s="5">
        <f>IFERROR(VLOOKUP(APN$1,Dividendos!$B$24:$C$39,2,FALSE),0%)</f>
        <v>0</v>
      </c>
      <c r="APO7" s="5">
        <f>IFERROR(VLOOKUP(APO$1,Dividendos!$B$24:$C$39,2,FALSE),0%)</f>
        <v>0</v>
      </c>
      <c r="APP7" s="5">
        <f>IFERROR(VLOOKUP(APP$1,Dividendos!$B$24:$C$39,2,FALSE),0%)</f>
        <v>0</v>
      </c>
      <c r="APQ7" s="5">
        <f>IFERROR(VLOOKUP(APQ$1,Dividendos!$B$24:$C$39,2,FALSE),0%)</f>
        <v>0</v>
      </c>
      <c r="APR7" s="5">
        <f>IFERROR(VLOOKUP(APR$1,Dividendos!$B$24:$C$39,2,FALSE),0%)</f>
        <v>0</v>
      </c>
      <c r="APS7" s="5">
        <f>IFERROR(VLOOKUP(APS$1,Dividendos!$B$24:$C$39,2,FALSE),0%)</f>
        <v>0</v>
      </c>
      <c r="APT7" s="5">
        <f>IFERROR(VLOOKUP(APT$1,Dividendos!$B$24:$C$39,2,FALSE),0%)</f>
        <v>0</v>
      </c>
      <c r="APU7" s="5">
        <f>IFERROR(VLOOKUP(APU$1,Dividendos!$B$24:$C$39,2,FALSE),0%)</f>
        <v>0</v>
      </c>
      <c r="APV7" s="5">
        <f>IFERROR(VLOOKUP(APV$1,Dividendos!$B$24:$C$39,2,FALSE),0%)</f>
        <v>0</v>
      </c>
      <c r="APW7" s="5">
        <f>IFERROR(VLOOKUP(APW$1,Dividendos!$B$24:$C$39,2,FALSE),0%)</f>
        <v>0</v>
      </c>
      <c r="APX7" s="5">
        <f>IFERROR(VLOOKUP(APX$1,Dividendos!$B$24:$C$39,2,FALSE),0%)</f>
        <v>0</v>
      </c>
      <c r="APY7" s="5">
        <f>IFERROR(VLOOKUP(APY$1,Dividendos!$B$24:$C$39,2,FALSE),0%)</f>
        <v>0</v>
      </c>
      <c r="APZ7" s="5">
        <f>IFERROR(VLOOKUP(APZ$1,Dividendos!$B$24:$C$39,2,FALSE),0%)</f>
        <v>0</v>
      </c>
      <c r="AQA7" s="5">
        <f>IFERROR(VLOOKUP(AQA$1,Dividendos!$B$24:$C$39,2,FALSE),0%)</f>
        <v>0</v>
      </c>
      <c r="AQB7" s="5">
        <f>IFERROR(VLOOKUP(AQB$1,Dividendos!$B$24:$C$39,2,FALSE),0%)</f>
        <v>0</v>
      </c>
      <c r="AQC7" s="5">
        <f>IFERROR(VLOOKUP(AQC$1,Dividendos!$B$24:$C$39,2,FALSE),0%)</f>
        <v>0</v>
      </c>
      <c r="AQD7" s="5">
        <f>IFERROR(VLOOKUP(AQD$1,Dividendos!$B$24:$C$39,2,FALSE),0%)</f>
        <v>0</v>
      </c>
      <c r="AQE7" s="5">
        <f>IFERROR(VLOOKUP(AQE$1,Dividendos!$B$24:$C$39,2,FALSE),0%)</f>
        <v>0</v>
      </c>
      <c r="AQF7" s="5">
        <f>IFERROR(VLOOKUP(AQF$1,Dividendos!$B$24:$C$39,2,FALSE),0%)</f>
        <v>0</v>
      </c>
      <c r="AQG7" s="5">
        <f>IFERROR(VLOOKUP(AQG$1,Dividendos!$B$24:$C$39,2,FALSE),0%)</f>
        <v>0</v>
      </c>
      <c r="AQH7" s="5">
        <f>IFERROR(VLOOKUP(AQH$1,Dividendos!$B$24:$C$39,2,FALSE),0%)</f>
        <v>0</v>
      </c>
      <c r="AQI7" s="5">
        <f>IFERROR(VLOOKUP(AQI$1,Dividendos!$B$24:$C$39,2,FALSE),0%)</f>
        <v>0</v>
      </c>
      <c r="AQJ7" s="5">
        <f>IFERROR(VLOOKUP(AQJ$1,Dividendos!$B$24:$C$39,2,FALSE),0%)</f>
        <v>0</v>
      </c>
      <c r="AQK7" s="5">
        <f>IFERROR(VLOOKUP(AQK$1,Dividendos!$B$24:$C$39,2,FALSE),0%)</f>
        <v>0</v>
      </c>
      <c r="AQL7" s="5">
        <f>IFERROR(VLOOKUP(AQL$1,Dividendos!$B$24:$C$39,2,FALSE),0%)</f>
        <v>0</v>
      </c>
      <c r="AQM7" s="5">
        <f>IFERROR(VLOOKUP(AQM$1,Dividendos!$B$24:$C$39,2,FALSE),0%)</f>
        <v>0</v>
      </c>
      <c r="AQN7" s="5">
        <f>IFERROR(VLOOKUP(AQN$1,Dividendos!$B$24:$C$39,2,FALSE),0%)</f>
        <v>0</v>
      </c>
      <c r="AQO7" s="5">
        <f>IFERROR(VLOOKUP(AQO$1,Dividendos!$B$24:$C$39,2,FALSE),0%)</f>
        <v>0</v>
      </c>
      <c r="AQP7" s="5">
        <f>IFERROR(VLOOKUP(AQP$1,Dividendos!$B$24:$C$39,2,FALSE),0%)</f>
        <v>0</v>
      </c>
      <c r="AQQ7" s="5">
        <f>IFERROR(VLOOKUP(AQQ$1,Dividendos!$B$24:$C$39,2,FALSE),0%)</f>
        <v>0</v>
      </c>
      <c r="AQR7" s="5">
        <f>IFERROR(VLOOKUP(AQR$1,Dividendos!$B$24:$C$39,2,FALSE),0%)</f>
        <v>0</v>
      </c>
      <c r="AQS7" s="5">
        <f>IFERROR(VLOOKUP(AQS$1,Dividendos!$B$24:$C$39,2,FALSE),0%)</f>
        <v>0</v>
      </c>
      <c r="AQT7" s="5">
        <f>IFERROR(VLOOKUP(AQT$1,Dividendos!$B$24:$C$39,2,FALSE),0%)</f>
        <v>0</v>
      </c>
      <c r="AQU7" s="5">
        <f>IFERROR(VLOOKUP(AQU$1,Dividendos!$B$24:$C$39,2,FALSE),0%)</f>
        <v>0</v>
      </c>
      <c r="AQV7" s="5">
        <f>IFERROR(VLOOKUP(AQV$1,Dividendos!$B$24:$C$39,2,FALSE),0%)</f>
        <v>0</v>
      </c>
      <c r="AQW7" s="5">
        <f>IFERROR(VLOOKUP(AQW$1,Dividendos!$B$24:$C$39,2,FALSE),0%)</f>
        <v>0</v>
      </c>
      <c r="AQX7" s="5">
        <f>IFERROR(VLOOKUP(AQX$1,Dividendos!$B$24:$C$39,2,FALSE),0%)</f>
        <v>0</v>
      </c>
      <c r="AQY7" s="5">
        <f>IFERROR(VLOOKUP(AQY$1,Dividendos!$B$24:$C$39,2,FALSE),0%)</f>
        <v>0</v>
      </c>
      <c r="AQZ7" s="5">
        <f>IFERROR(VLOOKUP(AQZ$1,Dividendos!$B$24:$C$39,2,FALSE),0%)</f>
        <v>0</v>
      </c>
      <c r="ARA7" s="5">
        <f>IFERROR(VLOOKUP(ARA$1,Dividendos!$B$24:$C$39,2,FALSE),0%)</f>
        <v>0</v>
      </c>
      <c r="ARB7" s="5">
        <f>IFERROR(VLOOKUP(ARB$1,Dividendos!$B$24:$C$39,2,FALSE),0%)</f>
        <v>0</v>
      </c>
      <c r="ARC7" s="5">
        <f>IFERROR(VLOOKUP(ARC$1,Dividendos!$B$24:$C$39,2,FALSE),0%)</f>
        <v>0</v>
      </c>
      <c r="ARD7" s="5">
        <f>IFERROR(VLOOKUP(ARD$1,Dividendos!$B$24:$C$39,2,FALSE),0%)</f>
        <v>0</v>
      </c>
      <c r="ARE7" s="5">
        <f>IFERROR(VLOOKUP(ARE$1,Dividendos!$B$24:$C$39,2,FALSE),0%)</f>
        <v>0</v>
      </c>
      <c r="ARF7" s="5">
        <f>IFERROR(VLOOKUP(ARF$1,Dividendos!$B$24:$C$39,2,FALSE),0%)</f>
        <v>0</v>
      </c>
      <c r="ARG7" s="5">
        <f>IFERROR(VLOOKUP(ARG$1,Dividendos!$B$24:$C$39,2,FALSE),0%)</f>
        <v>0</v>
      </c>
      <c r="ARH7" s="5">
        <f>IFERROR(VLOOKUP(ARH$1,Dividendos!$B$24:$C$39,2,FALSE),0%)</f>
        <v>0</v>
      </c>
      <c r="ARI7" s="5">
        <f>IFERROR(VLOOKUP(ARI$1,Dividendos!$B$24:$C$39,2,FALSE),0%)</f>
        <v>0</v>
      </c>
      <c r="ARJ7" s="5">
        <f>IFERROR(VLOOKUP(ARJ$1,Dividendos!$B$24:$C$39,2,FALSE),0%)</f>
        <v>0</v>
      </c>
      <c r="ARK7" s="5">
        <f>IFERROR(VLOOKUP(ARK$1,Dividendos!$B$24:$C$39,2,FALSE),0%)</f>
        <v>0</v>
      </c>
      <c r="ARL7" s="5">
        <f>IFERROR(VLOOKUP(ARL$1,Dividendos!$B$24:$C$39,2,FALSE),0%)</f>
        <v>0</v>
      </c>
      <c r="ARM7" s="5">
        <f>IFERROR(VLOOKUP(ARM$1,Dividendos!$B$24:$C$39,2,FALSE),0%)</f>
        <v>0</v>
      </c>
      <c r="ARN7" s="5">
        <f>IFERROR(VLOOKUP(ARN$1,Dividendos!$B$24:$C$39,2,FALSE),0%)</f>
        <v>0</v>
      </c>
      <c r="ARO7" s="5">
        <f>IFERROR(VLOOKUP(ARO$1,Dividendos!$B$24:$C$39,2,FALSE),0%)</f>
        <v>0</v>
      </c>
      <c r="ARP7" s="5">
        <f>IFERROR(VLOOKUP(ARP$1,Dividendos!$B$24:$C$39,2,FALSE),0%)</f>
        <v>0</v>
      </c>
      <c r="ARQ7" s="5">
        <f>IFERROR(VLOOKUP(ARQ$1,Dividendos!$B$24:$C$39,2,FALSE),0%)</f>
        <v>0</v>
      </c>
      <c r="ARR7" s="5">
        <f>IFERROR(VLOOKUP(ARR$1,Dividendos!$B$24:$C$39,2,FALSE),0%)</f>
        <v>0</v>
      </c>
      <c r="ARS7" s="5">
        <f>IFERROR(VLOOKUP(ARS$1,Dividendos!$B$24:$C$39,2,FALSE),0%)</f>
        <v>0</v>
      </c>
      <c r="ART7" s="5">
        <f>IFERROR(VLOOKUP(ART$1,Dividendos!$B$24:$C$39,2,FALSE),0%)</f>
        <v>0</v>
      </c>
      <c r="ARU7" s="5">
        <f>IFERROR(VLOOKUP(ARU$1,Dividendos!$B$24:$C$39,2,FALSE),0%)</f>
        <v>0</v>
      </c>
      <c r="ARV7" s="5">
        <f>IFERROR(VLOOKUP(ARV$1,Dividendos!$B$24:$C$39,2,FALSE),0%)</f>
        <v>0</v>
      </c>
      <c r="ARW7" s="5">
        <f>IFERROR(VLOOKUP(ARW$1,Dividendos!$B$24:$C$39,2,FALSE),0%)</f>
        <v>0</v>
      </c>
      <c r="ARX7" s="5">
        <f>IFERROR(VLOOKUP(ARX$1,Dividendos!$B$24:$C$39,2,FALSE),0%)</f>
        <v>0</v>
      </c>
      <c r="ARY7" s="5">
        <f>IFERROR(VLOOKUP(ARY$1,Dividendos!$B$24:$C$39,2,FALSE),0%)</f>
        <v>0</v>
      </c>
      <c r="ARZ7" s="5">
        <f>IFERROR(VLOOKUP(ARZ$1,Dividendos!$B$24:$C$39,2,FALSE),0%)</f>
        <v>0</v>
      </c>
      <c r="ASA7" s="5">
        <f>IFERROR(VLOOKUP(ASA$1,Dividendos!$B$24:$C$39,2,FALSE),0%)</f>
        <v>0</v>
      </c>
      <c r="ASB7" s="5">
        <f>IFERROR(VLOOKUP(ASB$1,Dividendos!$B$24:$C$39,2,FALSE),0%)</f>
        <v>0</v>
      </c>
      <c r="ASC7" s="5">
        <f>IFERROR(VLOOKUP(ASC$1,Dividendos!$B$24:$C$39,2,FALSE),0%)</f>
        <v>0</v>
      </c>
      <c r="ASD7" s="5">
        <f>IFERROR(VLOOKUP(ASD$1,Dividendos!$B$24:$C$39,2,FALSE),0%)</f>
        <v>0</v>
      </c>
      <c r="ASE7" s="5">
        <f>IFERROR(VLOOKUP(ASE$1,Dividendos!$B$24:$C$39,2,FALSE),0%)</f>
        <v>0</v>
      </c>
      <c r="ASF7" s="5">
        <f>IFERROR(VLOOKUP(ASF$1,Dividendos!$B$24:$C$39,2,FALSE),0%)</f>
        <v>0</v>
      </c>
      <c r="ASG7" s="5">
        <f>IFERROR(VLOOKUP(ASG$1,Dividendos!$B$24:$C$39,2,FALSE),0%)</f>
        <v>0</v>
      </c>
      <c r="ASH7" s="5">
        <f>IFERROR(VLOOKUP(ASH$1,Dividendos!$B$24:$C$39,2,FALSE),0%)</f>
        <v>0</v>
      </c>
      <c r="ASI7" s="5">
        <f>IFERROR(VLOOKUP(ASI$1,Dividendos!$B$24:$C$39,2,FALSE),0%)</f>
        <v>0</v>
      </c>
      <c r="ASJ7" s="5">
        <f>IFERROR(VLOOKUP(ASJ$1,Dividendos!$B$24:$C$39,2,FALSE),0%)</f>
        <v>0</v>
      </c>
      <c r="ASK7" s="5">
        <f>IFERROR(VLOOKUP(ASK$1,Dividendos!$B$24:$C$39,2,FALSE),0%)</f>
        <v>0</v>
      </c>
      <c r="ASL7" s="5">
        <f>IFERROR(VLOOKUP(ASL$1,Dividendos!$B$24:$C$39,2,FALSE),0%)</f>
        <v>0</v>
      </c>
      <c r="ASM7" s="5">
        <f>IFERROR(VLOOKUP(ASM$1,Dividendos!$B$24:$C$39,2,FALSE),0%)</f>
        <v>0</v>
      </c>
      <c r="ASN7" s="5">
        <f>IFERROR(VLOOKUP(ASN$1,Dividendos!$B$24:$C$39,2,FALSE),0%)</f>
        <v>0</v>
      </c>
      <c r="ASO7" s="5">
        <f>IFERROR(VLOOKUP(ASO$1,Dividendos!$B$24:$C$39,2,FALSE),0%)</f>
        <v>0</v>
      </c>
      <c r="ASP7" s="5">
        <f>IFERROR(VLOOKUP(ASP$1,Dividendos!$B$24:$C$39,2,FALSE),0%)</f>
        <v>0</v>
      </c>
      <c r="ASQ7" s="5">
        <f>IFERROR(VLOOKUP(ASQ$1,Dividendos!$B$24:$C$39,2,FALSE),0%)</f>
        <v>0</v>
      </c>
      <c r="ASR7" s="5">
        <f>IFERROR(VLOOKUP(ASR$1,Dividendos!$B$24:$C$39,2,FALSE),0%)</f>
        <v>0</v>
      </c>
      <c r="ASS7" s="5">
        <f>IFERROR(VLOOKUP(ASS$1,Dividendos!$B$24:$C$39,2,FALSE),0%)</f>
        <v>0</v>
      </c>
      <c r="AST7" s="5">
        <f>IFERROR(VLOOKUP(AST$1,Dividendos!$B$24:$C$39,2,FALSE),0%)</f>
        <v>0</v>
      </c>
      <c r="ASU7" s="5">
        <f>IFERROR(VLOOKUP(ASU$1,Dividendos!$B$24:$C$39,2,FALSE),0%)</f>
        <v>0</v>
      </c>
      <c r="ASV7" s="5">
        <f>IFERROR(VLOOKUP(ASV$1,Dividendos!$B$24:$C$39,2,FALSE),0%)</f>
        <v>0</v>
      </c>
      <c r="ASW7" s="5">
        <f>IFERROR(VLOOKUP(ASW$1,Dividendos!$B$24:$C$39,2,FALSE),0%)</f>
        <v>0</v>
      </c>
      <c r="ASX7" s="5">
        <f>IFERROR(VLOOKUP(ASX$1,Dividendos!$B$24:$C$39,2,FALSE),0%)</f>
        <v>0</v>
      </c>
      <c r="ASY7" s="5">
        <f>IFERROR(VLOOKUP(ASY$1,Dividendos!$B$24:$C$39,2,FALSE),0%)</f>
        <v>0</v>
      </c>
      <c r="ASZ7" s="5">
        <f>IFERROR(VLOOKUP(ASZ$1,Dividendos!$B$24:$C$39,2,FALSE),0%)</f>
        <v>0</v>
      </c>
      <c r="ATA7" s="5">
        <f>IFERROR(VLOOKUP(ATA$1,Dividendos!$B$24:$C$39,2,FALSE),0%)</f>
        <v>0</v>
      </c>
      <c r="ATB7" s="5">
        <f>IFERROR(VLOOKUP(ATB$1,Dividendos!$B$24:$C$39,2,FALSE),0%)</f>
        <v>0</v>
      </c>
      <c r="ATC7" s="5">
        <f>IFERROR(VLOOKUP(ATC$1,Dividendos!$B$24:$C$39,2,FALSE),0%)</f>
        <v>0</v>
      </c>
      <c r="ATD7" s="5">
        <f>IFERROR(VLOOKUP(ATD$1,Dividendos!$B$24:$C$39,2,FALSE),0%)</f>
        <v>0</v>
      </c>
      <c r="ATE7" s="5">
        <f>IFERROR(VLOOKUP(ATE$1,Dividendos!$B$24:$C$39,2,FALSE),0%)</f>
        <v>0</v>
      </c>
      <c r="ATF7" s="5">
        <f>IFERROR(VLOOKUP(ATF$1,Dividendos!$B$24:$C$39,2,FALSE),0%)</f>
        <v>0</v>
      </c>
      <c r="ATG7" s="5">
        <f>IFERROR(VLOOKUP(ATG$1,Dividendos!$B$24:$C$39,2,FALSE),0%)</f>
        <v>0</v>
      </c>
      <c r="ATH7" s="5">
        <f>IFERROR(VLOOKUP(ATH$1,Dividendos!$B$24:$C$39,2,FALSE),0%)</f>
        <v>0</v>
      </c>
      <c r="ATI7" s="5">
        <f>IFERROR(VLOOKUP(ATI$1,Dividendos!$B$24:$C$39,2,FALSE),0%)</f>
        <v>0</v>
      </c>
      <c r="ATJ7" s="5">
        <f>IFERROR(VLOOKUP(ATJ$1,Dividendos!$B$24:$C$39,2,FALSE),0%)</f>
        <v>0</v>
      </c>
      <c r="ATK7" s="5">
        <f>IFERROR(VLOOKUP(ATK$1,Dividendos!$B$24:$C$39,2,FALSE),0%)</f>
        <v>0</v>
      </c>
      <c r="ATL7" s="5">
        <f>IFERROR(VLOOKUP(ATL$1,Dividendos!$B$24:$C$39,2,FALSE),0%)</f>
        <v>0</v>
      </c>
      <c r="ATM7" s="5">
        <f>IFERROR(VLOOKUP(ATM$1,Dividendos!$B$24:$C$39,2,FALSE),0%)</f>
        <v>0</v>
      </c>
      <c r="ATN7" s="5">
        <f>IFERROR(VLOOKUP(ATN$1,Dividendos!$B$24:$C$39,2,FALSE),0%)</f>
        <v>0</v>
      </c>
      <c r="ATO7" s="5">
        <f>IFERROR(VLOOKUP(ATO$1,Dividendos!$B$24:$C$39,2,FALSE),0%)</f>
        <v>0</v>
      </c>
      <c r="ATP7" s="5">
        <f>IFERROR(VLOOKUP(ATP$1,Dividendos!$B$24:$C$39,2,FALSE),0%)</f>
        <v>0</v>
      </c>
      <c r="ATQ7" s="5">
        <f>IFERROR(VLOOKUP(ATQ$1,Dividendos!$B$24:$C$39,2,FALSE),0%)</f>
        <v>0</v>
      </c>
      <c r="ATR7" s="5">
        <f>IFERROR(VLOOKUP(ATR$1,Dividendos!$B$24:$C$39,2,FALSE),0%)</f>
        <v>0</v>
      </c>
      <c r="ATS7" s="5">
        <f>IFERROR(VLOOKUP(ATS$1,Dividendos!$B$24:$C$39,2,FALSE),0%)</f>
        <v>0</v>
      </c>
      <c r="ATT7" s="5">
        <f>IFERROR(VLOOKUP(ATT$1,Dividendos!$B$24:$C$39,2,FALSE),0%)</f>
        <v>0</v>
      </c>
      <c r="ATU7" s="5">
        <f>IFERROR(VLOOKUP(ATU$1,Dividendos!$B$24:$C$39,2,FALSE),0%)</f>
        <v>0</v>
      </c>
      <c r="ATV7" s="5">
        <f>IFERROR(VLOOKUP(ATV$1,Dividendos!$B$24:$C$39,2,FALSE),0%)</f>
        <v>0</v>
      </c>
      <c r="ATW7" s="5">
        <f>IFERROR(VLOOKUP(ATW$1,Dividendos!$B$24:$C$39,2,FALSE),0%)</f>
        <v>0</v>
      </c>
      <c r="ATX7" s="5">
        <f>IFERROR(VLOOKUP(ATX$1,Dividendos!$B$24:$C$39,2,FALSE),0%)</f>
        <v>0</v>
      </c>
      <c r="ATY7" s="5">
        <f>IFERROR(VLOOKUP(ATY$1,Dividendos!$B$24:$C$39,2,FALSE),0%)</f>
        <v>0</v>
      </c>
      <c r="ATZ7" s="5">
        <f>IFERROR(VLOOKUP(ATZ$1,Dividendos!$B$24:$C$39,2,FALSE),0%)</f>
        <v>0</v>
      </c>
      <c r="AUA7" s="5">
        <f>IFERROR(VLOOKUP(AUA$1,Dividendos!$B$24:$C$39,2,FALSE),0%)</f>
        <v>0</v>
      </c>
      <c r="AUB7" s="5">
        <f>IFERROR(VLOOKUP(AUB$1,Dividendos!$B$24:$C$39,2,FALSE),0%)</f>
        <v>0</v>
      </c>
      <c r="AUC7" s="5">
        <f>IFERROR(VLOOKUP(AUC$1,Dividendos!$B$24:$C$39,2,FALSE),0%)</f>
        <v>0</v>
      </c>
      <c r="AUD7" s="5">
        <f>IFERROR(VLOOKUP(AUD$1,Dividendos!$B$24:$C$39,2,FALSE),0%)</f>
        <v>0</v>
      </c>
      <c r="AUE7" s="5">
        <f>IFERROR(VLOOKUP(AUE$1,Dividendos!$B$24:$C$39,2,FALSE),0%)</f>
        <v>0</v>
      </c>
      <c r="AUF7" s="5">
        <f>IFERROR(VLOOKUP(AUF$1,Dividendos!$B$24:$C$39,2,FALSE),0%)</f>
        <v>0</v>
      </c>
      <c r="AUG7" s="5">
        <f>IFERROR(VLOOKUP(AUG$1,Dividendos!$B$24:$C$39,2,FALSE),0%)</f>
        <v>0</v>
      </c>
      <c r="AUH7" s="5">
        <f>IFERROR(VLOOKUP(AUH$1,Dividendos!$B$24:$C$39,2,FALSE),0%)</f>
        <v>0</v>
      </c>
      <c r="AUI7" s="5">
        <f>IFERROR(VLOOKUP(AUI$1,Dividendos!$B$24:$C$39,2,FALSE),0%)</f>
        <v>0</v>
      </c>
      <c r="AUJ7" s="5">
        <f>IFERROR(VLOOKUP(AUJ$1,Dividendos!$B$24:$C$39,2,FALSE),0%)</f>
        <v>0</v>
      </c>
      <c r="AUK7" s="5">
        <f>IFERROR(VLOOKUP(AUK$1,Dividendos!$B$24:$C$39,2,FALSE),0%)</f>
        <v>0</v>
      </c>
      <c r="AUL7" s="5">
        <f>IFERROR(VLOOKUP(AUL$1,Dividendos!$B$24:$C$39,2,FALSE),0%)</f>
        <v>0</v>
      </c>
      <c r="AUM7" s="5">
        <f>IFERROR(VLOOKUP(AUM$1,Dividendos!$B$24:$C$39,2,FALSE),0%)</f>
        <v>0</v>
      </c>
      <c r="AUN7" s="5">
        <f>IFERROR(VLOOKUP(AUN$1,Dividendos!$B$24:$C$39,2,FALSE),0%)</f>
        <v>0</v>
      </c>
      <c r="AUO7" s="5">
        <f>IFERROR(VLOOKUP(AUO$1,Dividendos!$B$24:$C$39,2,FALSE),0%)</f>
        <v>0</v>
      </c>
      <c r="AUP7" s="5">
        <f>IFERROR(VLOOKUP(AUP$1,Dividendos!$B$24:$C$39,2,FALSE),0%)</f>
        <v>0</v>
      </c>
      <c r="AUQ7" s="5">
        <f>IFERROR(VLOOKUP(AUQ$1,Dividendos!$B$24:$C$39,2,FALSE),0%)</f>
        <v>0</v>
      </c>
      <c r="AUR7" s="5">
        <f>IFERROR(VLOOKUP(AUR$1,Dividendos!$B$24:$C$39,2,FALSE),0%)</f>
        <v>0</v>
      </c>
      <c r="AUS7" s="5">
        <f>IFERROR(VLOOKUP(AUS$1,Dividendos!$B$24:$C$39,2,FALSE),0%)</f>
        <v>0</v>
      </c>
      <c r="AUT7" s="5">
        <f>IFERROR(VLOOKUP(AUT$1,Dividendos!$B$24:$C$39,2,FALSE),0%)</f>
        <v>0</v>
      </c>
      <c r="AUU7" s="5">
        <f>IFERROR(VLOOKUP(AUU$1,Dividendos!$B$24:$C$39,2,FALSE),0%)</f>
        <v>0</v>
      </c>
      <c r="AUV7" s="5">
        <f>IFERROR(VLOOKUP(AUV$1,Dividendos!$B$24:$C$39,2,FALSE),0%)</f>
        <v>0</v>
      </c>
      <c r="AUW7" s="5">
        <f>IFERROR(VLOOKUP(AUW$1,Dividendos!$B$24:$C$39,2,FALSE),0%)</f>
        <v>0</v>
      </c>
      <c r="AUX7" s="5">
        <f>IFERROR(VLOOKUP(AUX$1,Dividendos!$B$24:$C$39,2,FALSE),0%)</f>
        <v>0</v>
      </c>
      <c r="AUY7" s="5">
        <f>IFERROR(VLOOKUP(AUY$1,Dividendos!$B$24:$C$39,2,FALSE),0%)</f>
        <v>0</v>
      </c>
      <c r="AUZ7" s="5">
        <f>IFERROR(VLOOKUP(AUZ$1,Dividendos!$B$24:$C$39,2,FALSE),0%)</f>
        <v>0</v>
      </c>
      <c r="AVA7" s="5">
        <f>IFERROR(VLOOKUP(AVA$1,Dividendos!$B$24:$C$39,2,FALSE),0%)</f>
        <v>0</v>
      </c>
      <c r="AVB7" s="5">
        <f>IFERROR(VLOOKUP(AVB$1,Dividendos!$B$24:$C$39,2,FALSE),0%)</f>
        <v>0</v>
      </c>
      <c r="AVC7" s="5">
        <f>IFERROR(VLOOKUP(AVC$1,Dividendos!$B$24:$C$39,2,FALSE),0%)</f>
        <v>0</v>
      </c>
      <c r="AVD7" s="5">
        <f>IFERROR(VLOOKUP(AVD$1,Dividendos!$B$24:$C$39,2,FALSE),0%)</f>
        <v>0</v>
      </c>
      <c r="AVE7" s="5">
        <f>IFERROR(VLOOKUP(AVE$1,Dividendos!$B$24:$C$39,2,FALSE),0%)</f>
        <v>0</v>
      </c>
      <c r="AVF7" s="5">
        <f>IFERROR(VLOOKUP(AVF$1,Dividendos!$B$24:$C$39,2,FALSE),0%)</f>
        <v>0</v>
      </c>
      <c r="AVG7" s="5">
        <f>IFERROR(VLOOKUP(AVG$1,Dividendos!$B$24:$C$39,2,FALSE),0%)</f>
        <v>0</v>
      </c>
      <c r="AVH7" s="5">
        <f>IFERROR(VLOOKUP(AVH$1,Dividendos!$B$24:$C$39,2,FALSE),0%)</f>
        <v>0</v>
      </c>
      <c r="AVI7" s="5">
        <f>IFERROR(VLOOKUP(AVI$1,Dividendos!$B$24:$C$39,2,FALSE),0%)</f>
        <v>0</v>
      </c>
      <c r="AVJ7" s="5">
        <f>IFERROR(VLOOKUP(AVJ$1,Dividendos!$B$24:$C$39,2,FALSE),0%)</f>
        <v>0</v>
      </c>
      <c r="AVK7" s="5">
        <f>IFERROR(VLOOKUP(AVK$1,Dividendos!$B$24:$C$39,2,FALSE),0%)</f>
        <v>0</v>
      </c>
      <c r="AVL7" s="5">
        <f>IFERROR(VLOOKUP(AVL$1,Dividendos!$B$24:$C$39,2,FALSE),0%)</f>
        <v>0</v>
      </c>
      <c r="AVM7" s="5">
        <f>IFERROR(VLOOKUP(AVM$1,Dividendos!$B$24:$C$39,2,FALSE),0%)</f>
        <v>0</v>
      </c>
      <c r="AVN7" s="5">
        <f>IFERROR(VLOOKUP(AVN$1,Dividendos!$B$24:$C$39,2,FALSE),0%)</f>
        <v>0</v>
      </c>
      <c r="AVO7" s="5">
        <f>IFERROR(VLOOKUP(AVO$1,Dividendos!$B$24:$C$39,2,FALSE),0%)</f>
        <v>0</v>
      </c>
      <c r="AVP7" s="5">
        <f>IFERROR(VLOOKUP(AVP$1,Dividendos!$B$24:$C$39,2,FALSE),0%)</f>
        <v>0</v>
      </c>
      <c r="AVQ7" s="5">
        <f>IFERROR(VLOOKUP(AVQ$1,Dividendos!$B$24:$C$39,2,FALSE),0%)</f>
        <v>0</v>
      </c>
      <c r="AVR7" s="5">
        <f>IFERROR(VLOOKUP(AVR$1,Dividendos!$B$24:$C$39,2,FALSE),0%)</f>
        <v>0</v>
      </c>
      <c r="AVS7" s="5">
        <f>IFERROR(VLOOKUP(AVS$1,Dividendos!$B$24:$C$39,2,FALSE),0%)</f>
        <v>0</v>
      </c>
      <c r="AVT7" s="5">
        <f>IFERROR(VLOOKUP(AVT$1,Dividendos!$B$24:$C$39,2,FALSE),0%)</f>
        <v>0</v>
      </c>
      <c r="AVU7" s="5">
        <f>IFERROR(VLOOKUP(AVU$1,Dividendos!$B$24:$C$39,2,FALSE),0%)</f>
        <v>0</v>
      </c>
      <c r="AVV7" s="5">
        <f>IFERROR(VLOOKUP(AVV$1,Dividendos!$B$24:$C$39,2,FALSE),0%)</f>
        <v>0</v>
      </c>
      <c r="AVW7" s="5">
        <f>IFERROR(VLOOKUP(AVW$1,Dividendos!$B$24:$C$39,2,FALSE),0%)</f>
        <v>0</v>
      </c>
      <c r="AVX7" s="5">
        <f>IFERROR(VLOOKUP(AVX$1,Dividendos!$B$24:$C$39,2,FALSE),0%)</f>
        <v>0</v>
      </c>
      <c r="AVY7" s="5">
        <f>IFERROR(VLOOKUP(AVY$1,Dividendos!$B$24:$C$39,2,FALSE),0%)</f>
        <v>0</v>
      </c>
      <c r="AVZ7" s="5">
        <f>IFERROR(VLOOKUP(AVZ$1,Dividendos!$B$24:$C$39,2,FALSE),0%)</f>
        <v>0</v>
      </c>
      <c r="AWA7" s="5">
        <f>IFERROR(VLOOKUP(AWA$1,Dividendos!$B$24:$C$39,2,FALSE),0%)</f>
        <v>0</v>
      </c>
      <c r="AWB7" s="5">
        <f>IFERROR(VLOOKUP(AWB$1,Dividendos!$B$24:$C$39,2,FALSE),0%)</f>
        <v>0</v>
      </c>
      <c r="AWC7" s="5">
        <f>IFERROR(VLOOKUP(AWC$1,Dividendos!$B$24:$C$39,2,FALSE),0%)</f>
        <v>0</v>
      </c>
      <c r="AWD7" s="5">
        <f>IFERROR(VLOOKUP(AWD$1,Dividendos!$B$24:$C$39,2,FALSE),0%)</f>
        <v>0</v>
      </c>
      <c r="AWE7" s="5">
        <f>IFERROR(VLOOKUP(AWE$1,Dividendos!$B$24:$C$39,2,FALSE),0%)</f>
        <v>0</v>
      </c>
      <c r="AWF7" s="5">
        <f>IFERROR(VLOOKUP(AWF$1,Dividendos!$B$24:$C$39,2,FALSE),0%)</f>
        <v>0</v>
      </c>
      <c r="AWG7" s="5">
        <f>IFERROR(VLOOKUP(AWG$1,Dividendos!$B$24:$C$39,2,FALSE),0%)</f>
        <v>0</v>
      </c>
      <c r="AWH7" s="5">
        <f>IFERROR(VLOOKUP(AWH$1,Dividendos!$B$24:$C$39,2,FALSE),0%)</f>
        <v>0</v>
      </c>
      <c r="AWI7" s="5">
        <f>IFERROR(VLOOKUP(AWI$1,Dividendos!$B$24:$C$39,2,FALSE),0%)</f>
        <v>0</v>
      </c>
      <c r="AWJ7" s="5">
        <f>IFERROR(VLOOKUP(AWJ$1,Dividendos!$B$24:$C$39,2,FALSE),0%)</f>
        <v>0</v>
      </c>
      <c r="AWK7" s="5">
        <f>IFERROR(VLOOKUP(AWK$1,Dividendos!$B$24:$C$39,2,FALSE),0%)</f>
        <v>0</v>
      </c>
      <c r="AWL7" s="5">
        <f>IFERROR(VLOOKUP(AWL$1,Dividendos!$B$24:$C$39,2,FALSE),0%)</f>
        <v>0</v>
      </c>
      <c r="AWM7" s="5">
        <f>IFERROR(VLOOKUP(AWM$1,Dividendos!$B$24:$C$39,2,FALSE),0%)</f>
        <v>0</v>
      </c>
      <c r="AWN7" s="5">
        <f>IFERROR(VLOOKUP(AWN$1,Dividendos!$B$24:$C$39,2,FALSE),0%)</f>
        <v>0</v>
      </c>
      <c r="AWO7" s="5">
        <f>IFERROR(VLOOKUP(AWO$1,Dividendos!$B$24:$C$39,2,FALSE),0%)</f>
        <v>0</v>
      </c>
      <c r="AWP7" s="5">
        <f>IFERROR(VLOOKUP(AWP$1,Dividendos!$B$24:$C$39,2,FALSE),0%)</f>
        <v>0</v>
      </c>
      <c r="AWQ7" s="5">
        <f>IFERROR(VLOOKUP(AWQ$1,Dividendos!$B$24:$C$39,2,FALSE),0%)</f>
        <v>0</v>
      </c>
      <c r="AWR7" s="5">
        <f>IFERROR(VLOOKUP(AWR$1,Dividendos!$B$24:$C$39,2,FALSE),0%)</f>
        <v>0</v>
      </c>
      <c r="AWS7" s="5">
        <f>IFERROR(VLOOKUP(AWS$1,Dividendos!$B$24:$C$39,2,FALSE),0%)</f>
        <v>0</v>
      </c>
      <c r="AWT7" s="5">
        <f>IFERROR(VLOOKUP(AWT$1,Dividendos!$B$24:$C$39,2,FALSE),0%)</f>
        <v>0</v>
      </c>
      <c r="AWU7" s="5">
        <f>IFERROR(VLOOKUP(AWU$1,Dividendos!$B$24:$C$39,2,FALSE),0%)</f>
        <v>0</v>
      </c>
      <c r="AWV7" s="5">
        <f>IFERROR(VLOOKUP(AWV$1,Dividendos!$B$24:$C$39,2,FALSE),0%)</f>
        <v>0</v>
      </c>
      <c r="AWW7" s="5">
        <f>IFERROR(VLOOKUP(AWW$1,Dividendos!$B$24:$C$39,2,FALSE),0%)</f>
        <v>0</v>
      </c>
      <c r="AWX7" s="5">
        <f>IFERROR(VLOOKUP(AWX$1,Dividendos!$B$24:$C$39,2,FALSE),0%)</f>
        <v>0</v>
      </c>
      <c r="AWY7" s="5">
        <f>IFERROR(VLOOKUP(AWY$1,Dividendos!$B$24:$C$39,2,FALSE),0%)</f>
        <v>0</v>
      </c>
      <c r="AWZ7" s="5">
        <f>IFERROR(VLOOKUP(AWZ$1,Dividendos!$B$24:$C$39,2,FALSE),0%)</f>
        <v>0</v>
      </c>
      <c r="AXA7" s="5">
        <f>IFERROR(VLOOKUP(AXA$1,Dividendos!$B$24:$C$39,2,FALSE),0%)</f>
        <v>0</v>
      </c>
      <c r="AXB7" s="5">
        <f>IFERROR(VLOOKUP(AXB$1,Dividendos!$B$24:$C$39,2,FALSE),0%)</f>
        <v>0</v>
      </c>
      <c r="AXC7" s="5">
        <f>IFERROR(VLOOKUP(AXC$1,Dividendos!$B$24:$C$39,2,FALSE),0%)</f>
        <v>0</v>
      </c>
      <c r="AXD7" s="5">
        <f>IFERROR(VLOOKUP(AXD$1,Dividendos!$B$24:$C$39,2,FALSE),0%)</f>
        <v>0</v>
      </c>
      <c r="AXE7" s="5">
        <f>IFERROR(VLOOKUP(AXE$1,Dividendos!$B$24:$C$39,2,FALSE),0%)</f>
        <v>0</v>
      </c>
      <c r="AXF7" s="5">
        <f>IFERROR(VLOOKUP(AXF$1,Dividendos!$B$24:$C$39,2,FALSE),0%)</f>
        <v>0</v>
      </c>
      <c r="AXG7" s="5">
        <f>IFERROR(VLOOKUP(AXG$1,Dividendos!$B$24:$C$39,2,FALSE),0%)</f>
        <v>0</v>
      </c>
      <c r="AXH7" s="5">
        <f>IFERROR(VLOOKUP(AXH$1,Dividendos!$B$24:$C$39,2,FALSE),0%)</f>
        <v>0</v>
      </c>
      <c r="AXI7" s="5">
        <f>IFERROR(VLOOKUP(AXI$1,Dividendos!$B$24:$C$39,2,FALSE),0%)</f>
        <v>0</v>
      </c>
      <c r="AXJ7" s="5">
        <f>IFERROR(VLOOKUP(AXJ$1,Dividendos!$B$24:$C$39,2,FALSE),0%)</f>
        <v>0</v>
      </c>
      <c r="AXK7" s="5">
        <f>IFERROR(VLOOKUP(AXK$1,Dividendos!$B$24:$C$39,2,FALSE),0%)</f>
        <v>0</v>
      </c>
      <c r="AXL7" s="5">
        <f>IFERROR(VLOOKUP(AXL$1,Dividendos!$B$24:$C$39,2,FALSE),0%)</f>
        <v>0</v>
      </c>
      <c r="AXM7" s="5">
        <f>IFERROR(VLOOKUP(AXM$1,Dividendos!$B$24:$C$39,2,FALSE),0%)</f>
        <v>0</v>
      </c>
      <c r="AXN7" s="5">
        <f>IFERROR(VLOOKUP(AXN$1,Dividendos!$B$24:$C$39,2,FALSE),0%)</f>
        <v>0</v>
      </c>
      <c r="AXO7" s="5">
        <f>IFERROR(VLOOKUP(AXO$1,Dividendos!$B$24:$C$39,2,FALSE),0%)</f>
        <v>0</v>
      </c>
      <c r="AXP7" s="5">
        <f>IFERROR(VLOOKUP(AXP$1,Dividendos!$B$24:$C$39,2,FALSE),0%)</f>
        <v>0</v>
      </c>
      <c r="AXQ7" s="5">
        <f>IFERROR(VLOOKUP(AXQ$1,Dividendos!$B$24:$C$39,2,FALSE),0%)</f>
        <v>0</v>
      </c>
      <c r="AXR7" s="5">
        <f>IFERROR(VLOOKUP(AXR$1,Dividendos!$B$24:$C$39,2,FALSE),0%)</f>
        <v>0</v>
      </c>
      <c r="AXS7" s="5">
        <f>IFERROR(VLOOKUP(AXS$1,Dividendos!$B$24:$C$39,2,FALSE),0%)</f>
        <v>0</v>
      </c>
      <c r="AXT7" s="5">
        <f>IFERROR(VLOOKUP(AXT$1,Dividendos!$B$24:$C$39,2,FALSE),0%)</f>
        <v>0</v>
      </c>
      <c r="AXU7" s="5">
        <f>IFERROR(VLOOKUP(AXU$1,Dividendos!$B$24:$C$39,2,FALSE),0%)</f>
        <v>0</v>
      </c>
      <c r="AXV7" s="5">
        <f>IFERROR(VLOOKUP(AXV$1,Dividendos!$B$24:$C$39,2,FALSE),0%)</f>
        <v>0</v>
      </c>
      <c r="AXW7" s="5">
        <f>IFERROR(VLOOKUP(AXW$1,Dividendos!$B$24:$C$39,2,FALSE),0%)</f>
        <v>0</v>
      </c>
      <c r="AXX7" s="5">
        <f>IFERROR(VLOOKUP(AXX$1,Dividendos!$B$24:$C$39,2,FALSE),0%)</f>
        <v>0</v>
      </c>
      <c r="AXY7" s="5">
        <f>IFERROR(VLOOKUP(AXY$1,Dividendos!$B$24:$C$39,2,FALSE),0%)</f>
        <v>0</v>
      </c>
      <c r="AXZ7" s="5">
        <f>IFERROR(VLOOKUP(AXZ$1,Dividendos!$B$24:$C$39,2,FALSE),0%)</f>
        <v>0</v>
      </c>
      <c r="AYA7" s="5">
        <f>IFERROR(VLOOKUP(AYA$1,Dividendos!$B$24:$C$39,2,FALSE),0%)</f>
        <v>0</v>
      </c>
      <c r="AYB7" s="5">
        <f>IFERROR(VLOOKUP(AYB$1,Dividendos!$B$24:$C$39,2,FALSE),0%)</f>
        <v>0</v>
      </c>
      <c r="AYC7" s="5">
        <f>IFERROR(VLOOKUP(AYC$1,Dividendos!$B$24:$C$39,2,FALSE),0%)</f>
        <v>0</v>
      </c>
      <c r="AYD7" s="5">
        <f>IFERROR(VLOOKUP(AYD$1,Dividendos!$B$24:$C$39,2,FALSE),0%)</f>
        <v>0</v>
      </c>
      <c r="AYE7" s="5">
        <f>IFERROR(VLOOKUP(AYE$1,Dividendos!$B$24:$C$39,2,FALSE),0%)</f>
        <v>0</v>
      </c>
      <c r="AYF7" s="5">
        <f>IFERROR(VLOOKUP(AYF$1,Dividendos!$B$24:$C$39,2,FALSE),0%)</f>
        <v>0</v>
      </c>
      <c r="AYG7" s="5">
        <f>IFERROR(VLOOKUP(AYG$1,Dividendos!$B$24:$C$39,2,FALSE),0%)</f>
        <v>0</v>
      </c>
      <c r="AYH7" s="5">
        <f>IFERROR(VLOOKUP(AYH$1,Dividendos!$B$24:$C$39,2,FALSE),0%)</f>
        <v>0</v>
      </c>
      <c r="AYI7" s="5">
        <f>IFERROR(VLOOKUP(AYI$1,Dividendos!$B$24:$C$39,2,FALSE),0%)</f>
        <v>0</v>
      </c>
      <c r="AYJ7" s="5">
        <f>IFERROR(VLOOKUP(AYJ$1,Dividendos!$B$24:$C$39,2,FALSE),0%)</f>
        <v>0</v>
      </c>
      <c r="AYK7" s="5">
        <f>IFERROR(VLOOKUP(AYK$1,Dividendos!$B$24:$C$39,2,FALSE),0%)</f>
        <v>0</v>
      </c>
      <c r="AYL7" s="5">
        <f>IFERROR(VLOOKUP(AYL$1,Dividendos!$B$24:$C$39,2,FALSE),0%)</f>
        <v>0</v>
      </c>
      <c r="AYM7" s="5">
        <f>IFERROR(VLOOKUP(AYM$1,Dividendos!$B$24:$C$39,2,FALSE),0%)</f>
        <v>0</v>
      </c>
      <c r="AYN7" s="5">
        <f>IFERROR(VLOOKUP(AYN$1,Dividendos!$B$24:$C$39,2,FALSE),0%)</f>
        <v>0</v>
      </c>
      <c r="AYO7" s="5">
        <f>IFERROR(VLOOKUP(AYO$1,Dividendos!$B$24:$C$39,2,FALSE),0%)</f>
        <v>0</v>
      </c>
      <c r="AYP7" s="5">
        <f>IFERROR(VLOOKUP(AYP$1,Dividendos!$B$24:$C$39,2,FALSE),0%)</f>
        <v>0</v>
      </c>
      <c r="AYQ7" s="5">
        <f>IFERROR(VLOOKUP(AYQ$1,Dividendos!$B$24:$C$39,2,FALSE),0%)</f>
        <v>0</v>
      </c>
      <c r="AYR7" s="5">
        <f>IFERROR(VLOOKUP(AYR$1,Dividendos!$B$24:$C$39,2,FALSE),0%)</f>
        <v>0</v>
      </c>
      <c r="AYS7" s="5">
        <f>IFERROR(VLOOKUP(AYS$1,Dividendos!$B$24:$C$39,2,FALSE),0%)</f>
        <v>0</v>
      </c>
      <c r="AYT7" s="5">
        <f>IFERROR(VLOOKUP(AYT$1,Dividendos!$B$24:$C$39,2,FALSE),0%)</f>
        <v>0</v>
      </c>
      <c r="AYU7" s="5">
        <f>IFERROR(VLOOKUP(AYU$1,Dividendos!$B$24:$C$39,2,FALSE),0%)</f>
        <v>0</v>
      </c>
      <c r="AYV7" s="5">
        <f>IFERROR(VLOOKUP(AYV$1,Dividendos!$B$24:$C$39,2,FALSE),0%)</f>
        <v>0</v>
      </c>
      <c r="AYW7" s="5">
        <f>IFERROR(VLOOKUP(AYW$1,Dividendos!$B$24:$C$39,2,FALSE),0%)</f>
        <v>0</v>
      </c>
      <c r="AYX7" s="5">
        <f>IFERROR(VLOOKUP(AYX$1,Dividendos!$B$24:$C$39,2,FALSE),0%)</f>
        <v>0</v>
      </c>
      <c r="AYY7" s="5">
        <f>IFERROR(VLOOKUP(AYY$1,Dividendos!$B$24:$C$39,2,FALSE),0%)</f>
        <v>0</v>
      </c>
      <c r="AYZ7" s="5">
        <f>IFERROR(VLOOKUP(AYZ$1,Dividendos!$B$24:$C$39,2,FALSE),0%)</f>
        <v>0</v>
      </c>
      <c r="AZA7" s="5">
        <f>IFERROR(VLOOKUP(AZA$1,Dividendos!$B$24:$C$39,2,FALSE),0%)</f>
        <v>0</v>
      </c>
      <c r="AZB7" s="5">
        <f>IFERROR(VLOOKUP(AZB$1,Dividendos!$B$24:$C$39,2,FALSE),0%)</f>
        <v>0</v>
      </c>
      <c r="AZC7" s="5">
        <f>IFERROR(VLOOKUP(AZC$1,Dividendos!$B$24:$C$39,2,FALSE),0%)</f>
        <v>0</v>
      </c>
      <c r="AZD7" s="5">
        <f>IFERROR(VLOOKUP(AZD$1,Dividendos!$B$24:$C$39,2,FALSE),0%)</f>
        <v>0</v>
      </c>
      <c r="AZE7" s="5">
        <f>IFERROR(VLOOKUP(AZE$1,Dividendos!$B$24:$C$39,2,FALSE),0%)</f>
        <v>0</v>
      </c>
      <c r="AZF7" s="5">
        <f>IFERROR(VLOOKUP(AZF$1,Dividendos!$B$24:$C$39,2,FALSE),0%)</f>
        <v>0</v>
      </c>
      <c r="AZG7" s="5">
        <f>IFERROR(VLOOKUP(AZG$1,Dividendos!$B$24:$C$39,2,FALSE),0%)</f>
        <v>0</v>
      </c>
      <c r="AZH7" s="5">
        <f>IFERROR(VLOOKUP(AZH$1,Dividendos!$B$24:$C$39,2,FALSE),0%)</f>
        <v>0</v>
      </c>
      <c r="AZI7" s="5">
        <f>IFERROR(VLOOKUP(AZI$1,Dividendos!$B$24:$C$39,2,FALSE),0%)</f>
        <v>0</v>
      </c>
      <c r="AZJ7" s="5">
        <f>IFERROR(VLOOKUP(AZJ$1,Dividendos!$B$24:$C$39,2,FALSE),0%)</f>
        <v>0</v>
      </c>
      <c r="AZK7" s="5">
        <f>IFERROR(VLOOKUP(AZK$1,Dividendos!$B$24:$C$39,2,FALSE),0%)</f>
        <v>0</v>
      </c>
      <c r="AZL7" s="5">
        <f>IFERROR(VLOOKUP(AZL$1,Dividendos!$B$24:$C$39,2,FALSE),0%)</f>
        <v>0</v>
      </c>
      <c r="AZM7" s="5">
        <f>IFERROR(VLOOKUP(AZM$1,Dividendos!$B$24:$C$39,2,FALSE),0%)</f>
        <v>0</v>
      </c>
      <c r="AZN7" s="5">
        <f>IFERROR(VLOOKUP(AZN$1,Dividendos!$B$24:$C$39,2,FALSE),0%)</f>
        <v>0</v>
      </c>
      <c r="AZO7" s="5">
        <f>IFERROR(VLOOKUP(AZO$1,Dividendos!$B$24:$C$39,2,FALSE),0%)</f>
        <v>0</v>
      </c>
      <c r="AZP7" s="5">
        <f>IFERROR(VLOOKUP(AZP$1,Dividendos!$B$24:$C$39,2,FALSE),0%)</f>
        <v>0</v>
      </c>
      <c r="AZQ7" s="5">
        <f>IFERROR(VLOOKUP(AZQ$1,Dividendos!$B$24:$C$39,2,FALSE),0%)</f>
        <v>0</v>
      </c>
      <c r="AZR7" s="5">
        <f>IFERROR(VLOOKUP(AZR$1,Dividendos!$B$24:$C$39,2,FALSE),0%)</f>
        <v>0</v>
      </c>
      <c r="AZS7" s="5">
        <f>IFERROR(VLOOKUP(AZS$1,Dividendos!$B$24:$C$39,2,FALSE),0%)</f>
        <v>0</v>
      </c>
      <c r="AZT7" s="5">
        <f>IFERROR(VLOOKUP(AZT$1,Dividendos!$B$24:$C$39,2,FALSE),0%)</f>
        <v>0</v>
      </c>
      <c r="AZU7" s="5">
        <f>IFERROR(VLOOKUP(AZU$1,Dividendos!$B$24:$C$39,2,FALSE),0%)</f>
        <v>0</v>
      </c>
      <c r="AZV7" s="5">
        <f>IFERROR(VLOOKUP(AZV$1,Dividendos!$B$24:$C$39,2,FALSE),0%)</f>
        <v>0</v>
      </c>
      <c r="AZW7" s="5">
        <f>IFERROR(VLOOKUP(AZW$1,Dividendos!$B$24:$C$39,2,FALSE),0%)</f>
        <v>0</v>
      </c>
      <c r="AZX7" s="5">
        <f>IFERROR(VLOOKUP(AZX$1,Dividendos!$B$24:$C$39,2,FALSE),0%)</f>
        <v>0</v>
      </c>
      <c r="AZY7" s="5">
        <f>IFERROR(VLOOKUP(AZY$1,Dividendos!$B$24:$C$39,2,FALSE),0%)</f>
        <v>0</v>
      </c>
      <c r="AZZ7" s="5">
        <f>IFERROR(VLOOKUP(AZZ$1,Dividendos!$B$24:$C$39,2,FALSE),0%)</f>
        <v>0.01403456709</v>
      </c>
      <c r="BAA7" s="5">
        <f>IFERROR(VLOOKUP(BAA$1,Dividendos!$B$24:$C$39,2,FALSE),0%)</f>
        <v>0</v>
      </c>
      <c r="BAB7" s="5">
        <f>IFERROR(VLOOKUP(BAB$1,Dividendos!$B$24:$C$39,2,FALSE),0%)</f>
        <v>0</v>
      </c>
      <c r="BAC7" s="5">
        <f>IFERROR(VLOOKUP(BAC$1,Dividendos!$B$24:$C$39,2,FALSE),0%)</f>
        <v>0</v>
      </c>
      <c r="BAD7" s="5">
        <f>IFERROR(VLOOKUP(BAD$1,Dividendos!$B$24:$C$39,2,FALSE),0%)</f>
        <v>0</v>
      </c>
      <c r="BAE7" s="5">
        <f>IFERROR(VLOOKUP(BAE$1,Dividendos!$B$24:$C$39,2,FALSE),0%)</f>
        <v>0</v>
      </c>
      <c r="BAF7" s="5">
        <f>IFERROR(VLOOKUP(BAF$1,Dividendos!$B$24:$C$39,2,FALSE),0%)</f>
        <v>0</v>
      </c>
      <c r="BAG7" s="5">
        <f>IFERROR(VLOOKUP(BAG$1,Dividendos!$B$24:$C$39,2,FALSE),0%)</f>
        <v>0</v>
      </c>
      <c r="BAH7" s="5">
        <f>IFERROR(VLOOKUP(BAH$1,Dividendos!$B$24:$C$39,2,FALSE),0%)</f>
        <v>0</v>
      </c>
      <c r="BAI7" s="5">
        <f>IFERROR(VLOOKUP(BAI$1,Dividendos!$B$24:$C$39,2,FALSE),0%)</f>
        <v>0</v>
      </c>
      <c r="BAJ7" s="5">
        <f>IFERROR(VLOOKUP(BAJ$1,Dividendos!$B$24:$C$39,2,FALSE),0%)</f>
        <v>0</v>
      </c>
      <c r="BAK7" s="5">
        <f>IFERROR(VLOOKUP(BAK$1,Dividendos!$B$24:$C$39,2,FALSE),0%)</f>
        <v>0</v>
      </c>
      <c r="BAL7" s="5">
        <f>IFERROR(VLOOKUP(BAL$1,Dividendos!$B$24:$C$39,2,FALSE),0%)</f>
        <v>0</v>
      </c>
      <c r="BAM7" s="5">
        <f>IFERROR(VLOOKUP(BAM$1,Dividendos!$B$24:$C$39,2,FALSE),0%)</f>
        <v>0</v>
      </c>
      <c r="BAN7" s="5">
        <f>IFERROR(VLOOKUP(BAN$1,Dividendos!$B$24:$C$39,2,FALSE),0%)</f>
        <v>0</v>
      </c>
      <c r="BAO7" s="5">
        <f>IFERROR(VLOOKUP(BAO$1,Dividendos!$B$24:$C$39,2,FALSE),0%)</f>
        <v>0</v>
      </c>
      <c r="BAP7" s="5">
        <f>IFERROR(VLOOKUP(BAP$1,Dividendos!$B$24:$C$39,2,FALSE),0%)</f>
        <v>0</v>
      </c>
      <c r="BAQ7" s="5">
        <f>IFERROR(VLOOKUP(BAQ$1,Dividendos!$B$24:$C$39,2,FALSE),0%)</f>
        <v>0</v>
      </c>
      <c r="BAR7" s="5">
        <f>IFERROR(VLOOKUP(BAR$1,Dividendos!$B$24:$C$39,2,FALSE),0%)</f>
        <v>0</v>
      </c>
      <c r="BAS7" s="5">
        <f>IFERROR(VLOOKUP(BAS$1,Dividendos!$B$24:$C$39,2,FALSE),0%)</f>
        <v>0</v>
      </c>
      <c r="BAT7" s="5">
        <f>IFERROR(VLOOKUP(BAT$1,Dividendos!$B$24:$C$39,2,FALSE),0%)</f>
        <v>0</v>
      </c>
      <c r="BAU7" s="5">
        <f>IFERROR(VLOOKUP(BAU$1,Dividendos!$B$24:$C$39,2,FALSE),0%)</f>
        <v>0</v>
      </c>
      <c r="BAV7" s="5">
        <f>IFERROR(VLOOKUP(BAV$1,Dividendos!$B$24:$C$39,2,FALSE),0%)</f>
        <v>0</v>
      </c>
      <c r="BAW7" s="5">
        <f>IFERROR(VLOOKUP(BAW$1,Dividendos!$B$24:$C$39,2,FALSE),0%)</f>
        <v>0</v>
      </c>
      <c r="BAX7" s="5">
        <f>IFERROR(VLOOKUP(BAX$1,Dividendos!$B$24:$C$39,2,FALSE),0%)</f>
        <v>0</v>
      </c>
      <c r="BAY7" s="5">
        <f>IFERROR(VLOOKUP(BAY$1,Dividendos!$B$24:$C$39,2,FALSE),0%)</f>
        <v>0</v>
      </c>
      <c r="BAZ7" s="5">
        <f>IFERROR(VLOOKUP(BAZ$1,Dividendos!$B$24:$C$39,2,FALSE),0%)</f>
        <v>0</v>
      </c>
      <c r="BBA7" s="5">
        <f>IFERROR(VLOOKUP(BBA$1,Dividendos!$B$24:$C$39,2,FALSE),0%)</f>
        <v>0</v>
      </c>
      <c r="BBB7" s="5">
        <f>IFERROR(VLOOKUP(BBB$1,Dividendos!$B$24:$C$39,2,FALSE),0%)</f>
        <v>0</v>
      </c>
      <c r="BBC7" s="5">
        <f>IFERROR(VLOOKUP(BBC$1,Dividendos!$B$24:$C$39,2,FALSE),0%)</f>
        <v>0</v>
      </c>
      <c r="BBD7" s="5">
        <f>IFERROR(VLOOKUP(BBD$1,Dividendos!$B$24:$C$39,2,FALSE),0%)</f>
        <v>0</v>
      </c>
      <c r="BBE7" s="5">
        <f>IFERROR(VLOOKUP(BBE$1,Dividendos!$B$24:$C$39,2,FALSE),0%)</f>
        <v>0</v>
      </c>
      <c r="BBF7" s="5">
        <f>IFERROR(VLOOKUP(BBF$1,Dividendos!$B$24:$C$39,2,FALSE),0%)</f>
        <v>0</v>
      </c>
      <c r="BBG7" s="5">
        <f>IFERROR(VLOOKUP(BBG$1,Dividendos!$B$24:$C$39,2,FALSE),0%)</f>
        <v>0</v>
      </c>
      <c r="BBH7" s="5">
        <f>IFERROR(VLOOKUP(BBH$1,Dividendos!$B$24:$C$39,2,FALSE),0%)</f>
        <v>0</v>
      </c>
      <c r="BBI7" s="5">
        <f>IFERROR(VLOOKUP(BBI$1,Dividendos!$B$24:$C$39,2,FALSE),0%)</f>
        <v>0</v>
      </c>
      <c r="BBJ7" s="5">
        <f>IFERROR(VLOOKUP(BBJ$1,Dividendos!$B$24:$C$39,2,FALSE),0%)</f>
        <v>0</v>
      </c>
      <c r="BBK7" s="5">
        <f>IFERROR(VLOOKUP(BBK$1,Dividendos!$B$24:$C$39,2,FALSE),0%)</f>
        <v>0</v>
      </c>
      <c r="BBL7" s="5">
        <f>IFERROR(VLOOKUP(BBL$1,Dividendos!$B$24:$C$39,2,FALSE),0%)</f>
        <v>0</v>
      </c>
      <c r="BBM7" s="5">
        <f>IFERROR(VLOOKUP(BBM$1,Dividendos!$B$24:$C$39,2,FALSE),0%)</f>
        <v>0</v>
      </c>
      <c r="BBN7" s="5">
        <f>IFERROR(VLOOKUP(BBN$1,Dividendos!$B$24:$C$39,2,FALSE),0%)</f>
        <v>0</v>
      </c>
      <c r="BBO7" s="5">
        <f>IFERROR(VLOOKUP(BBO$1,Dividendos!$B$24:$C$39,2,FALSE),0%)</f>
        <v>0</v>
      </c>
      <c r="BBP7" s="5">
        <f>IFERROR(VLOOKUP(BBP$1,Dividendos!$B$24:$C$39,2,FALSE),0%)</f>
        <v>0</v>
      </c>
      <c r="BBQ7" s="5">
        <f>IFERROR(VLOOKUP(BBQ$1,Dividendos!$B$24:$C$39,2,FALSE),0%)</f>
        <v>0</v>
      </c>
      <c r="BBR7" s="5">
        <f>IFERROR(VLOOKUP(BBR$1,Dividendos!$B$24:$C$39,2,FALSE),0%)</f>
        <v>0</v>
      </c>
      <c r="BBS7" s="5">
        <f>IFERROR(VLOOKUP(BBS$1,Dividendos!$B$24:$C$39,2,FALSE),0%)</f>
        <v>0</v>
      </c>
      <c r="BBT7" s="5">
        <f>IFERROR(VLOOKUP(BBT$1,Dividendos!$B$24:$C$39,2,FALSE),0%)</f>
        <v>0</v>
      </c>
      <c r="BBU7" s="5">
        <f>IFERROR(VLOOKUP(BBU$1,Dividendos!$B$24:$C$39,2,FALSE),0%)</f>
        <v>0</v>
      </c>
      <c r="BBV7" s="5">
        <f>IFERROR(VLOOKUP(BBV$1,Dividendos!$B$24:$C$39,2,FALSE),0%)</f>
        <v>0</v>
      </c>
      <c r="BBW7" s="5">
        <f>IFERROR(VLOOKUP(BBW$1,Dividendos!$B$24:$C$39,2,FALSE),0%)</f>
        <v>0</v>
      </c>
      <c r="BBX7" s="5">
        <f>IFERROR(VLOOKUP(BBX$1,Dividendos!$B$24:$C$39,2,FALSE),0%)</f>
        <v>0</v>
      </c>
      <c r="BBY7" s="5">
        <f>IFERROR(VLOOKUP(BBY$1,Dividendos!$B$24:$C$39,2,FALSE),0%)</f>
        <v>0</v>
      </c>
      <c r="BBZ7" s="5">
        <f>IFERROR(VLOOKUP(BBZ$1,Dividendos!$B$24:$C$39,2,FALSE),0%)</f>
        <v>0</v>
      </c>
      <c r="BCA7" s="5">
        <f>IFERROR(VLOOKUP(BCA$1,Dividendos!$B$24:$C$39,2,FALSE),0%)</f>
        <v>0</v>
      </c>
      <c r="BCB7" s="5">
        <f>IFERROR(VLOOKUP(BCB$1,Dividendos!$B$24:$C$39,2,FALSE),0%)</f>
        <v>0</v>
      </c>
      <c r="BCC7" s="5">
        <f>IFERROR(VLOOKUP(BCC$1,Dividendos!$B$24:$C$39,2,FALSE),0%)</f>
        <v>0</v>
      </c>
      <c r="BCD7" s="5">
        <f>IFERROR(VLOOKUP(BCD$1,Dividendos!$B$24:$C$39,2,FALSE),0%)</f>
        <v>0</v>
      </c>
      <c r="BCE7" s="5">
        <f>IFERROR(VLOOKUP(BCE$1,Dividendos!$B$24:$C$39,2,FALSE),0%)</f>
        <v>0</v>
      </c>
      <c r="BCF7" s="5">
        <f>IFERROR(VLOOKUP(BCF$1,Dividendos!$B$24:$C$39,2,FALSE),0%)</f>
        <v>0</v>
      </c>
      <c r="BCG7" s="5">
        <f>IFERROR(VLOOKUP(BCG$1,Dividendos!$B$24:$C$39,2,FALSE),0%)</f>
        <v>0</v>
      </c>
      <c r="BCH7" s="5">
        <f>IFERROR(VLOOKUP(BCH$1,Dividendos!$B$24:$C$39,2,FALSE),0%)</f>
        <v>0</v>
      </c>
      <c r="BCI7" s="5">
        <f>IFERROR(VLOOKUP(BCI$1,Dividendos!$B$24:$C$39,2,FALSE),0%)</f>
        <v>0</v>
      </c>
      <c r="BCJ7" s="5">
        <f>IFERROR(VLOOKUP(BCJ$1,Dividendos!$B$24:$C$39,2,FALSE),0%)</f>
        <v>0</v>
      </c>
      <c r="BCK7" s="5">
        <f>IFERROR(VLOOKUP(BCK$1,Dividendos!$B$24:$C$39,2,FALSE),0%)</f>
        <v>0</v>
      </c>
      <c r="BCL7" s="5">
        <f>IFERROR(VLOOKUP(BCL$1,Dividendos!$B$24:$C$39,2,FALSE),0%)</f>
        <v>0</v>
      </c>
      <c r="BCM7" s="5">
        <f>IFERROR(VLOOKUP(BCM$1,Dividendos!$B$24:$C$39,2,FALSE),0%)</f>
        <v>0.0981</v>
      </c>
      <c r="BCN7" s="5">
        <f>IFERROR(VLOOKUP(BCN$1,Dividendos!$B$24:$C$39,2,FALSE),0%)</f>
        <v>0</v>
      </c>
      <c r="BCO7" s="5">
        <f>IFERROR(VLOOKUP(BCO$1,Dividendos!$B$24:$C$39,2,FALSE),0%)</f>
        <v>0</v>
      </c>
      <c r="BCP7" s="5">
        <f>IFERROR(VLOOKUP(BCP$1,Dividendos!$B$24:$C$39,2,FALSE),0%)</f>
        <v>0</v>
      </c>
      <c r="BCQ7" s="5">
        <f>IFERROR(VLOOKUP(BCQ$1,Dividendos!$B$24:$C$39,2,FALSE),0%)</f>
        <v>0</v>
      </c>
      <c r="BCR7" s="5">
        <f>IFERROR(VLOOKUP(BCR$1,Dividendos!$B$24:$C$39,2,FALSE),0%)</f>
        <v>0</v>
      </c>
      <c r="BCS7" s="5">
        <f>IFERROR(VLOOKUP(BCS$1,Dividendos!$B$24:$C$39,2,FALSE),0%)</f>
        <v>0</v>
      </c>
      <c r="BCT7" s="5">
        <f>IFERROR(VLOOKUP(BCT$1,Dividendos!$B$24:$C$39,2,FALSE),0%)</f>
        <v>0</v>
      </c>
      <c r="BCU7" s="5">
        <f>IFERROR(VLOOKUP(BCU$1,Dividendos!$B$24:$C$39,2,FALSE),0%)</f>
        <v>0</v>
      </c>
      <c r="BCV7" s="5">
        <f>IFERROR(VLOOKUP(BCV$1,Dividendos!$B$24:$C$39,2,FALSE),0%)</f>
        <v>0</v>
      </c>
      <c r="BCW7" s="5">
        <f>IFERROR(VLOOKUP(BCW$1,Dividendos!$B$24:$C$39,2,FALSE),0%)</f>
        <v>0</v>
      </c>
      <c r="BCX7" s="5">
        <f>IFERROR(VLOOKUP(BCX$1,Dividendos!$B$24:$C$39,2,FALSE),0%)</f>
        <v>0</v>
      </c>
      <c r="BCY7" s="5">
        <f>IFERROR(VLOOKUP(BCY$1,Dividendos!$B$24:$C$39,2,FALSE),0%)</f>
        <v>0</v>
      </c>
      <c r="BCZ7" s="5">
        <f>IFERROR(VLOOKUP(BCZ$1,Dividendos!$B$24:$C$39,2,FALSE),0%)</f>
        <v>0</v>
      </c>
      <c r="BDA7" s="5">
        <f>IFERROR(VLOOKUP(BDA$1,Dividendos!$B$24:$C$39,2,FALSE),0%)</f>
        <v>0</v>
      </c>
      <c r="BDB7" s="5">
        <f>IFERROR(VLOOKUP(BDB$1,Dividendos!$B$24:$C$39,2,FALSE),0%)</f>
        <v>0</v>
      </c>
      <c r="BDC7" s="5">
        <f>IFERROR(VLOOKUP(BDC$1,Dividendos!$B$24:$C$39,2,FALSE),0%)</f>
        <v>0</v>
      </c>
      <c r="BDD7" s="5">
        <f>IFERROR(VLOOKUP(BDD$1,Dividendos!$B$24:$C$39,2,FALSE),0%)</f>
        <v>0</v>
      </c>
      <c r="BDE7" s="5">
        <f>IFERROR(VLOOKUP(BDE$1,Dividendos!$B$24:$C$39,2,FALSE),0%)</f>
        <v>0</v>
      </c>
      <c r="BDF7" s="5">
        <f>IFERROR(VLOOKUP(BDF$1,Dividendos!$B$24:$C$39,2,FALSE),0%)</f>
        <v>0</v>
      </c>
      <c r="BDG7" s="5">
        <f>IFERROR(VLOOKUP(BDG$1,Dividendos!$B$24:$C$39,2,FALSE),0%)</f>
        <v>0</v>
      </c>
      <c r="BDH7" s="5">
        <f>IFERROR(VLOOKUP(BDH$1,Dividendos!$B$24:$C$39,2,FALSE),0%)</f>
        <v>0</v>
      </c>
      <c r="BDI7" s="5">
        <f>IFERROR(VLOOKUP(BDI$1,Dividendos!$B$24:$C$39,2,FALSE),0%)</f>
        <v>0</v>
      </c>
      <c r="BDJ7" s="5">
        <f>IFERROR(VLOOKUP(BDJ$1,Dividendos!$B$24:$C$39,2,FALSE),0%)</f>
        <v>0</v>
      </c>
      <c r="BDK7" s="5">
        <f>IFERROR(VLOOKUP(BDK$1,Dividendos!$B$24:$C$39,2,FALSE),0%)</f>
        <v>0</v>
      </c>
      <c r="BDL7" s="5">
        <f>IFERROR(VLOOKUP(BDL$1,Dividendos!$B$24:$C$39,2,FALSE),0%)</f>
        <v>0</v>
      </c>
      <c r="BDM7" s="5">
        <f>IFERROR(VLOOKUP(BDM$1,Dividendos!$B$24:$C$39,2,FALSE),0%)</f>
        <v>0</v>
      </c>
      <c r="BDN7" s="5">
        <f>IFERROR(VLOOKUP(BDN$1,Dividendos!$B$24:$C$39,2,FALSE),0%)</f>
        <v>0</v>
      </c>
      <c r="BDO7" s="5">
        <f>IFERROR(VLOOKUP(BDO$1,Dividendos!$B$24:$C$39,2,FALSE),0%)</f>
        <v>0</v>
      </c>
      <c r="BDP7" s="5">
        <f>IFERROR(VLOOKUP(BDP$1,Dividendos!$B$24:$C$39,2,FALSE),0%)</f>
        <v>0</v>
      </c>
      <c r="BDQ7" s="5">
        <f>IFERROR(VLOOKUP(BDQ$1,Dividendos!$B$24:$C$39,2,FALSE),0%)</f>
        <v>0</v>
      </c>
      <c r="BDR7" s="5">
        <f>IFERROR(VLOOKUP(BDR$1,Dividendos!$B$24:$C$39,2,FALSE),0%)</f>
        <v>0</v>
      </c>
      <c r="BDS7" s="5">
        <f>IFERROR(VLOOKUP(BDS$1,Dividendos!$B$24:$C$39,2,FALSE),0%)</f>
        <v>0</v>
      </c>
      <c r="BDT7" s="5">
        <f>IFERROR(VLOOKUP(BDT$1,Dividendos!$B$24:$C$39,2,FALSE),0%)</f>
        <v>0</v>
      </c>
      <c r="BDU7" s="5">
        <f>IFERROR(VLOOKUP(BDU$1,Dividendos!$B$24:$C$39,2,FALSE),0%)</f>
        <v>0</v>
      </c>
      <c r="BDV7" s="5">
        <f>IFERROR(VLOOKUP(BDV$1,Dividendos!$B$24:$C$39,2,FALSE),0%)</f>
        <v>0</v>
      </c>
      <c r="BDW7" s="5">
        <f>IFERROR(VLOOKUP(BDW$1,Dividendos!$B$24:$C$39,2,FALSE),0%)</f>
        <v>0</v>
      </c>
      <c r="BDX7" s="5">
        <f>IFERROR(VLOOKUP(BDX$1,Dividendos!$B$24:$C$39,2,FALSE),0%)</f>
        <v>0</v>
      </c>
      <c r="BDY7" s="5">
        <f>IFERROR(VLOOKUP(BDY$1,Dividendos!$B$24:$C$39,2,FALSE),0%)</f>
        <v>0</v>
      </c>
      <c r="BDZ7" s="5">
        <f>IFERROR(VLOOKUP(BDZ$1,Dividendos!$B$24:$C$39,2,FALSE),0%)</f>
        <v>0</v>
      </c>
      <c r="BEA7" s="5">
        <f>IFERROR(VLOOKUP(BEA$1,Dividendos!$B$24:$C$39,2,FALSE),0%)</f>
        <v>0</v>
      </c>
      <c r="BEB7" s="5">
        <f>IFERROR(VLOOKUP(BEB$1,Dividendos!$B$24:$C$39,2,FALSE),0%)</f>
        <v>0</v>
      </c>
      <c r="BEC7" s="5">
        <f>IFERROR(VLOOKUP(BEC$1,Dividendos!$B$24:$C$39,2,FALSE),0%)</f>
        <v>0</v>
      </c>
      <c r="BED7" s="5">
        <f>IFERROR(VLOOKUP(BED$1,Dividendos!$B$24:$C$39,2,FALSE),0%)</f>
        <v>0</v>
      </c>
      <c r="BEE7" s="5">
        <f>IFERROR(VLOOKUP(BEE$1,Dividendos!$B$24:$C$39,2,FALSE),0%)</f>
        <v>0</v>
      </c>
      <c r="BEF7" s="5">
        <f>IFERROR(VLOOKUP(BEF$1,Dividendos!$B$24:$C$39,2,FALSE),0%)</f>
        <v>0</v>
      </c>
      <c r="BEG7" s="5">
        <f>IFERROR(VLOOKUP(BEG$1,Dividendos!$B$24:$C$39,2,FALSE),0%)</f>
        <v>0</v>
      </c>
      <c r="BEH7" s="5">
        <f>IFERROR(VLOOKUP(BEH$1,Dividendos!$B$24:$C$39,2,FALSE),0%)</f>
        <v>0</v>
      </c>
      <c r="BEI7" s="5">
        <f>IFERROR(VLOOKUP(BEI$1,Dividendos!$B$24:$C$39,2,FALSE),0%)</f>
        <v>0</v>
      </c>
      <c r="BEJ7" s="5">
        <f>IFERROR(VLOOKUP(BEJ$1,Dividendos!$B$24:$C$39,2,FALSE),0%)</f>
        <v>0</v>
      </c>
      <c r="BEK7" s="5">
        <f>IFERROR(VLOOKUP(BEK$1,Dividendos!$B$24:$C$39,2,FALSE),0%)</f>
        <v>0</v>
      </c>
      <c r="BEL7" s="5">
        <f>IFERROR(VLOOKUP(BEL$1,Dividendos!$B$24:$C$39,2,FALSE),0%)</f>
        <v>0</v>
      </c>
      <c r="BEM7" s="5">
        <f>IFERROR(VLOOKUP(BEM$1,Dividendos!$B$24:$C$39,2,FALSE),0%)</f>
        <v>0</v>
      </c>
      <c r="BEN7" s="5">
        <f>IFERROR(VLOOKUP(BEN$1,Dividendos!$B$24:$C$39,2,FALSE),0%)</f>
        <v>0</v>
      </c>
      <c r="BEO7" s="5">
        <f>IFERROR(VLOOKUP(BEO$1,Dividendos!$B$24:$C$39,2,FALSE),0%)</f>
        <v>0</v>
      </c>
      <c r="BEP7" s="5">
        <f>IFERROR(VLOOKUP(BEP$1,Dividendos!$B$24:$C$39,2,FALSE),0%)</f>
        <v>0</v>
      </c>
      <c r="BEQ7" s="5">
        <f>IFERROR(VLOOKUP(BEQ$1,Dividendos!$B$24:$C$39,2,FALSE),0%)</f>
        <v>0</v>
      </c>
      <c r="BER7" s="5">
        <f>IFERROR(VLOOKUP(BER$1,Dividendos!$B$24:$C$39,2,FALSE),0%)</f>
        <v>0</v>
      </c>
      <c r="BES7" s="5">
        <f>IFERROR(VLOOKUP(BES$1,Dividendos!$B$24:$C$39,2,FALSE),0%)</f>
        <v>0</v>
      </c>
      <c r="BET7" s="5">
        <f>IFERROR(VLOOKUP(BET$1,Dividendos!$B$24:$C$39,2,FALSE),0%)</f>
        <v>0</v>
      </c>
      <c r="BEU7" s="5">
        <f>IFERROR(VLOOKUP(BEU$1,Dividendos!$B$24:$C$39,2,FALSE),0%)</f>
        <v>0</v>
      </c>
      <c r="BEV7" s="5">
        <f>IFERROR(VLOOKUP(BEV$1,Dividendos!$B$24:$C$39,2,FALSE),0%)</f>
        <v>0</v>
      </c>
      <c r="BEW7" s="5">
        <f>IFERROR(VLOOKUP(BEW$1,Dividendos!$B$24:$C$39,2,FALSE),0%)</f>
        <v>0</v>
      </c>
      <c r="BEX7" s="5">
        <f>IFERROR(VLOOKUP(BEX$1,Dividendos!$B$24:$C$39,2,FALSE),0%)</f>
        <v>0</v>
      </c>
      <c r="BEY7" s="5">
        <f>IFERROR(VLOOKUP(BEY$1,Dividendos!$B$24:$C$39,2,FALSE),0%)</f>
        <v>0</v>
      </c>
      <c r="BEZ7" s="5">
        <f>IFERROR(VLOOKUP(BEZ$1,Dividendos!$B$24:$C$39,2,FALSE),0%)</f>
        <v>0</v>
      </c>
      <c r="BFA7" s="5">
        <f>IFERROR(VLOOKUP(BFA$1,Dividendos!$B$24:$C$39,2,FALSE),0%)</f>
        <v>0</v>
      </c>
      <c r="BFB7" s="5">
        <f>IFERROR(VLOOKUP(BFB$1,Dividendos!$B$24:$C$39,2,FALSE),0%)</f>
        <v>0</v>
      </c>
      <c r="BFC7" s="5">
        <f>IFERROR(VLOOKUP(BFC$1,Dividendos!$B$24:$C$39,2,FALSE),0%)</f>
        <v>0</v>
      </c>
      <c r="BFD7" s="5">
        <f>IFERROR(VLOOKUP(BFD$1,Dividendos!$B$24:$C$39,2,FALSE),0%)</f>
        <v>0</v>
      </c>
      <c r="BFE7" s="5">
        <f>IFERROR(VLOOKUP(BFE$1,Dividendos!$B$24:$C$39,2,FALSE),0%)</f>
        <v>0</v>
      </c>
      <c r="BFF7" s="5">
        <f>IFERROR(VLOOKUP(BFF$1,Dividendos!$B$24:$C$39,2,FALSE),0%)</f>
        <v>0</v>
      </c>
      <c r="BFG7" s="5">
        <f>IFERROR(VLOOKUP(BFG$1,Dividendos!$B$24:$C$39,2,FALSE),0%)</f>
        <v>0</v>
      </c>
      <c r="BFH7" s="5">
        <f>IFERROR(VLOOKUP(BFH$1,Dividendos!$B$24:$C$39,2,FALSE),0%)</f>
        <v>0</v>
      </c>
      <c r="BFI7" s="5">
        <f>IFERROR(VLOOKUP(BFI$1,Dividendos!$B$24:$C$39,2,FALSE),0%)</f>
        <v>0</v>
      </c>
      <c r="BFJ7" s="5">
        <f>IFERROR(VLOOKUP(BFJ$1,Dividendos!$B$24:$C$39,2,FALSE),0%)</f>
        <v>0</v>
      </c>
      <c r="BFK7" s="5">
        <f>IFERROR(VLOOKUP(BFK$1,Dividendos!$B$24:$C$39,2,FALSE),0%)</f>
        <v>0</v>
      </c>
      <c r="BFL7" s="5">
        <f>IFERROR(VLOOKUP(BFL$1,Dividendos!$B$24:$C$39,2,FALSE),0%)</f>
        <v>0</v>
      </c>
      <c r="BFM7" s="5">
        <f>IFERROR(VLOOKUP(BFM$1,Dividendos!$B$24:$C$39,2,FALSE),0%)</f>
        <v>0</v>
      </c>
      <c r="BFN7" s="5">
        <f>IFERROR(VLOOKUP(BFN$1,Dividendos!$B$24:$C$39,2,FALSE),0%)</f>
        <v>0</v>
      </c>
      <c r="BFO7" s="5">
        <f>IFERROR(VLOOKUP(BFO$1,Dividendos!$B$24:$C$39,2,FALSE),0%)</f>
        <v>0</v>
      </c>
      <c r="BFP7" s="5">
        <f>IFERROR(VLOOKUP(BFP$1,Dividendos!$B$24:$C$39,2,FALSE),0%)</f>
        <v>0</v>
      </c>
      <c r="BFQ7" s="5">
        <f>IFERROR(VLOOKUP(BFQ$1,Dividendos!$B$24:$C$39,2,FALSE),0%)</f>
        <v>0</v>
      </c>
      <c r="BFR7" s="5">
        <f>IFERROR(VLOOKUP(BFR$1,Dividendos!$B$24:$C$39,2,FALSE),0%)</f>
        <v>0</v>
      </c>
      <c r="BFS7" s="5">
        <f>IFERROR(VLOOKUP(BFS$1,Dividendos!$B$24:$C$39,2,FALSE),0%)</f>
        <v>0</v>
      </c>
      <c r="BFT7" s="5">
        <f>IFERROR(VLOOKUP(BFT$1,Dividendos!$B$24:$C$39,2,FALSE),0%)</f>
        <v>0</v>
      </c>
      <c r="BFU7" s="5">
        <f>IFERROR(VLOOKUP(BFU$1,Dividendos!$B$24:$C$39,2,FALSE),0%)</f>
        <v>0</v>
      </c>
      <c r="BFV7" s="5">
        <f>IFERROR(VLOOKUP(BFV$1,Dividendos!$B$24:$C$39,2,FALSE),0%)</f>
        <v>0</v>
      </c>
      <c r="BFW7" s="5">
        <f>IFERROR(VLOOKUP(BFW$1,Dividendos!$B$24:$C$39,2,FALSE),0%)</f>
        <v>0</v>
      </c>
      <c r="BFX7" s="5">
        <f>IFERROR(VLOOKUP(BFX$1,Dividendos!$B$24:$C$39,2,FALSE),0%)</f>
        <v>0</v>
      </c>
      <c r="BFY7" s="5">
        <f>IFERROR(VLOOKUP(BFY$1,Dividendos!$B$24:$C$39,2,FALSE),0%)</f>
        <v>0</v>
      </c>
      <c r="BFZ7" s="5">
        <f>IFERROR(VLOOKUP(BFZ$1,Dividendos!$B$24:$C$39,2,FALSE),0%)</f>
        <v>0</v>
      </c>
      <c r="BGA7" s="5">
        <f>IFERROR(VLOOKUP(BGA$1,Dividendos!$B$24:$C$39,2,FALSE),0%)</f>
        <v>0</v>
      </c>
      <c r="BGB7" s="5">
        <f>IFERROR(VLOOKUP(BGB$1,Dividendos!$B$24:$C$39,2,FALSE),0%)</f>
        <v>0</v>
      </c>
      <c r="BGC7" s="5">
        <f>IFERROR(VLOOKUP(BGC$1,Dividendos!$B$24:$C$39,2,FALSE),0%)</f>
        <v>0</v>
      </c>
      <c r="BGD7" s="5">
        <f>IFERROR(VLOOKUP(BGD$1,Dividendos!$B$24:$C$39,2,FALSE),0%)</f>
        <v>0</v>
      </c>
      <c r="BGE7" s="5">
        <f>IFERROR(VLOOKUP(BGE$1,Dividendos!$B$24:$C$39,2,FALSE),0%)</f>
        <v>0</v>
      </c>
      <c r="BGF7" s="5">
        <f>IFERROR(VLOOKUP(BGF$1,Dividendos!$B$24:$C$39,2,FALSE),0%)</f>
        <v>0</v>
      </c>
      <c r="BGG7" s="5">
        <f>IFERROR(VLOOKUP(BGG$1,Dividendos!$B$24:$C$39,2,FALSE),0%)</f>
        <v>0</v>
      </c>
      <c r="BGH7" s="5">
        <f>IFERROR(VLOOKUP(BGH$1,Dividendos!$B$24:$C$39,2,FALSE),0%)</f>
        <v>0</v>
      </c>
      <c r="BGI7" s="5">
        <f>IFERROR(VLOOKUP(BGI$1,Dividendos!$B$24:$C$39,2,FALSE),0%)</f>
        <v>0</v>
      </c>
      <c r="BGJ7" s="5">
        <f>IFERROR(VLOOKUP(BGJ$1,Dividendos!$B$24:$C$39,2,FALSE),0%)</f>
        <v>0</v>
      </c>
      <c r="BGK7" s="5">
        <f>IFERROR(VLOOKUP(BGK$1,Dividendos!$B$24:$C$39,2,FALSE),0%)</f>
        <v>0</v>
      </c>
      <c r="BGL7" s="5">
        <f>IFERROR(VLOOKUP(BGL$1,Dividendos!$B$24:$C$39,2,FALSE),0%)</f>
        <v>0</v>
      </c>
      <c r="BGM7" s="5">
        <f>IFERROR(VLOOKUP(BGM$1,Dividendos!$B$24:$C$39,2,FALSE),0%)</f>
        <v>0</v>
      </c>
      <c r="BGN7" s="5">
        <f>IFERROR(VLOOKUP(BGN$1,Dividendos!$B$24:$C$39,2,FALSE),0%)</f>
        <v>0</v>
      </c>
      <c r="BGO7" s="5">
        <f>IFERROR(VLOOKUP(BGO$1,Dividendos!$B$24:$C$39,2,FALSE),0%)</f>
        <v>0</v>
      </c>
      <c r="BGP7" s="5">
        <f>IFERROR(VLOOKUP(BGP$1,Dividendos!$B$24:$C$39,2,FALSE),0%)</f>
        <v>0</v>
      </c>
      <c r="BGQ7" s="5">
        <f>IFERROR(VLOOKUP(BGQ$1,Dividendos!$B$24:$C$39,2,FALSE),0%)</f>
        <v>0</v>
      </c>
      <c r="BGR7" s="5">
        <f>IFERROR(VLOOKUP(BGR$1,Dividendos!$B$24:$C$39,2,FALSE),0%)</f>
        <v>0</v>
      </c>
      <c r="BGS7" s="5">
        <f>IFERROR(VLOOKUP(BGS$1,Dividendos!$B$24:$C$39,2,FALSE),0%)</f>
        <v>0</v>
      </c>
      <c r="BGT7" s="5">
        <f>IFERROR(VLOOKUP(BGT$1,Dividendos!$B$24:$C$39,2,FALSE),0%)</f>
        <v>0</v>
      </c>
      <c r="BGU7" s="5">
        <f>IFERROR(VLOOKUP(BGU$1,Dividendos!$B$24:$C$39,2,FALSE),0%)</f>
        <v>0</v>
      </c>
      <c r="BGV7" s="5">
        <f>IFERROR(VLOOKUP(BGV$1,Dividendos!$B$24:$C$39,2,FALSE),0%)</f>
        <v>0</v>
      </c>
      <c r="BGW7" s="5">
        <f>IFERROR(VLOOKUP(BGW$1,Dividendos!$B$24:$C$39,2,FALSE),0%)</f>
        <v>0</v>
      </c>
      <c r="BGX7" s="5">
        <f>IFERROR(VLOOKUP(BGX$1,Dividendos!$B$24:$C$39,2,FALSE),0%)</f>
        <v>0</v>
      </c>
      <c r="BGY7" s="5">
        <f>IFERROR(VLOOKUP(BGY$1,Dividendos!$B$24:$C$39,2,FALSE),0%)</f>
        <v>0</v>
      </c>
      <c r="BGZ7" s="5">
        <f>IFERROR(VLOOKUP(BGZ$1,Dividendos!$B$24:$C$39,2,FALSE),0%)</f>
        <v>0</v>
      </c>
      <c r="BHA7" s="5">
        <f>IFERROR(VLOOKUP(BHA$1,Dividendos!$B$24:$C$39,2,FALSE),0%)</f>
        <v>0</v>
      </c>
      <c r="BHB7" s="5">
        <f>IFERROR(VLOOKUP(BHB$1,Dividendos!$B$24:$C$39,2,FALSE),0%)</f>
        <v>0</v>
      </c>
      <c r="BHC7" s="5">
        <f>IFERROR(VLOOKUP(BHC$1,Dividendos!$B$24:$C$39,2,FALSE),0%)</f>
        <v>0</v>
      </c>
      <c r="BHD7" s="5">
        <f>IFERROR(VLOOKUP(BHD$1,Dividendos!$B$24:$C$39,2,FALSE),0%)</f>
        <v>0</v>
      </c>
      <c r="BHE7" s="5">
        <f>IFERROR(VLOOKUP(BHE$1,Dividendos!$B$24:$C$39,2,FALSE),0%)</f>
        <v>0</v>
      </c>
      <c r="BHF7" s="5">
        <f>IFERROR(VLOOKUP(BHF$1,Dividendos!$B$24:$C$39,2,FALSE),0%)</f>
        <v>0</v>
      </c>
      <c r="BHG7" s="5">
        <f>IFERROR(VLOOKUP(BHG$1,Dividendos!$B$24:$C$39,2,FALSE),0%)</f>
        <v>0</v>
      </c>
      <c r="BHH7" s="5">
        <f>IFERROR(VLOOKUP(BHH$1,Dividendos!$B$24:$C$39,2,FALSE),0%)</f>
        <v>0</v>
      </c>
      <c r="BHI7" s="5">
        <f>IFERROR(VLOOKUP(BHI$1,Dividendos!$B$24:$C$39,2,FALSE),0%)</f>
        <v>0</v>
      </c>
      <c r="BHJ7" s="5">
        <f>IFERROR(VLOOKUP(BHJ$1,Dividendos!$B$24:$C$39,2,FALSE),0%)</f>
        <v>0</v>
      </c>
      <c r="BHK7" s="5">
        <f>IFERROR(VLOOKUP(BHK$1,Dividendos!$B$24:$C$39,2,FALSE),0%)</f>
        <v>0</v>
      </c>
      <c r="BHL7" s="5">
        <f>IFERROR(VLOOKUP(BHL$1,Dividendos!$B$24:$C$39,2,FALSE),0%)</f>
        <v>0</v>
      </c>
      <c r="BHM7" s="5">
        <f>IFERROR(VLOOKUP(BHM$1,Dividendos!$B$24:$C$39,2,FALSE),0%)</f>
        <v>0</v>
      </c>
      <c r="BHN7" s="5">
        <f>IFERROR(VLOOKUP(BHN$1,Dividendos!$B$24:$C$39,2,FALSE),0%)</f>
        <v>0</v>
      </c>
      <c r="BHO7" s="5">
        <f>IFERROR(VLOOKUP(BHO$1,Dividendos!$B$24:$C$39,2,FALSE),0%)</f>
        <v>0</v>
      </c>
      <c r="BHP7" s="5">
        <f>IFERROR(VLOOKUP(BHP$1,Dividendos!$B$24:$C$39,2,FALSE),0%)</f>
        <v>0</v>
      </c>
      <c r="BHQ7" s="5">
        <f>IFERROR(VLOOKUP(BHQ$1,Dividendos!$B$24:$C$39,2,FALSE),0%)</f>
        <v>0</v>
      </c>
      <c r="BHR7" s="5">
        <f>IFERROR(VLOOKUP(BHR$1,Dividendos!$B$24:$C$39,2,FALSE),0%)</f>
        <v>0</v>
      </c>
      <c r="BHS7" s="5">
        <f>IFERROR(VLOOKUP(BHS$1,Dividendos!$B$24:$C$39,2,FALSE),0%)</f>
        <v>0</v>
      </c>
      <c r="BHT7" s="5">
        <f>IFERROR(VLOOKUP(BHT$1,Dividendos!$B$24:$C$39,2,FALSE),0%)</f>
        <v>0</v>
      </c>
      <c r="BHU7" s="5">
        <f>IFERROR(VLOOKUP(BHU$1,Dividendos!$B$24:$C$39,2,FALSE),0%)</f>
        <v>0</v>
      </c>
      <c r="BHV7" s="5">
        <f>IFERROR(VLOOKUP(BHV$1,Dividendos!$B$24:$C$39,2,FALSE),0%)</f>
        <v>0</v>
      </c>
      <c r="BHW7" s="5">
        <f>IFERROR(VLOOKUP(BHW$1,Dividendos!$B$24:$C$39,2,FALSE),0%)</f>
        <v>0</v>
      </c>
      <c r="BHX7" s="5">
        <f>IFERROR(VLOOKUP(BHX$1,Dividendos!$B$24:$C$39,2,FALSE),0%)</f>
        <v>0</v>
      </c>
      <c r="BHY7" s="5">
        <f>IFERROR(VLOOKUP(BHY$1,Dividendos!$B$24:$C$39,2,FALSE),0%)</f>
        <v>0</v>
      </c>
      <c r="BHZ7" s="5">
        <f>IFERROR(VLOOKUP(BHZ$1,Dividendos!$B$24:$C$39,2,FALSE),0%)</f>
        <v>0</v>
      </c>
      <c r="BIA7" s="5">
        <f>IFERROR(VLOOKUP(BIA$1,Dividendos!$B$24:$C$39,2,FALSE),0%)</f>
        <v>0</v>
      </c>
      <c r="BIB7" s="5">
        <f>IFERROR(VLOOKUP(BIB$1,Dividendos!$B$24:$C$39,2,FALSE),0%)</f>
        <v>0</v>
      </c>
      <c r="BIC7" s="5">
        <f>IFERROR(VLOOKUP(BIC$1,Dividendos!$B$24:$C$39,2,FALSE),0%)</f>
        <v>0</v>
      </c>
      <c r="BID7" s="5">
        <f>IFERROR(VLOOKUP(BID$1,Dividendos!$B$24:$C$39,2,FALSE),0%)</f>
        <v>0</v>
      </c>
      <c r="BIE7" s="5">
        <f>IFERROR(VLOOKUP(BIE$1,Dividendos!$B$24:$C$39,2,FALSE),0%)</f>
        <v>0</v>
      </c>
      <c r="BIF7" s="5">
        <f>IFERROR(VLOOKUP(BIF$1,Dividendos!$B$24:$C$39,2,FALSE),0%)</f>
        <v>0</v>
      </c>
      <c r="BIG7" s="5">
        <f>IFERROR(VLOOKUP(BIG$1,Dividendos!$B$24:$C$39,2,FALSE),0%)</f>
        <v>0</v>
      </c>
      <c r="BIH7" s="5">
        <f>IFERROR(VLOOKUP(BIH$1,Dividendos!$B$24:$C$39,2,FALSE),0%)</f>
        <v>0</v>
      </c>
      <c r="BII7" s="5">
        <f>IFERROR(VLOOKUP(BII$1,Dividendos!$B$24:$C$39,2,FALSE),0%)</f>
        <v>0</v>
      </c>
      <c r="BIJ7" s="5">
        <f>IFERROR(VLOOKUP(BIJ$1,Dividendos!$B$24:$C$39,2,FALSE),0%)</f>
        <v>0</v>
      </c>
      <c r="BIK7" s="5">
        <f>IFERROR(VLOOKUP(BIK$1,Dividendos!$B$24:$C$39,2,FALSE),0%)</f>
        <v>0.1381748826</v>
      </c>
      <c r="BIL7" s="5">
        <f>IFERROR(VLOOKUP(BIL$1,Dividendos!$B$24:$C$39,2,FALSE),0%)</f>
        <v>0</v>
      </c>
      <c r="BIM7" s="5">
        <f>IFERROR(VLOOKUP(BIM$1,Dividendos!$B$24:$C$39,2,FALSE),0%)</f>
        <v>0</v>
      </c>
      <c r="BIN7" s="5">
        <f>IFERROR(VLOOKUP(BIN$1,Dividendos!$B$24:$C$39,2,FALSE),0%)</f>
        <v>0</v>
      </c>
      <c r="BIO7" s="5">
        <f>IFERROR(VLOOKUP(BIO$1,Dividendos!$B$24:$C$39,2,FALSE),0%)</f>
        <v>0</v>
      </c>
      <c r="BIP7" s="5">
        <f>IFERROR(VLOOKUP(BIP$1,Dividendos!$B$24:$C$39,2,FALSE),0%)</f>
        <v>0</v>
      </c>
      <c r="BIQ7" s="5">
        <f>IFERROR(VLOOKUP(BIQ$1,Dividendos!$B$24:$C$39,2,FALSE),0%)</f>
        <v>0</v>
      </c>
      <c r="BIR7" s="5">
        <f>IFERROR(VLOOKUP(BIR$1,Dividendos!$B$24:$C$39,2,FALSE),0%)</f>
        <v>0</v>
      </c>
      <c r="BIS7" s="5">
        <f>IFERROR(VLOOKUP(BIS$1,Dividendos!$B$24:$C$39,2,FALSE),0%)</f>
        <v>0</v>
      </c>
      <c r="BIT7" s="5">
        <f>IFERROR(VLOOKUP(BIT$1,Dividendos!$B$24:$C$39,2,FALSE),0%)</f>
        <v>0</v>
      </c>
      <c r="BIU7" s="5">
        <f>IFERROR(VLOOKUP(BIU$1,Dividendos!$B$24:$C$39,2,FALSE),0%)</f>
        <v>0</v>
      </c>
      <c r="BIV7" s="5">
        <f>IFERROR(VLOOKUP(BIV$1,Dividendos!$B$24:$C$39,2,FALSE),0%)</f>
        <v>0</v>
      </c>
      <c r="BIW7" s="5">
        <f>IFERROR(VLOOKUP(BIW$1,Dividendos!$B$24:$C$39,2,FALSE),0%)</f>
        <v>0</v>
      </c>
      <c r="BIX7" s="5">
        <f>IFERROR(VLOOKUP(BIX$1,Dividendos!$B$24:$C$39,2,FALSE),0%)</f>
        <v>0</v>
      </c>
      <c r="BIY7" s="5">
        <f>IFERROR(VLOOKUP(BIY$1,Dividendos!$B$24:$C$39,2,FALSE),0%)</f>
        <v>0</v>
      </c>
      <c r="BIZ7" s="5">
        <f>IFERROR(VLOOKUP(BIZ$1,Dividendos!$B$24:$C$39,2,FALSE),0%)</f>
        <v>0</v>
      </c>
      <c r="BJA7" s="5">
        <f>IFERROR(VLOOKUP(BJA$1,Dividendos!$B$24:$C$39,2,FALSE),0%)</f>
        <v>0</v>
      </c>
      <c r="BJB7" s="5">
        <f>IFERROR(VLOOKUP(BJB$1,Dividendos!$B$24:$C$39,2,FALSE),0%)</f>
        <v>0</v>
      </c>
      <c r="BJC7" s="5">
        <f>IFERROR(VLOOKUP(BJC$1,Dividendos!$B$24:$C$39,2,FALSE),0%)</f>
        <v>0</v>
      </c>
      <c r="BJD7" s="5">
        <f>IFERROR(VLOOKUP(BJD$1,Dividendos!$B$24:$C$39,2,FALSE),0%)</f>
        <v>0</v>
      </c>
      <c r="BJE7" s="5">
        <f>IFERROR(VLOOKUP(BJE$1,Dividendos!$B$24:$C$39,2,FALSE),0%)</f>
        <v>0</v>
      </c>
      <c r="BJF7" s="5">
        <f>IFERROR(VLOOKUP(BJF$1,Dividendos!$B$24:$C$39,2,FALSE),0%)</f>
        <v>0</v>
      </c>
      <c r="BJG7" s="5">
        <f>IFERROR(VLOOKUP(BJG$1,Dividendos!$B$24:$C$39,2,FALSE),0%)</f>
        <v>0</v>
      </c>
      <c r="BJH7" s="5">
        <f>IFERROR(VLOOKUP(BJH$1,Dividendos!$B$24:$C$39,2,FALSE),0%)</f>
        <v>0</v>
      </c>
      <c r="BJI7" s="5">
        <f>IFERROR(VLOOKUP(BJI$1,Dividendos!$B$24:$C$39,2,FALSE),0%)</f>
        <v>0</v>
      </c>
      <c r="BJJ7" s="5">
        <f>IFERROR(VLOOKUP(BJJ$1,Dividendos!$B$24:$C$39,2,FALSE),0%)</f>
        <v>0</v>
      </c>
      <c r="BJK7" s="5">
        <f>IFERROR(VLOOKUP(BJK$1,Dividendos!$B$24:$C$39,2,FALSE),0%)</f>
        <v>0</v>
      </c>
      <c r="BJL7" s="5">
        <f>IFERROR(VLOOKUP(BJL$1,Dividendos!$B$24:$C$39,2,FALSE),0%)</f>
        <v>0</v>
      </c>
      <c r="BJM7" s="5">
        <f>IFERROR(VLOOKUP(BJM$1,Dividendos!$B$24:$C$39,2,FALSE),0%)</f>
        <v>0</v>
      </c>
      <c r="BJN7" s="5">
        <f>IFERROR(VLOOKUP(BJN$1,Dividendos!$B$24:$C$39,2,FALSE),0%)</f>
        <v>0</v>
      </c>
      <c r="BJO7" s="5">
        <f>IFERROR(VLOOKUP(BJO$1,Dividendos!$B$24:$C$39,2,FALSE),0%)</f>
        <v>0</v>
      </c>
      <c r="BJP7" s="5">
        <f>IFERROR(VLOOKUP(BJP$1,Dividendos!$B$24:$C$39,2,FALSE),0%)</f>
        <v>0</v>
      </c>
      <c r="BJQ7" s="5">
        <f>IFERROR(VLOOKUP(BJQ$1,Dividendos!$B$24:$C$39,2,FALSE),0%)</f>
        <v>0</v>
      </c>
      <c r="BJR7" s="5">
        <f>IFERROR(VLOOKUP(BJR$1,Dividendos!$B$24:$C$39,2,FALSE),0%)</f>
        <v>0</v>
      </c>
      <c r="BJS7" s="5">
        <f>IFERROR(VLOOKUP(BJS$1,Dividendos!$B$24:$C$39,2,FALSE),0%)</f>
        <v>0</v>
      </c>
      <c r="BJT7" s="5">
        <f>IFERROR(VLOOKUP(BJT$1,Dividendos!$B$24:$C$39,2,FALSE),0%)</f>
        <v>0</v>
      </c>
      <c r="BJU7" s="5">
        <f>IFERROR(VLOOKUP(BJU$1,Dividendos!$B$24:$C$39,2,FALSE),0%)</f>
        <v>0</v>
      </c>
      <c r="BJV7" s="5">
        <f>IFERROR(VLOOKUP(BJV$1,Dividendos!$B$24:$C$39,2,FALSE),0%)</f>
        <v>0</v>
      </c>
      <c r="BJW7" s="5">
        <f>IFERROR(VLOOKUP(BJW$1,Dividendos!$B$24:$C$39,2,FALSE),0%)</f>
        <v>0</v>
      </c>
      <c r="BJX7" s="5">
        <f>IFERROR(VLOOKUP(BJX$1,Dividendos!$B$24:$C$39,2,FALSE),0%)</f>
        <v>0</v>
      </c>
      <c r="BJY7" s="5">
        <f>IFERROR(VLOOKUP(BJY$1,Dividendos!$B$24:$C$39,2,FALSE),0%)</f>
        <v>0</v>
      </c>
      <c r="BJZ7" s="5">
        <f>IFERROR(VLOOKUP(BJZ$1,Dividendos!$B$24:$C$39,2,FALSE),0%)</f>
        <v>0</v>
      </c>
      <c r="BKA7" s="5">
        <f>IFERROR(VLOOKUP(BKA$1,Dividendos!$B$24:$C$39,2,FALSE),0%)</f>
        <v>0</v>
      </c>
      <c r="BKB7" s="5">
        <f>IFERROR(VLOOKUP(BKB$1,Dividendos!$B$24:$C$39,2,FALSE),0%)</f>
        <v>0</v>
      </c>
      <c r="BKC7" s="5">
        <f>IFERROR(VLOOKUP(BKC$1,Dividendos!$B$24:$C$39,2,FALSE),0%)</f>
        <v>0</v>
      </c>
      <c r="BKD7" s="5">
        <f>IFERROR(VLOOKUP(BKD$1,Dividendos!$B$24:$C$39,2,FALSE),0%)</f>
        <v>0</v>
      </c>
      <c r="BKE7" s="5">
        <f>IFERROR(VLOOKUP(BKE$1,Dividendos!$B$24:$C$39,2,FALSE),0%)</f>
        <v>0</v>
      </c>
      <c r="BKF7" s="5">
        <f>IFERROR(VLOOKUP(BKF$1,Dividendos!$B$24:$C$39,2,FALSE),0%)</f>
        <v>0</v>
      </c>
      <c r="BKG7" s="5">
        <f>IFERROR(VLOOKUP(BKG$1,Dividendos!$B$24:$C$39,2,FALSE),0%)</f>
        <v>0</v>
      </c>
      <c r="BKH7" s="5">
        <f>IFERROR(VLOOKUP(BKH$1,Dividendos!$B$24:$C$39,2,FALSE),0%)</f>
        <v>0</v>
      </c>
      <c r="BKI7" s="5">
        <f>IFERROR(VLOOKUP(BKI$1,Dividendos!$B$24:$C$39,2,FALSE),0%)</f>
        <v>0</v>
      </c>
      <c r="BKJ7" s="5">
        <f>IFERROR(VLOOKUP(BKJ$1,Dividendos!$B$24:$C$39,2,FALSE),0%)</f>
        <v>0</v>
      </c>
      <c r="BKK7" s="5">
        <f>IFERROR(VLOOKUP(BKK$1,Dividendos!$B$24:$C$39,2,FALSE),0%)</f>
        <v>0</v>
      </c>
      <c r="BKL7" s="5">
        <f>IFERROR(VLOOKUP(BKL$1,Dividendos!$B$24:$C$39,2,FALSE),0%)</f>
        <v>0</v>
      </c>
      <c r="BKM7" s="5">
        <f>IFERROR(VLOOKUP(BKM$1,Dividendos!$B$24:$C$39,2,FALSE),0%)</f>
        <v>0</v>
      </c>
      <c r="BKN7" s="5">
        <f>IFERROR(VLOOKUP(BKN$1,Dividendos!$B$24:$C$39,2,FALSE),0%)</f>
        <v>0</v>
      </c>
      <c r="BKO7" s="5">
        <f>IFERROR(VLOOKUP(BKO$1,Dividendos!$B$24:$C$39,2,FALSE),0%)</f>
        <v>0</v>
      </c>
      <c r="BKP7" s="5">
        <f>IFERROR(VLOOKUP(BKP$1,Dividendos!$B$24:$C$39,2,FALSE),0%)</f>
        <v>0</v>
      </c>
      <c r="BKQ7" s="5">
        <f>IFERROR(VLOOKUP(BKQ$1,Dividendos!$B$24:$C$39,2,FALSE),0%)</f>
        <v>0</v>
      </c>
      <c r="BKR7" s="5">
        <f>IFERROR(VLOOKUP(BKR$1,Dividendos!$B$24:$C$39,2,FALSE),0%)</f>
        <v>0</v>
      </c>
      <c r="BKS7" s="5">
        <f>IFERROR(VLOOKUP(BKS$1,Dividendos!$B$24:$C$39,2,FALSE),0%)</f>
        <v>0</v>
      </c>
      <c r="BKT7" s="5">
        <f>IFERROR(VLOOKUP(BKT$1,Dividendos!$B$24:$C$39,2,FALSE),0%)</f>
        <v>0</v>
      </c>
      <c r="BKU7" s="5">
        <f>IFERROR(VLOOKUP(BKU$1,Dividendos!$B$24:$C$39,2,FALSE),0%)</f>
        <v>0</v>
      </c>
      <c r="BKV7" s="5">
        <f>IFERROR(VLOOKUP(BKV$1,Dividendos!$B$24:$C$39,2,FALSE),0%)</f>
        <v>0</v>
      </c>
      <c r="BKW7" s="5">
        <f>IFERROR(VLOOKUP(BKW$1,Dividendos!$B$24:$C$39,2,FALSE),0%)</f>
        <v>0</v>
      </c>
      <c r="BKX7" s="5">
        <f>IFERROR(VLOOKUP(BKX$1,Dividendos!$B$24:$C$39,2,FALSE),0%)</f>
        <v>0</v>
      </c>
      <c r="BKY7" s="5">
        <f>IFERROR(VLOOKUP(BKY$1,Dividendos!$B$24:$C$39,2,FALSE),0%)</f>
        <v>0</v>
      </c>
      <c r="BKZ7" s="5">
        <f>IFERROR(VLOOKUP(BKZ$1,Dividendos!$B$24:$C$39,2,FALSE),0%)</f>
        <v>0</v>
      </c>
      <c r="BLA7" s="5">
        <f>IFERROR(VLOOKUP(BLA$1,Dividendos!$B$24:$C$39,2,FALSE),0%)</f>
        <v>0</v>
      </c>
      <c r="BLB7" s="5">
        <f>IFERROR(VLOOKUP(BLB$1,Dividendos!$B$24:$C$39,2,FALSE),0%)</f>
        <v>0</v>
      </c>
      <c r="BLC7" s="5">
        <f>IFERROR(VLOOKUP(BLC$1,Dividendos!$B$24:$C$39,2,FALSE),0%)</f>
        <v>0</v>
      </c>
      <c r="BLD7" s="5">
        <f>IFERROR(VLOOKUP(BLD$1,Dividendos!$B$24:$C$39,2,FALSE),0%)</f>
        <v>0</v>
      </c>
      <c r="BLE7" s="5">
        <f>IFERROR(VLOOKUP(BLE$1,Dividendos!$B$24:$C$39,2,FALSE),0%)</f>
        <v>0</v>
      </c>
      <c r="BLF7" s="5">
        <f>IFERROR(VLOOKUP(BLF$1,Dividendos!$B$24:$C$39,2,FALSE),0%)</f>
        <v>0</v>
      </c>
      <c r="BLG7" s="5">
        <f>IFERROR(VLOOKUP(BLG$1,Dividendos!$B$24:$C$39,2,FALSE),0%)</f>
        <v>0</v>
      </c>
      <c r="BLH7" s="5">
        <f>IFERROR(VLOOKUP(BLH$1,Dividendos!$B$24:$C$39,2,FALSE),0%)</f>
        <v>0</v>
      </c>
      <c r="BLI7" s="5">
        <f>IFERROR(VLOOKUP(BLI$1,Dividendos!$B$24:$C$39,2,FALSE),0%)</f>
        <v>0</v>
      </c>
      <c r="BLJ7" s="5">
        <f>IFERROR(VLOOKUP(BLJ$1,Dividendos!$B$24:$C$39,2,FALSE),0%)</f>
        <v>0</v>
      </c>
      <c r="BLK7" s="5">
        <f>IFERROR(VLOOKUP(BLK$1,Dividendos!$B$24:$C$39,2,FALSE),0%)</f>
        <v>0</v>
      </c>
      <c r="BLL7" s="5">
        <f>IFERROR(VLOOKUP(BLL$1,Dividendos!$B$24:$C$39,2,FALSE),0%)</f>
        <v>0</v>
      </c>
      <c r="BLM7" s="5">
        <f>IFERROR(VLOOKUP(BLM$1,Dividendos!$B$24:$C$39,2,FALSE),0%)</f>
        <v>0</v>
      </c>
      <c r="BLN7" s="5">
        <f>IFERROR(VLOOKUP(BLN$1,Dividendos!$B$24:$C$39,2,FALSE),0%)</f>
        <v>0</v>
      </c>
      <c r="BLO7" s="5">
        <f>IFERROR(VLOOKUP(BLO$1,Dividendos!$B$24:$C$39,2,FALSE),0%)</f>
        <v>0</v>
      </c>
      <c r="BLP7" s="5">
        <f>IFERROR(VLOOKUP(BLP$1,Dividendos!$B$24:$C$39,2,FALSE),0%)</f>
        <v>0</v>
      </c>
      <c r="BLQ7" s="5">
        <f>IFERROR(VLOOKUP(BLQ$1,Dividendos!$B$24:$C$39,2,FALSE),0%)</f>
        <v>0</v>
      </c>
      <c r="BLR7" s="5">
        <f>IFERROR(VLOOKUP(BLR$1,Dividendos!$B$24:$C$39,2,FALSE),0%)</f>
        <v>0</v>
      </c>
      <c r="BLS7" s="5">
        <f>IFERROR(VLOOKUP(BLS$1,Dividendos!$B$24:$C$39,2,FALSE),0%)</f>
        <v>0</v>
      </c>
      <c r="BLT7" s="5">
        <f>IFERROR(VLOOKUP(BLT$1,Dividendos!$B$24:$C$39,2,FALSE),0%)</f>
        <v>0</v>
      </c>
      <c r="BLU7" s="5">
        <f>IFERROR(VLOOKUP(BLU$1,Dividendos!$B$24:$C$39,2,FALSE),0%)</f>
        <v>0</v>
      </c>
      <c r="BLV7" s="5">
        <f>IFERROR(VLOOKUP(BLV$1,Dividendos!$B$24:$C$39,2,FALSE),0%)</f>
        <v>0</v>
      </c>
      <c r="BLW7" s="5">
        <f>IFERROR(VLOOKUP(BLW$1,Dividendos!$B$24:$C$39,2,FALSE),0%)</f>
        <v>0</v>
      </c>
      <c r="BLX7" s="5">
        <f>IFERROR(VLOOKUP(BLX$1,Dividendos!$B$24:$C$39,2,FALSE),0%)</f>
        <v>0</v>
      </c>
      <c r="BLY7" s="5">
        <f>IFERROR(VLOOKUP(BLY$1,Dividendos!$B$24:$C$39,2,FALSE),0%)</f>
        <v>0</v>
      </c>
      <c r="BLZ7" s="5">
        <f>IFERROR(VLOOKUP(BLZ$1,Dividendos!$B$24:$C$39,2,FALSE),0%)</f>
        <v>0</v>
      </c>
      <c r="BMA7" s="5">
        <f>IFERROR(VLOOKUP(BMA$1,Dividendos!$B$24:$C$39,2,FALSE),0%)</f>
        <v>0</v>
      </c>
      <c r="BMB7" s="5">
        <f>IFERROR(VLOOKUP(BMB$1,Dividendos!$B$24:$C$39,2,FALSE),0%)</f>
        <v>0</v>
      </c>
      <c r="BMC7" s="5">
        <f>IFERROR(VLOOKUP(BMC$1,Dividendos!$B$24:$C$39,2,FALSE),0%)</f>
        <v>0</v>
      </c>
      <c r="BMD7" s="5">
        <f>IFERROR(VLOOKUP(BMD$1,Dividendos!$B$24:$C$39,2,FALSE),0%)</f>
        <v>0</v>
      </c>
      <c r="BME7" s="5">
        <f>IFERROR(VLOOKUP(BME$1,Dividendos!$B$24:$C$39,2,FALSE),0%)</f>
        <v>0</v>
      </c>
      <c r="BMF7" s="5">
        <f>IFERROR(VLOOKUP(BMF$1,Dividendos!$B$24:$C$39,2,FALSE),0%)</f>
        <v>0</v>
      </c>
      <c r="BMG7" s="5">
        <f>IFERROR(VLOOKUP(BMG$1,Dividendos!$B$24:$C$39,2,FALSE),0%)</f>
        <v>0</v>
      </c>
      <c r="BMH7" s="5">
        <f>IFERROR(VLOOKUP(BMH$1,Dividendos!$B$24:$C$39,2,FALSE),0%)</f>
        <v>0</v>
      </c>
      <c r="BMI7" s="5">
        <f>IFERROR(VLOOKUP(BMI$1,Dividendos!$B$24:$C$39,2,FALSE),0%)</f>
        <v>0</v>
      </c>
      <c r="BMJ7" s="5">
        <f>IFERROR(VLOOKUP(BMJ$1,Dividendos!$B$24:$C$39,2,FALSE),0%)</f>
        <v>0</v>
      </c>
      <c r="BMK7" s="5">
        <f>IFERROR(VLOOKUP(BMK$1,Dividendos!$B$24:$C$39,2,FALSE),0%)</f>
        <v>0</v>
      </c>
      <c r="BML7" s="5">
        <f>IFERROR(VLOOKUP(BML$1,Dividendos!$B$24:$C$39,2,FALSE),0%)</f>
        <v>0</v>
      </c>
      <c r="BMM7" s="5">
        <f>IFERROR(VLOOKUP(BMM$1,Dividendos!$B$24:$C$39,2,FALSE),0%)</f>
        <v>0</v>
      </c>
      <c r="BMN7" s="5">
        <f>IFERROR(VLOOKUP(BMN$1,Dividendos!$B$24:$C$39,2,FALSE),0%)</f>
        <v>0</v>
      </c>
      <c r="BMO7" s="5">
        <f>IFERROR(VLOOKUP(BMO$1,Dividendos!$B$24:$C$39,2,FALSE),0%)</f>
        <v>0</v>
      </c>
      <c r="BMP7" s="5">
        <f>IFERROR(VLOOKUP(BMP$1,Dividendos!$B$24:$C$39,2,FALSE),0%)</f>
        <v>0</v>
      </c>
      <c r="BMQ7" s="5">
        <f>IFERROR(VLOOKUP(BMQ$1,Dividendos!$B$24:$C$39,2,FALSE),0%)</f>
        <v>0</v>
      </c>
      <c r="BMR7" s="5">
        <f>IFERROR(VLOOKUP(BMR$1,Dividendos!$B$24:$C$39,2,FALSE),0%)</f>
        <v>0</v>
      </c>
      <c r="BMS7" s="5">
        <f>IFERROR(VLOOKUP(BMS$1,Dividendos!$B$24:$C$39,2,FALSE),0%)</f>
        <v>0</v>
      </c>
      <c r="BMT7" s="5">
        <f>IFERROR(VLOOKUP(BMT$1,Dividendos!$B$24:$C$39,2,FALSE),0%)</f>
        <v>0</v>
      </c>
      <c r="BMU7" s="5">
        <f>IFERROR(VLOOKUP(BMU$1,Dividendos!$B$24:$C$39,2,FALSE),0%)</f>
        <v>0</v>
      </c>
      <c r="BMV7" s="5">
        <f>IFERROR(VLOOKUP(BMV$1,Dividendos!$B$24:$C$39,2,FALSE),0%)</f>
        <v>0</v>
      </c>
      <c r="BMW7" s="5">
        <f>IFERROR(VLOOKUP(BMW$1,Dividendos!$B$24:$C$39,2,FALSE),0%)</f>
        <v>0</v>
      </c>
      <c r="BMX7" s="5">
        <f>IFERROR(VLOOKUP(BMX$1,Dividendos!$B$24:$C$39,2,FALSE),0%)</f>
        <v>0</v>
      </c>
      <c r="BMY7" s="5">
        <f>IFERROR(VLOOKUP(BMY$1,Dividendos!$B$24:$C$39,2,FALSE),0%)</f>
        <v>0</v>
      </c>
      <c r="BMZ7" s="5">
        <f>IFERROR(VLOOKUP(BMZ$1,Dividendos!$B$24:$C$39,2,FALSE),0%)</f>
        <v>0</v>
      </c>
      <c r="BNA7" s="5">
        <f>IFERROR(VLOOKUP(BNA$1,Dividendos!$B$24:$C$39,2,FALSE),0%)</f>
        <v>0</v>
      </c>
      <c r="BNB7" s="5">
        <f>IFERROR(VLOOKUP(BNB$1,Dividendos!$B$24:$C$39,2,FALSE),0%)</f>
        <v>0</v>
      </c>
      <c r="BNC7" s="5">
        <f>IFERROR(VLOOKUP(BNC$1,Dividendos!$B$24:$C$39,2,FALSE),0%)</f>
        <v>0</v>
      </c>
      <c r="BND7" s="5">
        <f>IFERROR(VLOOKUP(BND$1,Dividendos!$B$24:$C$39,2,FALSE),0%)</f>
        <v>0</v>
      </c>
      <c r="BNE7" s="5">
        <f>IFERROR(VLOOKUP(BNE$1,Dividendos!$B$24:$C$39,2,FALSE),0%)</f>
        <v>0</v>
      </c>
      <c r="BNF7" s="5">
        <f>IFERROR(VLOOKUP(BNF$1,Dividendos!$B$24:$C$39,2,FALSE),0%)</f>
        <v>0</v>
      </c>
      <c r="BNG7" s="5">
        <f>IFERROR(VLOOKUP(BNG$1,Dividendos!$B$24:$C$39,2,FALSE),0%)</f>
        <v>0</v>
      </c>
      <c r="BNH7" s="5">
        <f>IFERROR(VLOOKUP(BNH$1,Dividendos!$B$24:$C$39,2,FALSE),0%)</f>
        <v>0</v>
      </c>
      <c r="BNI7" s="5">
        <f>IFERROR(VLOOKUP(BNI$1,Dividendos!$B$24:$C$39,2,FALSE),0%)</f>
        <v>0</v>
      </c>
      <c r="BNJ7" s="5">
        <f>IFERROR(VLOOKUP(BNJ$1,Dividendos!$B$24:$C$39,2,FALSE),0%)</f>
        <v>0</v>
      </c>
      <c r="BNK7" s="5">
        <f>IFERROR(VLOOKUP(BNK$1,Dividendos!$B$24:$C$39,2,FALSE),0%)</f>
        <v>0</v>
      </c>
      <c r="BNL7" s="5">
        <f>IFERROR(VLOOKUP(BNL$1,Dividendos!$B$24:$C$39,2,FALSE),0%)</f>
        <v>0</v>
      </c>
      <c r="BNM7" s="5">
        <f>IFERROR(VLOOKUP(BNM$1,Dividendos!$B$24:$C$39,2,FALSE),0%)</f>
        <v>0</v>
      </c>
      <c r="BNN7" s="5">
        <f>IFERROR(VLOOKUP(BNN$1,Dividendos!$B$24:$C$39,2,FALSE),0%)</f>
        <v>0</v>
      </c>
      <c r="BNO7" s="5">
        <f>IFERROR(VLOOKUP(BNO$1,Dividendos!$B$24:$C$39,2,FALSE),0%)</f>
        <v>0</v>
      </c>
      <c r="BNP7" s="5">
        <f>IFERROR(VLOOKUP(BNP$1,Dividendos!$B$24:$C$39,2,FALSE),0%)</f>
        <v>0</v>
      </c>
      <c r="BNQ7" s="5">
        <f>IFERROR(VLOOKUP(BNQ$1,Dividendos!$B$24:$C$39,2,FALSE),0%)</f>
        <v>0</v>
      </c>
      <c r="BNR7" s="5">
        <f>IFERROR(VLOOKUP(BNR$1,Dividendos!$B$24:$C$39,2,FALSE),0%)</f>
        <v>0</v>
      </c>
      <c r="BNS7" s="5">
        <f>IFERROR(VLOOKUP(BNS$1,Dividendos!$B$24:$C$39,2,FALSE),0%)</f>
        <v>0</v>
      </c>
      <c r="BNT7" s="5">
        <f>IFERROR(VLOOKUP(BNT$1,Dividendos!$B$24:$C$39,2,FALSE),0%)</f>
        <v>0</v>
      </c>
      <c r="BNU7" s="5">
        <f>IFERROR(VLOOKUP(BNU$1,Dividendos!$B$24:$C$39,2,FALSE),0%)</f>
        <v>0</v>
      </c>
      <c r="BNV7" s="5">
        <f>IFERROR(VLOOKUP(BNV$1,Dividendos!$B$24:$C$39,2,FALSE),0%)</f>
        <v>0</v>
      </c>
      <c r="BNW7" s="5">
        <f>IFERROR(VLOOKUP(BNW$1,Dividendos!$B$24:$C$39,2,FALSE),0%)</f>
        <v>0</v>
      </c>
      <c r="BNX7" s="5">
        <f>IFERROR(VLOOKUP(BNX$1,Dividendos!$B$24:$C$39,2,FALSE),0%)</f>
        <v>0</v>
      </c>
      <c r="BNY7" s="5">
        <f>IFERROR(VLOOKUP(BNY$1,Dividendos!$B$24:$C$39,2,FALSE),0%)</f>
        <v>0</v>
      </c>
      <c r="BNZ7" s="5">
        <f>IFERROR(VLOOKUP(BNZ$1,Dividendos!$B$24:$C$39,2,FALSE),0%)</f>
        <v>0</v>
      </c>
      <c r="BOA7" s="5">
        <f>IFERROR(VLOOKUP(BOA$1,Dividendos!$B$24:$C$39,2,FALSE),0%)</f>
        <v>0</v>
      </c>
      <c r="BOB7" s="5">
        <f>IFERROR(VLOOKUP(BOB$1,Dividendos!$B$24:$C$39,2,FALSE),0%)</f>
        <v>0</v>
      </c>
      <c r="BOC7" s="5">
        <f>IFERROR(VLOOKUP(BOC$1,Dividendos!$B$24:$C$39,2,FALSE),0%)</f>
        <v>0</v>
      </c>
      <c r="BOD7" s="5">
        <f>IFERROR(VLOOKUP(BOD$1,Dividendos!$B$24:$C$39,2,FALSE),0%)</f>
        <v>0</v>
      </c>
      <c r="BOE7" s="5">
        <f>IFERROR(VLOOKUP(BOE$1,Dividendos!$B$24:$C$39,2,FALSE),0%)</f>
        <v>0</v>
      </c>
      <c r="BOF7" s="5">
        <f>IFERROR(VLOOKUP(BOF$1,Dividendos!$B$24:$C$39,2,FALSE),0%)</f>
        <v>0</v>
      </c>
      <c r="BOG7" s="5">
        <f>IFERROR(VLOOKUP(BOG$1,Dividendos!$B$24:$C$39,2,FALSE),0%)</f>
        <v>0</v>
      </c>
      <c r="BOH7" s="5">
        <f>IFERROR(VLOOKUP(BOH$1,Dividendos!$B$24:$C$39,2,FALSE),0%)</f>
        <v>0</v>
      </c>
      <c r="BOI7" s="5">
        <f>IFERROR(VLOOKUP(BOI$1,Dividendos!$B$24:$C$39,2,FALSE),0%)</f>
        <v>0</v>
      </c>
      <c r="BOJ7" s="5">
        <f>IFERROR(VLOOKUP(BOJ$1,Dividendos!$B$24:$C$39,2,FALSE),0%)</f>
        <v>0</v>
      </c>
      <c r="BOK7" s="5">
        <f>IFERROR(VLOOKUP(BOK$1,Dividendos!$B$24:$C$39,2,FALSE),0%)</f>
        <v>0</v>
      </c>
      <c r="BOL7" s="5">
        <f>IFERROR(VLOOKUP(BOL$1,Dividendos!$B$24:$C$39,2,FALSE),0%)</f>
        <v>0</v>
      </c>
      <c r="BOM7" s="5">
        <f>IFERROR(VLOOKUP(BOM$1,Dividendos!$B$24:$C$39,2,FALSE),0%)</f>
        <v>0</v>
      </c>
      <c r="BON7" s="5">
        <f>IFERROR(VLOOKUP(BON$1,Dividendos!$B$24:$C$39,2,FALSE),0%)</f>
        <v>0</v>
      </c>
      <c r="BOO7" s="5">
        <f>IFERROR(VLOOKUP(BOO$1,Dividendos!$B$24:$C$39,2,FALSE),0%)</f>
        <v>0</v>
      </c>
      <c r="BOP7" s="5">
        <f>IFERROR(VLOOKUP(BOP$1,Dividendos!$B$24:$C$39,2,FALSE),0%)</f>
        <v>0</v>
      </c>
      <c r="BOQ7" s="5">
        <f>IFERROR(VLOOKUP(BOQ$1,Dividendos!$B$24:$C$39,2,FALSE),0%)</f>
        <v>0</v>
      </c>
      <c r="BOR7" s="5">
        <f>IFERROR(VLOOKUP(BOR$1,Dividendos!$B$24:$C$39,2,FALSE),0%)</f>
        <v>0.1156654329</v>
      </c>
      <c r="BOS7" s="5">
        <f>IFERROR(VLOOKUP(BOS$1,Dividendos!$B$24:$C$39,2,FALSE),0%)</f>
        <v>0</v>
      </c>
      <c r="BOT7" s="5">
        <f>IFERROR(VLOOKUP(BOT$1,Dividendos!$B$24:$C$39,2,FALSE),0%)</f>
        <v>0</v>
      </c>
      <c r="BOU7" s="5">
        <f>IFERROR(VLOOKUP(BOU$1,Dividendos!$B$24:$C$39,2,FALSE),0%)</f>
        <v>0</v>
      </c>
      <c r="BOV7" s="5">
        <f>IFERROR(VLOOKUP(BOV$1,Dividendos!$B$24:$C$39,2,FALSE),0%)</f>
        <v>0</v>
      </c>
      <c r="BOW7" s="5">
        <f>IFERROR(VLOOKUP(BOW$1,Dividendos!$B$24:$C$39,2,FALSE),0%)</f>
        <v>0</v>
      </c>
      <c r="BOX7" s="5">
        <f>IFERROR(VLOOKUP(BOX$1,Dividendos!$B$24:$C$39,2,FALSE),0%)</f>
        <v>0</v>
      </c>
      <c r="BOY7" s="5">
        <f>IFERROR(VLOOKUP(BOY$1,Dividendos!$B$24:$C$39,2,FALSE),0%)</f>
        <v>0</v>
      </c>
      <c r="BOZ7" s="5">
        <f>IFERROR(VLOOKUP(BOZ$1,Dividendos!$B$24:$C$39,2,FALSE),0%)</f>
        <v>0</v>
      </c>
      <c r="BPA7" s="5">
        <f>IFERROR(VLOOKUP(BPA$1,Dividendos!$B$24:$C$39,2,FALSE),0%)</f>
        <v>0</v>
      </c>
      <c r="BPB7" s="5">
        <f>IFERROR(VLOOKUP(BPB$1,Dividendos!$B$24:$C$39,2,FALSE),0%)</f>
        <v>0</v>
      </c>
      <c r="BPC7" s="5">
        <f>IFERROR(VLOOKUP(BPC$1,Dividendos!$B$24:$C$39,2,FALSE),0%)</f>
        <v>0</v>
      </c>
      <c r="BPD7" s="5">
        <f>IFERROR(VLOOKUP(BPD$1,Dividendos!$B$24:$C$39,2,FALSE),0%)</f>
        <v>0</v>
      </c>
      <c r="BPE7" s="5">
        <f>IFERROR(VLOOKUP(BPE$1,Dividendos!$B$24:$C$39,2,FALSE),0%)</f>
        <v>0</v>
      </c>
      <c r="BPF7" s="5">
        <f>IFERROR(VLOOKUP(BPF$1,Dividendos!$B$24:$C$39,2,FALSE),0%)</f>
        <v>0</v>
      </c>
      <c r="BPG7" s="5">
        <f>IFERROR(VLOOKUP(BPG$1,Dividendos!$B$24:$C$39,2,FALSE),0%)</f>
        <v>0</v>
      </c>
      <c r="BPH7" s="5">
        <f>IFERROR(VLOOKUP(BPH$1,Dividendos!$B$24:$C$39,2,FALSE),0%)</f>
        <v>0</v>
      </c>
      <c r="BPI7" s="5">
        <f>IFERROR(VLOOKUP(BPI$1,Dividendos!$B$24:$C$39,2,FALSE),0%)</f>
        <v>0</v>
      </c>
      <c r="BPJ7" s="5">
        <f>IFERROR(VLOOKUP(BPJ$1,Dividendos!$B$24:$C$39,2,FALSE),0%)</f>
        <v>0</v>
      </c>
      <c r="BPK7" s="5">
        <f>IFERROR(VLOOKUP(BPK$1,Dividendos!$B$24:$C$39,2,FALSE),0%)</f>
        <v>0</v>
      </c>
      <c r="BPL7" s="5">
        <f>IFERROR(VLOOKUP(BPL$1,Dividendos!$B$24:$C$39,2,FALSE),0%)</f>
        <v>0</v>
      </c>
      <c r="BPM7" s="5">
        <f>IFERROR(VLOOKUP(BPM$1,Dividendos!$B$24:$C$39,2,FALSE),0%)</f>
        <v>0</v>
      </c>
      <c r="BPN7" s="5">
        <f>IFERROR(VLOOKUP(BPN$1,Dividendos!$B$24:$C$39,2,FALSE),0%)</f>
        <v>0</v>
      </c>
      <c r="BPO7" s="5">
        <f>IFERROR(VLOOKUP(BPO$1,Dividendos!$B$24:$C$39,2,FALSE),0%)</f>
        <v>0</v>
      </c>
      <c r="BPP7" s="5">
        <f>IFERROR(VLOOKUP(BPP$1,Dividendos!$B$24:$C$39,2,FALSE),0%)</f>
        <v>0</v>
      </c>
      <c r="BPQ7" s="5">
        <f>IFERROR(VLOOKUP(BPQ$1,Dividendos!$B$24:$C$39,2,FALSE),0%)</f>
        <v>0</v>
      </c>
      <c r="BPR7" s="5">
        <f>IFERROR(VLOOKUP(BPR$1,Dividendos!$B$24:$C$39,2,FALSE),0%)</f>
        <v>0</v>
      </c>
      <c r="BPS7" s="5">
        <f>IFERROR(VLOOKUP(BPS$1,Dividendos!$B$24:$C$39,2,FALSE),0%)</f>
        <v>0</v>
      </c>
      <c r="BPT7" s="5">
        <f>IFERROR(VLOOKUP(BPT$1,Dividendos!$B$24:$C$39,2,FALSE),0%)</f>
        <v>0</v>
      </c>
      <c r="BPU7" s="5">
        <f>IFERROR(VLOOKUP(BPU$1,Dividendos!$B$24:$C$39,2,FALSE),0%)</f>
        <v>0</v>
      </c>
      <c r="BPV7" s="5">
        <f>IFERROR(VLOOKUP(BPV$1,Dividendos!$B$24:$C$39,2,FALSE),0%)</f>
        <v>0</v>
      </c>
      <c r="BPW7" s="5">
        <f>IFERROR(VLOOKUP(BPW$1,Dividendos!$B$24:$C$39,2,FALSE),0%)</f>
        <v>0</v>
      </c>
      <c r="BPX7" s="5">
        <f>IFERROR(VLOOKUP(BPX$1,Dividendos!$B$24:$C$39,2,FALSE),0%)</f>
        <v>0</v>
      </c>
      <c r="BPY7" s="5">
        <f>IFERROR(VLOOKUP(BPY$1,Dividendos!$B$24:$C$39,2,FALSE),0%)</f>
        <v>0</v>
      </c>
      <c r="BPZ7" s="5">
        <f>IFERROR(VLOOKUP(BPZ$1,Dividendos!$B$24:$C$39,2,FALSE),0%)</f>
        <v>0</v>
      </c>
      <c r="BQA7" s="5">
        <f>IFERROR(VLOOKUP(BQA$1,Dividendos!$B$24:$C$39,2,FALSE),0%)</f>
        <v>0</v>
      </c>
      <c r="BQB7" s="5">
        <f>IFERROR(VLOOKUP(BQB$1,Dividendos!$B$24:$C$39,2,FALSE),0%)</f>
        <v>0</v>
      </c>
      <c r="BQC7" s="5">
        <f>IFERROR(VLOOKUP(BQC$1,Dividendos!$B$24:$C$39,2,FALSE),0%)</f>
        <v>0</v>
      </c>
      <c r="BQD7" s="5">
        <f>IFERROR(VLOOKUP(BQD$1,Dividendos!$B$24:$C$39,2,FALSE),0%)</f>
        <v>0</v>
      </c>
      <c r="BQE7" s="5">
        <f>IFERROR(VLOOKUP(BQE$1,Dividendos!$B$24:$C$39,2,FALSE),0%)</f>
        <v>0</v>
      </c>
      <c r="BQF7" s="5">
        <f>IFERROR(VLOOKUP(BQF$1,Dividendos!$B$24:$C$39,2,FALSE),0%)</f>
        <v>0</v>
      </c>
      <c r="BQG7" s="5">
        <f>IFERROR(VLOOKUP(BQG$1,Dividendos!$B$24:$C$39,2,FALSE),0%)</f>
        <v>0</v>
      </c>
      <c r="BQH7" s="5">
        <f>IFERROR(VLOOKUP(BQH$1,Dividendos!$B$24:$C$39,2,FALSE),0%)</f>
        <v>0</v>
      </c>
      <c r="BQI7" s="5">
        <f>IFERROR(VLOOKUP(BQI$1,Dividendos!$B$24:$C$39,2,FALSE),0%)</f>
        <v>0</v>
      </c>
      <c r="BQJ7" s="5">
        <f>IFERROR(VLOOKUP(BQJ$1,Dividendos!$B$24:$C$39,2,FALSE),0%)</f>
        <v>0.1451</v>
      </c>
      <c r="BQK7" s="5">
        <f>IFERROR(VLOOKUP(BQK$1,Dividendos!$B$24:$C$39,2,FALSE),0%)</f>
        <v>0</v>
      </c>
      <c r="BQL7" s="5">
        <f>IFERROR(VLOOKUP(BQL$1,Dividendos!$B$24:$C$39,2,FALSE),0%)</f>
        <v>0</v>
      </c>
      <c r="BQM7" s="5">
        <f>IFERROR(VLOOKUP(BQM$1,Dividendos!$B$24:$C$39,2,FALSE),0%)</f>
        <v>0</v>
      </c>
      <c r="BQN7" s="5">
        <f>IFERROR(VLOOKUP(BQN$1,Dividendos!$B$24:$C$39,2,FALSE),0%)</f>
        <v>0</v>
      </c>
      <c r="BQO7" s="5">
        <f>IFERROR(VLOOKUP(BQO$1,Dividendos!$B$24:$C$39,2,FALSE),0%)</f>
        <v>0</v>
      </c>
      <c r="BQP7" s="5">
        <f>IFERROR(VLOOKUP(BQP$1,Dividendos!$B$24:$C$39,2,FALSE),0%)</f>
        <v>0</v>
      </c>
      <c r="BQQ7" s="5">
        <f>IFERROR(VLOOKUP(BQQ$1,Dividendos!$B$24:$C$39,2,FALSE),0%)</f>
        <v>0</v>
      </c>
      <c r="BQR7" s="5">
        <f>IFERROR(VLOOKUP(BQR$1,Dividendos!$B$24:$C$39,2,FALSE),0%)</f>
        <v>0</v>
      </c>
      <c r="BQS7" s="5">
        <f>IFERROR(VLOOKUP(BQS$1,Dividendos!$B$24:$C$39,2,FALSE),0%)</f>
        <v>0</v>
      </c>
      <c r="BQT7" s="5">
        <f>IFERROR(VLOOKUP(BQT$1,Dividendos!$B$24:$C$39,2,FALSE),0%)</f>
        <v>0</v>
      </c>
      <c r="BQU7" s="5">
        <f>IFERROR(VLOOKUP(BQU$1,Dividendos!$B$24:$C$39,2,FALSE),0%)</f>
        <v>0</v>
      </c>
      <c r="BQV7" s="5">
        <f>IFERROR(VLOOKUP(BQV$1,Dividendos!$B$24:$C$39,2,FALSE),0%)</f>
        <v>0</v>
      </c>
      <c r="BQW7" s="5">
        <f>IFERROR(VLOOKUP(BQW$1,Dividendos!$B$24:$C$39,2,FALSE),0%)</f>
        <v>0</v>
      </c>
      <c r="BQX7" s="5">
        <f>IFERROR(VLOOKUP(BQX$1,Dividendos!$B$24:$C$39,2,FALSE),0%)</f>
        <v>0</v>
      </c>
      <c r="BQY7" s="5">
        <f>IFERROR(VLOOKUP(BQY$1,Dividendos!$B$24:$C$39,2,FALSE),0%)</f>
        <v>0</v>
      </c>
      <c r="BQZ7" s="5">
        <f>IFERROR(VLOOKUP(BQZ$1,Dividendos!$B$24:$C$39,2,FALSE),0%)</f>
        <v>0</v>
      </c>
      <c r="BRA7" s="5">
        <f>IFERROR(VLOOKUP(BRA$1,Dividendos!$B$24:$C$39,2,FALSE),0%)</f>
        <v>0</v>
      </c>
      <c r="BRB7" s="5">
        <f>IFERROR(VLOOKUP(BRB$1,Dividendos!$B$24:$C$39,2,FALSE),0%)</f>
        <v>0</v>
      </c>
      <c r="BRC7" s="5">
        <f>IFERROR(VLOOKUP(BRC$1,Dividendos!$B$24:$C$39,2,FALSE),0%)</f>
        <v>0</v>
      </c>
      <c r="BRD7" s="5">
        <f>IFERROR(VLOOKUP(BRD$1,Dividendos!$B$24:$C$39,2,FALSE),0%)</f>
        <v>0</v>
      </c>
      <c r="BRE7" s="5">
        <f>IFERROR(VLOOKUP(BRE$1,Dividendos!$B$24:$C$39,2,FALSE),0%)</f>
        <v>0</v>
      </c>
      <c r="BRF7" s="5">
        <f>IFERROR(VLOOKUP(BRF$1,Dividendos!$B$24:$C$39,2,FALSE),0%)</f>
        <v>0</v>
      </c>
      <c r="BRG7" s="5">
        <f>IFERROR(VLOOKUP(BRG$1,Dividendos!$B$24:$C$39,2,FALSE),0%)</f>
        <v>0</v>
      </c>
      <c r="BRH7" s="5">
        <f>IFERROR(VLOOKUP(BRH$1,Dividendos!$B$24:$C$39,2,FALSE),0%)</f>
        <v>0</v>
      </c>
      <c r="BRI7" s="5">
        <f>IFERROR(VLOOKUP(BRI$1,Dividendos!$B$24:$C$39,2,FALSE),0%)</f>
        <v>0</v>
      </c>
      <c r="BRJ7" s="5">
        <f>IFERROR(VLOOKUP(BRJ$1,Dividendos!$B$24:$C$39,2,FALSE),0%)</f>
        <v>0</v>
      </c>
      <c r="BRK7" s="5">
        <f>IFERROR(VLOOKUP(BRK$1,Dividendos!$B$24:$C$39,2,FALSE),0%)</f>
        <v>0</v>
      </c>
      <c r="BRL7" s="5">
        <f>IFERROR(VLOOKUP(BRL$1,Dividendos!$B$24:$C$39,2,FALSE),0%)</f>
        <v>0</v>
      </c>
      <c r="BRM7" s="5">
        <f>IFERROR(VLOOKUP(BRM$1,Dividendos!$B$24:$C$39,2,FALSE),0%)</f>
        <v>0</v>
      </c>
      <c r="BRN7" s="5">
        <f>IFERROR(VLOOKUP(BRN$1,Dividendos!$B$24:$C$39,2,FALSE),0%)</f>
        <v>0</v>
      </c>
      <c r="BRO7" s="5">
        <f>IFERROR(VLOOKUP(BRO$1,Dividendos!$B$24:$C$39,2,FALSE),0%)</f>
        <v>0</v>
      </c>
      <c r="BRP7" s="5">
        <f>IFERROR(VLOOKUP(BRP$1,Dividendos!$B$24:$C$39,2,FALSE),0%)</f>
        <v>0</v>
      </c>
      <c r="BRQ7" s="5">
        <f>IFERROR(VLOOKUP(BRQ$1,Dividendos!$B$24:$C$39,2,FALSE),0%)</f>
        <v>0</v>
      </c>
      <c r="BRR7" s="5">
        <f>IFERROR(VLOOKUP(BRR$1,Dividendos!$B$24:$C$39,2,FALSE),0%)</f>
        <v>0</v>
      </c>
      <c r="BRS7" s="5">
        <f>IFERROR(VLOOKUP(BRS$1,Dividendos!$B$24:$C$39,2,FALSE),0%)</f>
        <v>0</v>
      </c>
      <c r="BRT7" s="5">
        <f>IFERROR(VLOOKUP(BRT$1,Dividendos!$B$24:$C$39,2,FALSE),0%)</f>
        <v>0</v>
      </c>
      <c r="BRU7" s="5">
        <f>IFERROR(VLOOKUP(BRU$1,Dividendos!$B$24:$C$39,2,FALSE),0%)</f>
        <v>0</v>
      </c>
      <c r="BRV7" s="5">
        <f>IFERROR(VLOOKUP(BRV$1,Dividendos!$B$24:$C$39,2,FALSE),0%)</f>
        <v>0</v>
      </c>
      <c r="BRW7" s="5">
        <f>IFERROR(VLOOKUP(BRW$1,Dividendos!$B$24:$C$39,2,FALSE),0%)</f>
        <v>0</v>
      </c>
      <c r="BRX7" s="5">
        <f>IFERROR(VLOOKUP(BRX$1,Dividendos!$B$24:$C$39,2,FALSE),0%)</f>
        <v>0</v>
      </c>
      <c r="BRY7" s="5">
        <f>IFERROR(VLOOKUP(BRY$1,Dividendos!$B$24:$C$39,2,FALSE),0%)</f>
        <v>0</v>
      </c>
      <c r="BRZ7" s="5">
        <f>IFERROR(VLOOKUP(BRZ$1,Dividendos!$B$24:$C$39,2,FALSE),0%)</f>
        <v>0</v>
      </c>
      <c r="BSA7" s="5">
        <f>IFERROR(VLOOKUP(BSA$1,Dividendos!$B$24:$C$39,2,FALSE),0%)</f>
        <v>0</v>
      </c>
      <c r="BSB7" s="5">
        <f>IFERROR(VLOOKUP(BSB$1,Dividendos!$B$24:$C$39,2,FALSE),0%)</f>
        <v>0</v>
      </c>
      <c r="BSC7" s="5">
        <f>IFERROR(VLOOKUP(BSC$1,Dividendos!$B$24:$C$39,2,FALSE),0%)</f>
        <v>0</v>
      </c>
      <c r="BSD7" s="5">
        <f>IFERROR(VLOOKUP(BSD$1,Dividendos!$B$24:$C$39,2,FALSE),0%)</f>
        <v>0</v>
      </c>
      <c r="BSE7" s="5">
        <f>IFERROR(VLOOKUP(BSE$1,Dividendos!$B$24:$C$39,2,FALSE),0%)</f>
        <v>0</v>
      </c>
      <c r="BSF7" s="5">
        <f>IFERROR(VLOOKUP(BSF$1,Dividendos!$B$24:$C$39,2,FALSE),0%)</f>
        <v>0</v>
      </c>
      <c r="BSG7" s="5">
        <f>IFERROR(VLOOKUP(BSG$1,Dividendos!$B$24:$C$39,2,FALSE),0%)</f>
        <v>0</v>
      </c>
      <c r="BSH7" s="5">
        <f>IFERROR(VLOOKUP(BSH$1,Dividendos!$B$24:$C$39,2,FALSE),0%)</f>
        <v>0</v>
      </c>
      <c r="BSI7" s="5">
        <f>IFERROR(VLOOKUP(BSI$1,Dividendos!$B$24:$C$39,2,FALSE),0%)</f>
        <v>0</v>
      </c>
      <c r="BSJ7" s="5">
        <f>IFERROR(VLOOKUP(BSJ$1,Dividendos!$B$24:$C$39,2,FALSE),0%)</f>
        <v>0</v>
      </c>
      <c r="BSK7" s="5">
        <f>IFERROR(VLOOKUP(BSK$1,Dividendos!$B$24:$C$39,2,FALSE),0%)</f>
        <v>0</v>
      </c>
      <c r="BSL7" s="5">
        <f>IFERROR(VLOOKUP(BSL$1,Dividendos!$B$24:$C$39,2,FALSE),0%)</f>
        <v>0</v>
      </c>
      <c r="BSM7" s="5">
        <f>IFERROR(VLOOKUP(BSM$1,Dividendos!$B$24:$C$39,2,FALSE),0%)</f>
        <v>0</v>
      </c>
      <c r="BSN7" s="5">
        <f>IFERROR(VLOOKUP(BSN$1,Dividendos!$B$24:$C$39,2,FALSE),0%)</f>
        <v>0</v>
      </c>
      <c r="BSO7" s="5">
        <f>IFERROR(VLOOKUP(BSO$1,Dividendos!$B$24:$C$39,2,FALSE),0%)</f>
        <v>0</v>
      </c>
      <c r="BSP7" s="5">
        <f>IFERROR(VLOOKUP(BSP$1,Dividendos!$B$24:$C$39,2,FALSE),0%)</f>
        <v>0</v>
      </c>
      <c r="BSQ7" s="5">
        <f>IFERROR(VLOOKUP(BSQ$1,Dividendos!$B$24:$C$39,2,FALSE),0%)</f>
        <v>0</v>
      </c>
      <c r="BSR7" s="5">
        <f>IFERROR(VLOOKUP(BSR$1,Dividendos!$B$24:$C$39,2,FALSE),0%)</f>
        <v>0</v>
      </c>
      <c r="BSS7" s="5">
        <f>IFERROR(VLOOKUP(BSS$1,Dividendos!$B$24:$C$39,2,FALSE),0%)</f>
        <v>0</v>
      </c>
      <c r="BST7" s="5">
        <f>IFERROR(VLOOKUP(BST$1,Dividendos!$B$24:$C$39,2,FALSE),0%)</f>
        <v>0</v>
      </c>
      <c r="BSU7" s="5">
        <f>IFERROR(VLOOKUP(BSU$1,Dividendos!$B$24:$C$39,2,FALSE),0%)</f>
        <v>0</v>
      </c>
      <c r="BSV7" s="5">
        <f>IFERROR(VLOOKUP(BSV$1,Dividendos!$B$24:$C$39,2,FALSE),0%)</f>
        <v>0</v>
      </c>
      <c r="BSW7" s="5">
        <f>IFERROR(VLOOKUP(BSW$1,Dividendos!$B$24:$C$39,2,FALSE),0%)</f>
        <v>0</v>
      </c>
      <c r="BSX7" s="5">
        <f>IFERROR(VLOOKUP(BSX$1,Dividendos!$B$24:$C$39,2,FALSE),0%)</f>
        <v>0</v>
      </c>
      <c r="BSY7" s="5">
        <f>IFERROR(VLOOKUP(BSY$1,Dividendos!$B$24:$C$39,2,FALSE),0%)</f>
        <v>0</v>
      </c>
      <c r="BSZ7" s="5">
        <f>IFERROR(VLOOKUP(BSZ$1,Dividendos!$B$24:$C$39,2,FALSE),0%)</f>
        <v>0</v>
      </c>
      <c r="BTA7" s="5">
        <f>IFERROR(VLOOKUP(BTA$1,Dividendos!$B$24:$C$39,2,FALSE),0%)</f>
        <v>0</v>
      </c>
      <c r="BTB7" s="5">
        <f>IFERROR(VLOOKUP(BTB$1,Dividendos!$B$24:$C$39,2,FALSE),0%)</f>
        <v>0</v>
      </c>
      <c r="BTC7" s="5">
        <f>IFERROR(VLOOKUP(BTC$1,Dividendos!$B$24:$C$39,2,FALSE),0%)</f>
        <v>0</v>
      </c>
      <c r="BTD7" s="5">
        <f>IFERROR(VLOOKUP(BTD$1,Dividendos!$B$24:$C$39,2,FALSE),0%)</f>
        <v>0</v>
      </c>
      <c r="BTE7" s="5">
        <f>IFERROR(VLOOKUP(BTE$1,Dividendos!$B$24:$C$39,2,FALSE),0%)</f>
        <v>0</v>
      </c>
      <c r="BTF7" s="5">
        <f>IFERROR(VLOOKUP(BTF$1,Dividendos!$B$24:$C$39,2,FALSE),0%)</f>
        <v>0</v>
      </c>
      <c r="BTG7" s="5">
        <f>IFERROR(VLOOKUP(BTG$1,Dividendos!$B$24:$C$39,2,FALSE),0%)</f>
        <v>0</v>
      </c>
      <c r="BTH7" s="5">
        <f>IFERROR(VLOOKUP(BTH$1,Dividendos!$B$24:$C$39,2,FALSE),0%)</f>
        <v>0</v>
      </c>
      <c r="BTI7" s="5">
        <f>IFERROR(VLOOKUP(BTI$1,Dividendos!$B$24:$C$39,2,FALSE),0%)</f>
        <v>0</v>
      </c>
      <c r="BTJ7" s="5">
        <f>IFERROR(VLOOKUP(BTJ$1,Dividendos!$B$24:$C$39,2,FALSE),0%)</f>
        <v>0</v>
      </c>
      <c r="BTK7" s="5">
        <f>IFERROR(VLOOKUP(BTK$1,Dividendos!$B$24:$C$39,2,FALSE),0%)</f>
        <v>0</v>
      </c>
      <c r="BTL7" s="5">
        <f>IFERROR(VLOOKUP(BTL$1,Dividendos!$B$24:$C$39,2,FALSE),0%)</f>
        <v>0</v>
      </c>
      <c r="BTM7" s="5">
        <f>IFERROR(VLOOKUP(BTM$1,Dividendos!$B$24:$C$39,2,FALSE),0%)</f>
        <v>0</v>
      </c>
      <c r="BTN7" s="5">
        <f>IFERROR(VLOOKUP(BTN$1,Dividendos!$B$24:$C$39,2,FALSE),0%)</f>
        <v>0</v>
      </c>
      <c r="BTO7" s="5">
        <f>IFERROR(VLOOKUP(BTO$1,Dividendos!$B$24:$C$39,2,FALSE),0%)</f>
        <v>0</v>
      </c>
      <c r="BTP7" s="5">
        <f>IFERROR(VLOOKUP(BTP$1,Dividendos!$B$24:$C$39,2,FALSE),0%)</f>
        <v>0</v>
      </c>
      <c r="BTQ7" s="5">
        <f>IFERROR(VLOOKUP(BTQ$1,Dividendos!$B$24:$C$39,2,FALSE),0%)</f>
        <v>0</v>
      </c>
      <c r="BTR7" s="5">
        <f>IFERROR(VLOOKUP(BTR$1,Dividendos!$B$24:$C$39,2,FALSE),0%)</f>
        <v>0</v>
      </c>
      <c r="BTS7" s="5">
        <f>IFERROR(VLOOKUP(BTS$1,Dividendos!$B$24:$C$39,2,FALSE),0%)</f>
        <v>0</v>
      </c>
      <c r="BTT7" s="5">
        <f>IFERROR(VLOOKUP(BTT$1,Dividendos!$B$24:$C$39,2,FALSE),0%)</f>
        <v>0</v>
      </c>
      <c r="BTU7" s="5">
        <f>IFERROR(VLOOKUP(BTU$1,Dividendos!$B$24:$C$39,2,FALSE),0%)</f>
        <v>0</v>
      </c>
      <c r="BTV7" s="5">
        <f>IFERROR(VLOOKUP(BTV$1,Dividendos!$B$24:$C$39,2,FALSE),0%)</f>
        <v>0</v>
      </c>
      <c r="BTW7" s="5">
        <f>IFERROR(VLOOKUP(BTW$1,Dividendos!$B$24:$C$39,2,FALSE),0%)</f>
        <v>0</v>
      </c>
      <c r="BTX7" s="5">
        <f>IFERROR(VLOOKUP(BTX$1,Dividendos!$B$24:$C$39,2,FALSE),0%)</f>
        <v>0</v>
      </c>
      <c r="BTY7" s="5">
        <f>IFERROR(VLOOKUP(BTY$1,Dividendos!$B$24:$C$39,2,FALSE),0%)</f>
        <v>0</v>
      </c>
      <c r="BTZ7" s="5">
        <f>IFERROR(VLOOKUP(BTZ$1,Dividendos!$B$24:$C$39,2,FALSE),0%)</f>
        <v>0</v>
      </c>
      <c r="BUA7" s="5">
        <f>IFERROR(VLOOKUP(BUA$1,Dividendos!$B$24:$C$39,2,FALSE),0%)</f>
        <v>0</v>
      </c>
      <c r="BUB7" s="5">
        <f>IFERROR(VLOOKUP(BUB$1,Dividendos!$B$24:$C$39,2,FALSE),0%)</f>
        <v>0</v>
      </c>
      <c r="BUC7" s="5">
        <f>IFERROR(VLOOKUP(BUC$1,Dividendos!$B$24:$C$39,2,FALSE),0%)</f>
        <v>0</v>
      </c>
      <c r="BUD7" s="5">
        <f>IFERROR(VLOOKUP(BUD$1,Dividendos!$B$24:$C$39,2,FALSE),0%)</f>
        <v>0</v>
      </c>
      <c r="BUE7" s="5">
        <f>IFERROR(VLOOKUP(BUE$1,Dividendos!$B$24:$C$39,2,FALSE),0%)</f>
        <v>0</v>
      </c>
      <c r="BUF7" s="5">
        <f>IFERROR(VLOOKUP(BUF$1,Dividendos!$B$24:$C$39,2,FALSE),0%)</f>
        <v>0</v>
      </c>
      <c r="BUG7" s="5">
        <f>IFERROR(VLOOKUP(BUG$1,Dividendos!$B$24:$C$39,2,FALSE),0%)</f>
        <v>0</v>
      </c>
      <c r="BUH7" s="5">
        <f>IFERROR(VLOOKUP(BUH$1,Dividendos!$B$24:$C$39,2,FALSE),0%)</f>
        <v>0</v>
      </c>
      <c r="BUI7" s="5">
        <f>IFERROR(VLOOKUP(BUI$1,Dividendos!$B$24:$C$39,2,FALSE),0%)</f>
        <v>0</v>
      </c>
      <c r="BUJ7" s="5">
        <f>IFERROR(VLOOKUP(BUJ$1,Dividendos!$B$24:$C$39,2,FALSE),0%)</f>
        <v>0</v>
      </c>
      <c r="BUK7" s="5">
        <f>IFERROR(VLOOKUP(BUK$1,Dividendos!$B$24:$C$39,2,FALSE),0%)</f>
        <v>0</v>
      </c>
      <c r="BUL7" s="5">
        <f>IFERROR(VLOOKUP(BUL$1,Dividendos!$B$24:$C$39,2,FALSE),0%)</f>
        <v>0</v>
      </c>
      <c r="BUM7" s="5">
        <f>IFERROR(VLOOKUP(BUM$1,Dividendos!$B$24:$C$39,2,FALSE),0%)</f>
        <v>0</v>
      </c>
      <c r="BUN7" s="5">
        <f>IFERROR(VLOOKUP(BUN$1,Dividendos!$B$24:$C$39,2,FALSE),0%)</f>
        <v>0</v>
      </c>
      <c r="BUO7" s="5">
        <f>IFERROR(VLOOKUP(BUO$1,Dividendos!$B$24:$C$39,2,FALSE),0%)</f>
        <v>0</v>
      </c>
      <c r="BUP7" s="5">
        <f>IFERROR(VLOOKUP(BUP$1,Dividendos!$B$24:$C$39,2,FALSE),0%)</f>
        <v>0</v>
      </c>
      <c r="BUQ7" s="5">
        <f>IFERROR(VLOOKUP(BUQ$1,Dividendos!$B$24:$C$39,2,FALSE),0%)</f>
        <v>0</v>
      </c>
      <c r="BUR7" s="5">
        <f>IFERROR(VLOOKUP(BUR$1,Dividendos!$B$24:$C$39,2,FALSE),0%)</f>
        <v>0</v>
      </c>
      <c r="BUS7" s="5">
        <f>IFERROR(VLOOKUP(BUS$1,Dividendos!$B$24:$C$39,2,FALSE),0%)</f>
        <v>0</v>
      </c>
      <c r="BUT7" s="5">
        <f>IFERROR(VLOOKUP(BUT$1,Dividendos!$B$24:$C$39,2,FALSE),0%)</f>
        <v>0</v>
      </c>
      <c r="BUU7" s="5">
        <f>IFERROR(VLOOKUP(BUU$1,Dividendos!$B$24:$C$39,2,FALSE),0%)</f>
        <v>0</v>
      </c>
      <c r="BUV7" s="5">
        <f>IFERROR(VLOOKUP(BUV$1,Dividendos!$B$24:$C$39,2,FALSE),0%)</f>
        <v>0</v>
      </c>
      <c r="BUW7" s="5">
        <f>IFERROR(VLOOKUP(BUW$1,Dividendos!$B$24:$C$39,2,FALSE),0%)</f>
        <v>0</v>
      </c>
      <c r="BUX7" s="5">
        <f>IFERROR(VLOOKUP(BUX$1,Dividendos!$B$24:$C$39,2,FALSE),0%)</f>
        <v>0</v>
      </c>
      <c r="BUY7" s="5">
        <f>IFERROR(VLOOKUP(BUY$1,Dividendos!$B$24:$C$39,2,FALSE),0%)</f>
        <v>0</v>
      </c>
      <c r="BUZ7" s="5">
        <f>IFERROR(VLOOKUP(BUZ$1,Dividendos!$B$24:$C$39,2,FALSE),0%)</f>
        <v>0</v>
      </c>
      <c r="BVA7" s="5">
        <f>IFERROR(VLOOKUP(BVA$1,Dividendos!$B$24:$C$39,2,FALSE),0%)</f>
        <v>0</v>
      </c>
      <c r="BVB7" s="5">
        <f>IFERROR(VLOOKUP(BVB$1,Dividendos!$B$24:$C$39,2,FALSE),0%)</f>
        <v>0</v>
      </c>
      <c r="BVC7" s="5">
        <f>IFERROR(VLOOKUP(BVC$1,Dividendos!$B$24:$C$39,2,FALSE),0%)</f>
        <v>0</v>
      </c>
      <c r="BVD7" s="5">
        <f>IFERROR(VLOOKUP(BVD$1,Dividendos!$B$24:$C$39,2,FALSE),0%)</f>
        <v>0</v>
      </c>
      <c r="BVE7" s="5">
        <f>IFERROR(VLOOKUP(BVE$1,Dividendos!$B$24:$C$39,2,FALSE),0%)</f>
        <v>0</v>
      </c>
      <c r="BVF7" s="5">
        <f>IFERROR(VLOOKUP(BVF$1,Dividendos!$B$24:$C$39,2,FALSE),0%)</f>
        <v>0</v>
      </c>
      <c r="BVG7" s="5">
        <f>IFERROR(VLOOKUP(BVG$1,Dividendos!$B$24:$C$39,2,FALSE),0%)</f>
        <v>0</v>
      </c>
      <c r="BVH7" s="5">
        <f>IFERROR(VLOOKUP(BVH$1,Dividendos!$B$24:$C$39,2,FALSE),0%)</f>
        <v>0</v>
      </c>
      <c r="BVI7" s="5">
        <f>IFERROR(VLOOKUP(BVI$1,Dividendos!$B$24:$C$39,2,FALSE),0%)</f>
        <v>0</v>
      </c>
      <c r="BVJ7" s="5">
        <f>IFERROR(VLOOKUP(BVJ$1,Dividendos!$B$24:$C$39,2,FALSE),0%)</f>
        <v>0</v>
      </c>
      <c r="BVK7" s="5">
        <f>IFERROR(VLOOKUP(BVK$1,Dividendos!$B$24:$C$39,2,FALSE),0%)</f>
        <v>0</v>
      </c>
      <c r="BVL7" s="5">
        <f>IFERROR(VLOOKUP(BVL$1,Dividendos!$B$24:$C$39,2,FALSE),0%)</f>
        <v>0</v>
      </c>
      <c r="BVM7" s="5">
        <f>IFERROR(VLOOKUP(BVM$1,Dividendos!$B$24:$C$39,2,FALSE),0%)</f>
        <v>0</v>
      </c>
      <c r="BVN7" s="5">
        <f>IFERROR(VLOOKUP(BVN$1,Dividendos!$B$24:$C$39,2,FALSE),0%)</f>
        <v>0</v>
      </c>
      <c r="BVO7" s="5">
        <f>IFERROR(VLOOKUP(BVO$1,Dividendos!$B$24:$C$39,2,FALSE),0%)</f>
        <v>0</v>
      </c>
      <c r="BVP7" s="5">
        <f>IFERROR(VLOOKUP(BVP$1,Dividendos!$B$24:$C$39,2,FALSE),0%)</f>
        <v>0</v>
      </c>
      <c r="BVQ7" s="5">
        <f>IFERROR(VLOOKUP(BVQ$1,Dividendos!$B$24:$C$39,2,FALSE),0%)</f>
        <v>0</v>
      </c>
      <c r="BVR7" s="5">
        <f>IFERROR(VLOOKUP(BVR$1,Dividendos!$B$24:$C$39,2,FALSE),0%)</f>
        <v>0</v>
      </c>
      <c r="BVS7" s="5">
        <f>IFERROR(VLOOKUP(BVS$1,Dividendos!$B$24:$C$39,2,FALSE),0%)</f>
        <v>0</v>
      </c>
      <c r="BVT7" s="5">
        <f>IFERROR(VLOOKUP(BVT$1,Dividendos!$B$24:$C$39,2,FALSE),0%)</f>
        <v>0</v>
      </c>
      <c r="BVU7" s="5">
        <f>IFERROR(VLOOKUP(BVU$1,Dividendos!$B$24:$C$39,2,FALSE),0%)</f>
        <v>0</v>
      </c>
      <c r="BVV7" s="5">
        <f>IFERROR(VLOOKUP(BVV$1,Dividendos!$B$24:$C$39,2,FALSE),0%)</f>
        <v>0</v>
      </c>
      <c r="BVW7" s="5">
        <f>IFERROR(VLOOKUP(BVW$1,Dividendos!$B$24:$C$39,2,FALSE),0%)</f>
        <v>0</v>
      </c>
      <c r="BVX7" s="5">
        <f>IFERROR(VLOOKUP(BVX$1,Dividendos!$B$24:$C$39,2,FALSE),0%)</f>
        <v>0</v>
      </c>
      <c r="BVY7" s="5">
        <f>IFERROR(VLOOKUP(BVY$1,Dividendos!$B$24:$C$39,2,FALSE),0%)</f>
        <v>0</v>
      </c>
      <c r="BVZ7" s="5">
        <f>IFERROR(VLOOKUP(BVZ$1,Dividendos!$B$24:$C$39,2,FALSE),0%)</f>
        <v>0</v>
      </c>
      <c r="BWA7" s="5">
        <f>IFERROR(VLOOKUP(BWA$1,Dividendos!$B$24:$C$39,2,FALSE),0%)</f>
        <v>0</v>
      </c>
      <c r="BWB7" s="5">
        <f>IFERROR(VLOOKUP(BWB$1,Dividendos!$B$24:$C$39,2,FALSE),0%)</f>
        <v>0</v>
      </c>
      <c r="BWC7" s="5">
        <f>IFERROR(VLOOKUP(BWC$1,Dividendos!$B$24:$C$39,2,FALSE),0%)</f>
        <v>0</v>
      </c>
      <c r="BWD7" s="5">
        <f>IFERROR(VLOOKUP(BWD$1,Dividendos!$B$24:$C$39,2,FALSE),0%)</f>
        <v>0</v>
      </c>
      <c r="BWE7" s="5">
        <f>IFERROR(VLOOKUP(BWE$1,Dividendos!$B$24:$C$39,2,FALSE),0%)</f>
        <v>0</v>
      </c>
      <c r="BWF7" s="5">
        <f>IFERROR(VLOOKUP(BWF$1,Dividendos!$B$24:$C$39,2,FALSE),0%)</f>
        <v>0</v>
      </c>
      <c r="BWG7" s="5">
        <f>IFERROR(VLOOKUP(BWG$1,Dividendos!$B$24:$C$39,2,FALSE),0%)</f>
        <v>0</v>
      </c>
      <c r="BWH7" s="5">
        <f>IFERROR(VLOOKUP(BWH$1,Dividendos!$B$24:$C$39,2,FALSE),0%)</f>
        <v>0</v>
      </c>
      <c r="BWI7" s="5">
        <f>IFERROR(VLOOKUP(BWI$1,Dividendos!$B$24:$C$39,2,FALSE),0%)</f>
        <v>0</v>
      </c>
      <c r="BWJ7" s="5">
        <f>IFERROR(VLOOKUP(BWJ$1,Dividendos!$B$24:$C$39,2,FALSE),0%)</f>
        <v>0</v>
      </c>
      <c r="BWK7" s="5">
        <f>IFERROR(VLOOKUP(BWK$1,Dividendos!$B$24:$C$39,2,FALSE),0%)</f>
        <v>0</v>
      </c>
      <c r="BWL7" s="5">
        <f>IFERROR(VLOOKUP(BWL$1,Dividendos!$B$24:$C$39,2,FALSE),0%)</f>
        <v>0</v>
      </c>
      <c r="BWM7" s="5">
        <f>IFERROR(VLOOKUP(BWM$1,Dividendos!$B$24:$C$39,2,FALSE),0%)</f>
        <v>0</v>
      </c>
      <c r="BWN7" s="5">
        <f>IFERROR(VLOOKUP(BWN$1,Dividendos!$B$24:$C$39,2,FALSE),0%)</f>
        <v>0</v>
      </c>
      <c r="BWO7" s="5">
        <f>IFERROR(VLOOKUP(BWO$1,Dividendos!$B$24:$C$39,2,FALSE),0%)</f>
        <v>0</v>
      </c>
      <c r="BWP7" s="5">
        <f>IFERROR(VLOOKUP(BWP$1,Dividendos!$B$24:$C$39,2,FALSE),0%)</f>
        <v>0</v>
      </c>
      <c r="BWQ7" s="5">
        <f>IFERROR(VLOOKUP(BWQ$1,Dividendos!$B$24:$C$39,2,FALSE),0%)</f>
        <v>0</v>
      </c>
      <c r="BWR7" s="5">
        <f>IFERROR(VLOOKUP(BWR$1,Dividendos!$B$24:$C$39,2,FALSE),0%)</f>
        <v>0</v>
      </c>
      <c r="BWS7" s="5">
        <f>IFERROR(VLOOKUP(BWS$1,Dividendos!$B$24:$C$39,2,FALSE),0%)</f>
        <v>0</v>
      </c>
      <c r="BWT7" s="5">
        <f>IFERROR(VLOOKUP(BWT$1,Dividendos!$B$24:$C$39,2,FALSE),0%)</f>
        <v>0</v>
      </c>
      <c r="BWU7" s="5">
        <f>IFERROR(VLOOKUP(BWU$1,Dividendos!$B$24:$C$39,2,FALSE),0%)</f>
        <v>0</v>
      </c>
      <c r="BWV7" s="5">
        <f>IFERROR(VLOOKUP(BWV$1,Dividendos!$B$24:$C$39,2,FALSE),0%)</f>
        <v>0</v>
      </c>
      <c r="BWW7" s="5">
        <f>IFERROR(VLOOKUP(BWW$1,Dividendos!$B$24:$C$39,2,FALSE),0%)</f>
        <v>0</v>
      </c>
      <c r="BWX7" s="5">
        <f>IFERROR(VLOOKUP(BWX$1,Dividendos!$B$24:$C$39,2,FALSE),0%)</f>
        <v>0</v>
      </c>
      <c r="BWY7" s="5">
        <f>IFERROR(VLOOKUP(BWY$1,Dividendos!$B$24:$C$39,2,FALSE),0%)</f>
        <v>0</v>
      </c>
      <c r="BWZ7" s="5">
        <f>IFERROR(VLOOKUP(BWZ$1,Dividendos!$B$24:$C$39,2,FALSE),0%)</f>
        <v>0</v>
      </c>
      <c r="BXA7" s="5">
        <f>IFERROR(VLOOKUP(BXA$1,Dividendos!$B$24:$C$39,2,FALSE),0%)</f>
        <v>0</v>
      </c>
      <c r="BXB7" s="5">
        <f>IFERROR(VLOOKUP(BXB$1,Dividendos!$B$24:$C$39,2,FALSE),0%)</f>
        <v>0</v>
      </c>
      <c r="BXC7" s="5">
        <f>IFERROR(VLOOKUP(BXC$1,Dividendos!$B$24:$C$39,2,FALSE),0%)</f>
        <v>0</v>
      </c>
      <c r="BXD7" s="5">
        <f>IFERROR(VLOOKUP(BXD$1,Dividendos!$B$24:$C$39,2,FALSE),0%)</f>
        <v>0</v>
      </c>
      <c r="BXE7" s="5">
        <f>IFERROR(VLOOKUP(BXE$1,Dividendos!$B$24:$C$39,2,FALSE),0%)</f>
        <v>0</v>
      </c>
      <c r="BXF7" s="5">
        <f>IFERROR(VLOOKUP(BXF$1,Dividendos!$B$24:$C$39,2,FALSE),0%)</f>
        <v>0</v>
      </c>
      <c r="BXG7" s="5">
        <f>IFERROR(VLOOKUP(BXG$1,Dividendos!$B$24:$C$39,2,FALSE),0%)</f>
        <v>0</v>
      </c>
      <c r="BXH7" s="5">
        <f>IFERROR(VLOOKUP(BXH$1,Dividendos!$B$24:$C$39,2,FALSE),0%)</f>
        <v>0</v>
      </c>
      <c r="BXI7" s="5">
        <f>IFERROR(VLOOKUP(BXI$1,Dividendos!$B$24:$C$39,2,FALSE),0%)</f>
        <v>0</v>
      </c>
      <c r="BXJ7" s="5">
        <f>IFERROR(VLOOKUP(BXJ$1,Dividendos!$B$24:$C$39,2,FALSE),0%)</f>
        <v>0</v>
      </c>
      <c r="BXK7" s="5">
        <f>IFERROR(VLOOKUP(BXK$1,Dividendos!$B$24:$C$39,2,FALSE),0%)</f>
        <v>0</v>
      </c>
      <c r="BXL7" s="5">
        <f>IFERROR(VLOOKUP(BXL$1,Dividendos!$B$24:$C$39,2,FALSE),0%)</f>
        <v>0</v>
      </c>
      <c r="BXM7" s="5">
        <f>IFERROR(VLOOKUP(BXM$1,Dividendos!$B$24:$C$39,2,FALSE),0%)</f>
        <v>0</v>
      </c>
      <c r="BXN7" s="5">
        <f>IFERROR(VLOOKUP(BXN$1,Dividendos!$B$24:$C$39,2,FALSE),0%)</f>
        <v>0</v>
      </c>
      <c r="BXO7" s="5">
        <f>IFERROR(VLOOKUP(BXO$1,Dividendos!$B$24:$C$39,2,FALSE),0%)</f>
        <v>0</v>
      </c>
      <c r="BXP7" s="5">
        <f>IFERROR(VLOOKUP(BXP$1,Dividendos!$B$24:$C$39,2,FALSE),0%)</f>
        <v>0</v>
      </c>
      <c r="BXQ7" s="5">
        <f>IFERROR(VLOOKUP(BXQ$1,Dividendos!$B$24:$C$39,2,FALSE),0%)</f>
        <v>0</v>
      </c>
      <c r="BXR7" s="5">
        <f>IFERROR(VLOOKUP(BXR$1,Dividendos!$B$24:$C$39,2,FALSE),0%)</f>
        <v>0</v>
      </c>
      <c r="BXS7" s="5">
        <f>IFERROR(VLOOKUP(BXS$1,Dividendos!$B$24:$C$39,2,FALSE),0%)</f>
        <v>0</v>
      </c>
      <c r="BXT7" s="5">
        <f>IFERROR(VLOOKUP(BXT$1,Dividendos!$B$24:$C$39,2,FALSE),0%)</f>
        <v>0</v>
      </c>
      <c r="BXU7" s="5">
        <f>IFERROR(VLOOKUP(BXU$1,Dividendos!$B$24:$C$39,2,FALSE),0%)</f>
        <v>0</v>
      </c>
      <c r="BXV7" s="5">
        <f>IFERROR(VLOOKUP(BXV$1,Dividendos!$B$24:$C$39,2,FALSE),0%)</f>
        <v>0</v>
      </c>
      <c r="BXW7" s="5">
        <f>IFERROR(VLOOKUP(BXW$1,Dividendos!$B$24:$C$39,2,FALSE),0%)</f>
        <v>0</v>
      </c>
      <c r="BXX7" s="5">
        <f>IFERROR(VLOOKUP(BXX$1,Dividendos!$B$24:$C$39,2,FALSE),0%)</f>
        <v>0</v>
      </c>
      <c r="BXY7" s="5">
        <f>IFERROR(VLOOKUP(BXY$1,Dividendos!$B$24:$C$39,2,FALSE),0%)</f>
        <v>0</v>
      </c>
      <c r="BXZ7" s="5">
        <f>IFERROR(VLOOKUP(BXZ$1,Dividendos!$B$24:$C$39,2,FALSE),0%)</f>
        <v>0</v>
      </c>
      <c r="BYA7" s="5">
        <f>IFERROR(VLOOKUP(BYA$1,Dividendos!$B$24:$C$39,2,FALSE),0%)</f>
        <v>0</v>
      </c>
      <c r="BYB7" s="5">
        <f>IFERROR(VLOOKUP(BYB$1,Dividendos!$B$24:$C$39,2,FALSE),0%)</f>
        <v>0</v>
      </c>
      <c r="BYC7" s="5">
        <f>IFERROR(VLOOKUP(BYC$1,Dividendos!$B$24:$C$39,2,FALSE),0%)</f>
        <v>0</v>
      </c>
      <c r="BYD7" s="5">
        <f>IFERROR(VLOOKUP(BYD$1,Dividendos!$B$24:$C$39,2,FALSE),0%)</f>
        <v>0</v>
      </c>
      <c r="BYE7" s="5">
        <f>IFERROR(VLOOKUP(BYE$1,Dividendos!$B$24:$C$39,2,FALSE),0%)</f>
        <v>0</v>
      </c>
      <c r="BYF7" s="5">
        <f>IFERROR(VLOOKUP(BYF$1,Dividendos!$B$24:$C$39,2,FALSE),0%)</f>
        <v>0</v>
      </c>
      <c r="BYG7" s="5">
        <f>IFERROR(VLOOKUP(BYG$1,Dividendos!$B$24:$C$39,2,FALSE),0%)</f>
        <v>0</v>
      </c>
      <c r="BYH7" s="5">
        <f>IFERROR(VLOOKUP(BYH$1,Dividendos!$B$24:$C$39,2,FALSE),0%)</f>
        <v>0</v>
      </c>
      <c r="BYI7" s="5">
        <f>IFERROR(VLOOKUP(BYI$1,Dividendos!$B$24:$C$39,2,FALSE),0%)</f>
        <v>0</v>
      </c>
      <c r="BYJ7" s="5">
        <f>IFERROR(VLOOKUP(BYJ$1,Dividendos!$B$24:$C$39,2,FALSE),0%)</f>
        <v>0</v>
      </c>
      <c r="BYK7" s="5">
        <f>IFERROR(VLOOKUP(BYK$1,Dividendos!$B$24:$C$39,2,FALSE),0%)</f>
        <v>0</v>
      </c>
      <c r="BYL7" s="5">
        <f>IFERROR(VLOOKUP(BYL$1,Dividendos!$B$24:$C$39,2,FALSE),0%)</f>
        <v>0</v>
      </c>
    </row>
    <row r="8">
      <c r="A8" s="4" t="s">
        <v>2020</v>
      </c>
      <c r="B8" s="5">
        <f>IFERROR(VLOOKUP(B$1,'Renta Mixta Conservador'!$B$35:$C$53,2,FALSE),0%)</f>
        <v>0</v>
      </c>
      <c r="C8" s="5">
        <f>IFERROR(VLOOKUP(C$1,'Renta Mixta Conservador'!$B$35:$C$53,2,FALSE),0%)</f>
        <v>0</v>
      </c>
      <c r="D8" s="5">
        <f>IFERROR(VLOOKUP(D$1,'Renta Mixta Conservador'!$B$35:$C$53,2,FALSE),0%)</f>
        <v>0</v>
      </c>
      <c r="E8" s="5">
        <f>IFERROR(VLOOKUP(E$1,'Renta Mixta Conservador'!$B$35:$C$53,2,FALSE),0%)</f>
        <v>0</v>
      </c>
      <c r="F8" s="5">
        <f>IFERROR(VLOOKUP(F$1,'Renta Mixta Conservador'!$B$35:$C$53,2,FALSE),0%)</f>
        <v>0</v>
      </c>
      <c r="G8" s="5">
        <f>IFERROR(VLOOKUP(G$1,'Renta Mixta Conservador'!$B$35:$C$53,2,FALSE),0%)</f>
        <v>0</v>
      </c>
      <c r="H8" s="5">
        <f>IFERROR(VLOOKUP(H$1,'Renta Mixta Conservador'!$B$35:$C$53,2,FALSE),0%)</f>
        <v>0</v>
      </c>
      <c r="I8" s="5">
        <f>IFERROR(VLOOKUP(I$1,'Renta Mixta Conservador'!$B$35:$C$53,2,FALSE),0%)</f>
        <v>0</v>
      </c>
      <c r="J8" s="5">
        <f>IFERROR(VLOOKUP(J$1,'Renta Mixta Conservador'!$B$35:$C$53,2,FALSE),0%)</f>
        <v>0</v>
      </c>
      <c r="K8" s="5">
        <f>IFERROR(VLOOKUP(K$1,'Renta Mixta Conservador'!$B$35:$C$53,2,FALSE),0%)</f>
        <v>0</v>
      </c>
      <c r="L8" s="5">
        <f>IFERROR(VLOOKUP(L$1,'Renta Mixta Conservador'!$B$35:$C$53,2,FALSE),0%)</f>
        <v>0</v>
      </c>
      <c r="M8" s="5">
        <f>IFERROR(VLOOKUP(M$1,'Renta Mixta Conservador'!$B$35:$C$53,2,FALSE),0%)</f>
        <v>0</v>
      </c>
      <c r="N8" s="5">
        <f>IFERROR(VLOOKUP(N$1,'Renta Mixta Conservador'!$B$35:$C$53,2,FALSE),0%)</f>
        <v>0</v>
      </c>
      <c r="O8" s="5">
        <f>IFERROR(VLOOKUP(O$1,'Renta Mixta Conservador'!$B$35:$C$53,2,FALSE),0%)</f>
        <v>0</v>
      </c>
      <c r="P8" s="5">
        <f>IFERROR(VLOOKUP(P$1,'Renta Mixta Conservador'!$B$35:$C$53,2,FALSE),0%)</f>
        <v>0</v>
      </c>
      <c r="Q8" s="5">
        <f>IFERROR(VLOOKUP(Q$1,'Renta Mixta Conservador'!$B$35:$C$53,2,FALSE),0%)</f>
        <v>0</v>
      </c>
      <c r="R8" s="5">
        <f>IFERROR(VLOOKUP(R$1,'Renta Mixta Conservador'!$B$35:$C$53,2,FALSE),0%)</f>
        <v>0</v>
      </c>
      <c r="S8" s="5">
        <f>IFERROR(VLOOKUP(S$1,'Renta Mixta Conservador'!$B$35:$C$53,2,FALSE),0%)</f>
        <v>0</v>
      </c>
      <c r="T8" s="5">
        <f>IFERROR(VLOOKUP(T$1,'Renta Mixta Conservador'!$B$35:$C$53,2,FALSE),0%)</f>
        <v>0</v>
      </c>
      <c r="U8" s="5">
        <f>IFERROR(VLOOKUP(U$1,'Renta Mixta Conservador'!$B$35:$C$53,2,FALSE),0%)</f>
        <v>0</v>
      </c>
      <c r="V8" s="5">
        <f>IFERROR(VLOOKUP(V$1,'Renta Mixta Conservador'!$B$35:$C$53,2,FALSE),0%)</f>
        <v>0</v>
      </c>
      <c r="W8" s="5">
        <f>IFERROR(VLOOKUP(W$1,'Renta Mixta Conservador'!$B$35:$C$53,2,FALSE),0%)</f>
        <v>0</v>
      </c>
      <c r="X8" s="5">
        <f>IFERROR(VLOOKUP(X$1,'Renta Mixta Conservador'!$B$35:$C$53,2,FALSE),0%)</f>
        <v>0</v>
      </c>
      <c r="Y8" s="5">
        <f>IFERROR(VLOOKUP(Y$1,'Renta Mixta Conservador'!$B$35:$C$53,2,FALSE),0%)</f>
        <v>0</v>
      </c>
      <c r="Z8" s="5">
        <f>IFERROR(VLOOKUP(Z$1,'Renta Mixta Conservador'!$B$35:$C$53,2,FALSE),0%)</f>
        <v>0</v>
      </c>
      <c r="AA8" s="5">
        <f>IFERROR(VLOOKUP(AA$1,'Renta Mixta Conservador'!$B$35:$C$53,2,FALSE),0%)</f>
        <v>0</v>
      </c>
      <c r="AB8" s="5">
        <f>IFERROR(VLOOKUP(AB$1,'Renta Mixta Conservador'!$B$35:$C$53,2,FALSE),0%)</f>
        <v>0</v>
      </c>
      <c r="AC8" s="5">
        <f>IFERROR(VLOOKUP(AC$1,'Renta Mixta Conservador'!$B$35:$C$53,2,FALSE),0%)</f>
        <v>0</v>
      </c>
      <c r="AD8" s="5">
        <f>IFERROR(VLOOKUP(AD$1,'Renta Mixta Conservador'!$B$35:$C$53,2,FALSE),0%)</f>
        <v>0</v>
      </c>
      <c r="AE8" s="5">
        <f>IFERROR(VLOOKUP(AE$1,'Renta Mixta Conservador'!$B$35:$C$53,2,FALSE),0%)</f>
        <v>0</v>
      </c>
      <c r="AF8" s="5">
        <f>IFERROR(VLOOKUP(AF$1,'Renta Mixta Conservador'!$B$35:$C$53,2,FALSE),0%)</f>
        <v>0</v>
      </c>
      <c r="AG8" s="5">
        <f>IFERROR(VLOOKUP(AG$1,'Renta Mixta Conservador'!$B$35:$C$53,2,FALSE),0%)</f>
        <v>0</v>
      </c>
      <c r="AH8" s="5">
        <f>IFERROR(VLOOKUP(AH$1,'Renta Mixta Conservador'!$B$35:$C$53,2,FALSE),0%)</f>
        <v>0</v>
      </c>
      <c r="AI8" s="5">
        <f>IFERROR(VLOOKUP(AI$1,'Renta Mixta Conservador'!$B$35:$C$53,2,FALSE),0%)</f>
        <v>0</v>
      </c>
      <c r="AJ8" s="5">
        <f>IFERROR(VLOOKUP(AJ$1,'Renta Mixta Conservador'!$B$35:$C$53,2,FALSE),0%)</f>
        <v>0</v>
      </c>
      <c r="AK8" s="5">
        <f>IFERROR(VLOOKUP(AK$1,'Renta Mixta Conservador'!$B$35:$C$53,2,FALSE),0%)</f>
        <v>0.01873585766</v>
      </c>
      <c r="AL8" s="5">
        <f>IFERROR(VLOOKUP(AL$1,'Renta Mixta Conservador'!$B$35:$C$53,2,FALSE),0%)</f>
        <v>0</v>
      </c>
      <c r="AM8" s="5">
        <f>IFERROR(VLOOKUP(AM$1,'Renta Mixta Conservador'!$B$35:$C$53,2,FALSE),0%)</f>
        <v>0</v>
      </c>
      <c r="AN8" s="5">
        <f>IFERROR(VLOOKUP(AN$1,'Renta Mixta Conservador'!$B$35:$C$53,2,FALSE),0%)</f>
        <v>0</v>
      </c>
      <c r="AO8" s="5">
        <f>IFERROR(VLOOKUP(AO$1,'Renta Mixta Conservador'!$B$35:$C$53,2,FALSE),0%)</f>
        <v>0</v>
      </c>
      <c r="AP8" s="5">
        <f>IFERROR(VLOOKUP(AP$1,'Renta Mixta Conservador'!$B$35:$C$53,2,FALSE),0%)</f>
        <v>0</v>
      </c>
      <c r="AQ8" s="5">
        <f>IFERROR(VLOOKUP(AQ$1,'Renta Mixta Conservador'!$B$35:$C$53,2,FALSE),0%)</f>
        <v>0</v>
      </c>
      <c r="AR8" s="5">
        <f>IFERROR(VLOOKUP(AR$1,'Renta Mixta Conservador'!$B$35:$C$53,2,FALSE),0%)</f>
        <v>0</v>
      </c>
      <c r="AS8" s="5">
        <f>IFERROR(VLOOKUP(AS$1,'Renta Mixta Conservador'!$B$35:$C$53,2,FALSE),0%)</f>
        <v>0</v>
      </c>
      <c r="AT8" s="5">
        <f>IFERROR(VLOOKUP(AT$1,'Renta Mixta Conservador'!$B$35:$C$53,2,FALSE),0%)</f>
        <v>0</v>
      </c>
      <c r="AU8" s="5">
        <f>IFERROR(VLOOKUP(AU$1,'Renta Mixta Conservador'!$B$35:$C$53,2,FALSE),0%)</f>
        <v>0</v>
      </c>
      <c r="AV8" s="5">
        <f>IFERROR(VLOOKUP(AV$1,'Renta Mixta Conservador'!$B$35:$C$53,2,FALSE),0%)</f>
        <v>0</v>
      </c>
      <c r="AW8" s="5">
        <f>IFERROR(VLOOKUP(AW$1,'Renta Mixta Conservador'!$B$35:$C$53,2,FALSE),0%)</f>
        <v>0</v>
      </c>
      <c r="AX8" s="5">
        <f>IFERROR(VLOOKUP(AX$1,'Renta Mixta Conservador'!$B$35:$C$53,2,FALSE),0%)</f>
        <v>0</v>
      </c>
      <c r="AY8" s="5">
        <f>IFERROR(VLOOKUP(AY$1,'Renta Mixta Conservador'!$B$35:$C$53,2,FALSE),0%)</f>
        <v>0</v>
      </c>
      <c r="AZ8" s="5">
        <f>IFERROR(VLOOKUP(AZ$1,'Renta Mixta Conservador'!$B$35:$C$53,2,FALSE),0%)</f>
        <v>0</v>
      </c>
      <c r="BA8" s="5">
        <f>IFERROR(VLOOKUP(BA$1,'Renta Mixta Conservador'!$B$35:$C$53,2,FALSE),0%)</f>
        <v>0</v>
      </c>
      <c r="BB8" s="5">
        <f>IFERROR(VLOOKUP(BB$1,'Renta Mixta Conservador'!$B$35:$C$53,2,FALSE),0%)</f>
        <v>0</v>
      </c>
      <c r="BC8" s="5">
        <f>IFERROR(VLOOKUP(BC$1,'Renta Mixta Conservador'!$B$35:$C$53,2,FALSE),0%)</f>
        <v>0</v>
      </c>
      <c r="BD8" s="5">
        <f>IFERROR(VLOOKUP(BD$1,'Renta Mixta Conservador'!$B$35:$C$53,2,FALSE),0%)</f>
        <v>0</v>
      </c>
      <c r="BE8" s="5">
        <f>IFERROR(VLOOKUP(BE$1,'Renta Mixta Conservador'!$B$35:$C$53,2,FALSE),0%)</f>
        <v>0</v>
      </c>
      <c r="BF8" s="5">
        <f>IFERROR(VLOOKUP(BF$1,'Renta Mixta Conservador'!$B$35:$C$53,2,FALSE),0%)</f>
        <v>0</v>
      </c>
      <c r="BG8" s="5">
        <f>IFERROR(VLOOKUP(BG$1,'Renta Mixta Conservador'!$B$35:$C$53,2,FALSE),0%)</f>
        <v>0</v>
      </c>
      <c r="BH8" s="5">
        <f>IFERROR(VLOOKUP(BH$1,'Renta Mixta Conservador'!$B$35:$C$53,2,FALSE),0%)</f>
        <v>0</v>
      </c>
      <c r="BI8" s="5">
        <f>IFERROR(VLOOKUP(BI$1,'Renta Mixta Conservador'!$B$35:$C$53,2,FALSE),0%)</f>
        <v>0</v>
      </c>
      <c r="BJ8" s="5">
        <f>IFERROR(VLOOKUP(BJ$1,'Renta Mixta Conservador'!$B$35:$C$53,2,FALSE),0%)</f>
        <v>0</v>
      </c>
      <c r="BK8" s="5">
        <f>IFERROR(VLOOKUP(BK$1,'Renta Mixta Conservador'!$B$35:$C$53,2,FALSE),0%)</f>
        <v>0</v>
      </c>
      <c r="BL8" s="5">
        <f>IFERROR(VLOOKUP(BL$1,'Renta Mixta Conservador'!$B$35:$C$53,2,FALSE),0%)</f>
        <v>0</v>
      </c>
      <c r="BM8" s="5">
        <f>IFERROR(VLOOKUP(BM$1,'Renta Mixta Conservador'!$B$35:$C$53,2,FALSE),0%)</f>
        <v>0</v>
      </c>
      <c r="BN8" s="5">
        <f>IFERROR(VLOOKUP(BN$1,'Renta Mixta Conservador'!$B$35:$C$53,2,FALSE),0%)</f>
        <v>0</v>
      </c>
      <c r="BO8" s="5">
        <f>IFERROR(VLOOKUP(BO$1,'Renta Mixta Conservador'!$B$35:$C$53,2,FALSE),0%)</f>
        <v>0</v>
      </c>
      <c r="BP8" s="5">
        <f>IFERROR(VLOOKUP(BP$1,'Renta Mixta Conservador'!$B$35:$C$53,2,FALSE),0%)</f>
        <v>0</v>
      </c>
      <c r="BQ8" s="5">
        <f>IFERROR(VLOOKUP(BQ$1,'Renta Mixta Conservador'!$B$35:$C$53,2,FALSE),0%)</f>
        <v>0</v>
      </c>
      <c r="BR8" s="5">
        <f>IFERROR(VLOOKUP(BR$1,'Renta Mixta Conservador'!$B$35:$C$53,2,FALSE),0%)</f>
        <v>0.03990010054</v>
      </c>
      <c r="BS8" s="5">
        <f>IFERROR(VLOOKUP(BS$1,'Renta Mixta Conservador'!$B$35:$C$53,2,FALSE),0%)</f>
        <v>0</v>
      </c>
      <c r="BT8" s="5">
        <f>IFERROR(VLOOKUP(BT$1,'Renta Mixta Conservador'!$B$35:$C$53,2,FALSE),0%)</f>
        <v>0</v>
      </c>
      <c r="BU8" s="5">
        <f>IFERROR(VLOOKUP(BU$1,'Renta Mixta Conservador'!$B$35:$C$53,2,FALSE),0%)</f>
        <v>0</v>
      </c>
      <c r="BV8" s="5">
        <f>IFERROR(VLOOKUP(BV$1,'Renta Mixta Conservador'!$B$35:$C$53,2,FALSE),0%)</f>
        <v>0</v>
      </c>
      <c r="BW8" s="5">
        <f>IFERROR(VLOOKUP(BW$1,'Renta Mixta Conservador'!$B$35:$C$53,2,FALSE),0%)</f>
        <v>0</v>
      </c>
      <c r="BX8" s="5">
        <f>IFERROR(VLOOKUP(BX$1,'Renta Mixta Conservador'!$B$35:$C$53,2,FALSE),0%)</f>
        <v>0</v>
      </c>
      <c r="BY8" s="5">
        <f>IFERROR(VLOOKUP(BY$1,'Renta Mixta Conservador'!$B$35:$C$53,2,FALSE),0%)</f>
        <v>0</v>
      </c>
      <c r="BZ8" s="5">
        <f>IFERROR(VLOOKUP(BZ$1,'Renta Mixta Conservador'!$B$35:$C$53,2,FALSE),0%)</f>
        <v>0</v>
      </c>
      <c r="CA8" s="5">
        <f>IFERROR(VLOOKUP(CA$1,'Renta Mixta Conservador'!$B$35:$C$53,2,FALSE),0%)</f>
        <v>0</v>
      </c>
      <c r="CB8" s="5">
        <f>IFERROR(VLOOKUP(CB$1,'Renta Mixta Conservador'!$B$35:$C$53,2,FALSE),0%)</f>
        <v>0</v>
      </c>
      <c r="CC8" s="5">
        <f>IFERROR(VLOOKUP(CC$1,'Renta Mixta Conservador'!$B$35:$C$53,2,FALSE),0%)</f>
        <v>0</v>
      </c>
      <c r="CD8" s="5">
        <f>IFERROR(VLOOKUP(CD$1,'Renta Mixta Conservador'!$B$35:$C$53,2,FALSE),0%)</f>
        <v>0</v>
      </c>
      <c r="CE8" s="5">
        <f>IFERROR(VLOOKUP(CE$1,'Renta Mixta Conservador'!$B$35:$C$53,2,FALSE),0%)</f>
        <v>0</v>
      </c>
      <c r="CF8" s="5">
        <f>IFERROR(VLOOKUP(CF$1,'Renta Mixta Conservador'!$B$35:$C$53,2,FALSE),0%)</f>
        <v>0</v>
      </c>
      <c r="CG8" s="5">
        <f>IFERROR(VLOOKUP(CG$1,'Renta Mixta Conservador'!$B$35:$C$53,2,FALSE),0%)</f>
        <v>0</v>
      </c>
      <c r="CH8" s="5">
        <f>IFERROR(VLOOKUP(CH$1,'Renta Mixta Conservador'!$B$35:$C$53,2,FALSE),0%)</f>
        <v>0</v>
      </c>
      <c r="CI8" s="5">
        <f>IFERROR(VLOOKUP(CI$1,'Renta Mixta Conservador'!$B$35:$C$53,2,FALSE),0%)</f>
        <v>0</v>
      </c>
      <c r="CJ8" s="5">
        <f>IFERROR(VLOOKUP(CJ$1,'Renta Mixta Conservador'!$B$35:$C$53,2,FALSE),0%)</f>
        <v>0</v>
      </c>
      <c r="CK8" s="5">
        <f>IFERROR(VLOOKUP(CK$1,'Renta Mixta Conservador'!$B$35:$C$53,2,FALSE),0%)</f>
        <v>0</v>
      </c>
      <c r="CL8" s="5">
        <f>IFERROR(VLOOKUP(CL$1,'Renta Mixta Conservador'!$B$35:$C$53,2,FALSE),0%)</f>
        <v>0</v>
      </c>
      <c r="CM8" s="5">
        <f>IFERROR(VLOOKUP(CM$1,'Renta Mixta Conservador'!$B$35:$C$53,2,FALSE),0%)</f>
        <v>0</v>
      </c>
      <c r="CN8" s="5">
        <f>IFERROR(VLOOKUP(CN$1,'Renta Mixta Conservador'!$B$35:$C$53,2,FALSE),0%)</f>
        <v>0</v>
      </c>
      <c r="CO8" s="5">
        <f>IFERROR(VLOOKUP(CO$1,'Renta Mixta Conservador'!$B$35:$C$53,2,FALSE),0%)</f>
        <v>0</v>
      </c>
      <c r="CP8" s="5">
        <f>IFERROR(VLOOKUP(CP$1,'Renta Mixta Conservador'!$B$35:$C$53,2,FALSE),0%)</f>
        <v>0</v>
      </c>
      <c r="CQ8" s="5">
        <f>IFERROR(VLOOKUP(CQ$1,'Renta Mixta Conservador'!$B$35:$C$53,2,FALSE),0%)</f>
        <v>0</v>
      </c>
      <c r="CR8" s="5">
        <f>IFERROR(VLOOKUP(CR$1,'Renta Mixta Conservador'!$B$35:$C$53,2,FALSE),0%)</f>
        <v>0</v>
      </c>
      <c r="CS8" s="5">
        <f>IFERROR(VLOOKUP(CS$1,'Renta Mixta Conservador'!$B$35:$C$53,2,FALSE),0%)</f>
        <v>0</v>
      </c>
      <c r="CT8" s="5">
        <f>IFERROR(VLOOKUP(CT$1,'Renta Mixta Conservador'!$B$35:$C$53,2,FALSE),0%)</f>
        <v>0</v>
      </c>
      <c r="CU8" s="5">
        <f>IFERROR(VLOOKUP(CU$1,'Renta Mixta Conservador'!$B$35:$C$53,2,FALSE),0%)</f>
        <v>0</v>
      </c>
      <c r="CV8" s="5">
        <f>IFERROR(VLOOKUP(CV$1,'Renta Mixta Conservador'!$B$35:$C$53,2,FALSE),0%)</f>
        <v>0</v>
      </c>
      <c r="CW8" s="5">
        <f>IFERROR(VLOOKUP(CW$1,'Renta Mixta Conservador'!$B$35:$C$53,2,FALSE),0%)</f>
        <v>0</v>
      </c>
      <c r="CX8" s="5">
        <f>IFERROR(VLOOKUP(CX$1,'Renta Mixta Conservador'!$B$35:$C$53,2,FALSE),0%)</f>
        <v>0</v>
      </c>
      <c r="CY8" s="5">
        <f>IFERROR(VLOOKUP(CY$1,'Renta Mixta Conservador'!$B$35:$C$53,2,FALSE),0%)</f>
        <v>0</v>
      </c>
      <c r="CZ8" s="5">
        <f>IFERROR(VLOOKUP(CZ$1,'Renta Mixta Conservador'!$B$35:$C$53,2,FALSE),0%)</f>
        <v>0</v>
      </c>
      <c r="DA8" s="5">
        <f>IFERROR(VLOOKUP(DA$1,'Renta Mixta Conservador'!$B$35:$C$53,2,FALSE),0%)</f>
        <v>0</v>
      </c>
      <c r="DB8" s="5">
        <f>IFERROR(VLOOKUP(DB$1,'Renta Mixta Conservador'!$B$35:$C$53,2,FALSE),0%)</f>
        <v>0</v>
      </c>
      <c r="DC8" s="5">
        <f>IFERROR(VLOOKUP(DC$1,'Renta Mixta Conservador'!$B$35:$C$53,2,FALSE),0%)</f>
        <v>0</v>
      </c>
      <c r="DD8" s="5">
        <f>IFERROR(VLOOKUP(DD$1,'Renta Mixta Conservador'!$B$35:$C$53,2,FALSE),0%)</f>
        <v>0</v>
      </c>
      <c r="DE8" s="5">
        <f>IFERROR(VLOOKUP(DE$1,'Renta Mixta Conservador'!$B$35:$C$53,2,FALSE),0%)</f>
        <v>0</v>
      </c>
      <c r="DF8" s="5">
        <f>IFERROR(VLOOKUP(DF$1,'Renta Mixta Conservador'!$B$35:$C$53,2,FALSE),0%)</f>
        <v>0</v>
      </c>
      <c r="DG8" s="5">
        <f>IFERROR(VLOOKUP(DG$1,'Renta Mixta Conservador'!$B$35:$C$53,2,FALSE),0%)</f>
        <v>0</v>
      </c>
      <c r="DH8" s="5">
        <f>IFERROR(VLOOKUP(DH$1,'Renta Mixta Conservador'!$B$35:$C$53,2,FALSE),0%)</f>
        <v>0</v>
      </c>
      <c r="DI8" s="5">
        <f>IFERROR(VLOOKUP(DI$1,'Renta Mixta Conservador'!$B$35:$C$53,2,FALSE),0%)</f>
        <v>0</v>
      </c>
      <c r="DJ8" s="5">
        <f>IFERROR(VLOOKUP(DJ$1,'Renta Mixta Conservador'!$B$35:$C$53,2,FALSE),0%)</f>
        <v>0</v>
      </c>
      <c r="DK8" s="5">
        <f>IFERROR(VLOOKUP(DK$1,'Renta Mixta Conservador'!$B$35:$C$53,2,FALSE),0%)</f>
        <v>0</v>
      </c>
      <c r="DL8" s="5">
        <f>IFERROR(VLOOKUP(DL$1,'Renta Mixta Conservador'!$B$35:$C$53,2,FALSE),0%)</f>
        <v>0</v>
      </c>
      <c r="DM8" s="5">
        <f>IFERROR(VLOOKUP(DM$1,'Renta Mixta Conservador'!$B$35:$C$53,2,FALSE),0%)</f>
        <v>0</v>
      </c>
      <c r="DN8" s="5">
        <f>IFERROR(VLOOKUP(DN$1,'Renta Mixta Conservador'!$B$35:$C$53,2,FALSE),0%)</f>
        <v>0</v>
      </c>
      <c r="DO8" s="5">
        <f>IFERROR(VLOOKUP(DO$1,'Renta Mixta Conservador'!$B$35:$C$53,2,FALSE),0%)</f>
        <v>0</v>
      </c>
      <c r="DP8" s="5">
        <f>IFERROR(VLOOKUP(DP$1,'Renta Mixta Conservador'!$B$35:$C$53,2,FALSE),0%)</f>
        <v>0</v>
      </c>
      <c r="DQ8" s="5">
        <f>IFERROR(VLOOKUP(DQ$1,'Renta Mixta Conservador'!$B$35:$C$53,2,FALSE),0%)</f>
        <v>0</v>
      </c>
      <c r="DR8" s="5">
        <f>IFERROR(VLOOKUP(DR$1,'Renta Mixta Conservador'!$B$35:$C$53,2,FALSE),0%)</f>
        <v>0</v>
      </c>
      <c r="DS8" s="5">
        <f>IFERROR(VLOOKUP(DS$1,'Renta Mixta Conservador'!$B$35:$C$53,2,FALSE),0%)</f>
        <v>0</v>
      </c>
      <c r="DT8" s="5">
        <f>IFERROR(VLOOKUP(DT$1,'Renta Mixta Conservador'!$B$35:$C$53,2,FALSE),0%)</f>
        <v>0</v>
      </c>
      <c r="DU8" s="5">
        <f>IFERROR(VLOOKUP(DU$1,'Renta Mixta Conservador'!$B$35:$C$53,2,FALSE),0%)</f>
        <v>0</v>
      </c>
      <c r="DV8" s="5">
        <f>IFERROR(VLOOKUP(DV$1,'Renta Mixta Conservador'!$B$35:$C$53,2,FALSE),0%)</f>
        <v>0</v>
      </c>
      <c r="DW8" s="5">
        <f>IFERROR(VLOOKUP(DW$1,'Renta Mixta Conservador'!$B$35:$C$53,2,FALSE),0%)</f>
        <v>0</v>
      </c>
      <c r="DX8" s="5">
        <f>IFERROR(VLOOKUP(DX$1,'Renta Mixta Conservador'!$B$35:$C$53,2,FALSE),0%)</f>
        <v>0</v>
      </c>
      <c r="DY8" s="5">
        <f>IFERROR(VLOOKUP(DY$1,'Renta Mixta Conservador'!$B$35:$C$53,2,FALSE),0%)</f>
        <v>0</v>
      </c>
      <c r="DZ8" s="5">
        <f>IFERROR(VLOOKUP(DZ$1,'Renta Mixta Conservador'!$B$35:$C$53,2,FALSE),0%)</f>
        <v>0</v>
      </c>
      <c r="EA8" s="5">
        <f>IFERROR(VLOOKUP(EA$1,'Renta Mixta Conservador'!$B$35:$C$53,2,FALSE),0%)</f>
        <v>0</v>
      </c>
      <c r="EB8" s="5">
        <f>IFERROR(VLOOKUP(EB$1,'Renta Mixta Conservador'!$B$35:$C$53,2,FALSE),0%)</f>
        <v>0</v>
      </c>
      <c r="EC8" s="5">
        <f>IFERROR(VLOOKUP(EC$1,'Renta Mixta Conservador'!$B$35:$C$53,2,FALSE),0%)</f>
        <v>0</v>
      </c>
      <c r="ED8" s="5">
        <f>IFERROR(VLOOKUP(ED$1,'Renta Mixta Conservador'!$B$35:$C$53,2,FALSE),0%)</f>
        <v>0</v>
      </c>
      <c r="EE8" s="5">
        <f>IFERROR(VLOOKUP(EE$1,'Renta Mixta Conservador'!$B$35:$C$53,2,FALSE),0%)</f>
        <v>0</v>
      </c>
      <c r="EF8" s="5">
        <f>IFERROR(VLOOKUP(EF$1,'Renta Mixta Conservador'!$B$35:$C$53,2,FALSE),0%)</f>
        <v>0</v>
      </c>
      <c r="EG8" s="5">
        <f>IFERROR(VLOOKUP(EG$1,'Renta Mixta Conservador'!$B$35:$C$53,2,FALSE),0%)</f>
        <v>0</v>
      </c>
      <c r="EH8" s="5">
        <f>IFERROR(VLOOKUP(EH$1,'Renta Mixta Conservador'!$B$35:$C$53,2,FALSE),0%)</f>
        <v>0</v>
      </c>
      <c r="EI8" s="5">
        <f>IFERROR(VLOOKUP(EI$1,'Renta Mixta Conservador'!$B$35:$C$53,2,FALSE),0%)</f>
        <v>0</v>
      </c>
      <c r="EJ8" s="5">
        <f>IFERROR(VLOOKUP(EJ$1,'Renta Mixta Conservador'!$B$35:$C$53,2,FALSE),0%)</f>
        <v>0</v>
      </c>
      <c r="EK8" s="5">
        <f>IFERROR(VLOOKUP(EK$1,'Renta Mixta Conservador'!$B$35:$C$53,2,FALSE),0%)</f>
        <v>0</v>
      </c>
      <c r="EL8" s="5">
        <f>IFERROR(VLOOKUP(EL$1,'Renta Mixta Conservador'!$B$35:$C$53,2,FALSE),0%)</f>
        <v>0</v>
      </c>
      <c r="EM8" s="5">
        <f>IFERROR(VLOOKUP(EM$1,'Renta Mixta Conservador'!$B$35:$C$53,2,FALSE),0%)</f>
        <v>0</v>
      </c>
      <c r="EN8" s="5">
        <f>IFERROR(VLOOKUP(EN$1,'Renta Mixta Conservador'!$B$35:$C$53,2,FALSE),0%)</f>
        <v>0</v>
      </c>
      <c r="EO8" s="5">
        <f>IFERROR(VLOOKUP(EO$1,'Renta Mixta Conservador'!$B$35:$C$53,2,FALSE),0%)</f>
        <v>0</v>
      </c>
      <c r="EP8" s="5">
        <f>IFERROR(VLOOKUP(EP$1,'Renta Mixta Conservador'!$B$35:$C$53,2,FALSE),0%)</f>
        <v>0</v>
      </c>
      <c r="EQ8" s="5">
        <f>IFERROR(VLOOKUP(EQ$1,'Renta Mixta Conservador'!$B$35:$C$53,2,FALSE),0%)</f>
        <v>0</v>
      </c>
      <c r="ER8" s="5">
        <f>IFERROR(VLOOKUP(ER$1,'Renta Mixta Conservador'!$B$35:$C$53,2,FALSE),0%)</f>
        <v>0</v>
      </c>
      <c r="ES8" s="5">
        <f>IFERROR(VLOOKUP(ES$1,'Renta Mixta Conservador'!$B$35:$C$53,2,FALSE),0%)</f>
        <v>0</v>
      </c>
      <c r="ET8" s="5">
        <f>IFERROR(VLOOKUP(ET$1,'Renta Mixta Conservador'!$B$35:$C$53,2,FALSE),0%)</f>
        <v>0</v>
      </c>
      <c r="EU8" s="5">
        <f>IFERROR(VLOOKUP(EU$1,'Renta Mixta Conservador'!$B$35:$C$53,2,FALSE),0%)</f>
        <v>0.3618955657</v>
      </c>
      <c r="EV8" s="5">
        <f>IFERROR(VLOOKUP(EV$1,'Renta Mixta Conservador'!$B$35:$C$53,2,FALSE),0%)</f>
        <v>0</v>
      </c>
      <c r="EW8" s="5">
        <f>IFERROR(VLOOKUP(EW$1,'Renta Mixta Conservador'!$B$35:$C$53,2,FALSE),0%)</f>
        <v>0</v>
      </c>
      <c r="EX8" s="5">
        <f>IFERROR(VLOOKUP(EX$1,'Renta Mixta Conservador'!$B$35:$C$53,2,FALSE),0%)</f>
        <v>0</v>
      </c>
      <c r="EY8" s="5">
        <f>IFERROR(VLOOKUP(EY$1,'Renta Mixta Conservador'!$B$35:$C$53,2,FALSE),0%)</f>
        <v>0</v>
      </c>
      <c r="EZ8" s="5">
        <f>IFERROR(VLOOKUP(EZ$1,'Renta Mixta Conservador'!$B$35:$C$53,2,FALSE),0%)</f>
        <v>0</v>
      </c>
      <c r="FA8" s="5">
        <f>IFERROR(VLOOKUP(FA$1,'Renta Mixta Conservador'!$B$35:$C$53,2,FALSE),0%)</f>
        <v>0</v>
      </c>
      <c r="FB8" s="5">
        <f>IFERROR(VLOOKUP(FB$1,'Renta Mixta Conservador'!$B$35:$C$53,2,FALSE),0%)</f>
        <v>0</v>
      </c>
      <c r="FC8" s="5">
        <f>IFERROR(VLOOKUP(FC$1,'Renta Mixta Conservador'!$B$35:$C$53,2,FALSE),0%)</f>
        <v>0</v>
      </c>
      <c r="FD8" s="5">
        <f>IFERROR(VLOOKUP(FD$1,'Renta Mixta Conservador'!$B$35:$C$53,2,FALSE),0%)</f>
        <v>0</v>
      </c>
      <c r="FE8" s="5">
        <f>IFERROR(VLOOKUP(FE$1,'Renta Mixta Conservador'!$B$35:$C$53,2,FALSE),0%)</f>
        <v>0</v>
      </c>
      <c r="FF8" s="5">
        <f>IFERROR(VLOOKUP(FF$1,'Renta Mixta Conservador'!$B$35:$C$53,2,FALSE),0%)</f>
        <v>0</v>
      </c>
      <c r="FG8" s="5">
        <f>IFERROR(VLOOKUP(FG$1,'Renta Mixta Conservador'!$B$35:$C$53,2,FALSE),0%)</f>
        <v>0</v>
      </c>
      <c r="FH8" s="5">
        <f>IFERROR(VLOOKUP(FH$1,'Renta Mixta Conservador'!$B$35:$C$53,2,FALSE),0%)</f>
        <v>0</v>
      </c>
      <c r="FI8" s="5">
        <f>IFERROR(VLOOKUP(FI$1,'Renta Mixta Conservador'!$B$35:$C$53,2,FALSE),0%)</f>
        <v>0</v>
      </c>
      <c r="FJ8" s="5">
        <f>IFERROR(VLOOKUP(FJ$1,'Renta Mixta Conservador'!$B$35:$C$53,2,FALSE),0%)</f>
        <v>0</v>
      </c>
      <c r="FK8" s="5">
        <f>IFERROR(VLOOKUP(FK$1,'Renta Mixta Conservador'!$B$35:$C$53,2,FALSE),0%)</f>
        <v>0</v>
      </c>
      <c r="FL8" s="5">
        <f>IFERROR(VLOOKUP(FL$1,'Renta Mixta Conservador'!$B$35:$C$53,2,FALSE),0%)</f>
        <v>0</v>
      </c>
      <c r="FM8" s="5">
        <f>IFERROR(VLOOKUP(FM$1,'Renta Mixta Conservador'!$B$35:$C$53,2,FALSE),0%)</f>
        <v>0</v>
      </c>
      <c r="FN8" s="5">
        <f>IFERROR(VLOOKUP(FN$1,'Renta Mixta Conservador'!$B$35:$C$53,2,FALSE),0%)</f>
        <v>0</v>
      </c>
      <c r="FO8" s="5">
        <f>IFERROR(VLOOKUP(FO$1,'Renta Mixta Conservador'!$B$35:$C$53,2,FALSE),0%)</f>
        <v>0</v>
      </c>
      <c r="FP8" s="5">
        <f>IFERROR(VLOOKUP(FP$1,'Renta Mixta Conservador'!$B$35:$C$53,2,FALSE),0%)</f>
        <v>0</v>
      </c>
      <c r="FQ8" s="5">
        <f>IFERROR(VLOOKUP(FQ$1,'Renta Mixta Conservador'!$B$35:$C$53,2,FALSE),0%)</f>
        <v>0</v>
      </c>
      <c r="FR8" s="5">
        <f>IFERROR(VLOOKUP(FR$1,'Renta Mixta Conservador'!$B$35:$C$53,2,FALSE),0%)</f>
        <v>0</v>
      </c>
      <c r="FS8" s="5">
        <f>IFERROR(VLOOKUP(FS$1,'Renta Mixta Conservador'!$B$35:$C$53,2,FALSE),0%)</f>
        <v>0</v>
      </c>
      <c r="FT8" s="5">
        <f>IFERROR(VLOOKUP(FT$1,'Renta Mixta Conservador'!$B$35:$C$53,2,FALSE),0%)</f>
        <v>0</v>
      </c>
      <c r="FU8" s="5">
        <f>IFERROR(VLOOKUP(FU$1,'Renta Mixta Conservador'!$B$35:$C$53,2,FALSE),0%)</f>
        <v>0</v>
      </c>
      <c r="FV8" s="5">
        <f>IFERROR(VLOOKUP(FV$1,'Renta Mixta Conservador'!$B$35:$C$53,2,FALSE),0%)</f>
        <v>0</v>
      </c>
      <c r="FW8" s="5">
        <f>IFERROR(VLOOKUP(FW$1,'Renta Mixta Conservador'!$B$35:$C$53,2,FALSE),0%)</f>
        <v>0</v>
      </c>
      <c r="FX8" s="5">
        <f>IFERROR(VLOOKUP(FX$1,'Renta Mixta Conservador'!$B$35:$C$53,2,FALSE),0%)</f>
        <v>0</v>
      </c>
      <c r="FY8" s="5">
        <f>IFERROR(VLOOKUP(FY$1,'Renta Mixta Conservador'!$B$35:$C$53,2,FALSE),0%)</f>
        <v>0</v>
      </c>
      <c r="FZ8" s="5">
        <f>IFERROR(VLOOKUP(FZ$1,'Renta Mixta Conservador'!$B$35:$C$53,2,FALSE),0%)</f>
        <v>0</v>
      </c>
      <c r="GA8" s="5">
        <f>IFERROR(VLOOKUP(GA$1,'Renta Mixta Conservador'!$B$35:$C$53,2,FALSE),0%)</f>
        <v>0</v>
      </c>
      <c r="GB8" s="5">
        <f>IFERROR(VLOOKUP(GB$1,'Renta Mixta Conservador'!$B$35:$C$53,2,FALSE),0%)</f>
        <v>0</v>
      </c>
      <c r="GC8" s="5">
        <f>IFERROR(VLOOKUP(GC$1,'Renta Mixta Conservador'!$B$35:$C$53,2,FALSE),0%)</f>
        <v>0</v>
      </c>
      <c r="GD8" s="5">
        <f>IFERROR(VLOOKUP(GD$1,'Renta Mixta Conservador'!$B$35:$C$53,2,FALSE),0%)</f>
        <v>0</v>
      </c>
      <c r="GE8" s="5">
        <f>IFERROR(VLOOKUP(GE$1,'Renta Mixta Conservador'!$B$35:$C$53,2,FALSE),0%)</f>
        <v>0</v>
      </c>
      <c r="GF8" s="5">
        <f>IFERROR(VLOOKUP(GF$1,'Renta Mixta Conservador'!$B$35:$C$53,2,FALSE),0%)</f>
        <v>0</v>
      </c>
      <c r="GG8" s="5">
        <f>IFERROR(VLOOKUP(GG$1,'Renta Mixta Conservador'!$B$35:$C$53,2,FALSE),0%)</f>
        <v>0</v>
      </c>
      <c r="GH8" s="5">
        <f>IFERROR(VLOOKUP(GH$1,'Renta Mixta Conservador'!$B$35:$C$53,2,FALSE),0%)</f>
        <v>0</v>
      </c>
      <c r="GI8" s="5">
        <f>IFERROR(VLOOKUP(GI$1,'Renta Mixta Conservador'!$B$35:$C$53,2,FALSE),0%)</f>
        <v>0</v>
      </c>
      <c r="GJ8" s="5">
        <f>IFERROR(VLOOKUP(GJ$1,'Renta Mixta Conservador'!$B$35:$C$53,2,FALSE),0%)</f>
        <v>0</v>
      </c>
      <c r="GK8" s="5">
        <f>IFERROR(VLOOKUP(GK$1,'Renta Mixta Conservador'!$B$35:$C$53,2,FALSE),0%)</f>
        <v>0</v>
      </c>
      <c r="GL8" s="5">
        <f>IFERROR(VLOOKUP(GL$1,'Renta Mixta Conservador'!$B$35:$C$53,2,FALSE),0%)</f>
        <v>0</v>
      </c>
      <c r="GM8" s="5">
        <f>IFERROR(VLOOKUP(GM$1,'Renta Mixta Conservador'!$B$35:$C$53,2,FALSE),0%)</f>
        <v>0</v>
      </c>
      <c r="GN8" s="5">
        <f>IFERROR(VLOOKUP(GN$1,'Renta Mixta Conservador'!$B$35:$C$53,2,FALSE),0%)</f>
        <v>0</v>
      </c>
      <c r="GO8" s="5">
        <f>IFERROR(VLOOKUP(GO$1,'Renta Mixta Conservador'!$B$35:$C$53,2,FALSE),0%)</f>
        <v>0</v>
      </c>
      <c r="GP8" s="5">
        <f>IFERROR(VLOOKUP(GP$1,'Renta Mixta Conservador'!$B$35:$C$53,2,FALSE),0%)</f>
        <v>0</v>
      </c>
      <c r="GQ8" s="5">
        <f>IFERROR(VLOOKUP(GQ$1,'Renta Mixta Conservador'!$B$35:$C$53,2,FALSE),0%)</f>
        <v>0</v>
      </c>
      <c r="GR8" s="5">
        <f>IFERROR(VLOOKUP(GR$1,'Renta Mixta Conservador'!$B$35:$C$53,2,FALSE),0%)</f>
        <v>0</v>
      </c>
      <c r="GS8" s="5">
        <f>IFERROR(VLOOKUP(GS$1,'Renta Mixta Conservador'!$B$35:$C$53,2,FALSE),0%)</f>
        <v>0</v>
      </c>
      <c r="GT8" s="5">
        <f>IFERROR(VLOOKUP(GT$1,'Renta Mixta Conservador'!$B$35:$C$53,2,FALSE),0%)</f>
        <v>0</v>
      </c>
      <c r="GU8" s="5">
        <f>IFERROR(VLOOKUP(GU$1,'Renta Mixta Conservador'!$B$35:$C$53,2,FALSE),0%)</f>
        <v>0</v>
      </c>
      <c r="GV8" s="5">
        <f>IFERROR(VLOOKUP(GV$1,'Renta Mixta Conservador'!$B$35:$C$53,2,FALSE),0%)</f>
        <v>0</v>
      </c>
      <c r="GW8" s="5">
        <f>IFERROR(VLOOKUP(GW$1,'Renta Mixta Conservador'!$B$35:$C$53,2,FALSE),0%)</f>
        <v>0</v>
      </c>
      <c r="GX8" s="5">
        <f>IFERROR(VLOOKUP(GX$1,'Renta Mixta Conservador'!$B$35:$C$53,2,FALSE),0%)</f>
        <v>0</v>
      </c>
      <c r="GY8" s="5">
        <f>IFERROR(VLOOKUP(GY$1,'Renta Mixta Conservador'!$B$35:$C$53,2,FALSE),0%)</f>
        <v>0</v>
      </c>
      <c r="GZ8" s="5">
        <f>IFERROR(VLOOKUP(GZ$1,'Renta Mixta Conservador'!$B$35:$C$53,2,FALSE),0%)</f>
        <v>0</v>
      </c>
      <c r="HA8" s="5">
        <f>IFERROR(VLOOKUP(HA$1,'Renta Mixta Conservador'!$B$35:$C$53,2,FALSE),0%)</f>
        <v>0</v>
      </c>
      <c r="HB8" s="5">
        <f>IFERROR(VLOOKUP(HB$1,'Renta Mixta Conservador'!$B$35:$C$53,2,FALSE),0%)</f>
        <v>0</v>
      </c>
      <c r="HC8" s="5">
        <f>IFERROR(VLOOKUP(HC$1,'Renta Mixta Conservador'!$B$35:$C$53,2,FALSE),0%)</f>
        <v>0</v>
      </c>
      <c r="HD8" s="5">
        <f>IFERROR(VLOOKUP(HD$1,'Renta Mixta Conservador'!$B$35:$C$53,2,FALSE),0%)</f>
        <v>0</v>
      </c>
      <c r="HE8" s="5">
        <f>IFERROR(VLOOKUP(HE$1,'Renta Mixta Conservador'!$B$35:$C$53,2,FALSE),0%)</f>
        <v>0</v>
      </c>
      <c r="HF8" s="5">
        <f>IFERROR(VLOOKUP(HF$1,'Renta Mixta Conservador'!$B$35:$C$53,2,FALSE),0%)</f>
        <v>0</v>
      </c>
      <c r="HG8" s="5">
        <f>IFERROR(VLOOKUP(HG$1,'Renta Mixta Conservador'!$B$35:$C$53,2,FALSE),0%)</f>
        <v>0</v>
      </c>
      <c r="HH8" s="5">
        <f>IFERROR(VLOOKUP(HH$1,'Renta Mixta Conservador'!$B$35:$C$53,2,FALSE),0%)</f>
        <v>0</v>
      </c>
      <c r="HI8" s="5">
        <f>IFERROR(VLOOKUP(HI$1,'Renta Mixta Conservador'!$B$35:$C$53,2,FALSE),0%)</f>
        <v>0</v>
      </c>
      <c r="HJ8" s="5">
        <f>IFERROR(VLOOKUP(HJ$1,'Renta Mixta Conservador'!$B$35:$C$53,2,FALSE),0%)</f>
        <v>0</v>
      </c>
      <c r="HK8" s="5">
        <f>IFERROR(VLOOKUP(HK$1,'Renta Mixta Conservador'!$B$35:$C$53,2,FALSE),0%)</f>
        <v>0</v>
      </c>
      <c r="HL8" s="5">
        <f>IFERROR(VLOOKUP(HL$1,'Renta Mixta Conservador'!$B$35:$C$53,2,FALSE),0%)</f>
        <v>0</v>
      </c>
      <c r="HM8" s="5">
        <f>IFERROR(VLOOKUP(HM$1,'Renta Mixta Conservador'!$B$35:$C$53,2,FALSE),0%)</f>
        <v>0</v>
      </c>
      <c r="HN8" s="5">
        <f>IFERROR(VLOOKUP(HN$1,'Renta Mixta Conservador'!$B$35:$C$53,2,FALSE),0%)</f>
        <v>0</v>
      </c>
      <c r="HO8" s="5">
        <f>IFERROR(VLOOKUP(HO$1,'Renta Mixta Conservador'!$B$35:$C$53,2,FALSE),0%)</f>
        <v>0</v>
      </c>
      <c r="HP8" s="5">
        <f>IFERROR(VLOOKUP(HP$1,'Renta Mixta Conservador'!$B$35:$C$53,2,FALSE),0%)</f>
        <v>0</v>
      </c>
      <c r="HQ8" s="5">
        <f>IFERROR(VLOOKUP(HQ$1,'Renta Mixta Conservador'!$B$35:$C$53,2,FALSE),0%)</f>
        <v>0</v>
      </c>
      <c r="HR8" s="5">
        <f>IFERROR(VLOOKUP(HR$1,'Renta Mixta Conservador'!$B$35:$C$53,2,FALSE),0%)</f>
        <v>0</v>
      </c>
      <c r="HS8" s="5">
        <f>IFERROR(VLOOKUP(HS$1,'Renta Mixta Conservador'!$B$35:$C$53,2,FALSE),0%)</f>
        <v>0</v>
      </c>
      <c r="HT8" s="5">
        <f>IFERROR(VLOOKUP(HT$1,'Renta Mixta Conservador'!$B$35:$C$53,2,FALSE),0%)</f>
        <v>0</v>
      </c>
      <c r="HU8" s="5">
        <f>IFERROR(VLOOKUP(HU$1,'Renta Mixta Conservador'!$B$35:$C$53,2,FALSE),0%)</f>
        <v>0</v>
      </c>
      <c r="HV8" s="5">
        <f>IFERROR(VLOOKUP(HV$1,'Renta Mixta Conservador'!$B$35:$C$53,2,FALSE),0%)</f>
        <v>0</v>
      </c>
      <c r="HW8" s="5">
        <f>IFERROR(VLOOKUP(HW$1,'Renta Mixta Conservador'!$B$35:$C$53,2,FALSE),0%)</f>
        <v>0</v>
      </c>
      <c r="HX8" s="5">
        <f>IFERROR(VLOOKUP(HX$1,'Renta Mixta Conservador'!$B$35:$C$53,2,FALSE),0%)</f>
        <v>0</v>
      </c>
      <c r="HY8" s="5">
        <f>IFERROR(VLOOKUP(HY$1,'Renta Mixta Conservador'!$B$35:$C$53,2,FALSE),0%)</f>
        <v>0</v>
      </c>
      <c r="HZ8" s="5">
        <f>IFERROR(VLOOKUP(HZ$1,'Renta Mixta Conservador'!$B$35:$C$53,2,FALSE),0%)</f>
        <v>0</v>
      </c>
      <c r="IA8" s="5">
        <f>IFERROR(VLOOKUP(IA$1,'Renta Mixta Conservador'!$B$35:$C$53,2,FALSE),0%)</f>
        <v>0</v>
      </c>
      <c r="IB8" s="5">
        <f>IFERROR(VLOOKUP(IB$1,'Renta Mixta Conservador'!$B$35:$C$53,2,FALSE),0%)</f>
        <v>0</v>
      </c>
      <c r="IC8" s="5">
        <f>IFERROR(VLOOKUP(IC$1,'Renta Mixta Conservador'!$B$35:$C$53,2,FALSE),0%)</f>
        <v>0</v>
      </c>
      <c r="ID8" s="5">
        <f>IFERROR(VLOOKUP(ID$1,'Renta Mixta Conservador'!$B$35:$C$53,2,FALSE),0%)</f>
        <v>0</v>
      </c>
      <c r="IE8" s="5">
        <f>IFERROR(VLOOKUP(IE$1,'Renta Mixta Conservador'!$B$35:$C$53,2,FALSE),0%)</f>
        <v>0</v>
      </c>
      <c r="IF8" s="5">
        <f>IFERROR(VLOOKUP(IF$1,'Renta Mixta Conservador'!$B$35:$C$53,2,FALSE),0%)</f>
        <v>0</v>
      </c>
      <c r="IG8" s="5">
        <f>IFERROR(VLOOKUP(IG$1,'Renta Mixta Conservador'!$B$35:$C$53,2,FALSE),0%)</f>
        <v>0</v>
      </c>
      <c r="IH8" s="5">
        <f>IFERROR(VLOOKUP(IH$1,'Renta Mixta Conservador'!$B$35:$C$53,2,FALSE),0%)</f>
        <v>0</v>
      </c>
      <c r="II8" s="5">
        <f>IFERROR(VLOOKUP(II$1,'Renta Mixta Conservador'!$B$35:$C$53,2,FALSE),0%)</f>
        <v>0</v>
      </c>
      <c r="IJ8" s="5">
        <f>IFERROR(VLOOKUP(IJ$1,'Renta Mixta Conservador'!$B$35:$C$53,2,FALSE),0%)</f>
        <v>0</v>
      </c>
      <c r="IK8" s="5">
        <f>IFERROR(VLOOKUP(IK$1,'Renta Mixta Conservador'!$B$35:$C$53,2,FALSE),0%)</f>
        <v>0</v>
      </c>
      <c r="IL8" s="5">
        <f>IFERROR(VLOOKUP(IL$1,'Renta Mixta Conservador'!$B$35:$C$53,2,FALSE),0%)</f>
        <v>0</v>
      </c>
      <c r="IM8" s="5">
        <f>IFERROR(VLOOKUP(IM$1,'Renta Mixta Conservador'!$B$35:$C$53,2,FALSE),0%)</f>
        <v>0</v>
      </c>
      <c r="IN8" s="5">
        <f>IFERROR(VLOOKUP(IN$1,'Renta Mixta Conservador'!$B$35:$C$53,2,FALSE),0%)</f>
        <v>0</v>
      </c>
      <c r="IO8" s="5">
        <f>IFERROR(VLOOKUP(IO$1,'Renta Mixta Conservador'!$B$35:$C$53,2,FALSE),0%)</f>
        <v>0</v>
      </c>
      <c r="IP8" s="5">
        <f>IFERROR(VLOOKUP(IP$1,'Renta Mixta Conservador'!$B$35:$C$53,2,FALSE),0%)</f>
        <v>0</v>
      </c>
      <c r="IQ8" s="5">
        <f>IFERROR(VLOOKUP(IQ$1,'Renta Mixta Conservador'!$B$35:$C$53,2,FALSE),0%)</f>
        <v>0</v>
      </c>
      <c r="IR8" s="5">
        <f>IFERROR(VLOOKUP(IR$1,'Renta Mixta Conservador'!$B$35:$C$53,2,FALSE),0%)</f>
        <v>0</v>
      </c>
      <c r="IS8" s="5">
        <f>IFERROR(VLOOKUP(IS$1,'Renta Mixta Conservador'!$B$35:$C$53,2,FALSE),0%)</f>
        <v>0</v>
      </c>
      <c r="IT8" s="5">
        <f>IFERROR(VLOOKUP(IT$1,'Renta Mixta Conservador'!$B$35:$C$53,2,FALSE),0%)</f>
        <v>0</v>
      </c>
      <c r="IU8" s="5">
        <f>IFERROR(VLOOKUP(IU$1,'Renta Mixta Conservador'!$B$35:$C$53,2,FALSE),0%)</f>
        <v>0</v>
      </c>
      <c r="IV8" s="5">
        <f>IFERROR(VLOOKUP(IV$1,'Renta Mixta Conservador'!$B$35:$C$53,2,FALSE),0%)</f>
        <v>0</v>
      </c>
      <c r="IW8" s="5">
        <f>IFERROR(VLOOKUP(IW$1,'Renta Mixta Conservador'!$B$35:$C$53,2,FALSE),0%)</f>
        <v>0</v>
      </c>
      <c r="IX8" s="5">
        <f>IFERROR(VLOOKUP(IX$1,'Renta Mixta Conservador'!$B$35:$C$53,2,FALSE),0%)</f>
        <v>0</v>
      </c>
      <c r="IY8" s="5">
        <f>IFERROR(VLOOKUP(IY$1,'Renta Mixta Conservador'!$B$35:$C$53,2,FALSE),0%)</f>
        <v>0</v>
      </c>
      <c r="IZ8" s="5">
        <f>IFERROR(VLOOKUP(IZ$1,'Renta Mixta Conservador'!$B$35:$C$53,2,FALSE),0%)</f>
        <v>0</v>
      </c>
      <c r="JA8" s="5">
        <f>IFERROR(VLOOKUP(JA$1,'Renta Mixta Conservador'!$B$35:$C$53,2,FALSE),0%)</f>
        <v>0</v>
      </c>
      <c r="JB8" s="5">
        <f>IFERROR(VLOOKUP(JB$1,'Renta Mixta Conservador'!$B$35:$C$53,2,FALSE),0%)</f>
        <v>0</v>
      </c>
      <c r="JC8" s="5">
        <f>IFERROR(VLOOKUP(JC$1,'Renta Mixta Conservador'!$B$35:$C$53,2,FALSE),0%)</f>
        <v>0</v>
      </c>
      <c r="JD8" s="5">
        <f>IFERROR(VLOOKUP(JD$1,'Renta Mixta Conservador'!$B$35:$C$53,2,FALSE),0%)</f>
        <v>0</v>
      </c>
      <c r="JE8" s="5">
        <f>IFERROR(VLOOKUP(JE$1,'Renta Mixta Conservador'!$B$35:$C$53,2,FALSE),0%)</f>
        <v>0</v>
      </c>
      <c r="JF8" s="5">
        <f>IFERROR(VLOOKUP(JF$1,'Renta Mixta Conservador'!$B$35:$C$53,2,FALSE),0%)</f>
        <v>0</v>
      </c>
      <c r="JG8" s="5">
        <f>IFERROR(VLOOKUP(JG$1,'Renta Mixta Conservador'!$B$35:$C$53,2,FALSE),0%)</f>
        <v>0</v>
      </c>
      <c r="JH8" s="5">
        <f>IFERROR(VLOOKUP(JH$1,'Renta Mixta Conservador'!$B$35:$C$53,2,FALSE),0%)</f>
        <v>0.0314640418</v>
      </c>
      <c r="JI8" s="5">
        <f>IFERROR(VLOOKUP(JI$1,'Renta Mixta Conservador'!$B$35:$C$53,2,FALSE),0%)</f>
        <v>0</v>
      </c>
      <c r="JJ8" s="5">
        <f>IFERROR(VLOOKUP(JJ$1,'Renta Mixta Conservador'!$B$35:$C$53,2,FALSE),0%)</f>
        <v>0</v>
      </c>
      <c r="JK8" s="5">
        <f>IFERROR(VLOOKUP(JK$1,'Renta Mixta Conservador'!$B$35:$C$53,2,FALSE),0%)</f>
        <v>0</v>
      </c>
      <c r="JL8" s="5">
        <f>IFERROR(VLOOKUP(JL$1,'Renta Mixta Conservador'!$B$35:$C$53,2,FALSE),0%)</f>
        <v>0</v>
      </c>
      <c r="JM8" s="5">
        <f>IFERROR(VLOOKUP(JM$1,'Renta Mixta Conservador'!$B$35:$C$53,2,FALSE),0%)</f>
        <v>0</v>
      </c>
      <c r="JN8" s="5">
        <f>IFERROR(VLOOKUP(JN$1,'Renta Mixta Conservador'!$B$35:$C$53,2,FALSE),0%)</f>
        <v>0</v>
      </c>
      <c r="JO8" s="5">
        <f>IFERROR(VLOOKUP(JO$1,'Renta Mixta Conservador'!$B$35:$C$53,2,FALSE),0%)</f>
        <v>0</v>
      </c>
      <c r="JP8" s="5">
        <f>IFERROR(VLOOKUP(JP$1,'Renta Mixta Conservador'!$B$35:$C$53,2,FALSE),0%)</f>
        <v>0</v>
      </c>
      <c r="JQ8" s="5">
        <f>IFERROR(VLOOKUP(JQ$1,'Renta Mixta Conservador'!$B$35:$C$53,2,FALSE),0%)</f>
        <v>0</v>
      </c>
      <c r="JR8" s="5">
        <f>IFERROR(VLOOKUP(JR$1,'Renta Mixta Conservador'!$B$35:$C$53,2,FALSE),0%)</f>
        <v>0</v>
      </c>
      <c r="JS8" s="5">
        <f>IFERROR(VLOOKUP(JS$1,'Renta Mixta Conservador'!$B$35:$C$53,2,FALSE),0%)</f>
        <v>0</v>
      </c>
      <c r="JT8" s="5">
        <f>IFERROR(VLOOKUP(JT$1,'Renta Mixta Conservador'!$B$35:$C$53,2,FALSE),0%)</f>
        <v>0</v>
      </c>
      <c r="JU8" s="5">
        <f>IFERROR(VLOOKUP(JU$1,'Renta Mixta Conservador'!$B$35:$C$53,2,FALSE),0%)</f>
        <v>0</v>
      </c>
      <c r="JV8" s="5">
        <f>IFERROR(VLOOKUP(JV$1,'Renta Mixta Conservador'!$B$35:$C$53,2,FALSE),0%)</f>
        <v>0</v>
      </c>
      <c r="JW8" s="5">
        <f>IFERROR(VLOOKUP(JW$1,'Renta Mixta Conservador'!$B$35:$C$53,2,FALSE),0%)</f>
        <v>0</v>
      </c>
      <c r="JX8" s="5">
        <f>IFERROR(VLOOKUP(JX$1,'Renta Mixta Conservador'!$B$35:$C$53,2,FALSE),0%)</f>
        <v>0</v>
      </c>
      <c r="JY8" s="5">
        <f>IFERROR(VLOOKUP(JY$1,'Renta Mixta Conservador'!$B$35:$C$53,2,FALSE),0%)</f>
        <v>0</v>
      </c>
      <c r="JZ8" s="5">
        <f>IFERROR(VLOOKUP(JZ$1,'Renta Mixta Conservador'!$B$35:$C$53,2,FALSE),0%)</f>
        <v>0</v>
      </c>
      <c r="KA8" s="5">
        <f>IFERROR(VLOOKUP(KA$1,'Renta Mixta Conservador'!$B$35:$C$53,2,FALSE),0%)</f>
        <v>0</v>
      </c>
      <c r="KB8" s="5">
        <f>IFERROR(VLOOKUP(KB$1,'Renta Mixta Conservador'!$B$35:$C$53,2,FALSE),0%)</f>
        <v>0</v>
      </c>
      <c r="KC8" s="5">
        <f>IFERROR(VLOOKUP(KC$1,'Renta Mixta Conservador'!$B$35:$C$53,2,FALSE),0%)</f>
        <v>0</v>
      </c>
      <c r="KD8" s="5">
        <f>IFERROR(VLOOKUP(KD$1,'Renta Mixta Conservador'!$B$35:$C$53,2,FALSE),0%)</f>
        <v>0</v>
      </c>
      <c r="KE8" s="5">
        <f>IFERROR(VLOOKUP(KE$1,'Renta Mixta Conservador'!$B$35:$C$53,2,FALSE),0%)</f>
        <v>0</v>
      </c>
      <c r="KF8" s="5">
        <f>IFERROR(VLOOKUP(KF$1,'Renta Mixta Conservador'!$B$35:$C$53,2,FALSE),0%)</f>
        <v>0</v>
      </c>
      <c r="KG8" s="5">
        <f>IFERROR(VLOOKUP(KG$1,'Renta Mixta Conservador'!$B$35:$C$53,2,FALSE),0%)</f>
        <v>0</v>
      </c>
      <c r="KH8" s="5">
        <f>IFERROR(VLOOKUP(KH$1,'Renta Mixta Conservador'!$B$35:$C$53,2,FALSE),0%)</f>
        <v>0</v>
      </c>
      <c r="KI8" s="5">
        <f>IFERROR(VLOOKUP(KI$1,'Renta Mixta Conservador'!$B$35:$C$53,2,FALSE),0%)</f>
        <v>0</v>
      </c>
      <c r="KJ8" s="5">
        <f>IFERROR(VLOOKUP(KJ$1,'Renta Mixta Conservador'!$B$35:$C$53,2,FALSE),0%)</f>
        <v>0</v>
      </c>
      <c r="KK8" s="5">
        <f>IFERROR(VLOOKUP(KK$1,'Renta Mixta Conservador'!$B$35:$C$53,2,FALSE),0%)</f>
        <v>0</v>
      </c>
      <c r="KL8" s="5">
        <f>IFERROR(VLOOKUP(KL$1,'Renta Mixta Conservador'!$B$35:$C$53,2,FALSE),0%)</f>
        <v>0</v>
      </c>
      <c r="KM8" s="5">
        <f>IFERROR(VLOOKUP(KM$1,'Renta Mixta Conservador'!$B$35:$C$53,2,FALSE),0%)</f>
        <v>0</v>
      </c>
      <c r="KN8" s="5">
        <f>IFERROR(VLOOKUP(KN$1,'Renta Mixta Conservador'!$B$35:$C$53,2,FALSE),0%)</f>
        <v>0</v>
      </c>
      <c r="KO8" s="5">
        <f>IFERROR(VLOOKUP(KO$1,'Renta Mixta Conservador'!$B$35:$C$53,2,FALSE),0%)</f>
        <v>0</v>
      </c>
      <c r="KP8" s="5">
        <f>IFERROR(VLOOKUP(KP$1,'Renta Mixta Conservador'!$B$35:$C$53,2,FALSE),0%)</f>
        <v>0</v>
      </c>
      <c r="KQ8" s="5">
        <f>IFERROR(VLOOKUP(KQ$1,'Renta Mixta Conservador'!$B$35:$C$53,2,FALSE),0%)</f>
        <v>0</v>
      </c>
      <c r="KR8" s="5">
        <f>IFERROR(VLOOKUP(KR$1,'Renta Mixta Conservador'!$B$35:$C$53,2,FALSE),0%)</f>
        <v>0</v>
      </c>
      <c r="KS8" s="5">
        <f>IFERROR(VLOOKUP(KS$1,'Renta Mixta Conservador'!$B$35:$C$53,2,FALSE),0%)</f>
        <v>0</v>
      </c>
      <c r="KT8" s="5">
        <f>IFERROR(VLOOKUP(KT$1,'Renta Mixta Conservador'!$B$35:$C$53,2,FALSE),0%)</f>
        <v>0</v>
      </c>
      <c r="KU8" s="5">
        <f>IFERROR(VLOOKUP(KU$1,'Renta Mixta Conservador'!$B$35:$C$53,2,FALSE),0%)</f>
        <v>0</v>
      </c>
      <c r="KV8" s="5">
        <f>IFERROR(VLOOKUP(KV$1,'Renta Mixta Conservador'!$B$35:$C$53,2,FALSE),0%)</f>
        <v>0</v>
      </c>
      <c r="KW8" s="5">
        <f>IFERROR(VLOOKUP(KW$1,'Renta Mixta Conservador'!$B$35:$C$53,2,FALSE),0%)</f>
        <v>0</v>
      </c>
      <c r="KX8" s="5">
        <f>IFERROR(VLOOKUP(KX$1,'Renta Mixta Conservador'!$B$35:$C$53,2,FALSE),0%)</f>
        <v>0</v>
      </c>
      <c r="KY8" s="5">
        <f>IFERROR(VLOOKUP(KY$1,'Renta Mixta Conservador'!$B$35:$C$53,2,FALSE),0%)</f>
        <v>0</v>
      </c>
      <c r="KZ8" s="5">
        <f>IFERROR(VLOOKUP(KZ$1,'Renta Mixta Conservador'!$B$35:$C$53,2,FALSE),0%)</f>
        <v>0</v>
      </c>
      <c r="LA8" s="5">
        <f>IFERROR(VLOOKUP(LA$1,'Renta Mixta Conservador'!$B$35:$C$53,2,FALSE),0%)</f>
        <v>0</v>
      </c>
      <c r="LB8" s="5">
        <f>IFERROR(VLOOKUP(LB$1,'Renta Mixta Conservador'!$B$35:$C$53,2,FALSE),0%)</f>
        <v>0</v>
      </c>
      <c r="LC8" s="5">
        <f>IFERROR(VLOOKUP(LC$1,'Renta Mixta Conservador'!$B$35:$C$53,2,FALSE),0%)</f>
        <v>0</v>
      </c>
      <c r="LD8" s="5">
        <f>IFERROR(VLOOKUP(LD$1,'Renta Mixta Conservador'!$B$35:$C$53,2,FALSE),0%)</f>
        <v>0</v>
      </c>
      <c r="LE8" s="5">
        <f>IFERROR(VLOOKUP(LE$1,'Renta Mixta Conservador'!$B$35:$C$53,2,FALSE),0%)</f>
        <v>0</v>
      </c>
      <c r="LF8" s="5">
        <f>IFERROR(VLOOKUP(LF$1,'Renta Mixta Conservador'!$B$35:$C$53,2,FALSE),0%)</f>
        <v>0</v>
      </c>
      <c r="LG8" s="5">
        <f>IFERROR(VLOOKUP(LG$1,'Renta Mixta Conservador'!$B$35:$C$53,2,FALSE),0%)</f>
        <v>0</v>
      </c>
      <c r="LH8" s="5">
        <f>IFERROR(VLOOKUP(LH$1,'Renta Mixta Conservador'!$B$35:$C$53,2,FALSE),0%)</f>
        <v>0</v>
      </c>
      <c r="LI8" s="5">
        <f>IFERROR(VLOOKUP(LI$1,'Renta Mixta Conservador'!$B$35:$C$53,2,FALSE),0%)</f>
        <v>0</v>
      </c>
      <c r="LJ8" s="5">
        <f>IFERROR(VLOOKUP(LJ$1,'Renta Mixta Conservador'!$B$35:$C$53,2,FALSE),0%)</f>
        <v>0</v>
      </c>
      <c r="LK8" s="5">
        <f>IFERROR(VLOOKUP(LK$1,'Renta Mixta Conservador'!$B$35:$C$53,2,FALSE),0%)</f>
        <v>0</v>
      </c>
      <c r="LL8" s="5">
        <f>IFERROR(VLOOKUP(LL$1,'Renta Mixta Conservador'!$B$35:$C$53,2,FALSE),0%)</f>
        <v>0</v>
      </c>
      <c r="LM8" s="5">
        <f>IFERROR(VLOOKUP(LM$1,'Renta Mixta Conservador'!$B$35:$C$53,2,FALSE),0%)</f>
        <v>0</v>
      </c>
      <c r="LN8" s="5">
        <f>IFERROR(VLOOKUP(LN$1,'Renta Mixta Conservador'!$B$35:$C$53,2,FALSE),0%)</f>
        <v>0</v>
      </c>
      <c r="LO8" s="5">
        <f>IFERROR(VLOOKUP(LO$1,'Renta Mixta Conservador'!$B$35:$C$53,2,FALSE),0%)</f>
        <v>0</v>
      </c>
      <c r="LP8" s="5">
        <f>IFERROR(VLOOKUP(LP$1,'Renta Mixta Conservador'!$B$35:$C$53,2,FALSE),0%)</f>
        <v>0</v>
      </c>
      <c r="LQ8" s="5">
        <f>IFERROR(VLOOKUP(LQ$1,'Renta Mixta Conservador'!$B$35:$C$53,2,FALSE),0%)</f>
        <v>0</v>
      </c>
      <c r="LR8" s="5">
        <f>IFERROR(VLOOKUP(LR$1,'Renta Mixta Conservador'!$B$35:$C$53,2,FALSE),0%)</f>
        <v>0</v>
      </c>
      <c r="LS8" s="5">
        <f>IFERROR(VLOOKUP(LS$1,'Renta Mixta Conservador'!$B$35:$C$53,2,FALSE),0%)</f>
        <v>0</v>
      </c>
      <c r="LT8" s="5">
        <f>IFERROR(VLOOKUP(LT$1,'Renta Mixta Conservador'!$B$35:$C$53,2,FALSE),0%)</f>
        <v>0</v>
      </c>
      <c r="LU8" s="5">
        <f>IFERROR(VLOOKUP(LU$1,'Renta Mixta Conservador'!$B$35:$C$53,2,FALSE),0%)</f>
        <v>0</v>
      </c>
      <c r="LV8" s="5">
        <f>IFERROR(VLOOKUP(LV$1,'Renta Mixta Conservador'!$B$35:$C$53,2,FALSE),0%)</f>
        <v>0</v>
      </c>
      <c r="LW8" s="5">
        <f>IFERROR(VLOOKUP(LW$1,'Renta Mixta Conservador'!$B$35:$C$53,2,FALSE),0%)</f>
        <v>0</v>
      </c>
      <c r="LX8" s="5">
        <f>IFERROR(VLOOKUP(LX$1,'Renta Mixta Conservador'!$B$35:$C$53,2,FALSE),0%)</f>
        <v>0</v>
      </c>
      <c r="LY8" s="5">
        <f>IFERROR(VLOOKUP(LY$1,'Renta Mixta Conservador'!$B$35:$C$53,2,FALSE),0%)</f>
        <v>0</v>
      </c>
      <c r="LZ8" s="5">
        <f>IFERROR(VLOOKUP(LZ$1,'Renta Mixta Conservador'!$B$35:$C$53,2,FALSE),0%)</f>
        <v>0</v>
      </c>
      <c r="MA8" s="5">
        <f>IFERROR(VLOOKUP(MA$1,'Renta Mixta Conservador'!$B$35:$C$53,2,FALSE),0%)</f>
        <v>0</v>
      </c>
      <c r="MB8" s="5">
        <f>IFERROR(VLOOKUP(MB$1,'Renta Mixta Conservador'!$B$35:$C$53,2,FALSE),0%)</f>
        <v>0</v>
      </c>
      <c r="MC8" s="5">
        <f>IFERROR(VLOOKUP(MC$1,'Renta Mixta Conservador'!$B$35:$C$53,2,FALSE),0%)</f>
        <v>0</v>
      </c>
      <c r="MD8" s="5">
        <f>IFERROR(VLOOKUP(MD$1,'Renta Mixta Conservador'!$B$35:$C$53,2,FALSE),0%)</f>
        <v>0</v>
      </c>
      <c r="ME8" s="5">
        <f>IFERROR(VLOOKUP(ME$1,'Renta Mixta Conservador'!$B$35:$C$53,2,FALSE),0%)</f>
        <v>0</v>
      </c>
      <c r="MF8" s="5">
        <f>IFERROR(VLOOKUP(MF$1,'Renta Mixta Conservador'!$B$35:$C$53,2,FALSE),0%)</f>
        <v>0</v>
      </c>
      <c r="MG8" s="5">
        <f>IFERROR(VLOOKUP(MG$1,'Renta Mixta Conservador'!$B$35:$C$53,2,FALSE),0%)</f>
        <v>0</v>
      </c>
      <c r="MH8" s="5">
        <f>IFERROR(VLOOKUP(MH$1,'Renta Mixta Conservador'!$B$35:$C$53,2,FALSE),0%)</f>
        <v>0</v>
      </c>
      <c r="MI8" s="5">
        <f>IFERROR(VLOOKUP(MI$1,'Renta Mixta Conservador'!$B$35:$C$53,2,FALSE),0%)</f>
        <v>0</v>
      </c>
      <c r="MJ8" s="5">
        <f>IFERROR(VLOOKUP(MJ$1,'Renta Mixta Conservador'!$B$35:$C$53,2,FALSE),0%)</f>
        <v>0</v>
      </c>
      <c r="MK8" s="5">
        <f>IFERROR(VLOOKUP(MK$1,'Renta Mixta Conservador'!$B$35:$C$53,2,FALSE),0%)</f>
        <v>0</v>
      </c>
      <c r="ML8" s="5">
        <f>IFERROR(VLOOKUP(ML$1,'Renta Mixta Conservador'!$B$35:$C$53,2,FALSE),0%)</f>
        <v>0</v>
      </c>
      <c r="MM8" s="5">
        <f>IFERROR(VLOOKUP(MM$1,'Renta Mixta Conservador'!$B$35:$C$53,2,FALSE),0%)</f>
        <v>0</v>
      </c>
      <c r="MN8" s="5">
        <f>IFERROR(VLOOKUP(MN$1,'Renta Mixta Conservador'!$B$35:$C$53,2,FALSE),0%)</f>
        <v>0</v>
      </c>
      <c r="MO8" s="5">
        <f>IFERROR(VLOOKUP(MO$1,'Renta Mixta Conservador'!$B$35:$C$53,2,FALSE),0%)</f>
        <v>0</v>
      </c>
      <c r="MP8" s="5">
        <f>IFERROR(VLOOKUP(MP$1,'Renta Mixta Conservador'!$B$35:$C$53,2,FALSE),0%)</f>
        <v>0</v>
      </c>
      <c r="MQ8" s="5">
        <f>IFERROR(VLOOKUP(MQ$1,'Renta Mixta Conservador'!$B$35:$C$53,2,FALSE),0%)</f>
        <v>0</v>
      </c>
      <c r="MR8" s="5">
        <f>IFERROR(VLOOKUP(MR$1,'Renta Mixta Conservador'!$B$35:$C$53,2,FALSE),0%)</f>
        <v>0</v>
      </c>
      <c r="MS8" s="5">
        <f>IFERROR(VLOOKUP(MS$1,'Renta Mixta Conservador'!$B$35:$C$53,2,FALSE),0%)</f>
        <v>0</v>
      </c>
      <c r="MT8" s="5">
        <f>IFERROR(VLOOKUP(MT$1,'Renta Mixta Conservador'!$B$35:$C$53,2,FALSE),0%)</f>
        <v>0</v>
      </c>
      <c r="MU8" s="5">
        <f>IFERROR(VLOOKUP(MU$1,'Renta Mixta Conservador'!$B$35:$C$53,2,FALSE),0%)</f>
        <v>0</v>
      </c>
      <c r="MV8" s="5">
        <f>IFERROR(VLOOKUP(MV$1,'Renta Mixta Conservador'!$B$35:$C$53,2,FALSE),0%)</f>
        <v>0</v>
      </c>
      <c r="MW8" s="5">
        <f>IFERROR(VLOOKUP(MW$1,'Renta Mixta Conservador'!$B$35:$C$53,2,FALSE),0%)</f>
        <v>0</v>
      </c>
      <c r="MX8" s="5">
        <f>IFERROR(VLOOKUP(MX$1,'Renta Mixta Conservador'!$B$35:$C$53,2,FALSE),0%)</f>
        <v>0</v>
      </c>
      <c r="MY8" s="5">
        <f>IFERROR(VLOOKUP(MY$1,'Renta Mixta Conservador'!$B$35:$C$53,2,FALSE),0%)</f>
        <v>0</v>
      </c>
      <c r="MZ8" s="5">
        <f>IFERROR(VLOOKUP(MZ$1,'Renta Mixta Conservador'!$B$35:$C$53,2,FALSE),0%)</f>
        <v>0</v>
      </c>
      <c r="NA8" s="5">
        <f>IFERROR(VLOOKUP(NA$1,'Renta Mixta Conservador'!$B$35:$C$53,2,FALSE),0%)</f>
        <v>0</v>
      </c>
      <c r="NB8" s="5">
        <f>IFERROR(VLOOKUP(NB$1,'Renta Mixta Conservador'!$B$35:$C$53,2,FALSE),0%)</f>
        <v>0</v>
      </c>
      <c r="NC8" s="5">
        <f>IFERROR(VLOOKUP(NC$1,'Renta Mixta Conservador'!$B$35:$C$53,2,FALSE),0%)</f>
        <v>0</v>
      </c>
      <c r="ND8" s="5">
        <f>IFERROR(VLOOKUP(ND$1,'Renta Mixta Conservador'!$B$35:$C$53,2,FALSE),0%)</f>
        <v>0</v>
      </c>
      <c r="NE8" s="5">
        <f>IFERROR(VLOOKUP(NE$1,'Renta Mixta Conservador'!$B$35:$C$53,2,FALSE),0%)</f>
        <v>0</v>
      </c>
      <c r="NF8" s="5">
        <f>IFERROR(VLOOKUP(NF$1,'Renta Mixta Conservador'!$B$35:$C$53,2,FALSE),0%)</f>
        <v>0</v>
      </c>
      <c r="NG8" s="5">
        <f>IFERROR(VLOOKUP(NG$1,'Renta Mixta Conservador'!$B$35:$C$53,2,FALSE),0%)</f>
        <v>0</v>
      </c>
      <c r="NH8" s="5">
        <f>IFERROR(VLOOKUP(NH$1,'Renta Mixta Conservador'!$B$35:$C$53,2,FALSE),0%)</f>
        <v>0</v>
      </c>
      <c r="NI8" s="5">
        <f>IFERROR(VLOOKUP(NI$1,'Renta Mixta Conservador'!$B$35:$C$53,2,FALSE),0%)</f>
        <v>0</v>
      </c>
      <c r="NJ8" s="5">
        <f>IFERROR(VLOOKUP(NJ$1,'Renta Mixta Conservador'!$B$35:$C$53,2,FALSE),0%)</f>
        <v>0</v>
      </c>
      <c r="NK8" s="5">
        <f>IFERROR(VLOOKUP(NK$1,'Renta Mixta Conservador'!$B$35:$C$53,2,FALSE),0%)</f>
        <v>0</v>
      </c>
      <c r="NL8" s="5">
        <f>IFERROR(VLOOKUP(NL$1,'Renta Mixta Conservador'!$B$35:$C$53,2,FALSE),0%)</f>
        <v>0</v>
      </c>
      <c r="NM8" s="5">
        <f>IFERROR(VLOOKUP(NM$1,'Renta Mixta Conservador'!$B$35:$C$53,2,FALSE),0%)</f>
        <v>0</v>
      </c>
      <c r="NN8" s="5">
        <f>IFERROR(VLOOKUP(NN$1,'Renta Mixta Conservador'!$B$35:$C$53,2,FALSE),0%)</f>
        <v>0</v>
      </c>
      <c r="NO8" s="5">
        <f>IFERROR(VLOOKUP(NO$1,'Renta Mixta Conservador'!$B$35:$C$53,2,FALSE),0%)</f>
        <v>0</v>
      </c>
      <c r="NP8" s="5">
        <f>IFERROR(VLOOKUP(NP$1,'Renta Mixta Conservador'!$B$35:$C$53,2,FALSE),0%)</f>
        <v>0</v>
      </c>
      <c r="NQ8" s="5">
        <f>IFERROR(VLOOKUP(NQ$1,'Renta Mixta Conservador'!$B$35:$C$53,2,FALSE),0%)</f>
        <v>0</v>
      </c>
      <c r="NR8" s="5">
        <f>IFERROR(VLOOKUP(NR$1,'Renta Mixta Conservador'!$B$35:$C$53,2,FALSE),0%)</f>
        <v>0</v>
      </c>
      <c r="NS8" s="5">
        <f>IFERROR(VLOOKUP(NS$1,'Renta Mixta Conservador'!$B$35:$C$53,2,FALSE),0%)</f>
        <v>0</v>
      </c>
      <c r="NT8" s="5">
        <f>IFERROR(VLOOKUP(NT$1,'Renta Mixta Conservador'!$B$35:$C$53,2,FALSE),0%)</f>
        <v>0</v>
      </c>
      <c r="NU8" s="5">
        <f>IFERROR(VLOOKUP(NU$1,'Renta Mixta Conservador'!$B$35:$C$53,2,FALSE),0%)</f>
        <v>0</v>
      </c>
      <c r="NV8" s="5">
        <f>IFERROR(VLOOKUP(NV$1,'Renta Mixta Conservador'!$B$35:$C$53,2,FALSE),0%)</f>
        <v>0</v>
      </c>
      <c r="NW8" s="5">
        <f>IFERROR(VLOOKUP(NW$1,'Renta Mixta Conservador'!$B$35:$C$53,2,FALSE),0%)</f>
        <v>0</v>
      </c>
      <c r="NX8" s="5">
        <f>IFERROR(VLOOKUP(NX$1,'Renta Mixta Conservador'!$B$35:$C$53,2,FALSE),0%)</f>
        <v>0</v>
      </c>
      <c r="NY8" s="5">
        <f>IFERROR(VLOOKUP(NY$1,'Renta Mixta Conservador'!$B$35:$C$53,2,FALSE),0%)</f>
        <v>0</v>
      </c>
      <c r="NZ8" s="5">
        <f>IFERROR(VLOOKUP(NZ$1,'Renta Mixta Conservador'!$B$35:$C$53,2,FALSE),0%)</f>
        <v>0</v>
      </c>
      <c r="OA8" s="5">
        <f>IFERROR(VLOOKUP(OA$1,'Renta Mixta Conservador'!$B$35:$C$53,2,FALSE),0%)</f>
        <v>0</v>
      </c>
      <c r="OB8" s="5">
        <f>IFERROR(VLOOKUP(OB$1,'Renta Mixta Conservador'!$B$35:$C$53,2,FALSE),0%)</f>
        <v>0</v>
      </c>
      <c r="OC8" s="5">
        <f>IFERROR(VLOOKUP(OC$1,'Renta Mixta Conservador'!$B$35:$C$53,2,FALSE),0%)</f>
        <v>0</v>
      </c>
      <c r="OD8" s="5">
        <f>IFERROR(VLOOKUP(OD$1,'Renta Mixta Conservador'!$B$35:$C$53,2,FALSE),0%)</f>
        <v>0</v>
      </c>
      <c r="OE8" s="5">
        <f>IFERROR(VLOOKUP(OE$1,'Renta Mixta Conservador'!$B$35:$C$53,2,FALSE),0%)</f>
        <v>0</v>
      </c>
      <c r="OF8" s="5">
        <f>IFERROR(VLOOKUP(OF$1,'Renta Mixta Conservador'!$B$35:$C$53,2,FALSE),0%)</f>
        <v>0</v>
      </c>
      <c r="OG8" s="5">
        <f>IFERROR(VLOOKUP(OG$1,'Renta Mixta Conservador'!$B$35:$C$53,2,FALSE),0%)</f>
        <v>0</v>
      </c>
      <c r="OH8" s="5">
        <f>IFERROR(VLOOKUP(OH$1,'Renta Mixta Conservador'!$B$35:$C$53,2,FALSE),0%)</f>
        <v>0</v>
      </c>
      <c r="OI8" s="5">
        <f>IFERROR(VLOOKUP(OI$1,'Renta Mixta Conservador'!$B$35:$C$53,2,FALSE),0%)</f>
        <v>0</v>
      </c>
      <c r="OJ8" s="5">
        <f>IFERROR(VLOOKUP(OJ$1,'Renta Mixta Conservador'!$B$35:$C$53,2,FALSE),0%)</f>
        <v>0</v>
      </c>
      <c r="OK8" s="5">
        <f>IFERROR(VLOOKUP(OK$1,'Renta Mixta Conservador'!$B$35:$C$53,2,FALSE),0%)</f>
        <v>0</v>
      </c>
      <c r="OL8" s="5">
        <f>IFERROR(VLOOKUP(OL$1,'Renta Mixta Conservador'!$B$35:$C$53,2,FALSE),0%)</f>
        <v>0</v>
      </c>
      <c r="OM8" s="5">
        <f>IFERROR(VLOOKUP(OM$1,'Renta Mixta Conservador'!$B$35:$C$53,2,FALSE),0%)</f>
        <v>0</v>
      </c>
      <c r="ON8" s="5">
        <f>IFERROR(VLOOKUP(ON$1,'Renta Mixta Conservador'!$B$35:$C$53,2,FALSE),0%)</f>
        <v>0</v>
      </c>
      <c r="OO8" s="5">
        <f>IFERROR(VLOOKUP(OO$1,'Renta Mixta Conservador'!$B$35:$C$53,2,FALSE),0%)</f>
        <v>0</v>
      </c>
      <c r="OP8" s="5">
        <f>IFERROR(VLOOKUP(OP$1,'Renta Mixta Conservador'!$B$35:$C$53,2,FALSE),0%)</f>
        <v>0</v>
      </c>
      <c r="OQ8" s="5">
        <f>IFERROR(VLOOKUP(OQ$1,'Renta Mixta Conservador'!$B$35:$C$53,2,FALSE),0%)</f>
        <v>0</v>
      </c>
      <c r="OR8" s="5">
        <f>IFERROR(VLOOKUP(OR$1,'Renta Mixta Conservador'!$B$35:$C$53,2,FALSE),0%)</f>
        <v>0</v>
      </c>
      <c r="OS8" s="5">
        <f>IFERROR(VLOOKUP(OS$1,'Renta Mixta Conservador'!$B$35:$C$53,2,FALSE),0%)</f>
        <v>0</v>
      </c>
      <c r="OT8" s="5">
        <f>IFERROR(VLOOKUP(OT$1,'Renta Mixta Conservador'!$B$35:$C$53,2,FALSE),0%)</f>
        <v>0</v>
      </c>
      <c r="OU8" s="5">
        <f>IFERROR(VLOOKUP(OU$1,'Renta Mixta Conservador'!$B$35:$C$53,2,FALSE),0%)</f>
        <v>0</v>
      </c>
      <c r="OV8" s="5">
        <f>IFERROR(VLOOKUP(OV$1,'Renta Mixta Conservador'!$B$35:$C$53,2,FALSE),0%)</f>
        <v>0</v>
      </c>
      <c r="OW8" s="5">
        <f>IFERROR(VLOOKUP(OW$1,'Renta Mixta Conservador'!$B$35:$C$53,2,FALSE),0%)</f>
        <v>0</v>
      </c>
      <c r="OX8" s="5">
        <f>IFERROR(VLOOKUP(OX$1,'Renta Mixta Conservador'!$B$35:$C$53,2,FALSE),0%)</f>
        <v>0</v>
      </c>
      <c r="OY8" s="5">
        <f>IFERROR(VLOOKUP(OY$1,'Renta Mixta Conservador'!$B$35:$C$53,2,FALSE),0%)</f>
        <v>0</v>
      </c>
      <c r="OZ8" s="5">
        <f>IFERROR(VLOOKUP(OZ$1,'Renta Mixta Conservador'!$B$35:$C$53,2,FALSE),0%)</f>
        <v>0</v>
      </c>
      <c r="PA8" s="5">
        <f>IFERROR(VLOOKUP(PA$1,'Renta Mixta Conservador'!$B$35:$C$53,2,FALSE),0%)</f>
        <v>0</v>
      </c>
      <c r="PB8" s="5">
        <f>IFERROR(VLOOKUP(PB$1,'Renta Mixta Conservador'!$B$35:$C$53,2,FALSE),0%)</f>
        <v>0</v>
      </c>
      <c r="PC8" s="5">
        <f>IFERROR(VLOOKUP(PC$1,'Renta Mixta Conservador'!$B$35:$C$53,2,FALSE),0%)</f>
        <v>0</v>
      </c>
      <c r="PD8" s="5">
        <f>IFERROR(VLOOKUP(PD$1,'Renta Mixta Conservador'!$B$35:$C$53,2,FALSE),0%)</f>
        <v>0</v>
      </c>
      <c r="PE8" s="5">
        <f>IFERROR(VLOOKUP(PE$1,'Renta Mixta Conservador'!$B$35:$C$53,2,FALSE),0%)</f>
        <v>0</v>
      </c>
      <c r="PF8" s="5">
        <f>IFERROR(VLOOKUP(PF$1,'Renta Mixta Conservador'!$B$35:$C$53,2,FALSE),0%)</f>
        <v>0</v>
      </c>
      <c r="PG8" s="5">
        <f>IFERROR(VLOOKUP(PG$1,'Renta Mixta Conservador'!$B$35:$C$53,2,FALSE),0%)</f>
        <v>0</v>
      </c>
      <c r="PH8" s="5">
        <f>IFERROR(VLOOKUP(PH$1,'Renta Mixta Conservador'!$B$35:$C$53,2,FALSE),0%)</f>
        <v>0</v>
      </c>
      <c r="PI8" s="5">
        <f>IFERROR(VLOOKUP(PI$1,'Renta Mixta Conservador'!$B$35:$C$53,2,FALSE),0%)</f>
        <v>0</v>
      </c>
      <c r="PJ8" s="5">
        <f>IFERROR(VLOOKUP(PJ$1,'Renta Mixta Conservador'!$B$35:$C$53,2,FALSE),0%)</f>
        <v>0</v>
      </c>
      <c r="PK8" s="5">
        <f>IFERROR(VLOOKUP(PK$1,'Renta Mixta Conservador'!$B$35:$C$53,2,FALSE),0%)</f>
        <v>0</v>
      </c>
      <c r="PL8" s="5">
        <f>IFERROR(VLOOKUP(PL$1,'Renta Mixta Conservador'!$B$35:$C$53,2,FALSE),0%)</f>
        <v>0</v>
      </c>
      <c r="PM8" s="5">
        <f>IFERROR(VLOOKUP(PM$1,'Renta Mixta Conservador'!$B$35:$C$53,2,FALSE),0%)</f>
        <v>0</v>
      </c>
      <c r="PN8" s="5">
        <f>IFERROR(VLOOKUP(PN$1,'Renta Mixta Conservador'!$B$35:$C$53,2,FALSE),0%)</f>
        <v>0</v>
      </c>
      <c r="PO8" s="5">
        <f>IFERROR(VLOOKUP(PO$1,'Renta Mixta Conservador'!$B$35:$C$53,2,FALSE),0%)</f>
        <v>0</v>
      </c>
      <c r="PP8" s="5">
        <f>IFERROR(VLOOKUP(PP$1,'Renta Mixta Conservador'!$B$35:$C$53,2,FALSE),0%)</f>
        <v>0</v>
      </c>
      <c r="PQ8" s="5">
        <f>IFERROR(VLOOKUP(PQ$1,'Renta Mixta Conservador'!$B$35:$C$53,2,FALSE),0%)</f>
        <v>0</v>
      </c>
      <c r="PR8" s="5">
        <f>IFERROR(VLOOKUP(PR$1,'Renta Mixta Conservador'!$B$35:$C$53,2,FALSE),0%)</f>
        <v>0</v>
      </c>
      <c r="PS8" s="5">
        <f>IFERROR(VLOOKUP(PS$1,'Renta Mixta Conservador'!$B$35:$C$53,2,FALSE),0%)</f>
        <v>0</v>
      </c>
      <c r="PT8" s="5">
        <f>IFERROR(VLOOKUP(PT$1,'Renta Mixta Conservador'!$B$35:$C$53,2,FALSE),0%)</f>
        <v>0</v>
      </c>
      <c r="PU8" s="5">
        <f>IFERROR(VLOOKUP(PU$1,'Renta Mixta Conservador'!$B$35:$C$53,2,FALSE),0%)</f>
        <v>0</v>
      </c>
      <c r="PV8" s="5">
        <f>IFERROR(VLOOKUP(PV$1,'Renta Mixta Conservador'!$B$35:$C$53,2,FALSE),0%)</f>
        <v>0</v>
      </c>
      <c r="PW8" s="5">
        <f>IFERROR(VLOOKUP(PW$1,'Renta Mixta Conservador'!$B$35:$C$53,2,FALSE),0%)</f>
        <v>0</v>
      </c>
      <c r="PX8" s="5">
        <f>IFERROR(VLOOKUP(PX$1,'Renta Mixta Conservador'!$B$35:$C$53,2,FALSE),0%)</f>
        <v>0</v>
      </c>
      <c r="PY8" s="5">
        <f>IFERROR(VLOOKUP(PY$1,'Renta Mixta Conservador'!$B$35:$C$53,2,FALSE),0%)</f>
        <v>0</v>
      </c>
      <c r="PZ8" s="5">
        <f>IFERROR(VLOOKUP(PZ$1,'Renta Mixta Conservador'!$B$35:$C$53,2,FALSE),0%)</f>
        <v>0</v>
      </c>
      <c r="QA8" s="5">
        <f>IFERROR(VLOOKUP(QA$1,'Renta Mixta Conservador'!$B$35:$C$53,2,FALSE),0%)</f>
        <v>0</v>
      </c>
      <c r="QB8" s="5">
        <f>IFERROR(VLOOKUP(QB$1,'Renta Mixta Conservador'!$B$35:$C$53,2,FALSE),0%)</f>
        <v>0</v>
      </c>
      <c r="QC8" s="5">
        <f>IFERROR(VLOOKUP(QC$1,'Renta Mixta Conservador'!$B$35:$C$53,2,FALSE),0%)</f>
        <v>0</v>
      </c>
      <c r="QD8" s="5">
        <f>IFERROR(VLOOKUP(QD$1,'Renta Mixta Conservador'!$B$35:$C$53,2,FALSE),0%)</f>
        <v>0</v>
      </c>
      <c r="QE8" s="5">
        <f>IFERROR(VLOOKUP(QE$1,'Renta Mixta Conservador'!$B$35:$C$53,2,FALSE),0%)</f>
        <v>0</v>
      </c>
      <c r="QF8" s="5">
        <f>IFERROR(VLOOKUP(QF$1,'Renta Mixta Conservador'!$B$35:$C$53,2,FALSE),0%)</f>
        <v>0</v>
      </c>
      <c r="QG8" s="5">
        <f>IFERROR(VLOOKUP(QG$1,'Renta Mixta Conservador'!$B$35:$C$53,2,FALSE),0%)</f>
        <v>0</v>
      </c>
      <c r="QH8" s="5">
        <f>IFERROR(VLOOKUP(QH$1,'Renta Mixta Conservador'!$B$35:$C$53,2,FALSE),0%)</f>
        <v>0</v>
      </c>
      <c r="QI8" s="5">
        <f>IFERROR(VLOOKUP(QI$1,'Renta Mixta Conservador'!$B$35:$C$53,2,FALSE),0%)</f>
        <v>0</v>
      </c>
      <c r="QJ8" s="5">
        <f>IFERROR(VLOOKUP(QJ$1,'Renta Mixta Conservador'!$B$35:$C$53,2,FALSE),0%)</f>
        <v>0</v>
      </c>
      <c r="QK8" s="5">
        <f>IFERROR(VLOOKUP(QK$1,'Renta Mixta Conservador'!$B$35:$C$53,2,FALSE),0%)</f>
        <v>0</v>
      </c>
      <c r="QL8" s="5">
        <f>IFERROR(VLOOKUP(QL$1,'Renta Mixta Conservador'!$B$35:$C$53,2,FALSE),0%)</f>
        <v>0</v>
      </c>
      <c r="QM8" s="5">
        <f>IFERROR(VLOOKUP(QM$1,'Renta Mixta Conservador'!$B$35:$C$53,2,FALSE),0%)</f>
        <v>0</v>
      </c>
      <c r="QN8" s="5">
        <f>IFERROR(VLOOKUP(QN$1,'Renta Mixta Conservador'!$B$35:$C$53,2,FALSE),0%)</f>
        <v>0</v>
      </c>
      <c r="QO8" s="5">
        <f>IFERROR(VLOOKUP(QO$1,'Renta Mixta Conservador'!$B$35:$C$53,2,FALSE),0%)</f>
        <v>0</v>
      </c>
      <c r="QP8" s="5">
        <f>IFERROR(VLOOKUP(QP$1,'Renta Mixta Conservador'!$B$35:$C$53,2,FALSE),0%)</f>
        <v>0</v>
      </c>
      <c r="QQ8" s="5">
        <f>IFERROR(VLOOKUP(QQ$1,'Renta Mixta Conservador'!$B$35:$C$53,2,FALSE),0%)</f>
        <v>0</v>
      </c>
      <c r="QR8" s="5">
        <f>IFERROR(VLOOKUP(QR$1,'Renta Mixta Conservador'!$B$35:$C$53,2,FALSE),0%)</f>
        <v>0</v>
      </c>
      <c r="QS8" s="5">
        <f>IFERROR(VLOOKUP(QS$1,'Renta Mixta Conservador'!$B$35:$C$53,2,FALSE),0%)</f>
        <v>0</v>
      </c>
      <c r="QT8" s="5">
        <f>IFERROR(VLOOKUP(QT$1,'Renta Mixta Conservador'!$B$35:$C$53,2,FALSE),0%)</f>
        <v>0</v>
      </c>
      <c r="QU8" s="5">
        <f>IFERROR(VLOOKUP(QU$1,'Renta Mixta Conservador'!$B$35:$C$53,2,FALSE),0%)</f>
        <v>0</v>
      </c>
      <c r="QV8" s="5">
        <f>IFERROR(VLOOKUP(QV$1,'Renta Mixta Conservador'!$B$35:$C$53,2,FALSE),0%)</f>
        <v>0</v>
      </c>
      <c r="QW8" s="5">
        <f>IFERROR(VLOOKUP(QW$1,'Renta Mixta Conservador'!$B$35:$C$53,2,FALSE),0%)</f>
        <v>0</v>
      </c>
      <c r="QX8" s="5">
        <f>IFERROR(VLOOKUP(QX$1,'Renta Mixta Conservador'!$B$35:$C$53,2,FALSE),0%)</f>
        <v>0</v>
      </c>
      <c r="QY8" s="5">
        <f>IFERROR(VLOOKUP(QY$1,'Renta Mixta Conservador'!$B$35:$C$53,2,FALSE),0%)</f>
        <v>0</v>
      </c>
      <c r="QZ8" s="5">
        <f>IFERROR(VLOOKUP(QZ$1,'Renta Mixta Conservador'!$B$35:$C$53,2,FALSE),0%)</f>
        <v>0</v>
      </c>
      <c r="RA8" s="5">
        <f>IFERROR(VLOOKUP(RA$1,'Renta Mixta Conservador'!$B$35:$C$53,2,FALSE),0%)</f>
        <v>0</v>
      </c>
      <c r="RB8" s="5">
        <f>IFERROR(VLOOKUP(RB$1,'Renta Mixta Conservador'!$B$35:$C$53,2,FALSE),0%)</f>
        <v>0</v>
      </c>
      <c r="RC8" s="5">
        <f>IFERROR(VLOOKUP(RC$1,'Renta Mixta Conservador'!$B$35:$C$53,2,FALSE),0%)</f>
        <v>0</v>
      </c>
      <c r="RD8" s="5">
        <f>IFERROR(VLOOKUP(RD$1,'Renta Mixta Conservador'!$B$35:$C$53,2,FALSE),0%)</f>
        <v>0</v>
      </c>
      <c r="RE8" s="5">
        <f>IFERROR(VLOOKUP(RE$1,'Renta Mixta Conservador'!$B$35:$C$53,2,FALSE),0%)</f>
        <v>0</v>
      </c>
      <c r="RF8" s="5">
        <f>IFERROR(VLOOKUP(RF$1,'Renta Mixta Conservador'!$B$35:$C$53,2,FALSE),0%)</f>
        <v>0</v>
      </c>
      <c r="RG8" s="5">
        <f>IFERROR(VLOOKUP(RG$1,'Renta Mixta Conservador'!$B$35:$C$53,2,FALSE),0%)</f>
        <v>0</v>
      </c>
      <c r="RH8" s="5">
        <f>IFERROR(VLOOKUP(RH$1,'Renta Mixta Conservador'!$B$35:$C$53,2,FALSE),0%)</f>
        <v>0</v>
      </c>
      <c r="RI8" s="5">
        <f>IFERROR(VLOOKUP(RI$1,'Renta Mixta Conservador'!$B$35:$C$53,2,FALSE),0%)</f>
        <v>0</v>
      </c>
      <c r="RJ8" s="5">
        <f>IFERROR(VLOOKUP(RJ$1,'Renta Mixta Conservador'!$B$35:$C$53,2,FALSE),0%)</f>
        <v>0</v>
      </c>
      <c r="RK8" s="5">
        <f>IFERROR(VLOOKUP(RK$1,'Renta Mixta Conservador'!$B$35:$C$53,2,FALSE),0%)</f>
        <v>0</v>
      </c>
      <c r="RL8" s="5">
        <f>IFERROR(VLOOKUP(RL$1,'Renta Mixta Conservador'!$B$35:$C$53,2,FALSE),0%)</f>
        <v>0</v>
      </c>
      <c r="RM8" s="5">
        <f>IFERROR(VLOOKUP(RM$1,'Renta Mixta Conservador'!$B$35:$C$53,2,FALSE),0%)</f>
        <v>0</v>
      </c>
      <c r="RN8" s="5">
        <f>IFERROR(VLOOKUP(RN$1,'Renta Mixta Conservador'!$B$35:$C$53,2,FALSE),0%)</f>
        <v>0</v>
      </c>
      <c r="RO8" s="5">
        <f>IFERROR(VLOOKUP(RO$1,'Renta Mixta Conservador'!$B$35:$C$53,2,FALSE),0%)</f>
        <v>0</v>
      </c>
      <c r="RP8" s="5">
        <f>IFERROR(VLOOKUP(RP$1,'Renta Mixta Conservador'!$B$35:$C$53,2,FALSE),0%)</f>
        <v>0</v>
      </c>
      <c r="RQ8" s="5">
        <f>IFERROR(VLOOKUP(RQ$1,'Renta Mixta Conservador'!$B$35:$C$53,2,FALSE),0%)</f>
        <v>0</v>
      </c>
      <c r="RR8" s="5">
        <f>IFERROR(VLOOKUP(RR$1,'Renta Mixta Conservador'!$B$35:$C$53,2,FALSE),0%)</f>
        <v>0</v>
      </c>
      <c r="RS8" s="5">
        <f>IFERROR(VLOOKUP(RS$1,'Renta Mixta Conservador'!$B$35:$C$53,2,FALSE),0%)</f>
        <v>0</v>
      </c>
      <c r="RT8" s="5">
        <f>IFERROR(VLOOKUP(RT$1,'Renta Mixta Conservador'!$B$35:$C$53,2,FALSE),0%)</f>
        <v>0</v>
      </c>
      <c r="RU8" s="5">
        <f>IFERROR(VLOOKUP(RU$1,'Renta Mixta Conservador'!$B$35:$C$53,2,FALSE),0%)</f>
        <v>0</v>
      </c>
      <c r="RV8" s="5">
        <f>IFERROR(VLOOKUP(RV$1,'Renta Mixta Conservador'!$B$35:$C$53,2,FALSE),0%)</f>
        <v>0</v>
      </c>
      <c r="RW8" s="5">
        <f>IFERROR(VLOOKUP(RW$1,'Renta Mixta Conservador'!$B$35:$C$53,2,FALSE),0%)</f>
        <v>0</v>
      </c>
      <c r="RX8" s="5">
        <f>IFERROR(VLOOKUP(RX$1,'Renta Mixta Conservador'!$B$35:$C$53,2,FALSE),0%)</f>
        <v>0</v>
      </c>
      <c r="RY8" s="5">
        <f>IFERROR(VLOOKUP(RY$1,'Renta Mixta Conservador'!$B$35:$C$53,2,FALSE),0%)</f>
        <v>0</v>
      </c>
      <c r="RZ8" s="5">
        <f>IFERROR(VLOOKUP(RZ$1,'Renta Mixta Conservador'!$B$35:$C$53,2,FALSE),0%)</f>
        <v>0</v>
      </c>
      <c r="SA8" s="5">
        <f>IFERROR(VLOOKUP(SA$1,'Renta Mixta Conservador'!$B$35:$C$53,2,FALSE),0%)</f>
        <v>0</v>
      </c>
      <c r="SB8" s="5">
        <f>IFERROR(VLOOKUP(SB$1,'Renta Mixta Conservador'!$B$35:$C$53,2,FALSE),0%)</f>
        <v>0</v>
      </c>
      <c r="SC8" s="5">
        <f>IFERROR(VLOOKUP(SC$1,'Renta Mixta Conservador'!$B$35:$C$53,2,FALSE),0%)</f>
        <v>0</v>
      </c>
      <c r="SD8" s="5">
        <f>IFERROR(VLOOKUP(SD$1,'Renta Mixta Conservador'!$B$35:$C$53,2,FALSE),0%)</f>
        <v>0</v>
      </c>
      <c r="SE8" s="5">
        <f>IFERROR(VLOOKUP(SE$1,'Renta Mixta Conservador'!$B$35:$C$53,2,FALSE),0%)</f>
        <v>0</v>
      </c>
      <c r="SF8" s="5">
        <f>IFERROR(VLOOKUP(SF$1,'Renta Mixta Conservador'!$B$35:$C$53,2,FALSE),0%)</f>
        <v>0</v>
      </c>
      <c r="SG8" s="5">
        <f>IFERROR(VLOOKUP(SG$1,'Renta Mixta Conservador'!$B$35:$C$53,2,FALSE),0%)</f>
        <v>0</v>
      </c>
      <c r="SH8" s="5">
        <f>IFERROR(VLOOKUP(SH$1,'Renta Mixta Conservador'!$B$35:$C$53,2,FALSE),0%)</f>
        <v>0</v>
      </c>
      <c r="SI8" s="5">
        <f>IFERROR(VLOOKUP(SI$1,'Renta Mixta Conservador'!$B$35:$C$53,2,FALSE),0%)</f>
        <v>0</v>
      </c>
      <c r="SJ8" s="5">
        <f>IFERROR(VLOOKUP(SJ$1,'Renta Mixta Conservador'!$B$35:$C$53,2,FALSE),0%)</f>
        <v>0</v>
      </c>
      <c r="SK8" s="5">
        <f>IFERROR(VLOOKUP(SK$1,'Renta Mixta Conservador'!$B$35:$C$53,2,FALSE),0%)</f>
        <v>0</v>
      </c>
      <c r="SL8" s="5">
        <f>IFERROR(VLOOKUP(SL$1,'Renta Mixta Conservador'!$B$35:$C$53,2,FALSE),0%)</f>
        <v>0</v>
      </c>
      <c r="SM8" s="5">
        <f>IFERROR(VLOOKUP(SM$1,'Renta Mixta Conservador'!$B$35:$C$53,2,FALSE),0%)</f>
        <v>0</v>
      </c>
      <c r="SN8" s="5">
        <f>IFERROR(VLOOKUP(SN$1,'Renta Mixta Conservador'!$B$35:$C$53,2,FALSE),0%)</f>
        <v>0</v>
      </c>
      <c r="SO8" s="5">
        <f>IFERROR(VLOOKUP(SO$1,'Renta Mixta Conservador'!$B$35:$C$53,2,FALSE),0%)</f>
        <v>0</v>
      </c>
      <c r="SP8" s="5">
        <f>IFERROR(VLOOKUP(SP$1,'Renta Mixta Conservador'!$B$35:$C$53,2,FALSE),0%)</f>
        <v>0</v>
      </c>
      <c r="SQ8" s="5">
        <f>IFERROR(VLOOKUP(SQ$1,'Renta Mixta Conservador'!$B$35:$C$53,2,FALSE),0%)</f>
        <v>0</v>
      </c>
      <c r="SR8" s="5">
        <f>IFERROR(VLOOKUP(SR$1,'Renta Mixta Conservador'!$B$35:$C$53,2,FALSE),0%)</f>
        <v>0</v>
      </c>
      <c r="SS8" s="5">
        <f>IFERROR(VLOOKUP(SS$1,'Renta Mixta Conservador'!$B$35:$C$53,2,FALSE),0%)</f>
        <v>0</v>
      </c>
      <c r="ST8" s="5">
        <f>IFERROR(VLOOKUP(ST$1,'Renta Mixta Conservador'!$B$35:$C$53,2,FALSE),0%)</f>
        <v>0</v>
      </c>
      <c r="SU8" s="5">
        <f>IFERROR(VLOOKUP(SU$1,'Renta Mixta Conservador'!$B$35:$C$53,2,FALSE),0%)</f>
        <v>0</v>
      </c>
      <c r="SV8" s="5">
        <f>IFERROR(VLOOKUP(SV$1,'Renta Mixta Conservador'!$B$35:$C$53,2,FALSE),0%)</f>
        <v>0</v>
      </c>
      <c r="SW8" s="5">
        <f>IFERROR(VLOOKUP(SW$1,'Renta Mixta Conservador'!$B$35:$C$53,2,FALSE),0%)</f>
        <v>0</v>
      </c>
      <c r="SX8" s="5">
        <f>IFERROR(VLOOKUP(SX$1,'Renta Mixta Conservador'!$B$35:$C$53,2,FALSE),0%)</f>
        <v>0</v>
      </c>
      <c r="SY8" s="5">
        <f>IFERROR(VLOOKUP(SY$1,'Renta Mixta Conservador'!$B$35:$C$53,2,FALSE),0%)</f>
        <v>0</v>
      </c>
      <c r="SZ8" s="5">
        <f>IFERROR(VLOOKUP(SZ$1,'Renta Mixta Conservador'!$B$35:$C$53,2,FALSE),0%)</f>
        <v>0</v>
      </c>
      <c r="TA8" s="5">
        <f>IFERROR(VLOOKUP(TA$1,'Renta Mixta Conservador'!$B$35:$C$53,2,FALSE),0%)</f>
        <v>0</v>
      </c>
      <c r="TB8" s="5">
        <f>IFERROR(VLOOKUP(TB$1,'Renta Mixta Conservador'!$B$35:$C$53,2,FALSE),0%)</f>
        <v>0</v>
      </c>
      <c r="TC8" s="5">
        <f>IFERROR(VLOOKUP(TC$1,'Renta Mixta Conservador'!$B$35:$C$53,2,FALSE),0%)</f>
        <v>0</v>
      </c>
      <c r="TD8" s="5">
        <f>IFERROR(VLOOKUP(TD$1,'Renta Mixta Conservador'!$B$35:$C$53,2,FALSE),0%)</f>
        <v>0</v>
      </c>
      <c r="TE8" s="5">
        <f>IFERROR(VLOOKUP(TE$1,'Renta Mixta Conservador'!$B$35:$C$53,2,FALSE),0%)</f>
        <v>0</v>
      </c>
      <c r="TF8" s="5">
        <f>IFERROR(VLOOKUP(TF$1,'Renta Mixta Conservador'!$B$35:$C$53,2,FALSE),0%)</f>
        <v>0</v>
      </c>
      <c r="TG8" s="5">
        <f>IFERROR(VLOOKUP(TG$1,'Renta Mixta Conservador'!$B$35:$C$53,2,FALSE),0%)</f>
        <v>0</v>
      </c>
      <c r="TH8" s="5">
        <f>IFERROR(VLOOKUP(TH$1,'Renta Mixta Conservador'!$B$35:$C$53,2,FALSE),0%)</f>
        <v>0</v>
      </c>
      <c r="TI8" s="5">
        <f>IFERROR(VLOOKUP(TI$1,'Renta Mixta Conservador'!$B$35:$C$53,2,FALSE),0%)</f>
        <v>0</v>
      </c>
      <c r="TJ8" s="5">
        <f>IFERROR(VLOOKUP(TJ$1,'Renta Mixta Conservador'!$B$35:$C$53,2,FALSE),0%)</f>
        <v>0</v>
      </c>
      <c r="TK8" s="5">
        <f>IFERROR(VLOOKUP(TK$1,'Renta Mixta Conservador'!$B$35:$C$53,2,FALSE),0%)</f>
        <v>0</v>
      </c>
      <c r="TL8" s="5">
        <f>IFERROR(VLOOKUP(TL$1,'Renta Mixta Conservador'!$B$35:$C$53,2,FALSE),0%)</f>
        <v>0</v>
      </c>
      <c r="TM8" s="5">
        <f>IFERROR(VLOOKUP(TM$1,'Renta Mixta Conservador'!$B$35:$C$53,2,FALSE),0%)</f>
        <v>0</v>
      </c>
      <c r="TN8" s="5">
        <f>IFERROR(VLOOKUP(TN$1,'Renta Mixta Conservador'!$B$35:$C$53,2,FALSE),0%)</f>
        <v>0</v>
      </c>
      <c r="TO8" s="5">
        <f>IFERROR(VLOOKUP(TO$1,'Renta Mixta Conservador'!$B$35:$C$53,2,FALSE),0%)</f>
        <v>0</v>
      </c>
      <c r="TP8" s="5">
        <f>IFERROR(VLOOKUP(TP$1,'Renta Mixta Conservador'!$B$35:$C$53,2,FALSE),0%)</f>
        <v>0</v>
      </c>
      <c r="TQ8" s="5">
        <f>IFERROR(VLOOKUP(TQ$1,'Renta Mixta Conservador'!$B$35:$C$53,2,FALSE),0%)</f>
        <v>0</v>
      </c>
      <c r="TR8" s="5">
        <f>IFERROR(VLOOKUP(TR$1,'Renta Mixta Conservador'!$B$35:$C$53,2,FALSE),0%)</f>
        <v>0</v>
      </c>
      <c r="TS8" s="5">
        <f>IFERROR(VLOOKUP(TS$1,'Renta Mixta Conservador'!$B$35:$C$53,2,FALSE),0%)</f>
        <v>0</v>
      </c>
      <c r="TT8" s="5">
        <f>IFERROR(VLOOKUP(TT$1,'Renta Mixta Conservador'!$B$35:$C$53,2,FALSE),0%)</f>
        <v>0</v>
      </c>
      <c r="TU8" s="5">
        <f>IFERROR(VLOOKUP(TU$1,'Renta Mixta Conservador'!$B$35:$C$53,2,FALSE),0%)</f>
        <v>0</v>
      </c>
      <c r="TV8" s="5">
        <f>IFERROR(VLOOKUP(TV$1,'Renta Mixta Conservador'!$B$35:$C$53,2,FALSE),0%)</f>
        <v>0</v>
      </c>
      <c r="TW8" s="5">
        <f>IFERROR(VLOOKUP(TW$1,'Renta Mixta Conservador'!$B$35:$C$53,2,FALSE),0%)</f>
        <v>0</v>
      </c>
      <c r="TX8" s="5">
        <f>IFERROR(VLOOKUP(TX$1,'Renta Mixta Conservador'!$B$35:$C$53,2,FALSE),0%)</f>
        <v>0</v>
      </c>
      <c r="TY8" s="5">
        <f>IFERROR(VLOOKUP(TY$1,'Renta Mixta Conservador'!$B$35:$C$53,2,FALSE),0%)</f>
        <v>0</v>
      </c>
      <c r="TZ8" s="5">
        <f>IFERROR(VLOOKUP(TZ$1,'Renta Mixta Conservador'!$B$35:$C$53,2,FALSE),0%)</f>
        <v>0.0391</v>
      </c>
      <c r="UA8" s="5">
        <f>IFERROR(VLOOKUP(UA$1,'Renta Mixta Conservador'!$B$35:$C$53,2,FALSE),0%)</f>
        <v>0</v>
      </c>
      <c r="UB8" s="5">
        <f>IFERROR(VLOOKUP(UB$1,'Renta Mixta Conservador'!$B$35:$C$53,2,FALSE),0%)</f>
        <v>0</v>
      </c>
      <c r="UC8" s="5">
        <f>IFERROR(VLOOKUP(UC$1,'Renta Mixta Conservador'!$B$35:$C$53,2,FALSE),0%)</f>
        <v>0</v>
      </c>
      <c r="UD8" s="5">
        <f>IFERROR(VLOOKUP(UD$1,'Renta Mixta Conservador'!$B$35:$C$53,2,FALSE),0%)</f>
        <v>0</v>
      </c>
      <c r="UE8" s="5">
        <f>IFERROR(VLOOKUP(UE$1,'Renta Mixta Conservador'!$B$35:$C$53,2,FALSE),0%)</f>
        <v>0</v>
      </c>
      <c r="UF8" s="5">
        <f>IFERROR(VLOOKUP(UF$1,'Renta Mixta Conservador'!$B$35:$C$53,2,FALSE),0%)</f>
        <v>0</v>
      </c>
      <c r="UG8" s="5">
        <f>IFERROR(VLOOKUP(UG$1,'Renta Mixta Conservador'!$B$35:$C$53,2,FALSE),0%)</f>
        <v>0</v>
      </c>
      <c r="UH8" s="5">
        <f>IFERROR(VLOOKUP(UH$1,'Renta Mixta Conservador'!$B$35:$C$53,2,FALSE),0%)</f>
        <v>0</v>
      </c>
      <c r="UI8" s="5">
        <f>IFERROR(VLOOKUP(UI$1,'Renta Mixta Conservador'!$B$35:$C$53,2,FALSE),0%)</f>
        <v>0</v>
      </c>
      <c r="UJ8" s="5">
        <f>IFERROR(VLOOKUP(UJ$1,'Renta Mixta Conservador'!$B$35:$C$53,2,FALSE),0%)</f>
        <v>0</v>
      </c>
      <c r="UK8" s="5">
        <f>IFERROR(VLOOKUP(UK$1,'Renta Mixta Conservador'!$B$35:$C$53,2,FALSE),0%)</f>
        <v>0</v>
      </c>
      <c r="UL8" s="5">
        <f>IFERROR(VLOOKUP(UL$1,'Renta Mixta Conservador'!$B$35:$C$53,2,FALSE),0%)</f>
        <v>0</v>
      </c>
      <c r="UM8" s="5">
        <f>IFERROR(VLOOKUP(UM$1,'Renta Mixta Conservador'!$B$35:$C$53,2,FALSE),0%)</f>
        <v>0</v>
      </c>
      <c r="UN8" s="5">
        <f>IFERROR(VLOOKUP(UN$1,'Renta Mixta Conservador'!$B$35:$C$53,2,FALSE),0%)</f>
        <v>0</v>
      </c>
      <c r="UO8" s="5">
        <f>IFERROR(VLOOKUP(UO$1,'Renta Mixta Conservador'!$B$35:$C$53,2,FALSE),0%)</f>
        <v>0</v>
      </c>
      <c r="UP8" s="5">
        <f>IFERROR(VLOOKUP(UP$1,'Renta Mixta Conservador'!$B$35:$C$53,2,FALSE),0%)</f>
        <v>0</v>
      </c>
      <c r="UQ8" s="5">
        <f>IFERROR(VLOOKUP(UQ$1,'Renta Mixta Conservador'!$B$35:$C$53,2,FALSE),0%)</f>
        <v>0</v>
      </c>
      <c r="UR8" s="5">
        <f>IFERROR(VLOOKUP(UR$1,'Renta Mixta Conservador'!$B$35:$C$53,2,FALSE),0%)</f>
        <v>0</v>
      </c>
      <c r="US8" s="5">
        <f>IFERROR(VLOOKUP(US$1,'Renta Mixta Conservador'!$B$35:$C$53,2,FALSE),0%)</f>
        <v>0</v>
      </c>
      <c r="UT8" s="5">
        <f>IFERROR(VLOOKUP(UT$1,'Renta Mixta Conservador'!$B$35:$C$53,2,FALSE),0%)</f>
        <v>0</v>
      </c>
      <c r="UU8" s="5">
        <f>IFERROR(VLOOKUP(UU$1,'Renta Mixta Conservador'!$B$35:$C$53,2,FALSE),0%)</f>
        <v>0</v>
      </c>
      <c r="UV8" s="5">
        <f>IFERROR(VLOOKUP(UV$1,'Renta Mixta Conservador'!$B$35:$C$53,2,FALSE),0%)</f>
        <v>0</v>
      </c>
      <c r="UW8" s="5">
        <f>IFERROR(VLOOKUP(UW$1,'Renta Mixta Conservador'!$B$35:$C$53,2,FALSE),0%)</f>
        <v>0</v>
      </c>
      <c r="UX8" s="5">
        <f>IFERROR(VLOOKUP(UX$1,'Renta Mixta Conservador'!$B$35:$C$53,2,FALSE),0%)</f>
        <v>0</v>
      </c>
      <c r="UY8" s="5">
        <f>IFERROR(VLOOKUP(UY$1,'Renta Mixta Conservador'!$B$35:$C$53,2,FALSE),0%)</f>
        <v>0</v>
      </c>
      <c r="UZ8" s="5">
        <f>IFERROR(VLOOKUP(UZ$1,'Renta Mixta Conservador'!$B$35:$C$53,2,FALSE),0%)</f>
        <v>0</v>
      </c>
      <c r="VA8" s="5">
        <f>IFERROR(VLOOKUP(VA$1,'Renta Mixta Conservador'!$B$35:$C$53,2,FALSE),0%)</f>
        <v>0</v>
      </c>
      <c r="VB8" s="5">
        <f>IFERROR(VLOOKUP(VB$1,'Renta Mixta Conservador'!$B$35:$C$53,2,FALSE),0%)</f>
        <v>0</v>
      </c>
      <c r="VC8" s="5">
        <f>IFERROR(VLOOKUP(VC$1,'Renta Mixta Conservador'!$B$35:$C$53,2,FALSE),0%)</f>
        <v>0</v>
      </c>
      <c r="VD8" s="5">
        <f>IFERROR(VLOOKUP(VD$1,'Renta Mixta Conservador'!$B$35:$C$53,2,FALSE),0%)</f>
        <v>0</v>
      </c>
      <c r="VE8" s="5">
        <f>IFERROR(VLOOKUP(VE$1,'Renta Mixta Conservador'!$B$35:$C$53,2,FALSE),0%)</f>
        <v>0</v>
      </c>
      <c r="VF8" s="5">
        <f>IFERROR(VLOOKUP(VF$1,'Renta Mixta Conservador'!$B$35:$C$53,2,FALSE),0%)</f>
        <v>0</v>
      </c>
      <c r="VG8" s="5">
        <f>IFERROR(VLOOKUP(VG$1,'Renta Mixta Conservador'!$B$35:$C$53,2,FALSE),0%)</f>
        <v>0</v>
      </c>
      <c r="VH8" s="5">
        <f>IFERROR(VLOOKUP(VH$1,'Renta Mixta Conservador'!$B$35:$C$53,2,FALSE),0%)</f>
        <v>0</v>
      </c>
      <c r="VI8" s="5">
        <f>IFERROR(VLOOKUP(VI$1,'Renta Mixta Conservador'!$B$35:$C$53,2,FALSE),0%)</f>
        <v>0</v>
      </c>
      <c r="VJ8" s="5">
        <f>IFERROR(VLOOKUP(VJ$1,'Renta Mixta Conservador'!$B$35:$C$53,2,FALSE),0%)</f>
        <v>0</v>
      </c>
      <c r="VK8" s="5">
        <f>IFERROR(VLOOKUP(VK$1,'Renta Mixta Conservador'!$B$35:$C$53,2,FALSE),0%)</f>
        <v>0</v>
      </c>
      <c r="VL8" s="5">
        <f>IFERROR(VLOOKUP(VL$1,'Renta Mixta Conservador'!$B$35:$C$53,2,FALSE),0%)</f>
        <v>0</v>
      </c>
      <c r="VM8" s="5">
        <f>IFERROR(VLOOKUP(VM$1,'Renta Mixta Conservador'!$B$35:$C$53,2,FALSE),0%)</f>
        <v>0</v>
      </c>
      <c r="VN8" s="5">
        <f>IFERROR(VLOOKUP(VN$1,'Renta Mixta Conservador'!$B$35:$C$53,2,FALSE),0%)</f>
        <v>0</v>
      </c>
      <c r="VO8" s="5">
        <f>IFERROR(VLOOKUP(VO$1,'Renta Mixta Conservador'!$B$35:$C$53,2,FALSE),0%)</f>
        <v>0</v>
      </c>
      <c r="VP8" s="5">
        <f>IFERROR(VLOOKUP(VP$1,'Renta Mixta Conservador'!$B$35:$C$53,2,FALSE),0%)</f>
        <v>0</v>
      </c>
      <c r="VQ8" s="5">
        <f>IFERROR(VLOOKUP(VQ$1,'Renta Mixta Conservador'!$B$35:$C$53,2,FALSE),0%)</f>
        <v>0</v>
      </c>
      <c r="VR8" s="5">
        <f>IFERROR(VLOOKUP(VR$1,'Renta Mixta Conservador'!$B$35:$C$53,2,FALSE),0%)</f>
        <v>0</v>
      </c>
      <c r="VS8" s="5">
        <f>IFERROR(VLOOKUP(VS$1,'Renta Mixta Conservador'!$B$35:$C$53,2,FALSE),0%)</f>
        <v>0</v>
      </c>
      <c r="VT8" s="5">
        <f>IFERROR(VLOOKUP(VT$1,'Renta Mixta Conservador'!$B$35:$C$53,2,FALSE),0%)</f>
        <v>0</v>
      </c>
      <c r="VU8" s="5">
        <f>IFERROR(VLOOKUP(VU$1,'Renta Mixta Conservador'!$B$35:$C$53,2,FALSE),0%)</f>
        <v>0</v>
      </c>
      <c r="VV8" s="5">
        <f>IFERROR(VLOOKUP(VV$1,'Renta Mixta Conservador'!$B$35:$C$53,2,FALSE),0%)</f>
        <v>0</v>
      </c>
      <c r="VW8" s="5">
        <f>IFERROR(VLOOKUP(VW$1,'Renta Mixta Conservador'!$B$35:$C$53,2,FALSE),0%)</f>
        <v>0</v>
      </c>
      <c r="VX8" s="5">
        <f>IFERROR(VLOOKUP(VX$1,'Renta Mixta Conservador'!$B$35:$C$53,2,FALSE),0%)</f>
        <v>0</v>
      </c>
      <c r="VY8" s="5">
        <f>IFERROR(VLOOKUP(VY$1,'Renta Mixta Conservador'!$B$35:$C$53,2,FALSE),0%)</f>
        <v>0</v>
      </c>
      <c r="VZ8" s="5">
        <f>IFERROR(VLOOKUP(VZ$1,'Renta Mixta Conservador'!$B$35:$C$53,2,FALSE),0%)</f>
        <v>0</v>
      </c>
      <c r="WA8" s="5">
        <f>IFERROR(VLOOKUP(WA$1,'Renta Mixta Conservador'!$B$35:$C$53,2,FALSE),0%)</f>
        <v>0</v>
      </c>
      <c r="WB8" s="5">
        <f>IFERROR(VLOOKUP(WB$1,'Renta Mixta Conservador'!$B$35:$C$53,2,FALSE),0%)</f>
        <v>0</v>
      </c>
      <c r="WC8" s="5">
        <f>IFERROR(VLOOKUP(WC$1,'Renta Mixta Conservador'!$B$35:$C$53,2,FALSE),0%)</f>
        <v>0</v>
      </c>
      <c r="WD8" s="5">
        <f>IFERROR(VLOOKUP(WD$1,'Renta Mixta Conservador'!$B$35:$C$53,2,FALSE),0%)</f>
        <v>0</v>
      </c>
      <c r="WE8" s="5">
        <f>IFERROR(VLOOKUP(WE$1,'Renta Mixta Conservador'!$B$35:$C$53,2,FALSE),0%)</f>
        <v>0</v>
      </c>
      <c r="WF8" s="5">
        <f>IFERROR(VLOOKUP(WF$1,'Renta Mixta Conservador'!$B$35:$C$53,2,FALSE),0%)</f>
        <v>0</v>
      </c>
      <c r="WG8" s="5">
        <f>IFERROR(VLOOKUP(WG$1,'Renta Mixta Conservador'!$B$35:$C$53,2,FALSE),0%)</f>
        <v>0</v>
      </c>
      <c r="WH8" s="5">
        <f>IFERROR(VLOOKUP(WH$1,'Renta Mixta Conservador'!$B$35:$C$53,2,FALSE),0%)</f>
        <v>0</v>
      </c>
      <c r="WI8" s="5">
        <f>IFERROR(VLOOKUP(WI$1,'Renta Mixta Conservador'!$B$35:$C$53,2,FALSE),0%)</f>
        <v>0</v>
      </c>
      <c r="WJ8" s="5">
        <f>IFERROR(VLOOKUP(WJ$1,'Renta Mixta Conservador'!$B$35:$C$53,2,FALSE),0%)</f>
        <v>0</v>
      </c>
      <c r="WK8" s="5">
        <f>IFERROR(VLOOKUP(WK$1,'Renta Mixta Conservador'!$B$35:$C$53,2,FALSE),0%)</f>
        <v>0</v>
      </c>
      <c r="WL8" s="5">
        <f>IFERROR(VLOOKUP(WL$1,'Renta Mixta Conservador'!$B$35:$C$53,2,FALSE),0%)</f>
        <v>0</v>
      </c>
      <c r="WM8" s="5">
        <f>IFERROR(VLOOKUP(WM$1,'Renta Mixta Conservador'!$B$35:$C$53,2,FALSE),0%)</f>
        <v>0</v>
      </c>
      <c r="WN8" s="5">
        <f>IFERROR(VLOOKUP(WN$1,'Renta Mixta Conservador'!$B$35:$C$53,2,FALSE),0%)</f>
        <v>0</v>
      </c>
      <c r="WO8" s="5">
        <f>IFERROR(VLOOKUP(WO$1,'Renta Mixta Conservador'!$B$35:$C$53,2,FALSE),0%)</f>
        <v>0</v>
      </c>
      <c r="WP8" s="5">
        <f>IFERROR(VLOOKUP(WP$1,'Renta Mixta Conservador'!$B$35:$C$53,2,FALSE),0%)</f>
        <v>0</v>
      </c>
      <c r="WQ8" s="5">
        <f>IFERROR(VLOOKUP(WQ$1,'Renta Mixta Conservador'!$B$35:$C$53,2,FALSE),0%)</f>
        <v>0</v>
      </c>
      <c r="WR8" s="5">
        <f>IFERROR(VLOOKUP(WR$1,'Renta Mixta Conservador'!$B$35:$C$53,2,FALSE),0%)</f>
        <v>0</v>
      </c>
      <c r="WS8" s="5">
        <f>IFERROR(VLOOKUP(WS$1,'Renta Mixta Conservador'!$B$35:$C$53,2,FALSE),0%)</f>
        <v>0</v>
      </c>
      <c r="WT8" s="5">
        <f>IFERROR(VLOOKUP(WT$1,'Renta Mixta Conservador'!$B$35:$C$53,2,FALSE),0%)</f>
        <v>0</v>
      </c>
      <c r="WU8" s="5">
        <f>IFERROR(VLOOKUP(WU$1,'Renta Mixta Conservador'!$B$35:$C$53,2,FALSE),0%)</f>
        <v>0</v>
      </c>
      <c r="WV8" s="5">
        <f>IFERROR(VLOOKUP(WV$1,'Renta Mixta Conservador'!$B$35:$C$53,2,FALSE),0%)</f>
        <v>0</v>
      </c>
      <c r="WW8" s="5">
        <f>IFERROR(VLOOKUP(WW$1,'Renta Mixta Conservador'!$B$35:$C$53,2,FALSE),0%)</f>
        <v>0</v>
      </c>
      <c r="WX8" s="5">
        <f>IFERROR(VLOOKUP(WX$1,'Renta Mixta Conservador'!$B$35:$C$53,2,FALSE),0%)</f>
        <v>0</v>
      </c>
      <c r="WY8" s="5">
        <f>IFERROR(VLOOKUP(WY$1,'Renta Mixta Conservador'!$B$35:$C$53,2,FALSE),0%)</f>
        <v>0</v>
      </c>
      <c r="WZ8" s="5">
        <f>IFERROR(VLOOKUP(WZ$1,'Renta Mixta Conservador'!$B$35:$C$53,2,FALSE),0%)</f>
        <v>0</v>
      </c>
      <c r="XA8" s="5">
        <f>IFERROR(VLOOKUP(XA$1,'Renta Mixta Conservador'!$B$35:$C$53,2,FALSE),0%)</f>
        <v>0</v>
      </c>
      <c r="XB8" s="5">
        <f>IFERROR(VLOOKUP(XB$1,'Renta Mixta Conservador'!$B$35:$C$53,2,FALSE),0%)</f>
        <v>0</v>
      </c>
      <c r="XC8" s="5">
        <f>IFERROR(VLOOKUP(XC$1,'Renta Mixta Conservador'!$B$35:$C$53,2,FALSE),0%)</f>
        <v>0</v>
      </c>
      <c r="XD8" s="5">
        <f>IFERROR(VLOOKUP(XD$1,'Renta Mixta Conservador'!$B$35:$C$53,2,FALSE),0%)</f>
        <v>0</v>
      </c>
      <c r="XE8" s="5">
        <f>IFERROR(VLOOKUP(XE$1,'Renta Mixta Conservador'!$B$35:$C$53,2,FALSE),0%)</f>
        <v>0</v>
      </c>
      <c r="XF8" s="5">
        <f>IFERROR(VLOOKUP(XF$1,'Renta Mixta Conservador'!$B$35:$C$53,2,FALSE),0%)</f>
        <v>0</v>
      </c>
      <c r="XG8" s="5">
        <f>IFERROR(VLOOKUP(XG$1,'Renta Mixta Conservador'!$B$35:$C$53,2,FALSE),0%)</f>
        <v>0</v>
      </c>
      <c r="XH8" s="5">
        <f>IFERROR(VLOOKUP(XH$1,'Renta Mixta Conservador'!$B$35:$C$53,2,FALSE),0%)</f>
        <v>0</v>
      </c>
      <c r="XI8" s="5">
        <f>IFERROR(VLOOKUP(XI$1,'Renta Mixta Conservador'!$B$35:$C$53,2,FALSE),0%)</f>
        <v>0</v>
      </c>
      <c r="XJ8" s="5">
        <f>IFERROR(VLOOKUP(XJ$1,'Renta Mixta Conservador'!$B$35:$C$53,2,FALSE),0%)</f>
        <v>0</v>
      </c>
      <c r="XK8" s="5">
        <f>IFERROR(VLOOKUP(XK$1,'Renta Mixta Conservador'!$B$35:$C$53,2,FALSE),0%)</f>
        <v>0</v>
      </c>
      <c r="XL8" s="5">
        <f>IFERROR(VLOOKUP(XL$1,'Renta Mixta Conservador'!$B$35:$C$53,2,FALSE),0%)</f>
        <v>0</v>
      </c>
      <c r="XM8" s="5">
        <f>IFERROR(VLOOKUP(XM$1,'Renta Mixta Conservador'!$B$35:$C$53,2,FALSE),0%)</f>
        <v>0</v>
      </c>
      <c r="XN8" s="5">
        <f>IFERROR(VLOOKUP(XN$1,'Renta Mixta Conservador'!$B$35:$C$53,2,FALSE),0%)</f>
        <v>0</v>
      </c>
      <c r="XO8" s="5">
        <f>IFERROR(VLOOKUP(XO$1,'Renta Mixta Conservador'!$B$35:$C$53,2,FALSE),0%)</f>
        <v>0</v>
      </c>
      <c r="XP8" s="5">
        <f>IFERROR(VLOOKUP(XP$1,'Renta Mixta Conservador'!$B$35:$C$53,2,FALSE),0%)</f>
        <v>0</v>
      </c>
      <c r="XQ8" s="5">
        <f>IFERROR(VLOOKUP(XQ$1,'Renta Mixta Conservador'!$B$35:$C$53,2,FALSE),0%)</f>
        <v>0</v>
      </c>
      <c r="XR8" s="5">
        <f>IFERROR(VLOOKUP(XR$1,'Renta Mixta Conservador'!$B$35:$C$53,2,FALSE),0%)</f>
        <v>0</v>
      </c>
      <c r="XS8" s="5">
        <f>IFERROR(VLOOKUP(XS$1,'Renta Mixta Conservador'!$B$35:$C$53,2,FALSE),0%)</f>
        <v>0</v>
      </c>
      <c r="XT8" s="5">
        <f>IFERROR(VLOOKUP(XT$1,'Renta Mixta Conservador'!$B$35:$C$53,2,FALSE),0%)</f>
        <v>0</v>
      </c>
      <c r="XU8" s="5">
        <f>IFERROR(VLOOKUP(XU$1,'Renta Mixta Conservador'!$B$35:$C$53,2,FALSE),0%)</f>
        <v>0</v>
      </c>
      <c r="XV8" s="5">
        <f>IFERROR(VLOOKUP(XV$1,'Renta Mixta Conservador'!$B$35:$C$53,2,FALSE),0%)</f>
        <v>0</v>
      </c>
      <c r="XW8" s="5">
        <f>IFERROR(VLOOKUP(XW$1,'Renta Mixta Conservador'!$B$35:$C$53,2,FALSE),0%)</f>
        <v>0</v>
      </c>
      <c r="XX8" s="5">
        <f>IFERROR(VLOOKUP(XX$1,'Renta Mixta Conservador'!$B$35:$C$53,2,FALSE),0%)</f>
        <v>0</v>
      </c>
      <c r="XY8" s="5">
        <f>IFERROR(VLOOKUP(XY$1,'Renta Mixta Conservador'!$B$35:$C$53,2,FALSE),0%)</f>
        <v>0</v>
      </c>
      <c r="XZ8" s="5">
        <f>IFERROR(VLOOKUP(XZ$1,'Renta Mixta Conservador'!$B$35:$C$53,2,FALSE),0%)</f>
        <v>0</v>
      </c>
      <c r="YA8" s="5">
        <f>IFERROR(VLOOKUP(YA$1,'Renta Mixta Conservador'!$B$35:$C$53,2,FALSE),0%)</f>
        <v>0</v>
      </c>
      <c r="YB8" s="5">
        <f>IFERROR(VLOOKUP(YB$1,'Renta Mixta Conservador'!$B$35:$C$53,2,FALSE),0%)</f>
        <v>0</v>
      </c>
      <c r="YC8" s="5">
        <f>IFERROR(VLOOKUP(YC$1,'Renta Mixta Conservador'!$B$35:$C$53,2,FALSE),0%)</f>
        <v>0</v>
      </c>
      <c r="YD8" s="5">
        <f>IFERROR(VLOOKUP(YD$1,'Renta Mixta Conservador'!$B$35:$C$53,2,FALSE),0%)</f>
        <v>0</v>
      </c>
      <c r="YE8" s="5">
        <f>IFERROR(VLOOKUP(YE$1,'Renta Mixta Conservador'!$B$35:$C$53,2,FALSE),0%)</f>
        <v>0.0397</v>
      </c>
      <c r="YF8" s="5">
        <f>IFERROR(VLOOKUP(YF$1,'Renta Mixta Conservador'!$B$35:$C$53,2,FALSE),0%)</f>
        <v>0</v>
      </c>
      <c r="YG8" s="5">
        <f>IFERROR(VLOOKUP(YG$1,'Renta Mixta Conservador'!$B$35:$C$53,2,FALSE),0%)</f>
        <v>0</v>
      </c>
      <c r="YH8" s="5">
        <f>IFERROR(VLOOKUP(YH$1,'Renta Mixta Conservador'!$B$35:$C$53,2,FALSE),0%)</f>
        <v>0</v>
      </c>
      <c r="YI8" s="5">
        <f>IFERROR(VLOOKUP(YI$1,'Renta Mixta Conservador'!$B$35:$C$53,2,FALSE),0%)</f>
        <v>0</v>
      </c>
      <c r="YJ8" s="5">
        <f>IFERROR(VLOOKUP(YJ$1,'Renta Mixta Conservador'!$B$35:$C$53,2,FALSE),0%)</f>
        <v>0</v>
      </c>
      <c r="YK8" s="5">
        <f>IFERROR(VLOOKUP(YK$1,'Renta Mixta Conservador'!$B$35:$C$53,2,FALSE),0%)</f>
        <v>0</v>
      </c>
      <c r="YL8" s="5">
        <f>IFERROR(VLOOKUP(YL$1,'Renta Mixta Conservador'!$B$35:$C$53,2,FALSE),0%)</f>
        <v>0</v>
      </c>
      <c r="YM8" s="5">
        <f>IFERROR(VLOOKUP(YM$1,'Renta Mixta Conservador'!$B$35:$C$53,2,FALSE),0%)</f>
        <v>0</v>
      </c>
      <c r="YN8" s="5">
        <f>IFERROR(VLOOKUP(YN$1,'Renta Mixta Conservador'!$B$35:$C$53,2,FALSE),0%)</f>
        <v>0</v>
      </c>
      <c r="YO8" s="5">
        <f>IFERROR(VLOOKUP(YO$1,'Renta Mixta Conservador'!$B$35:$C$53,2,FALSE),0%)</f>
        <v>0</v>
      </c>
      <c r="YP8" s="5">
        <f>IFERROR(VLOOKUP(YP$1,'Renta Mixta Conservador'!$B$35:$C$53,2,FALSE),0%)</f>
        <v>0</v>
      </c>
      <c r="YQ8" s="5">
        <f>IFERROR(VLOOKUP(YQ$1,'Renta Mixta Conservador'!$B$35:$C$53,2,FALSE),0%)</f>
        <v>0</v>
      </c>
      <c r="YR8" s="5">
        <f>IFERROR(VLOOKUP(YR$1,'Renta Mixta Conservador'!$B$35:$C$53,2,FALSE),0%)</f>
        <v>0</v>
      </c>
      <c r="YS8" s="5">
        <f>IFERROR(VLOOKUP(YS$1,'Renta Mixta Conservador'!$B$35:$C$53,2,FALSE),0%)</f>
        <v>0</v>
      </c>
      <c r="YT8" s="5">
        <f>IFERROR(VLOOKUP(YT$1,'Renta Mixta Conservador'!$B$35:$C$53,2,FALSE),0%)</f>
        <v>0</v>
      </c>
      <c r="YU8" s="5">
        <f>IFERROR(VLOOKUP(YU$1,'Renta Mixta Conservador'!$B$35:$C$53,2,FALSE),0%)</f>
        <v>0</v>
      </c>
      <c r="YV8" s="5">
        <f>IFERROR(VLOOKUP(YV$1,'Renta Mixta Conservador'!$B$35:$C$53,2,FALSE),0%)</f>
        <v>0</v>
      </c>
      <c r="YW8" s="5">
        <f>IFERROR(VLOOKUP(YW$1,'Renta Mixta Conservador'!$B$35:$C$53,2,FALSE),0%)</f>
        <v>0</v>
      </c>
      <c r="YX8" s="5">
        <f>IFERROR(VLOOKUP(YX$1,'Renta Mixta Conservador'!$B$35:$C$53,2,FALSE),0%)</f>
        <v>0</v>
      </c>
      <c r="YY8" s="5">
        <f>IFERROR(VLOOKUP(YY$1,'Renta Mixta Conservador'!$B$35:$C$53,2,FALSE),0%)</f>
        <v>0</v>
      </c>
      <c r="YZ8" s="5">
        <f>IFERROR(VLOOKUP(YZ$1,'Renta Mixta Conservador'!$B$35:$C$53,2,FALSE),0%)</f>
        <v>0</v>
      </c>
      <c r="ZA8" s="5">
        <f>IFERROR(VLOOKUP(ZA$1,'Renta Mixta Conservador'!$B$35:$C$53,2,FALSE),0%)</f>
        <v>0</v>
      </c>
      <c r="ZB8" s="5">
        <f>IFERROR(VLOOKUP(ZB$1,'Renta Mixta Conservador'!$B$35:$C$53,2,FALSE),0%)</f>
        <v>0</v>
      </c>
      <c r="ZC8" s="5">
        <f>IFERROR(VLOOKUP(ZC$1,'Renta Mixta Conservador'!$B$35:$C$53,2,FALSE),0%)</f>
        <v>0</v>
      </c>
      <c r="ZD8" s="5">
        <f>IFERROR(VLOOKUP(ZD$1,'Renta Mixta Conservador'!$B$35:$C$53,2,FALSE),0%)</f>
        <v>0</v>
      </c>
      <c r="ZE8" s="5">
        <f>IFERROR(VLOOKUP(ZE$1,'Renta Mixta Conservador'!$B$35:$C$53,2,FALSE),0%)</f>
        <v>0</v>
      </c>
      <c r="ZF8" s="5">
        <f>IFERROR(VLOOKUP(ZF$1,'Renta Mixta Conservador'!$B$35:$C$53,2,FALSE),0%)</f>
        <v>0</v>
      </c>
      <c r="ZG8" s="5">
        <f>IFERROR(VLOOKUP(ZG$1,'Renta Mixta Conservador'!$B$35:$C$53,2,FALSE),0%)</f>
        <v>0</v>
      </c>
      <c r="ZH8" s="5">
        <f>IFERROR(VLOOKUP(ZH$1,'Renta Mixta Conservador'!$B$35:$C$53,2,FALSE),0%)</f>
        <v>0</v>
      </c>
      <c r="ZI8" s="5">
        <f>IFERROR(VLOOKUP(ZI$1,'Renta Mixta Conservador'!$B$35:$C$53,2,FALSE),0%)</f>
        <v>0</v>
      </c>
      <c r="ZJ8" s="5">
        <f>IFERROR(VLOOKUP(ZJ$1,'Renta Mixta Conservador'!$B$35:$C$53,2,FALSE),0%)</f>
        <v>0</v>
      </c>
      <c r="ZK8" s="5">
        <f>IFERROR(VLOOKUP(ZK$1,'Renta Mixta Conservador'!$B$35:$C$53,2,FALSE),0%)</f>
        <v>0</v>
      </c>
      <c r="ZL8" s="5">
        <f>IFERROR(VLOOKUP(ZL$1,'Renta Mixta Conservador'!$B$35:$C$53,2,FALSE),0%)</f>
        <v>0</v>
      </c>
      <c r="ZM8" s="5">
        <f>IFERROR(VLOOKUP(ZM$1,'Renta Mixta Conservador'!$B$35:$C$53,2,FALSE),0%)</f>
        <v>0</v>
      </c>
      <c r="ZN8" s="5">
        <f>IFERROR(VLOOKUP(ZN$1,'Renta Mixta Conservador'!$B$35:$C$53,2,FALSE),0%)</f>
        <v>0</v>
      </c>
      <c r="ZO8" s="5">
        <f>IFERROR(VLOOKUP(ZO$1,'Renta Mixta Conservador'!$B$35:$C$53,2,FALSE),0%)</f>
        <v>0</v>
      </c>
      <c r="ZP8" s="5">
        <f>IFERROR(VLOOKUP(ZP$1,'Renta Mixta Conservador'!$B$35:$C$53,2,FALSE),0%)</f>
        <v>0</v>
      </c>
      <c r="ZQ8" s="5">
        <f>IFERROR(VLOOKUP(ZQ$1,'Renta Mixta Conservador'!$B$35:$C$53,2,FALSE),0%)</f>
        <v>0</v>
      </c>
      <c r="ZR8" s="5">
        <f>IFERROR(VLOOKUP(ZR$1,'Renta Mixta Conservador'!$B$35:$C$53,2,FALSE),0%)</f>
        <v>0</v>
      </c>
      <c r="ZS8" s="5">
        <f>IFERROR(VLOOKUP(ZS$1,'Renta Mixta Conservador'!$B$35:$C$53,2,FALSE),0%)</f>
        <v>0</v>
      </c>
      <c r="ZT8" s="5">
        <f>IFERROR(VLOOKUP(ZT$1,'Renta Mixta Conservador'!$B$35:$C$53,2,FALSE),0%)</f>
        <v>0</v>
      </c>
      <c r="ZU8" s="5">
        <f>IFERROR(VLOOKUP(ZU$1,'Renta Mixta Conservador'!$B$35:$C$53,2,FALSE),0%)</f>
        <v>0</v>
      </c>
      <c r="ZV8" s="5">
        <f>IFERROR(VLOOKUP(ZV$1,'Renta Mixta Conservador'!$B$35:$C$53,2,FALSE),0%)</f>
        <v>0</v>
      </c>
      <c r="ZW8" s="5">
        <f>IFERROR(VLOOKUP(ZW$1,'Renta Mixta Conservador'!$B$35:$C$53,2,FALSE),0%)</f>
        <v>0</v>
      </c>
      <c r="ZX8" s="5">
        <f>IFERROR(VLOOKUP(ZX$1,'Renta Mixta Conservador'!$B$35:$C$53,2,FALSE),0%)</f>
        <v>0</v>
      </c>
      <c r="ZY8" s="5">
        <f>IFERROR(VLOOKUP(ZY$1,'Renta Mixta Conservador'!$B$35:$C$53,2,FALSE),0%)</f>
        <v>0</v>
      </c>
      <c r="ZZ8" s="5">
        <f>IFERROR(VLOOKUP(ZZ$1,'Renta Mixta Conservador'!$B$35:$C$53,2,FALSE),0%)</f>
        <v>0</v>
      </c>
      <c r="AAA8" s="5">
        <f>IFERROR(VLOOKUP(AAA$1,'Renta Mixta Conservador'!$B$35:$C$53,2,FALSE),0%)</f>
        <v>0</v>
      </c>
      <c r="AAB8" s="5">
        <f>IFERROR(VLOOKUP(AAB$1,'Renta Mixta Conservador'!$B$35:$C$53,2,FALSE),0%)</f>
        <v>0</v>
      </c>
      <c r="AAC8" s="5">
        <f>IFERROR(VLOOKUP(AAC$1,'Renta Mixta Conservador'!$B$35:$C$53,2,FALSE),0%)</f>
        <v>0</v>
      </c>
      <c r="AAD8" s="5">
        <f>IFERROR(VLOOKUP(AAD$1,'Renta Mixta Conservador'!$B$35:$C$53,2,FALSE),0%)</f>
        <v>0</v>
      </c>
      <c r="AAE8" s="5">
        <f>IFERROR(VLOOKUP(AAE$1,'Renta Mixta Conservador'!$B$35:$C$53,2,FALSE),0%)</f>
        <v>0</v>
      </c>
      <c r="AAF8" s="5">
        <f>IFERROR(VLOOKUP(AAF$1,'Renta Mixta Conservador'!$B$35:$C$53,2,FALSE),0%)</f>
        <v>0</v>
      </c>
      <c r="AAG8" s="5">
        <f>IFERROR(VLOOKUP(AAG$1,'Renta Mixta Conservador'!$B$35:$C$53,2,FALSE),0%)</f>
        <v>0</v>
      </c>
      <c r="AAH8" s="5">
        <f>IFERROR(VLOOKUP(AAH$1,'Renta Mixta Conservador'!$B$35:$C$53,2,FALSE),0%)</f>
        <v>0</v>
      </c>
      <c r="AAI8" s="5">
        <f>IFERROR(VLOOKUP(AAI$1,'Renta Mixta Conservador'!$B$35:$C$53,2,FALSE),0%)</f>
        <v>0</v>
      </c>
      <c r="AAJ8" s="5">
        <f>IFERROR(VLOOKUP(AAJ$1,'Renta Mixta Conservador'!$B$35:$C$53,2,FALSE),0%)</f>
        <v>0</v>
      </c>
      <c r="AAK8" s="5">
        <f>IFERROR(VLOOKUP(AAK$1,'Renta Mixta Conservador'!$B$35:$C$53,2,FALSE),0%)</f>
        <v>0</v>
      </c>
      <c r="AAL8" s="5">
        <f>IFERROR(VLOOKUP(AAL$1,'Renta Mixta Conservador'!$B$35:$C$53,2,FALSE),0%)</f>
        <v>0</v>
      </c>
      <c r="AAM8" s="5">
        <f>IFERROR(VLOOKUP(AAM$1,'Renta Mixta Conservador'!$B$35:$C$53,2,FALSE),0%)</f>
        <v>0</v>
      </c>
      <c r="AAN8" s="5">
        <f>IFERROR(VLOOKUP(AAN$1,'Renta Mixta Conservador'!$B$35:$C$53,2,FALSE),0%)</f>
        <v>0</v>
      </c>
      <c r="AAO8" s="5">
        <f>IFERROR(VLOOKUP(AAO$1,'Renta Mixta Conservador'!$B$35:$C$53,2,FALSE),0%)</f>
        <v>0</v>
      </c>
      <c r="AAP8" s="5">
        <f>IFERROR(VLOOKUP(AAP$1,'Renta Mixta Conservador'!$B$35:$C$53,2,FALSE),0%)</f>
        <v>0</v>
      </c>
      <c r="AAQ8" s="5">
        <f>IFERROR(VLOOKUP(AAQ$1,'Renta Mixta Conservador'!$B$35:$C$53,2,FALSE),0%)</f>
        <v>0</v>
      </c>
      <c r="AAR8" s="5">
        <f>IFERROR(VLOOKUP(AAR$1,'Renta Mixta Conservador'!$B$35:$C$53,2,FALSE),0%)</f>
        <v>0</v>
      </c>
      <c r="AAS8" s="5">
        <f>IFERROR(VLOOKUP(AAS$1,'Renta Mixta Conservador'!$B$35:$C$53,2,FALSE),0%)</f>
        <v>0</v>
      </c>
      <c r="AAT8" s="5">
        <f>IFERROR(VLOOKUP(AAT$1,'Renta Mixta Conservador'!$B$35:$C$53,2,FALSE),0%)</f>
        <v>0</v>
      </c>
      <c r="AAU8" s="5">
        <f>IFERROR(VLOOKUP(AAU$1,'Renta Mixta Conservador'!$B$35:$C$53,2,FALSE),0%)</f>
        <v>0</v>
      </c>
      <c r="AAV8" s="5">
        <f>IFERROR(VLOOKUP(AAV$1,'Renta Mixta Conservador'!$B$35:$C$53,2,FALSE),0%)</f>
        <v>0</v>
      </c>
      <c r="AAW8" s="5">
        <f>IFERROR(VLOOKUP(AAW$1,'Renta Mixta Conservador'!$B$35:$C$53,2,FALSE),0%)</f>
        <v>0</v>
      </c>
      <c r="AAX8" s="5">
        <f>IFERROR(VLOOKUP(AAX$1,'Renta Mixta Conservador'!$B$35:$C$53,2,FALSE),0%)</f>
        <v>0</v>
      </c>
      <c r="AAY8" s="5">
        <f>IFERROR(VLOOKUP(AAY$1,'Renta Mixta Conservador'!$B$35:$C$53,2,FALSE),0%)</f>
        <v>0</v>
      </c>
      <c r="AAZ8" s="5">
        <f>IFERROR(VLOOKUP(AAZ$1,'Renta Mixta Conservador'!$B$35:$C$53,2,FALSE),0%)</f>
        <v>0</v>
      </c>
      <c r="ABA8" s="5">
        <f>IFERROR(VLOOKUP(ABA$1,'Renta Mixta Conservador'!$B$35:$C$53,2,FALSE),0%)</f>
        <v>0</v>
      </c>
      <c r="ABB8" s="5">
        <f>IFERROR(VLOOKUP(ABB$1,'Renta Mixta Conservador'!$B$35:$C$53,2,FALSE),0%)</f>
        <v>0</v>
      </c>
      <c r="ABC8" s="5">
        <f>IFERROR(VLOOKUP(ABC$1,'Renta Mixta Conservador'!$B$35:$C$53,2,FALSE),0%)</f>
        <v>0</v>
      </c>
      <c r="ABD8" s="5">
        <f>IFERROR(VLOOKUP(ABD$1,'Renta Mixta Conservador'!$B$35:$C$53,2,FALSE),0%)</f>
        <v>0</v>
      </c>
      <c r="ABE8" s="5">
        <f>IFERROR(VLOOKUP(ABE$1,'Renta Mixta Conservador'!$B$35:$C$53,2,FALSE),0%)</f>
        <v>0</v>
      </c>
      <c r="ABF8" s="5">
        <f>IFERROR(VLOOKUP(ABF$1,'Renta Mixta Conservador'!$B$35:$C$53,2,FALSE),0%)</f>
        <v>0</v>
      </c>
      <c r="ABG8" s="5">
        <f>IFERROR(VLOOKUP(ABG$1,'Renta Mixta Conservador'!$B$35:$C$53,2,FALSE),0%)</f>
        <v>0</v>
      </c>
      <c r="ABH8" s="5">
        <f>IFERROR(VLOOKUP(ABH$1,'Renta Mixta Conservador'!$B$35:$C$53,2,FALSE),0%)</f>
        <v>0</v>
      </c>
      <c r="ABI8" s="5">
        <f>IFERROR(VLOOKUP(ABI$1,'Renta Mixta Conservador'!$B$35:$C$53,2,FALSE),0%)</f>
        <v>0</v>
      </c>
      <c r="ABJ8" s="5">
        <f>IFERROR(VLOOKUP(ABJ$1,'Renta Mixta Conservador'!$B$35:$C$53,2,FALSE),0%)</f>
        <v>0</v>
      </c>
      <c r="ABK8" s="5">
        <f>IFERROR(VLOOKUP(ABK$1,'Renta Mixta Conservador'!$B$35:$C$53,2,FALSE),0%)</f>
        <v>0</v>
      </c>
      <c r="ABL8" s="5">
        <f>IFERROR(VLOOKUP(ABL$1,'Renta Mixta Conservador'!$B$35:$C$53,2,FALSE),0%)</f>
        <v>0</v>
      </c>
      <c r="ABM8" s="5">
        <f>IFERROR(VLOOKUP(ABM$1,'Renta Mixta Conservador'!$B$35:$C$53,2,FALSE),0%)</f>
        <v>0</v>
      </c>
      <c r="ABN8" s="5">
        <f>IFERROR(VLOOKUP(ABN$1,'Renta Mixta Conservador'!$B$35:$C$53,2,FALSE),0%)</f>
        <v>0</v>
      </c>
      <c r="ABO8" s="5">
        <f>IFERROR(VLOOKUP(ABO$1,'Renta Mixta Conservador'!$B$35:$C$53,2,FALSE),0%)</f>
        <v>0</v>
      </c>
      <c r="ABP8" s="5">
        <f>IFERROR(VLOOKUP(ABP$1,'Renta Mixta Conservador'!$B$35:$C$53,2,FALSE),0%)</f>
        <v>0</v>
      </c>
      <c r="ABQ8" s="5">
        <f>IFERROR(VLOOKUP(ABQ$1,'Renta Mixta Conservador'!$B$35:$C$53,2,FALSE),0%)</f>
        <v>0</v>
      </c>
      <c r="ABR8" s="5">
        <f>IFERROR(VLOOKUP(ABR$1,'Renta Mixta Conservador'!$B$35:$C$53,2,FALSE),0%)</f>
        <v>0</v>
      </c>
      <c r="ABS8" s="5">
        <f>IFERROR(VLOOKUP(ABS$1,'Renta Mixta Conservador'!$B$35:$C$53,2,FALSE),0%)</f>
        <v>0</v>
      </c>
      <c r="ABT8" s="5">
        <f>IFERROR(VLOOKUP(ABT$1,'Renta Mixta Conservador'!$B$35:$C$53,2,FALSE),0%)</f>
        <v>0</v>
      </c>
      <c r="ABU8" s="5">
        <f>IFERROR(VLOOKUP(ABU$1,'Renta Mixta Conservador'!$B$35:$C$53,2,FALSE),0%)</f>
        <v>0</v>
      </c>
      <c r="ABV8" s="5">
        <f>IFERROR(VLOOKUP(ABV$1,'Renta Mixta Conservador'!$B$35:$C$53,2,FALSE),0%)</f>
        <v>0</v>
      </c>
      <c r="ABW8" s="5">
        <f>IFERROR(VLOOKUP(ABW$1,'Renta Mixta Conservador'!$B$35:$C$53,2,FALSE),0%)</f>
        <v>0</v>
      </c>
      <c r="ABX8" s="5">
        <f>IFERROR(VLOOKUP(ABX$1,'Renta Mixta Conservador'!$B$35:$C$53,2,FALSE),0%)</f>
        <v>0</v>
      </c>
      <c r="ABY8" s="5">
        <f>IFERROR(VLOOKUP(ABY$1,'Renta Mixta Conservador'!$B$35:$C$53,2,FALSE),0%)</f>
        <v>0</v>
      </c>
      <c r="ABZ8" s="5">
        <f>IFERROR(VLOOKUP(ABZ$1,'Renta Mixta Conservador'!$B$35:$C$53,2,FALSE),0%)</f>
        <v>0</v>
      </c>
      <c r="ACA8" s="5">
        <f>IFERROR(VLOOKUP(ACA$1,'Renta Mixta Conservador'!$B$35:$C$53,2,FALSE),0%)</f>
        <v>0</v>
      </c>
      <c r="ACB8" s="5">
        <f>IFERROR(VLOOKUP(ACB$1,'Renta Mixta Conservador'!$B$35:$C$53,2,FALSE),0%)</f>
        <v>0</v>
      </c>
      <c r="ACC8" s="5">
        <f>IFERROR(VLOOKUP(ACC$1,'Renta Mixta Conservador'!$B$35:$C$53,2,FALSE),0%)</f>
        <v>0</v>
      </c>
      <c r="ACD8" s="5">
        <f>IFERROR(VLOOKUP(ACD$1,'Renta Mixta Conservador'!$B$35:$C$53,2,FALSE),0%)</f>
        <v>0</v>
      </c>
      <c r="ACE8" s="5">
        <f>IFERROR(VLOOKUP(ACE$1,'Renta Mixta Conservador'!$B$35:$C$53,2,FALSE),0%)</f>
        <v>0</v>
      </c>
      <c r="ACF8" s="5">
        <f>IFERROR(VLOOKUP(ACF$1,'Renta Mixta Conservador'!$B$35:$C$53,2,FALSE),0%)</f>
        <v>0</v>
      </c>
      <c r="ACG8" s="5">
        <f>IFERROR(VLOOKUP(ACG$1,'Renta Mixta Conservador'!$B$35:$C$53,2,FALSE),0%)</f>
        <v>0</v>
      </c>
      <c r="ACH8" s="5">
        <f>IFERROR(VLOOKUP(ACH$1,'Renta Mixta Conservador'!$B$35:$C$53,2,FALSE),0%)</f>
        <v>0</v>
      </c>
      <c r="ACI8" s="5">
        <f>IFERROR(VLOOKUP(ACI$1,'Renta Mixta Conservador'!$B$35:$C$53,2,FALSE),0%)</f>
        <v>0</v>
      </c>
      <c r="ACJ8" s="5">
        <f>IFERROR(VLOOKUP(ACJ$1,'Renta Mixta Conservador'!$B$35:$C$53,2,FALSE),0%)</f>
        <v>0</v>
      </c>
      <c r="ACK8" s="5">
        <f>IFERROR(VLOOKUP(ACK$1,'Renta Mixta Conservador'!$B$35:$C$53,2,FALSE),0%)</f>
        <v>0</v>
      </c>
      <c r="ACL8" s="5">
        <f>IFERROR(VLOOKUP(ACL$1,'Renta Mixta Conservador'!$B$35:$C$53,2,FALSE),0%)</f>
        <v>0</v>
      </c>
      <c r="ACM8" s="5">
        <f>IFERROR(VLOOKUP(ACM$1,'Renta Mixta Conservador'!$B$35:$C$53,2,FALSE),0%)</f>
        <v>0.01772370751</v>
      </c>
      <c r="ACN8" s="5">
        <f>IFERROR(VLOOKUP(ACN$1,'Renta Mixta Conservador'!$B$35:$C$53,2,FALSE),0%)</f>
        <v>0</v>
      </c>
      <c r="ACO8" s="5">
        <f>IFERROR(VLOOKUP(ACO$1,'Renta Mixta Conservador'!$B$35:$C$53,2,FALSE),0%)</f>
        <v>0</v>
      </c>
      <c r="ACP8" s="5">
        <f>IFERROR(VLOOKUP(ACP$1,'Renta Mixta Conservador'!$B$35:$C$53,2,FALSE),0%)</f>
        <v>0</v>
      </c>
      <c r="ACQ8" s="5">
        <f>IFERROR(VLOOKUP(ACQ$1,'Renta Mixta Conservador'!$B$35:$C$53,2,FALSE),0%)</f>
        <v>0</v>
      </c>
      <c r="ACR8" s="5">
        <f>IFERROR(VLOOKUP(ACR$1,'Renta Mixta Conservador'!$B$35:$C$53,2,FALSE),0%)</f>
        <v>0</v>
      </c>
      <c r="ACS8" s="5">
        <f>IFERROR(VLOOKUP(ACS$1,'Renta Mixta Conservador'!$B$35:$C$53,2,FALSE),0%)</f>
        <v>0</v>
      </c>
      <c r="ACT8" s="5">
        <f>IFERROR(VLOOKUP(ACT$1,'Renta Mixta Conservador'!$B$35:$C$53,2,FALSE),0%)</f>
        <v>0</v>
      </c>
      <c r="ACU8" s="5">
        <f>IFERROR(VLOOKUP(ACU$1,'Renta Mixta Conservador'!$B$35:$C$53,2,FALSE),0%)</f>
        <v>0</v>
      </c>
      <c r="ACV8" s="5">
        <f>IFERROR(VLOOKUP(ACV$1,'Renta Mixta Conservador'!$B$35:$C$53,2,FALSE),0%)</f>
        <v>0</v>
      </c>
      <c r="ACW8" s="5">
        <f>IFERROR(VLOOKUP(ACW$1,'Renta Mixta Conservador'!$B$35:$C$53,2,FALSE),0%)</f>
        <v>0</v>
      </c>
      <c r="ACX8" s="5">
        <f>IFERROR(VLOOKUP(ACX$1,'Renta Mixta Conservador'!$B$35:$C$53,2,FALSE),0%)</f>
        <v>0</v>
      </c>
      <c r="ACY8" s="5">
        <f>IFERROR(VLOOKUP(ACY$1,'Renta Mixta Conservador'!$B$35:$C$53,2,FALSE),0%)</f>
        <v>0</v>
      </c>
      <c r="ACZ8" s="5">
        <f>IFERROR(VLOOKUP(ACZ$1,'Renta Mixta Conservador'!$B$35:$C$53,2,FALSE),0%)</f>
        <v>0</v>
      </c>
      <c r="ADA8" s="5">
        <f>IFERROR(VLOOKUP(ADA$1,'Renta Mixta Conservador'!$B$35:$C$53,2,FALSE),0%)</f>
        <v>0</v>
      </c>
      <c r="ADB8" s="5">
        <f>IFERROR(VLOOKUP(ADB$1,'Renta Mixta Conservador'!$B$35:$C$53,2,FALSE),0%)</f>
        <v>0</v>
      </c>
      <c r="ADC8" s="5">
        <f>IFERROR(VLOOKUP(ADC$1,'Renta Mixta Conservador'!$B$35:$C$53,2,FALSE),0%)</f>
        <v>0</v>
      </c>
      <c r="ADD8" s="5">
        <f>IFERROR(VLOOKUP(ADD$1,'Renta Mixta Conservador'!$B$35:$C$53,2,FALSE),0%)</f>
        <v>0</v>
      </c>
      <c r="ADE8" s="5">
        <f>IFERROR(VLOOKUP(ADE$1,'Renta Mixta Conservador'!$B$35:$C$53,2,FALSE),0%)</f>
        <v>0</v>
      </c>
      <c r="ADF8" s="5">
        <f>IFERROR(VLOOKUP(ADF$1,'Renta Mixta Conservador'!$B$35:$C$53,2,FALSE),0%)</f>
        <v>0</v>
      </c>
      <c r="ADG8" s="5">
        <f>IFERROR(VLOOKUP(ADG$1,'Renta Mixta Conservador'!$B$35:$C$53,2,FALSE),0%)</f>
        <v>0</v>
      </c>
      <c r="ADH8" s="5">
        <f>IFERROR(VLOOKUP(ADH$1,'Renta Mixta Conservador'!$B$35:$C$53,2,FALSE),0%)</f>
        <v>0</v>
      </c>
      <c r="ADI8" s="5">
        <f>IFERROR(VLOOKUP(ADI$1,'Renta Mixta Conservador'!$B$35:$C$53,2,FALSE),0%)</f>
        <v>0</v>
      </c>
      <c r="ADJ8" s="5">
        <f>IFERROR(VLOOKUP(ADJ$1,'Renta Mixta Conservador'!$B$35:$C$53,2,FALSE),0%)</f>
        <v>0</v>
      </c>
      <c r="ADK8" s="5">
        <f>IFERROR(VLOOKUP(ADK$1,'Renta Mixta Conservador'!$B$35:$C$53,2,FALSE),0%)</f>
        <v>0</v>
      </c>
      <c r="ADL8" s="5">
        <f>IFERROR(VLOOKUP(ADL$1,'Renta Mixta Conservador'!$B$35:$C$53,2,FALSE),0%)</f>
        <v>0</v>
      </c>
      <c r="ADM8" s="5">
        <f>IFERROR(VLOOKUP(ADM$1,'Renta Mixta Conservador'!$B$35:$C$53,2,FALSE),0%)</f>
        <v>0</v>
      </c>
      <c r="ADN8" s="5">
        <f>IFERROR(VLOOKUP(ADN$1,'Renta Mixta Conservador'!$B$35:$C$53,2,FALSE),0%)</f>
        <v>0</v>
      </c>
      <c r="ADO8" s="5">
        <f>IFERROR(VLOOKUP(ADO$1,'Renta Mixta Conservador'!$B$35:$C$53,2,FALSE),0%)</f>
        <v>0</v>
      </c>
      <c r="ADP8" s="5">
        <f>IFERROR(VLOOKUP(ADP$1,'Renta Mixta Conservador'!$B$35:$C$53,2,FALSE),0%)</f>
        <v>0</v>
      </c>
      <c r="ADQ8" s="5">
        <f>IFERROR(VLOOKUP(ADQ$1,'Renta Mixta Conservador'!$B$35:$C$53,2,FALSE),0%)</f>
        <v>0</v>
      </c>
      <c r="ADR8" s="5">
        <f>IFERROR(VLOOKUP(ADR$1,'Renta Mixta Conservador'!$B$35:$C$53,2,FALSE),0%)</f>
        <v>0</v>
      </c>
      <c r="ADS8" s="5">
        <f>IFERROR(VLOOKUP(ADS$1,'Renta Mixta Conservador'!$B$35:$C$53,2,FALSE),0%)</f>
        <v>0</v>
      </c>
      <c r="ADT8" s="5">
        <f>IFERROR(VLOOKUP(ADT$1,'Renta Mixta Conservador'!$B$35:$C$53,2,FALSE),0%)</f>
        <v>0</v>
      </c>
      <c r="ADU8" s="5">
        <f>IFERROR(VLOOKUP(ADU$1,'Renta Mixta Conservador'!$B$35:$C$53,2,FALSE),0%)</f>
        <v>0</v>
      </c>
      <c r="ADV8" s="5">
        <f>IFERROR(VLOOKUP(ADV$1,'Renta Mixta Conservador'!$B$35:$C$53,2,FALSE),0%)</f>
        <v>0</v>
      </c>
      <c r="ADW8" s="5">
        <f>IFERROR(VLOOKUP(ADW$1,'Renta Mixta Conservador'!$B$35:$C$53,2,FALSE),0%)</f>
        <v>0</v>
      </c>
      <c r="ADX8" s="5">
        <f>IFERROR(VLOOKUP(ADX$1,'Renta Mixta Conservador'!$B$35:$C$53,2,FALSE),0%)</f>
        <v>0</v>
      </c>
      <c r="ADY8" s="5">
        <f>IFERROR(VLOOKUP(ADY$1,'Renta Mixta Conservador'!$B$35:$C$53,2,FALSE),0%)</f>
        <v>0</v>
      </c>
      <c r="ADZ8" s="5">
        <f>IFERROR(VLOOKUP(ADZ$1,'Renta Mixta Conservador'!$B$35:$C$53,2,FALSE),0%)</f>
        <v>0</v>
      </c>
      <c r="AEA8" s="5">
        <f>IFERROR(VLOOKUP(AEA$1,'Renta Mixta Conservador'!$B$35:$C$53,2,FALSE),0%)</f>
        <v>0</v>
      </c>
      <c r="AEB8" s="5">
        <f>IFERROR(VLOOKUP(AEB$1,'Renta Mixta Conservador'!$B$35:$C$53,2,FALSE),0%)</f>
        <v>0</v>
      </c>
      <c r="AEC8" s="5">
        <f>IFERROR(VLOOKUP(AEC$1,'Renta Mixta Conservador'!$B$35:$C$53,2,FALSE),0%)</f>
        <v>0</v>
      </c>
      <c r="AED8" s="5">
        <f>IFERROR(VLOOKUP(AED$1,'Renta Mixta Conservador'!$B$35:$C$53,2,FALSE),0%)</f>
        <v>0</v>
      </c>
      <c r="AEE8" s="5">
        <f>IFERROR(VLOOKUP(AEE$1,'Renta Mixta Conservador'!$B$35:$C$53,2,FALSE),0%)</f>
        <v>0</v>
      </c>
      <c r="AEF8" s="5">
        <f>IFERROR(VLOOKUP(AEF$1,'Renta Mixta Conservador'!$B$35:$C$53,2,FALSE),0%)</f>
        <v>0</v>
      </c>
      <c r="AEG8" s="5">
        <f>IFERROR(VLOOKUP(AEG$1,'Renta Mixta Conservador'!$B$35:$C$53,2,FALSE),0%)</f>
        <v>0.0356</v>
      </c>
      <c r="AEH8" s="5">
        <f>IFERROR(VLOOKUP(AEH$1,'Renta Mixta Conservador'!$B$35:$C$53,2,FALSE),0%)</f>
        <v>0</v>
      </c>
      <c r="AEI8" s="5">
        <f>IFERROR(VLOOKUP(AEI$1,'Renta Mixta Conservador'!$B$35:$C$53,2,FALSE),0%)</f>
        <v>0</v>
      </c>
      <c r="AEJ8" s="5">
        <f>IFERROR(VLOOKUP(AEJ$1,'Renta Mixta Conservador'!$B$35:$C$53,2,FALSE),0%)</f>
        <v>0</v>
      </c>
      <c r="AEK8" s="5">
        <f>IFERROR(VLOOKUP(AEK$1,'Renta Mixta Conservador'!$B$35:$C$53,2,FALSE),0%)</f>
        <v>0</v>
      </c>
      <c r="AEL8" s="5">
        <f>IFERROR(VLOOKUP(AEL$1,'Renta Mixta Conservador'!$B$35:$C$53,2,FALSE),0%)</f>
        <v>0</v>
      </c>
      <c r="AEM8" s="5">
        <f>IFERROR(VLOOKUP(AEM$1,'Renta Mixta Conservador'!$B$35:$C$53,2,FALSE),0%)</f>
        <v>0</v>
      </c>
      <c r="AEN8" s="5">
        <f>IFERROR(VLOOKUP(AEN$1,'Renta Mixta Conservador'!$B$35:$C$53,2,FALSE),0%)</f>
        <v>0</v>
      </c>
      <c r="AEO8" s="5">
        <f>IFERROR(VLOOKUP(AEO$1,'Renta Mixta Conservador'!$B$35:$C$53,2,FALSE),0%)</f>
        <v>0</v>
      </c>
      <c r="AEP8" s="5">
        <f>IFERROR(VLOOKUP(AEP$1,'Renta Mixta Conservador'!$B$35:$C$53,2,FALSE),0%)</f>
        <v>0</v>
      </c>
      <c r="AEQ8" s="5">
        <f>IFERROR(VLOOKUP(AEQ$1,'Renta Mixta Conservador'!$B$35:$C$53,2,FALSE),0%)</f>
        <v>0</v>
      </c>
      <c r="AER8" s="5">
        <f>IFERROR(VLOOKUP(AER$1,'Renta Mixta Conservador'!$B$35:$C$53,2,FALSE),0%)</f>
        <v>0</v>
      </c>
      <c r="AES8" s="5">
        <f>IFERROR(VLOOKUP(AES$1,'Renta Mixta Conservador'!$B$35:$C$53,2,FALSE),0%)</f>
        <v>0</v>
      </c>
      <c r="AET8" s="5">
        <f>IFERROR(VLOOKUP(AET$1,'Renta Mixta Conservador'!$B$35:$C$53,2,FALSE),0%)</f>
        <v>0</v>
      </c>
      <c r="AEU8" s="5">
        <f>IFERROR(VLOOKUP(AEU$1,'Renta Mixta Conservador'!$B$35:$C$53,2,FALSE),0%)</f>
        <v>0</v>
      </c>
      <c r="AEV8" s="5">
        <f>IFERROR(VLOOKUP(AEV$1,'Renta Mixta Conservador'!$B$35:$C$53,2,FALSE),0%)</f>
        <v>0</v>
      </c>
      <c r="AEW8" s="5">
        <f>IFERROR(VLOOKUP(AEW$1,'Renta Mixta Conservador'!$B$35:$C$53,2,FALSE),0%)</f>
        <v>0</v>
      </c>
      <c r="AEX8" s="5">
        <f>IFERROR(VLOOKUP(AEX$1,'Renta Mixta Conservador'!$B$35:$C$53,2,FALSE),0%)</f>
        <v>0</v>
      </c>
      <c r="AEY8" s="5">
        <f>IFERROR(VLOOKUP(AEY$1,'Renta Mixta Conservador'!$B$35:$C$53,2,FALSE),0%)</f>
        <v>0</v>
      </c>
      <c r="AEZ8" s="5">
        <f>IFERROR(VLOOKUP(AEZ$1,'Renta Mixta Conservador'!$B$35:$C$53,2,FALSE),0%)</f>
        <v>0</v>
      </c>
      <c r="AFA8" s="5">
        <f>IFERROR(VLOOKUP(AFA$1,'Renta Mixta Conservador'!$B$35:$C$53,2,FALSE),0%)</f>
        <v>0</v>
      </c>
      <c r="AFB8" s="5">
        <f>IFERROR(VLOOKUP(AFB$1,'Renta Mixta Conservador'!$B$35:$C$53,2,FALSE),0%)</f>
        <v>0</v>
      </c>
      <c r="AFC8" s="5">
        <f>IFERROR(VLOOKUP(AFC$1,'Renta Mixta Conservador'!$B$35:$C$53,2,FALSE),0%)</f>
        <v>0</v>
      </c>
      <c r="AFD8" s="5">
        <f>IFERROR(VLOOKUP(AFD$1,'Renta Mixta Conservador'!$B$35:$C$53,2,FALSE),0%)</f>
        <v>0</v>
      </c>
      <c r="AFE8" s="5">
        <f>IFERROR(VLOOKUP(AFE$1,'Renta Mixta Conservador'!$B$35:$C$53,2,FALSE),0%)</f>
        <v>0</v>
      </c>
      <c r="AFF8" s="5">
        <f>IFERROR(VLOOKUP(AFF$1,'Renta Mixta Conservador'!$B$35:$C$53,2,FALSE),0%)</f>
        <v>0</v>
      </c>
      <c r="AFG8" s="5">
        <f>IFERROR(VLOOKUP(AFG$1,'Renta Mixta Conservador'!$B$35:$C$53,2,FALSE),0%)</f>
        <v>0</v>
      </c>
      <c r="AFH8" s="5">
        <f>IFERROR(VLOOKUP(AFH$1,'Renta Mixta Conservador'!$B$35:$C$53,2,FALSE),0%)</f>
        <v>0</v>
      </c>
      <c r="AFI8" s="5">
        <f>IFERROR(VLOOKUP(AFI$1,'Renta Mixta Conservador'!$B$35:$C$53,2,FALSE),0%)</f>
        <v>0</v>
      </c>
      <c r="AFJ8" s="5">
        <f>IFERROR(VLOOKUP(AFJ$1,'Renta Mixta Conservador'!$B$35:$C$53,2,FALSE),0%)</f>
        <v>0</v>
      </c>
      <c r="AFK8" s="5">
        <f>IFERROR(VLOOKUP(AFK$1,'Renta Mixta Conservador'!$B$35:$C$53,2,FALSE),0%)</f>
        <v>0</v>
      </c>
      <c r="AFL8" s="5">
        <f>IFERROR(VLOOKUP(AFL$1,'Renta Mixta Conservador'!$B$35:$C$53,2,FALSE),0%)</f>
        <v>0</v>
      </c>
      <c r="AFM8" s="5">
        <f>IFERROR(VLOOKUP(AFM$1,'Renta Mixta Conservador'!$B$35:$C$53,2,FALSE),0%)</f>
        <v>0</v>
      </c>
      <c r="AFN8" s="5">
        <f>IFERROR(VLOOKUP(AFN$1,'Renta Mixta Conservador'!$B$35:$C$53,2,FALSE),0%)</f>
        <v>0</v>
      </c>
      <c r="AFO8" s="5">
        <f>IFERROR(VLOOKUP(AFO$1,'Renta Mixta Conservador'!$B$35:$C$53,2,FALSE),0%)</f>
        <v>0</v>
      </c>
      <c r="AFP8" s="5">
        <f>IFERROR(VLOOKUP(AFP$1,'Renta Mixta Conservador'!$B$35:$C$53,2,FALSE),0%)</f>
        <v>0</v>
      </c>
      <c r="AFQ8" s="5">
        <f>IFERROR(VLOOKUP(AFQ$1,'Renta Mixta Conservador'!$B$35:$C$53,2,FALSE),0%)</f>
        <v>0</v>
      </c>
      <c r="AFR8" s="5">
        <f>IFERROR(VLOOKUP(AFR$1,'Renta Mixta Conservador'!$B$35:$C$53,2,FALSE),0%)</f>
        <v>0</v>
      </c>
      <c r="AFS8" s="5">
        <f>IFERROR(VLOOKUP(AFS$1,'Renta Mixta Conservador'!$B$35:$C$53,2,FALSE),0%)</f>
        <v>0</v>
      </c>
      <c r="AFT8" s="5">
        <f>IFERROR(VLOOKUP(AFT$1,'Renta Mixta Conservador'!$B$35:$C$53,2,FALSE),0%)</f>
        <v>0</v>
      </c>
      <c r="AFU8" s="5">
        <f>IFERROR(VLOOKUP(AFU$1,'Renta Mixta Conservador'!$B$35:$C$53,2,FALSE),0%)</f>
        <v>0</v>
      </c>
      <c r="AFV8" s="5">
        <f>IFERROR(VLOOKUP(AFV$1,'Renta Mixta Conservador'!$B$35:$C$53,2,FALSE),0%)</f>
        <v>0</v>
      </c>
      <c r="AFW8" s="5">
        <f>IFERROR(VLOOKUP(AFW$1,'Renta Mixta Conservador'!$B$35:$C$53,2,FALSE),0%)</f>
        <v>0</v>
      </c>
      <c r="AFX8" s="5">
        <f>IFERROR(VLOOKUP(AFX$1,'Renta Mixta Conservador'!$B$35:$C$53,2,FALSE),0%)</f>
        <v>0</v>
      </c>
      <c r="AFY8" s="5">
        <f>IFERROR(VLOOKUP(AFY$1,'Renta Mixta Conservador'!$B$35:$C$53,2,FALSE),0%)</f>
        <v>0</v>
      </c>
      <c r="AFZ8" s="5">
        <f>IFERROR(VLOOKUP(AFZ$1,'Renta Mixta Conservador'!$B$35:$C$53,2,FALSE),0%)</f>
        <v>0</v>
      </c>
      <c r="AGA8" s="5">
        <f>IFERROR(VLOOKUP(AGA$1,'Renta Mixta Conservador'!$B$35:$C$53,2,FALSE),0%)</f>
        <v>0</v>
      </c>
      <c r="AGB8" s="5">
        <f>IFERROR(VLOOKUP(AGB$1,'Renta Mixta Conservador'!$B$35:$C$53,2,FALSE),0%)</f>
        <v>0</v>
      </c>
      <c r="AGC8" s="5">
        <f>IFERROR(VLOOKUP(AGC$1,'Renta Mixta Conservador'!$B$35:$C$53,2,FALSE),0%)</f>
        <v>0</v>
      </c>
      <c r="AGD8" s="5">
        <f>IFERROR(VLOOKUP(AGD$1,'Renta Mixta Conservador'!$B$35:$C$53,2,FALSE),0%)</f>
        <v>0</v>
      </c>
      <c r="AGE8" s="5">
        <f>IFERROR(VLOOKUP(AGE$1,'Renta Mixta Conservador'!$B$35:$C$53,2,FALSE),0%)</f>
        <v>0</v>
      </c>
      <c r="AGF8" s="5">
        <f>IFERROR(VLOOKUP(AGF$1,'Renta Mixta Conservador'!$B$35:$C$53,2,FALSE),0%)</f>
        <v>0</v>
      </c>
      <c r="AGG8" s="5">
        <f>IFERROR(VLOOKUP(AGG$1,'Renta Mixta Conservador'!$B$35:$C$53,2,FALSE),0%)</f>
        <v>0</v>
      </c>
      <c r="AGH8" s="5">
        <f>IFERROR(VLOOKUP(AGH$1,'Renta Mixta Conservador'!$B$35:$C$53,2,FALSE),0%)</f>
        <v>0</v>
      </c>
      <c r="AGI8" s="5">
        <f>IFERROR(VLOOKUP(AGI$1,'Renta Mixta Conservador'!$B$35:$C$53,2,FALSE),0%)</f>
        <v>0</v>
      </c>
      <c r="AGJ8" s="5">
        <f>IFERROR(VLOOKUP(AGJ$1,'Renta Mixta Conservador'!$B$35:$C$53,2,FALSE),0%)</f>
        <v>0</v>
      </c>
      <c r="AGK8" s="5">
        <f>IFERROR(VLOOKUP(AGK$1,'Renta Mixta Conservador'!$B$35:$C$53,2,FALSE),0%)</f>
        <v>0</v>
      </c>
      <c r="AGL8" s="5">
        <f>IFERROR(VLOOKUP(AGL$1,'Renta Mixta Conservador'!$B$35:$C$53,2,FALSE),0%)</f>
        <v>0</v>
      </c>
      <c r="AGM8" s="5">
        <f>IFERROR(VLOOKUP(AGM$1,'Renta Mixta Conservador'!$B$35:$C$53,2,FALSE),0%)</f>
        <v>0</v>
      </c>
      <c r="AGN8" s="5">
        <f>IFERROR(VLOOKUP(AGN$1,'Renta Mixta Conservador'!$B$35:$C$53,2,FALSE),0%)</f>
        <v>0</v>
      </c>
      <c r="AGO8" s="5">
        <f>IFERROR(VLOOKUP(AGO$1,'Renta Mixta Conservador'!$B$35:$C$53,2,FALSE),0%)</f>
        <v>0</v>
      </c>
      <c r="AGP8" s="5">
        <f>IFERROR(VLOOKUP(AGP$1,'Renta Mixta Conservador'!$B$35:$C$53,2,FALSE),0%)</f>
        <v>0</v>
      </c>
      <c r="AGQ8" s="5">
        <f>IFERROR(VLOOKUP(AGQ$1,'Renta Mixta Conservador'!$B$35:$C$53,2,FALSE),0%)</f>
        <v>0</v>
      </c>
      <c r="AGR8" s="5">
        <f>IFERROR(VLOOKUP(AGR$1,'Renta Mixta Conservador'!$B$35:$C$53,2,FALSE),0%)</f>
        <v>0</v>
      </c>
      <c r="AGS8" s="5">
        <f>IFERROR(VLOOKUP(AGS$1,'Renta Mixta Conservador'!$B$35:$C$53,2,FALSE),0%)</f>
        <v>0</v>
      </c>
      <c r="AGT8" s="5">
        <f>IFERROR(VLOOKUP(AGT$1,'Renta Mixta Conservador'!$B$35:$C$53,2,FALSE),0%)</f>
        <v>0</v>
      </c>
      <c r="AGU8" s="5">
        <f>IFERROR(VLOOKUP(AGU$1,'Renta Mixta Conservador'!$B$35:$C$53,2,FALSE),0%)</f>
        <v>0</v>
      </c>
      <c r="AGV8" s="5">
        <f>IFERROR(VLOOKUP(AGV$1,'Renta Mixta Conservador'!$B$35:$C$53,2,FALSE),0%)</f>
        <v>0</v>
      </c>
      <c r="AGW8" s="5">
        <f>IFERROR(VLOOKUP(AGW$1,'Renta Mixta Conservador'!$B$35:$C$53,2,FALSE),0%)</f>
        <v>0</v>
      </c>
      <c r="AGX8" s="5">
        <f>IFERROR(VLOOKUP(AGX$1,'Renta Mixta Conservador'!$B$35:$C$53,2,FALSE),0%)</f>
        <v>0</v>
      </c>
      <c r="AGY8" s="5">
        <f>IFERROR(VLOOKUP(AGY$1,'Renta Mixta Conservador'!$B$35:$C$53,2,FALSE),0%)</f>
        <v>0</v>
      </c>
      <c r="AGZ8" s="5">
        <f>IFERROR(VLOOKUP(AGZ$1,'Renta Mixta Conservador'!$B$35:$C$53,2,FALSE),0%)</f>
        <v>0</v>
      </c>
      <c r="AHA8" s="5">
        <f>IFERROR(VLOOKUP(AHA$1,'Renta Mixta Conservador'!$B$35:$C$53,2,FALSE),0%)</f>
        <v>0</v>
      </c>
      <c r="AHB8" s="5">
        <f>IFERROR(VLOOKUP(AHB$1,'Renta Mixta Conservador'!$B$35:$C$53,2,FALSE),0%)</f>
        <v>0</v>
      </c>
      <c r="AHC8" s="5">
        <f>IFERROR(VLOOKUP(AHC$1,'Renta Mixta Conservador'!$B$35:$C$53,2,FALSE),0%)</f>
        <v>0</v>
      </c>
      <c r="AHD8" s="5">
        <f>IFERROR(VLOOKUP(AHD$1,'Renta Mixta Conservador'!$B$35:$C$53,2,FALSE),0%)</f>
        <v>0</v>
      </c>
      <c r="AHE8" s="5">
        <f>IFERROR(VLOOKUP(AHE$1,'Renta Mixta Conservador'!$B$35:$C$53,2,FALSE),0%)</f>
        <v>0</v>
      </c>
      <c r="AHF8" s="5">
        <f>IFERROR(VLOOKUP(AHF$1,'Renta Mixta Conservador'!$B$35:$C$53,2,FALSE),0%)</f>
        <v>0</v>
      </c>
      <c r="AHG8" s="5">
        <f>IFERROR(VLOOKUP(AHG$1,'Renta Mixta Conservador'!$B$35:$C$53,2,FALSE),0%)</f>
        <v>0</v>
      </c>
      <c r="AHH8" s="5">
        <f>IFERROR(VLOOKUP(AHH$1,'Renta Mixta Conservador'!$B$35:$C$53,2,FALSE),0%)</f>
        <v>0</v>
      </c>
      <c r="AHI8" s="5">
        <f>IFERROR(VLOOKUP(AHI$1,'Renta Mixta Conservador'!$B$35:$C$53,2,FALSE),0%)</f>
        <v>0</v>
      </c>
      <c r="AHJ8" s="5">
        <f>IFERROR(VLOOKUP(AHJ$1,'Renta Mixta Conservador'!$B$35:$C$53,2,FALSE),0%)</f>
        <v>0</v>
      </c>
      <c r="AHK8" s="5">
        <f>IFERROR(VLOOKUP(AHK$1,'Renta Mixta Conservador'!$B$35:$C$53,2,FALSE),0%)</f>
        <v>0</v>
      </c>
      <c r="AHL8" s="5">
        <f>IFERROR(VLOOKUP(AHL$1,'Renta Mixta Conservador'!$B$35:$C$53,2,FALSE),0%)</f>
        <v>0</v>
      </c>
      <c r="AHM8" s="5">
        <f>IFERROR(VLOOKUP(AHM$1,'Renta Mixta Conservador'!$B$35:$C$53,2,FALSE),0%)</f>
        <v>0</v>
      </c>
      <c r="AHN8" s="5">
        <f>IFERROR(VLOOKUP(AHN$1,'Renta Mixta Conservador'!$B$35:$C$53,2,FALSE),0%)</f>
        <v>0</v>
      </c>
      <c r="AHO8" s="5">
        <f>IFERROR(VLOOKUP(AHO$1,'Renta Mixta Conservador'!$B$35:$C$53,2,FALSE),0%)</f>
        <v>0</v>
      </c>
      <c r="AHP8" s="5">
        <f>IFERROR(VLOOKUP(AHP$1,'Renta Mixta Conservador'!$B$35:$C$53,2,FALSE),0%)</f>
        <v>0</v>
      </c>
      <c r="AHQ8" s="5">
        <f>IFERROR(VLOOKUP(AHQ$1,'Renta Mixta Conservador'!$B$35:$C$53,2,FALSE),0%)</f>
        <v>0</v>
      </c>
      <c r="AHR8" s="5">
        <f>IFERROR(VLOOKUP(AHR$1,'Renta Mixta Conservador'!$B$35:$C$53,2,FALSE),0%)</f>
        <v>0</v>
      </c>
      <c r="AHS8" s="5">
        <f>IFERROR(VLOOKUP(AHS$1,'Renta Mixta Conservador'!$B$35:$C$53,2,FALSE),0%)</f>
        <v>0</v>
      </c>
      <c r="AHT8" s="5">
        <f>IFERROR(VLOOKUP(AHT$1,'Renta Mixta Conservador'!$B$35:$C$53,2,FALSE),0%)</f>
        <v>0</v>
      </c>
      <c r="AHU8" s="5">
        <f>IFERROR(VLOOKUP(AHU$1,'Renta Mixta Conservador'!$B$35:$C$53,2,FALSE),0%)</f>
        <v>0</v>
      </c>
      <c r="AHV8" s="5">
        <f>IFERROR(VLOOKUP(AHV$1,'Renta Mixta Conservador'!$B$35:$C$53,2,FALSE),0%)</f>
        <v>0</v>
      </c>
      <c r="AHW8" s="5">
        <f>IFERROR(VLOOKUP(AHW$1,'Renta Mixta Conservador'!$B$35:$C$53,2,FALSE),0%)</f>
        <v>0</v>
      </c>
      <c r="AHX8" s="5">
        <f>IFERROR(VLOOKUP(AHX$1,'Renta Mixta Conservador'!$B$35:$C$53,2,FALSE),0%)</f>
        <v>0</v>
      </c>
      <c r="AHY8" s="5">
        <f>IFERROR(VLOOKUP(AHY$1,'Renta Mixta Conservador'!$B$35:$C$53,2,FALSE),0%)</f>
        <v>0</v>
      </c>
      <c r="AHZ8" s="5">
        <f>IFERROR(VLOOKUP(AHZ$1,'Renta Mixta Conservador'!$B$35:$C$53,2,FALSE),0%)</f>
        <v>0</v>
      </c>
      <c r="AIA8" s="5">
        <f>IFERROR(VLOOKUP(AIA$1,'Renta Mixta Conservador'!$B$35:$C$53,2,FALSE),0%)</f>
        <v>0</v>
      </c>
      <c r="AIB8" s="5">
        <f>IFERROR(VLOOKUP(AIB$1,'Renta Mixta Conservador'!$B$35:$C$53,2,FALSE),0%)</f>
        <v>0</v>
      </c>
      <c r="AIC8" s="5">
        <f>IFERROR(VLOOKUP(AIC$1,'Renta Mixta Conservador'!$B$35:$C$53,2,FALSE),0%)</f>
        <v>0</v>
      </c>
      <c r="AID8" s="5">
        <f>IFERROR(VLOOKUP(AID$1,'Renta Mixta Conservador'!$B$35:$C$53,2,FALSE),0%)</f>
        <v>0</v>
      </c>
      <c r="AIE8" s="5">
        <f>IFERROR(VLOOKUP(AIE$1,'Renta Mixta Conservador'!$B$35:$C$53,2,FALSE),0%)</f>
        <v>0</v>
      </c>
      <c r="AIF8" s="5">
        <f>IFERROR(VLOOKUP(AIF$1,'Renta Mixta Conservador'!$B$35:$C$53,2,FALSE),0%)</f>
        <v>0</v>
      </c>
      <c r="AIG8" s="5">
        <f>IFERROR(VLOOKUP(AIG$1,'Renta Mixta Conservador'!$B$35:$C$53,2,FALSE),0%)</f>
        <v>0</v>
      </c>
      <c r="AIH8" s="5">
        <f>IFERROR(VLOOKUP(AIH$1,'Renta Mixta Conservador'!$B$35:$C$53,2,FALSE),0%)</f>
        <v>0</v>
      </c>
      <c r="AII8" s="5">
        <f>IFERROR(VLOOKUP(AII$1,'Renta Mixta Conservador'!$B$35:$C$53,2,FALSE),0%)</f>
        <v>0</v>
      </c>
      <c r="AIJ8" s="5">
        <f>IFERROR(VLOOKUP(AIJ$1,'Renta Mixta Conservador'!$B$35:$C$53,2,FALSE),0%)</f>
        <v>0</v>
      </c>
      <c r="AIK8" s="5">
        <f>IFERROR(VLOOKUP(AIK$1,'Renta Mixta Conservador'!$B$35:$C$53,2,FALSE),0%)</f>
        <v>0</v>
      </c>
      <c r="AIL8" s="5">
        <f>IFERROR(VLOOKUP(AIL$1,'Renta Mixta Conservador'!$B$35:$C$53,2,FALSE),0%)</f>
        <v>0</v>
      </c>
      <c r="AIM8" s="5">
        <f>IFERROR(VLOOKUP(AIM$1,'Renta Mixta Conservador'!$B$35:$C$53,2,FALSE),0%)</f>
        <v>0</v>
      </c>
      <c r="AIN8" s="5">
        <f>IFERROR(VLOOKUP(AIN$1,'Renta Mixta Conservador'!$B$35:$C$53,2,FALSE),0%)</f>
        <v>0</v>
      </c>
      <c r="AIO8" s="5">
        <f>IFERROR(VLOOKUP(AIO$1,'Renta Mixta Conservador'!$B$35:$C$53,2,FALSE),0%)</f>
        <v>0</v>
      </c>
      <c r="AIP8" s="5">
        <f>IFERROR(VLOOKUP(AIP$1,'Renta Mixta Conservador'!$B$35:$C$53,2,FALSE),0%)</f>
        <v>0</v>
      </c>
      <c r="AIQ8" s="5">
        <f>IFERROR(VLOOKUP(AIQ$1,'Renta Mixta Conservador'!$B$35:$C$53,2,FALSE),0%)</f>
        <v>0</v>
      </c>
      <c r="AIR8" s="5">
        <f>IFERROR(VLOOKUP(AIR$1,'Renta Mixta Conservador'!$B$35:$C$53,2,FALSE),0%)</f>
        <v>0</v>
      </c>
      <c r="AIS8" s="5">
        <f>IFERROR(VLOOKUP(AIS$1,'Renta Mixta Conservador'!$B$35:$C$53,2,FALSE),0%)</f>
        <v>0</v>
      </c>
      <c r="AIT8" s="5">
        <f>IFERROR(VLOOKUP(AIT$1,'Renta Mixta Conservador'!$B$35:$C$53,2,FALSE),0%)</f>
        <v>0</v>
      </c>
      <c r="AIU8" s="5">
        <f>IFERROR(VLOOKUP(AIU$1,'Renta Mixta Conservador'!$B$35:$C$53,2,FALSE),0%)</f>
        <v>0</v>
      </c>
      <c r="AIV8" s="5">
        <f>IFERROR(VLOOKUP(AIV$1,'Renta Mixta Conservador'!$B$35:$C$53,2,FALSE),0%)</f>
        <v>0</v>
      </c>
      <c r="AIW8" s="5">
        <f>IFERROR(VLOOKUP(AIW$1,'Renta Mixta Conservador'!$B$35:$C$53,2,FALSE),0%)</f>
        <v>0</v>
      </c>
      <c r="AIX8" s="5">
        <f>IFERROR(VLOOKUP(AIX$1,'Renta Mixta Conservador'!$B$35:$C$53,2,FALSE),0%)</f>
        <v>0</v>
      </c>
      <c r="AIY8" s="5">
        <f>IFERROR(VLOOKUP(AIY$1,'Renta Mixta Conservador'!$B$35:$C$53,2,FALSE),0%)</f>
        <v>0</v>
      </c>
      <c r="AIZ8" s="5">
        <f>IFERROR(VLOOKUP(AIZ$1,'Renta Mixta Conservador'!$B$35:$C$53,2,FALSE),0%)</f>
        <v>0</v>
      </c>
      <c r="AJA8" s="5">
        <f>IFERROR(VLOOKUP(AJA$1,'Renta Mixta Conservador'!$B$35:$C$53,2,FALSE),0%)</f>
        <v>0</v>
      </c>
      <c r="AJB8" s="5">
        <f>IFERROR(VLOOKUP(AJB$1,'Renta Mixta Conservador'!$B$35:$C$53,2,FALSE),0%)</f>
        <v>0</v>
      </c>
      <c r="AJC8" s="5">
        <f>IFERROR(VLOOKUP(AJC$1,'Renta Mixta Conservador'!$B$35:$C$53,2,FALSE),0%)</f>
        <v>0</v>
      </c>
      <c r="AJD8" s="5">
        <f>IFERROR(VLOOKUP(AJD$1,'Renta Mixta Conservador'!$B$35:$C$53,2,FALSE),0%)</f>
        <v>0</v>
      </c>
      <c r="AJE8" s="5">
        <f>IFERROR(VLOOKUP(AJE$1,'Renta Mixta Conservador'!$B$35:$C$53,2,FALSE),0%)</f>
        <v>0</v>
      </c>
      <c r="AJF8" s="5">
        <f>IFERROR(VLOOKUP(AJF$1,'Renta Mixta Conservador'!$B$35:$C$53,2,FALSE),0%)</f>
        <v>0</v>
      </c>
      <c r="AJG8" s="5">
        <f>IFERROR(VLOOKUP(AJG$1,'Renta Mixta Conservador'!$B$35:$C$53,2,FALSE),0%)</f>
        <v>0</v>
      </c>
      <c r="AJH8" s="5">
        <f>IFERROR(VLOOKUP(AJH$1,'Renta Mixta Conservador'!$B$35:$C$53,2,FALSE),0%)</f>
        <v>0</v>
      </c>
      <c r="AJI8" s="5">
        <f>IFERROR(VLOOKUP(AJI$1,'Renta Mixta Conservador'!$B$35:$C$53,2,FALSE),0%)</f>
        <v>0</v>
      </c>
      <c r="AJJ8" s="5">
        <f>IFERROR(VLOOKUP(AJJ$1,'Renta Mixta Conservador'!$B$35:$C$53,2,FALSE),0%)</f>
        <v>0</v>
      </c>
      <c r="AJK8" s="5">
        <f>IFERROR(VLOOKUP(AJK$1,'Renta Mixta Conservador'!$B$35:$C$53,2,FALSE),0%)</f>
        <v>0</v>
      </c>
      <c r="AJL8" s="5">
        <f>IFERROR(VLOOKUP(AJL$1,'Renta Mixta Conservador'!$B$35:$C$53,2,FALSE),0%)</f>
        <v>0</v>
      </c>
      <c r="AJM8" s="5">
        <f>IFERROR(VLOOKUP(AJM$1,'Renta Mixta Conservador'!$B$35:$C$53,2,FALSE),0%)</f>
        <v>0</v>
      </c>
      <c r="AJN8" s="5">
        <f>IFERROR(VLOOKUP(AJN$1,'Renta Mixta Conservador'!$B$35:$C$53,2,FALSE),0%)</f>
        <v>0</v>
      </c>
      <c r="AJO8" s="5">
        <f>IFERROR(VLOOKUP(AJO$1,'Renta Mixta Conservador'!$B$35:$C$53,2,FALSE),0%)</f>
        <v>0</v>
      </c>
      <c r="AJP8" s="5">
        <f>IFERROR(VLOOKUP(AJP$1,'Renta Mixta Conservador'!$B$35:$C$53,2,FALSE),0%)</f>
        <v>0</v>
      </c>
      <c r="AJQ8" s="5">
        <f>IFERROR(VLOOKUP(AJQ$1,'Renta Mixta Conservador'!$B$35:$C$53,2,FALSE),0%)</f>
        <v>0</v>
      </c>
      <c r="AJR8" s="5">
        <f>IFERROR(VLOOKUP(AJR$1,'Renta Mixta Conservador'!$B$35:$C$53,2,FALSE),0%)</f>
        <v>0</v>
      </c>
      <c r="AJS8" s="5">
        <f>IFERROR(VLOOKUP(AJS$1,'Renta Mixta Conservador'!$B$35:$C$53,2,FALSE),0%)</f>
        <v>0</v>
      </c>
      <c r="AJT8" s="5">
        <f>IFERROR(VLOOKUP(AJT$1,'Renta Mixta Conservador'!$B$35:$C$53,2,FALSE),0%)</f>
        <v>0</v>
      </c>
      <c r="AJU8" s="5">
        <f>IFERROR(VLOOKUP(AJU$1,'Renta Mixta Conservador'!$B$35:$C$53,2,FALSE),0%)</f>
        <v>0</v>
      </c>
      <c r="AJV8" s="5">
        <f>IFERROR(VLOOKUP(AJV$1,'Renta Mixta Conservador'!$B$35:$C$53,2,FALSE),0%)</f>
        <v>0</v>
      </c>
      <c r="AJW8" s="5">
        <f>IFERROR(VLOOKUP(AJW$1,'Renta Mixta Conservador'!$B$35:$C$53,2,FALSE),0%)</f>
        <v>0</v>
      </c>
      <c r="AJX8" s="5">
        <f>IFERROR(VLOOKUP(AJX$1,'Renta Mixta Conservador'!$B$35:$C$53,2,FALSE),0%)</f>
        <v>0</v>
      </c>
      <c r="AJY8" s="5">
        <f>IFERROR(VLOOKUP(AJY$1,'Renta Mixta Conservador'!$B$35:$C$53,2,FALSE),0%)</f>
        <v>0</v>
      </c>
      <c r="AJZ8" s="5">
        <f>IFERROR(VLOOKUP(AJZ$1,'Renta Mixta Conservador'!$B$35:$C$53,2,FALSE),0%)</f>
        <v>0</v>
      </c>
      <c r="AKA8" s="5">
        <f>IFERROR(VLOOKUP(AKA$1,'Renta Mixta Conservador'!$B$35:$C$53,2,FALSE),0%)</f>
        <v>0</v>
      </c>
      <c r="AKB8" s="5">
        <f>IFERROR(VLOOKUP(AKB$1,'Renta Mixta Conservador'!$B$35:$C$53,2,FALSE),0%)</f>
        <v>0</v>
      </c>
      <c r="AKC8" s="5">
        <f>IFERROR(VLOOKUP(AKC$1,'Renta Mixta Conservador'!$B$35:$C$53,2,FALSE),0%)</f>
        <v>0</v>
      </c>
      <c r="AKD8" s="5">
        <f>IFERROR(VLOOKUP(AKD$1,'Renta Mixta Conservador'!$B$35:$C$53,2,FALSE),0%)</f>
        <v>0</v>
      </c>
      <c r="AKE8" s="5">
        <f>IFERROR(VLOOKUP(AKE$1,'Renta Mixta Conservador'!$B$35:$C$53,2,FALSE),0%)</f>
        <v>0</v>
      </c>
      <c r="AKF8" s="5">
        <f>IFERROR(VLOOKUP(AKF$1,'Renta Mixta Conservador'!$B$35:$C$53,2,FALSE),0%)</f>
        <v>0</v>
      </c>
      <c r="AKG8" s="5">
        <f>IFERROR(VLOOKUP(AKG$1,'Renta Mixta Conservador'!$B$35:$C$53,2,FALSE),0%)</f>
        <v>0</v>
      </c>
      <c r="AKH8" s="5">
        <f>IFERROR(VLOOKUP(AKH$1,'Renta Mixta Conservador'!$B$35:$C$53,2,FALSE),0%)</f>
        <v>0</v>
      </c>
      <c r="AKI8" s="5">
        <f>IFERROR(VLOOKUP(AKI$1,'Renta Mixta Conservador'!$B$35:$C$53,2,FALSE),0%)</f>
        <v>0</v>
      </c>
      <c r="AKJ8" s="5">
        <f>IFERROR(VLOOKUP(AKJ$1,'Renta Mixta Conservador'!$B$35:$C$53,2,FALSE),0%)</f>
        <v>0</v>
      </c>
      <c r="AKK8" s="5">
        <f>IFERROR(VLOOKUP(AKK$1,'Renta Mixta Conservador'!$B$35:$C$53,2,FALSE),0%)</f>
        <v>0</v>
      </c>
      <c r="AKL8" s="5">
        <f>IFERROR(VLOOKUP(AKL$1,'Renta Mixta Conservador'!$B$35:$C$53,2,FALSE),0%)</f>
        <v>0</v>
      </c>
      <c r="AKM8" s="5">
        <f>IFERROR(VLOOKUP(AKM$1,'Renta Mixta Conservador'!$B$35:$C$53,2,FALSE),0%)</f>
        <v>0</v>
      </c>
      <c r="AKN8" s="5">
        <f>IFERROR(VLOOKUP(AKN$1,'Renta Mixta Conservador'!$B$35:$C$53,2,FALSE),0%)</f>
        <v>0</v>
      </c>
      <c r="AKO8" s="5">
        <f>IFERROR(VLOOKUP(AKO$1,'Renta Mixta Conservador'!$B$35:$C$53,2,FALSE),0%)</f>
        <v>0</v>
      </c>
      <c r="AKP8" s="5">
        <f>IFERROR(VLOOKUP(AKP$1,'Renta Mixta Conservador'!$B$35:$C$53,2,FALSE),0%)</f>
        <v>0</v>
      </c>
      <c r="AKQ8" s="5">
        <f>IFERROR(VLOOKUP(AKQ$1,'Renta Mixta Conservador'!$B$35:$C$53,2,FALSE),0%)</f>
        <v>0</v>
      </c>
      <c r="AKR8" s="5">
        <f>IFERROR(VLOOKUP(AKR$1,'Renta Mixta Conservador'!$B$35:$C$53,2,FALSE),0%)</f>
        <v>0</v>
      </c>
      <c r="AKS8" s="5">
        <f>IFERROR(VLOOKUP(AKS$1,'Renta Mixta Conservador'!$B$35:$C$53,2,FALSE),0%)</f>
        <v>0</v>
      </c>
      <c r="AKT8" s="5">
        <f>IFERROR(VLOOKUP(AKT$1,'Renta Mixta Conservador'!$B$35:$C$53,2,FALSE),0%)</f>
        <v>0</v>
      </c>
      <c r="AKU8" s="5">
        <f>IFERROR(VLOOKUP(AKU$1,'Renta Mixta Conservador'!$B$35:$C$53,2,FALSE),0%)</f>
        <v>0</v>
      </c>
      <c r="AKV8" s="5">
        <f>IFERROR(VLOOKUP(AKV$1,'Renta Mixta Conservador'!$B$35:$C$53,2,FALSE),0%)</f>
        <v>0</v>
      </c>
      <c r="AKW8" s="5">
        <f>IFERROR(VLOOKUP(AKW$1,'Renta Mixta Conservador'!$B$35:$C$53,2,FALSE),0%)</f>
        <v>0</v>
      </c>
      <c r="AKX8" s="5">
        <f>IFERROR(VLOOKUP(AKX$1,'Renta Mixta Conservador'!$B$35:$C$53,2,FALSE),0%)</f>
        <v>0</v>
      </c>
      <c r="AKY8" s="5">
        <f>IFERROR(VLOOKUP(AKY$1,'Renta Mixta Conservador'!$B$35:$C$53,2,FALSE),0%)</f>
        <v>0</v>
      </c>
      <c r="AKZ8" s="5">
        <f>IFERROR(VLOOKUP(AKZ$1,'Renta Mixta Conservador'!$B$35:$C$53,2,FALSE),0%)</f>
        <v>0</v>
      </c>
      <c r="ALA8" s="5">
        <f>IFERROR(VLOOKUP(ALA$1,'Renta Mixta Conservador'!$B$35:$C$53,2,FALSE),0%)</f>
        <v>0</v>
      </c>
      <c r="ALB8" s="5">
        <f>IFERROR(VLOOKUP(ALB$1,'Renta Mixta Conservador'!$B$35:$C$53,2,FALSE),0%)</f>
        <v>0</v>
      </c>
      <c r="ALC8" s="5">
        <f>IFERROR(VLOOKUP(ALC$1,'Renta Mixta Conservador'!$B$35:$C$53,2,FALSE),0%)</f>
        <v>0</v>
      </c>
      <c r="ALD8" s="5">
        <f>IFERROR(VLOOKUP(ALD$1,'Renta Mixta Conservador'!$B$35:$C$53,2,FALSE),0%)</f>
        <v>0</v>
      </c>
      <c r="ALE8" s="5">
        <f>IFERROR(VLOOKUP(ALE$1,'Renta Mixta Conservador'!$B$35:$C$53,2,FALSE),0%)</f>
        <v>0</v>
      </c>
      <c r="ALF8" s="5">
        <f>IFERROR(VLOOKUP(ALF$1,'Renta Mixta Conservador'!$B$35:$C$53,2,FALSE),0%)</f>
        <v>0</v>
      </c>
      <c r="ALG8" s="5">
        <f>IFERROR(VLOOKUP(ALG$1,'Renta Mixta Conservador'!$B$35:$C$53,2,FALSE),0%)</f>
        <v>0</v>
      </c>
      <c r="ALH8" s="5">
        <f>IFERROR(VLOOKUP(ALH$1,'Renta Mixta Conservador'!$B$35:$C$53,2,FALSE),0%)</f>
        <v>0</v>
      </c>
      <c r="ALI8" s="5">
        <f>IFERROR(VLOOKUP(ALI$1,'Renta Mixta Conservador'!$B$35:$C$53,2,FALSE),0%)</f>
        <v>0</v>
      </c>
      <c r="ALJ8" s="5">
        <f>IFERROR(VLOOKUP(ALJ$1,'Renta Mixta Conservador'!$B$35:$C$53,2,FALSE),0%)</f>
        <v>0</v>
      </c>
      <c r="ALK8" s="5">
        <f>IFERROR(VLOOKUP(ALK$1,'Renta Mixta Conservador'!$B$35:$C$53,2,FALSE),0%)</f>
        <v>0</v>
      </c>
      <c r="ALL8" s="5">
        <f>IFERROR(VLOOKUP(ALL$1,'Renta Mixta Conservador'!$B$35:$C$53,2,FALSE),0%)</f>
        <v>0</v>
      </c>
      <c r="ALM8" s="5">
        <f>IFERROR(VLOOKUP(ALM$1,'Renta Mixta Conservador'!$B$35:$C$53,2,FALSE),0%)</f>
        <v>0</v>
      </c>
      <c r="ALN8" s="5">
        <f>IFERROR(VLOOKUP(ALN$1,'Renta Mixta Conservador'!$B$35:$C$53,2,FALSE),0%)</f>
        <v>0</v>
      </c>
      <c r="ALO8" s="5">
        <f>IFERROR(VLOOKUP(ALO$1,'Renta Mixta Conservador'!$B$35:$C$53,2,FALSE),0%)</f>
        <v>0</v>
      </c>
      <c r="ALP8" s="5">
        <f>IFERROR(VLOOKUP(ALP$1,'Renta Mixta Conservador'!$B$35:$C$53,2,FALSE),0%)</f>
        <v>0</v>
      </c>
      <c r="ALQ8" s="5">
        <f>IFERROR(VLOOKUP(ALQ$1,'Renta Mixta Conservador'!$B$35:$C$53,2,FALSE),0%)</f>
        <v>0</v>
      </c>
      <c r="ALR8" s="5">
        <f>IFERROR(VLOOKUP(ALR$1,'Renta Mixta Conservador'!$B$35:$C$53,2,FALSE),0%)</f>
        <v>0</v>
      </c>
      <c r="ALS8" s="5">
        <f>IFERROR(VLOOKUP(ALS$1,'Renta Mixta Conservador'!$B$35:$C$53,2,FALSE),0%)</f>
        <v>0</v>
      </c>
      <c r="ALT8" s="5">
        <f>IFERROR(VLOOKUP(ALT$1,'Renta Mixta Conservador'!$B$35:$C$53,2,FALSE),0%)</f>
        <v>0</v>
      </c>
      <c r="ALU8" s="5">
        <f>IFERROR(VLOOKUP(ALU$1,'Renta Mixta Conservador'!$B$35:$C$53,2,FALSE),0%)</f>
        <v>0</v>
      </c>
      <c r="ALV8" s="5">
        <f>IFERROR(VLOOKUP(ALV$1,'Renta Mixta Conservador'!$B$35:$C$53,2,FALSE),0%)</f>
        <v>0</v>
      </c>
      <c r="ALW8" s="5">
        <f>IFERROR(VLOOKUP(ALW$1,'Renta Mixta Conservador'!$B$35:$C$53,2,FALSE),0%)</f>
        <v>0</v>
      </c>
      <c r="ALX8" s="5">
        <f>IFERROR(VLOOKUP(ALX$1,'Renta Mixta Conservador'!$B$35:$C$53,2,FALSE),0%)</f>
        <v>0</v>
      </c>
      <c r="ALY8" s="5">
        <f>IFERROR(VLOOKUP(ALY$1,'Renta Mixta Conservador'!$B$35:$C$53,2,FALSE),0%)</f>
        <v>0</v>
      </c>
      <c r="ALZ8" s="5">
        <f>IFERROR(VLOOKUP(ALZ$1,'Renta Mixta Conservador'!$B$35:$C$53,2,FALSE),0%)</f>
        <v>0</v>
      </c>
      <c r="AMA8" s="5">
        <f>IFERROR(VLOOKUP(AMA$1,'Renta Mixta Conservador'!$B$35:$C$53,2,FALSE),0%)</f>
        <v>0</v>
      </c>
      <c r="AMB8" s="5">
        <f>IFERROR(VLOOKUP(AMB$1,'Renta Mixta Conservador'!$B$35:$C$53,2,FALSE),0%)</f>
        <v>0</v>
      </c>
      <c r="AMC8" s="5">
        <f>IFERROR(VLOOKUP(AMC$1,'Renta Mixta Conservador'!$B$35:$C$53,2,FALSE),0%)</f>
        <v>0</v>
      </c>
      <c r="AMD8" s="5">
        <f>IFERROR(VLOOKUP(AMD$1,'Renta Mixta Conservador'!$B$35:$C$53,2,FALSE),0%)</f>
        <v>0</v>
      </c>
      <c r="AME8" s="5">
        <f>IFERROR(VLOOKUP(AME$1,'Renta Mixta Conservador'!$B$35:$C$53,2,FALSE),0%)</f>
        <v>0</v>
      </c>
      <c r="AMF8" s="5">
        <f>IFERROR(VLOOKUP(AMF$1,'Renta Mixta Conservador'!$B$35:$C$53,2,FALSE),0%)</f>
        <v>0</v>
      </c>
      <c r="AMG8" s="5">
        <f>IFERROR(VLOOKUP(AMG$1,'Renta Mixta Conservador'!$B$35:$C$53,2,FALSE),0%)</f>
        <v>0</v>
      </c>
      <c r="AMH8" s="5">
        <f>IFERROR(VLOOKUP(AMH$1,'Renta Mixta Conservador'!$B$35:$C$53,2,FALSE),0%)</f>
        <v>0</v>
      </c>
      <c r="AMI8" s="5">
        <f>IFERROR(VLOOKUP(AMI$1,'Renta Mixta Conservador'!$B$35:$C$53,2,FALSE),0%)</f>
        <v>0</v>
      </c>
      <c r="AMJ8" s="5">
        <f>IFERROR(VLOOKUP(AMJ$1,'Renta Mixta Conservador'!$B$35:$C$53,2,FALSE),0%)</f>
        <v>0</v>
      </c>
      <c r="AMK8" s="5">
        <f>IFERROR(VLOOKUP(AMK$1,'Renta Mixta Conservador'!$B$35:$C$53,2,FALSE),0%)</f>
        <v>0</v>
      </c>
      <c r="AML8" s="5">
        <f>IFERROR(VLOOKUP(AML$1,'Renta Mixta Conservador'!$B$35:$C$53,2,FALSE),0%)</f>
        <v>0</v>
      </c>
      <c r="AMM8" s="5">
        <f>IFERROR(VLOOKUP(AMM$1,'Renta Mixta Conservador'!$B$35:$C$53,2,FALSE),0%)</f>
        <v>0</v>
      </c>
      <c r="AMN8" s="5">
        <f>IFERROR(VLOOKUP(AMN$1,'Renta Mixta Conservador'!$B$35:$C$53,2,FALSE),0%)</f>
        <v>0</v>
      </c>
      <c r="AMO8" s="5">
        <f>IFERROR(VLOOKUP(AMO$1,'Renta Mixta Conservador'!$B$35:$C$53,2,FALSE),0%)</f>
        <v>0</v>
      </c>
      <c r="AMP8" s="5">
        <f>IFERROR(VLOOKUP(AMP$1,'Renta Mixta Conservador'!$B$35:$C$53,2,FALSE),0%)</f>
        <v>0</v>
      </c>
      <c r="AMQ8" s="5">
        <f>IFERROR(VLOOKUP(AMQ$1,'Renta Mixta Conservador'!$B$35:$C$53,2,FALSE),0%)</f>
        <v>0</v>
      </c>
      <c r="AMR8" s="5">
        <f>IFERROR(VLOOKUP(AMR$1,'Renta Mixta Conservador'!$B$35:$C$53,2,FALSE),0%)</f>
        <v>0</v>
      </c>
      <c r="AMS8" s="5">
        <f>IFERROR(VLOOKUP(AMS$1,'Renta Mixta Conservador'!$B$35:$C$53,2,FALSE),0%)</f>
        <v>0</v>
      </c>
      <c r="AMT8" s="5">
        <f>IFERROR(VLOOKUP(AMT$1,'Renta Mixta Conservador'!$B$35:$C$53,2,FALSE),0%)</f>
        <v>0</v>
      </c>
      <c r="AMU8" s="5">
        <f>IFERROR(VLOOKUP(AMU$1,'Renta Mixta Conservador'!$B$35:$C$53,2,FALSE),0%)</f>
        <v>0</v>
      </c>
      <c r="AMV8" s="5">
        <f>IFERROR(VLOOKUP(AMV$1,'Renta Mixta Conservador'!$B$35:$C$53,2,FALSE),0%)</f>
        <v>0</v>
      </c>
      <c r="AMW8" s="5">
        <f>IFERROR(VLOOKUP(AMW$1,'Renta Mixta Conservador'!$B$35:$C$53,2,FALSE),0%)</f>
        <v>0</v>
      </c>
      <c r="AMX8" s="5">
        <f>IFERROR(VLOOKUP(AMX$1,'Renta Mixta Conservador'!$B$35:$C$53,2,FALSE),0%)</f>
        <v>0</v>
      </c>
      <c r="AMY8" s="5">
        <f>IFERROR(VLOOKUP(AMY$1,'Renta Mixta Conservador'!$B$35:$C$53,2,FALSE),0%)</f>
        <v>0</v>
      </c>
      <c r="AMZ8" s="5">
        <f>IFERROR(VLOOKUP(AMZ$1,'Renta Mixta Conservador'!$B$35:$C$53,2,FALSE),0%)</f>
        <v>0</v>
      </c>
      <c r="ANA8" s="5">
        <f>IFERROR(VLOOKUP(ANA$1,'Renta Mixta Conservador'!$B$35:$C$53,2,FALSE),0%)</f>
        <v>0</v>
      </c>
      <c r="ANB8" s="5">
        <f>IFERROR(VLOOKUP(ANB$1,'Renta Mixta Conservador'!$B$35:$C$53,2,FALSE),0%)</f>
        <v>0</v>
      </c>
      <c r="ANC8" s="5">
        <f>IFERROR(VLOOKUP(ANC$1,'Renta Mixta Conservador'!$B$35:$C$53,2,FALSE),0%)</f>
        <v>0</v>
      </c>
      <c r="AND8" s="5">
        <f>IFERROR(VLOOKUP(AND$1,'Renta Mixta Conservador'!$B$35:$C$53,2,FALSE),0%)</f>
        <v>0</v>
      </c>
      <c r="ANE8" s="5">
        <f>IFERROR(VLOOKUP(ANE$1,'Renta Mixta Conservador'!$B$35:$C$53,2,FALSE),0%)</f>
        <v>0</v>
      </c>
      <c r="ANF8" s="5">
        <f>IFERROR(VLOOKUP(ANF$1,'Renta Mixta Conservador'!$B$35:$C$53,2,FALSE),0%)</f>
        <v>0</v>
      </c>
      <c r="ANG8" s="5">
        <f>IFERROR(VLOOKUP(ANG$1,'Renta Mixta Conservador'!$B$35:$C$53,2,FALSE),0%)</f>
        <v>0</v>
      </c>
      <c r="ANH8" s="5">
        <f>IFERROR(VLOOKUP(ANH$1,'Renta Mixta Conservador'!$B$35:$C$53,2,FALSE),0%)</f>
        <v>0</v>
      </c>
      <c r="ANI8" s="5">
        <f>IFERROR(VLOOKUP(ANI$1,'Renta Mixta Conservador'!$B$35:$C$53,2,FALSE),0%)</f>
        <v>0</v>
      </c>
      <c r="ANJ8" s="5">
        <f>IFERROR(VLOOKUP(ANJ$1,'Renta Mixta Conservador'!$B$35:$C$53,2,FALSE),0%)</f>
        <v>0</v>
      </c>
      <c r="ANK8" s="5">
        <f>IFERROR(VLOOKUP(ANK$1,'Renta Mixta Conservador'!$B$35:$C$53,2,FALSE),0%)</f>
        <v>0</v>
      </c>
      <c r="ANL8" s="5">
        <f>IFERROR(VLOOKUP(ANL$1,'Renta Mixta Conservador'!$B$35:$C$53,2,FALSE),0%)</f>
        <v>0</v>
      </c>
      <c r="ANM8" s="5">
        <f>IFERROR(VLOOKUP(ANM$1,'Renta Mixta Conservador'!$B$35:$C$53,2,FALSE),0%)</f>
        <v>0</v>
      </c>
      <c r="ANN8" s="5">
        <f>IFERROR(VLOOKUP(ANN$1,'Renta Mixta Conservador'!$B$35:$C$53,2,FALSE),0%)</f>
        <v>0</v>
      </c>
      <c r="ANO8" s="5">
        <f>IFERROR(VLOOKUP(ANO$1,'Renta Mixta Conservador'!$B$35:$C$53,2,FALSE),0%)</f>
        <v>0</v>
      </c>
      <c r="ANP8" s="5">
        <f>IFERROR(VLOOKUP(ANP$1,'Renta Mixta Conservador'!$B$35:$C$53,2,FALSE),0%)</f>
        <v>0</v>
      </c>
      <c r="ANQ8" s="5">
        <f>IFERROR(VLOOKUP(ANQ$1,'Renta Mixta Conservador'!$B$35:$C$53,2,FALSE),0%)</f>
        <v>0</v>
      </c>
      <c r="ANR8" s="5">
        <f>IFERROR(VLOOKUP(ANR$1,'Renta Mixta Conservador'!$B$35:$C$53,2,FALSE),0%)</f>
        <v>0</v>
      </c>
      <c r="ANS8" s="5">
        <f>IFERROR(VLOOKUP(ANS$1,'Renta Mixta Conservador'!$B$35:$C$53,2,FALSE),0%)</f>
        <v>0</v>
      </c>
      <c r="ANT8" s="5">
        <f>IFERROR(VLOOKUP(ANT$1,'Renta Mixta Conservador'!$B$35:$C$53,2,FALSE),0%)</f>
        <v>0</v>
      </c>
      <c r="ANU8" s="5">
        <f>IFERROR(VLOOKUP(ANU$1,'Renta Mixta Conservador'!$B$35:$C$53,2,FALSE),0%)</f>
        <v>0</v>
      </c>
      <c r="ANV8" s="5">
        <f>IFERROR(VLOOKUP(ANV$1,'Renta Mixta Conservador'!$B$35:$C$53,2,FALSE),0%)</f>
        <v>0</v>
      </c>
      <c r="ANW8" s="5">
        <f>IFERROR(VLOOKUP(ANW$1,'Renta Mixta Conservador'!$B$35:$C$53,2,FALSE),0%)</f>
        <v>0</v>
      </c>
      <c r="ANX8" s="5">
        <f>IFERROR(VLOOKUP(ANX$1,'Renta Mixta Conservador'!$B$35:$C$53,2,FALSE),0%)</f>
        <v>0</v>
      </c>
      <c r="ANY8" s="5">
        <f>IFERROR(VLOOKUP(ANY$1,'Renta Mixta Conservador'!$B$35:$C$53,2,FALSE),0%)</f>
        <v>0</v>
      </c>
      <c r="ANZ8" s="5">
        <f>IFERROR(VLOOKUP(ANZ$1,'Renta Mixta Conservador'!$B$35:$C$53,2,FALSE),0%)</f>
        <v>0</v>
      </c>
      <c r="AOA8" s="5">
        <f>IFERROR(VLOOKUP(AOA$1,'Renta Mixta Conservador'!$B$35:$C$53,2,FALSE),0%)</f>
        <v>0</v>
      </c>
      <c r="AOB8" s="5">
        <f>IFERROR(VLOOKUP(AOB$1,'Renta Mixta Conservador'!$B$35:$C$53,2,FALSE),0%)</f>
        <v>0</v>
      </c>
      <c r="AOC8" s="5">
        <f>IFERROR(VLOOKUP(AOC$1,'Renta Mixta Conservador'!$B$35:$C$53,2,FALSE),0%)</f>
        <v>0</v>
      </c>
      <c r="AOD8" s="5">
        <f>IFERROR(VLOOKUP(AOD$1,'Renta Mixta Conservador'!$B$35:$C$53,2,FALSE),0%)</f>
        <v>0</v>
      </c>
      <c r="AOE8" s="5">
        <f>IFERROR(VLOOKUP(AOE$1,'Renta Mixta Conservador'!$B$35:$C$53,2,FALSE),0%)</f>
        <v>0</v>
      </c>
      <c r="AOF8" s="5">
        <f>IFERROR(VLOOKUP(AOF$1,'Renta Mixta Conservador'!$B$35:$C$53,2,FALSE),0%)</f>
        <v>0</v>
      </c>
      <c r="AOG8" s="5">
        <f>IFERROR(VLOOKUP(AOG$1,'Renta Mixta Conservador'!$B$35:$C$53,2,FALSE),0%)</f>
        <v>0</v>
      </c>
      <c r="AOH8" s="5">
        <f>IFERROR(VLOOKUP(AOH$1,'Renta Mixta Conservador'!$B$35:$C$53,2,FALSE),0%)</f>
        <v>0</v>
      </c>
      <c r="AOI8" s="5">
        <f>IFERROR(VLOOKUP(AOI$1,'Renta Mixta Conservador'!$B$35:$C$53,2,FALSE),0%)</f>
        <v>0</v>
      </c>
      <c r="AOJ8" s="5">
        <f>IFERROR(VLOOKUP(AOJ$1,'Renta Mixta Conservador'!$B$35:$C$53,2,FALSE),0%)</f>
        <v>0</v>
      </c>
      <c r="AOK8" s="5">
        <f>IFERROR(VLOOKUP(AOK$1,'Renta Mixta Conservador'!$B$35:$C$53,2,FALSE),0%)</f>
        <v>0</v>
      </c>
      <c r="AOL8" s="5">
        <f>IFERROR(VLOOKUP(AOL$1,'Renta Mixta Conservador'!$B$35:$C$53,2,FALSE),0%)</f>
        <v>0</v>
      </c>
      <c r="AOM8" s="5">
        <f>IFERROR(VLOOKUP(AOM$1,'Renta Mixta Conservador'!$B$35:$C$53,2,FALSE),0%)</f>
        <v>0</v>
      </c>
      <c r="AON8" s="5">
        <f>IFERROR(VLOOKUP(AON$1,'Renta Mixta Conservador'!$B$35:$C$53,2,FALSE),0%)</f>
        <v>0</v>
      </c>
      <c r="AOO8" s="5">
        <f>IFERROR(VLOOKUP(AOO$1,'Renta Mixta Conservador'!$B$35:$C$53,2,FALSE),0%)</f>
        <v>0</v>
      </c>
      <c r="AOP8" s="5">
        <f>IFERROR(VLOOKUP(AOP$1,'Renta Mixta Conservador'!$B$35:$C$53,2,FALSE),0%)</f>
        <v>0</v>
      </c>
      <c r="AOQ8" s="5">
        <f>IFERROR(VLOOKUP(AOQ$1,'Renta Mixta Conservador'!$B$35:$C$53,2,FALSE),0%)</f>
        <v>0</v>
      </c>
      <c r="AOR8" s="5">
        <f>IFERROR(VLOOKUP(AOR$1,'Renta Mixta Conservador'!$B$35:$C$53,2,FALSE),0%)</f>
        <v>0</v>
      </c>
      <c r="AOS8" s="5">
        <f>IFERROR(VLOOKUP(AOS$1,'Renta Mixta Conservador'!$B$35:$C$53,2,FALSE),0%)</f>
        <v>0</v>
      </c>
      <c r="AOT8" s="5">
        <f>IFERROR(VLOOKUP(AOT$1,'Renta Mixta Conservador'!$B$35:$C$53,2,FALSE),0%)</f>
        <v>0</v>
      </c>
      <c r="AOU8" s="5">
        <f>IFERROR(VLOOKUP(AOU$1,'Renta Mixta Conservador'!$B$35:$C$53,2,FALSE),0%)</f>
        <v>0</v>
      </c>
      <c r="AOV8" s="5">
        <f>IFERROR(VLOOKUP(AOV$1,'Renta Mixta Conservador'!$B$35:$C$53,2,FALSE),0%)</f>
        <v>0</v>
      </c>
      <c r="AOW8" s="5">
        <f>IFERROR(VLOOKUP(AOW$1,'Renta Mixta Conservador'!$B$35:$C$53,2,FALSE),0%)</f>
        <v>0</v>
      </c>
      <c r="AOX8" s="5">
        <f>IFERROR(VLOOKUP(AOX$1,'Renta Mixta Conservador'!$B$35:$C$53,2,FALSE),0%)</f>
        <v>0</v>
      </c>
      <c r="AOY8" s="5">
        <f>IFERROR(VLOOKUP(AOY$1,'Renta Mixta Conservador'!$B$35:$C$53,2,FALSE),0%)</f>
        <v>0</v>
      </c>
      <c r="AOZ8" s="5">
        <f>IFERROR(VLOOKUP(AOZ$1,'Renta Mixta Conservador'!$B$35:$C$53,2,FALSE),0%)</f>
        <v>0</v>
      </c>
      <c r="APA8" s="5">
        <f>IFERROR(VLOOKUP(APA$1,'Renta Mixta Conservador'!$B$35:$C$53,2,FALSE),0%)</f>
        <v>0</v>
      </c>
      <c r="APB8" s="5">
        <f>IFERROR(VLOOKUP(APB$1,'Renta Mixta Conservador'!$B$35:$C$53,2,FALSE),0%)</f>
        <v>0</v>
      </c>
      <c r="APC8" s="5">
        <f>IFERROR(VLOOKUP(APC$1,'Renta Mixta Conservador'!$B$35:$C$53,2,FALSE),0%)</f>
        <v>0</v>
      </c>
      <c r="APD8" s="5">
        <f>IFERROR(VLOOKUP(APD$1,'Renta Mixta Conservador'!$B$35:$C$53,2,FALSE),0%)</f>
        <v>0</v>
      </c>
      <c r="APE8" s="5">
        <f>IFERROR(VLOOKUP(APE$1,'Renta Mixta Conservador'!$B$35:$C$53,2,FALSE),0%)</f>
        <v>0</v>
      </c>
      <c r="APF8" s="5">
        <f>IFERROR(VLOOKUP(APF$1,'Renta Mixta Conservador'!$B$35:$C$53,2,FALSE),0%)</f>
        <v>0</v>
      </c>
      <c r="APG8" s="5">
        <f>IFERROR(VLOOKUP(APG$1,'Renta Mixta Conservador'!$B$35:$C$53,2,FALSE),0%)</f>
        <v>0</v>
      </c>
      <c r="APH8" s="5">
        <f>IFERROR(VLOOKUP(APH$1,'Renta Mixta Conservador'!$B$35:$C$53,2,FALSE),0%)</f>
        <v>0</v>
      </c>
      <c r="API8" s="5">
        <f>IFERROR(VLOOKUP(API$1,'Renta Mixta Conservador'!$B$35:$C$53,2,FALSE),0%)</f>
        <v>0</v>
      </c>
      <c r="APJ8" s="5">
        <f>IFERROR(VLOOKUP(APJ$1,'Renta Mixta Conservador'!$B$35:$C$53,2,FALSE),0%)</f>
        <v>0</v>
      </c>
      <c r="APK8" s="5">
        <f>IFERROR(VLOOKUP(APK$1,'Renta Mixta Conservador'!$B$35:$C$53,2,FALSE),0%)</f>
        <v>0</v>
      </c>
      <c r="APL8" s="5">
        <f>IFERROR(VLOOKUP(APL$1,'Renta Mixta Conservador'!$B$35:$C$53,2,FALSE),0%)</f>
        <v>0</v>
      </c>
      <c r="APM8" s="5">
        <f>IFERROR(VLOOKUP(APM$1,'Renta Mixta Conservador'!$B$35:$C$53,2,FALSE),0%)</f>
        <v>0</v>
      </c>
      <c r="APN8" s="5">
        <f>IFERROR(VLOOKUP(APN$1,'Renta Mixta Conservador'!$B$35:$C$53,2,FALSE),0%)</f>
        <v>0</v>
      </c>
      <c r="APO8" s="5">
        <f>IFERROR(VLOOKUP(APO$1,'Renta Mixta Conservador'!$B$35:$C$53,2,FALSE),0%)</f>
        <v>0</v>
      </c>
      <c r="APP8" s="5">
        <f>IFERROR(VLOOKUP(APP$1,'Renta Mixta Conservador'!$B$35:$C$53,2,FALSE),0%)</f>
        <v>0</v>
      </c>
      <c r="APQ8" s="5">
        <f>IFERROR(VLOOKUP(APQ$1,'Renta Mixta Conservador'!$B$35:$C$53,2,FALSE),0%)</f>
        <v>0</v>
      </c>
      <c r="APR8" s="5">
        <f>IFERROR(VLOOKUP(APR$1,'Renta Mixta Conservador'!$B$35:$C$53,2,FALSE),0%)</f>
        <v>0</v>
      </c>
      <c r="APS8" s="5">
        <f>IFERROR(VLOOKUP(APS$1,'Renta Mixta Conservador'!$B$35:$C$53,2,FALSE),0%)</f>
        <v>0</v>
      </c>
      <c r="APT8" s="5">
        <f>IFERROR(VLOOKUP(APT$1,'Renta Mixta Conservador'!$B$35:$C$53,2,FALSE),0%)</f>
        <v>0</v>
      </c>
      <c r="APU8" s="5">
        <f>IFERROR(VLOOKUP(APU$1,'Renta Mixta Conservador'!$B$35:$C$53,2,FALSE),0%)</f>
        <v>0</v>
      </c>
      <c r="APV8" s="5">
        <f>IFERROR(VLOOKUP(APV$1,'Renta Mixta Conservador'!$B$35:$C$53,2,FALSE),0%)</f>
        <v>0</v>
      </c>
      <c r="APW8" s="5">
        <f>IFERROR(VLOOKUP(APW$1,'Renta Mixta Conservador'!$B$35:$C$53,2,FALSE),0%)</f>
        <v>0</v>
      </c>
      <c r="APX8" s="5">
        <f>IFERROR(VLOOKUP(APX$1,'Renta Mixta Conservador'!$B$35:$C$53,2,FALSE),0%)</f>
        <v>0</v>
      </c>
      <c r="APY8" s="5">
        <f>IFERROR(VLOOKUP(APY$1,'Renta Mixta Conservador'!$B$35:$C$53,2,FALSE),0%)</f>
        <v>0</v>
      </c>
      <c r="APZ8" s="5">
        <f>IFERROR(VLOOKUP(APZ$1,'Renta Mixta Conservador'!$B$35:$C$53,2,FALSE),0%)</f>
        <v>0</v>
      </c>
      <c r="AQA8" s="5">
        <f>IFERROR(VLOOKUP(AQA$1,'Renta Mixta Conservador'!$B$35:$C$53,2,FALSE),0%)</f>
        <v>0</v>
      </c>
      <c r="AQB8" s="5">
        <f>IFERROR(VLOOKUP(AQB$1,'Renta Mixta Conservador'!$B$35:$C$53,2,FALSE),0%)</f>
        <v>0</v>
      </c>
      <c r="AQC8" s="5">
        <f>IFERROR(VLOOKUP(AQC$1,'Renta Mixta Conservador'!$B$35:$C$53,2,FALSE),0%)</f>
        <v>0</v>
      </c>
      <c r="AQD8" s="5">
        <f>IFERROR(VLOOKUP(AQD$1,'Renta Mixta Conservador'!$B$35:$C$53,2,FALSE),0%)</f>
        <v>0</v>
      </c>
      <c r="AQE8" s="5">
        <f>IFERROR(VLOOKUP(AQE$1,'Renta Mixta Conservador'!$B$35:$C$53,2,FALSE),0%)</f>
        <v>0</v>
      </c>
      <c r="AQF8" s="5">
        <f>IFERROR(VLOOKUP(AQF$1,'Renta Mixta Conservador'!$B$35:$C$53,2,FALSE),0%)</f>
        <v>0</v>
      </c>
      <c r="AQG8" s="5">
        <f>IFERROR(VLOOKUP(AQG$1,'Renta Mixta Conservador'!$B$35:$C$53,2,FALSE),0%)</f>
        <v>0</v>
      </c>
      <c r="AQH8" s="5">
        <f>IFERROR(VLOOKUP(AQH$1,'Renta Mixta Conservador'!$B$35:$C$53,2,FALSE),0%)</f>
        <v>0</v>
      </c>
      <c r="AQI8" s="5">
        <f>IFERROR(VLOOKUP(AQI$1,'Renta Mixta Conservador'!$B$35:$C$53,2,FALSE),0%)</f>
        <v>0</v>
      </c>
      <c r="AQJ8" s="5">
        <f>IFERROR(VLOOKUP(AQJ$1,'Renta Mixta Conservador'!$B$35:$C$53,2,FALSE),0%)</f>
        <v>0</v>
      </c>
      <c r="AQK8" s="5">
        <f>IFERROR(VLOOKUP(AQK$1,'Renta Mixta Conservador'!$B$35:$C$53,2,FALSE),0%)</f>
        <v>0</v>
      </c>
      <c r="AQL8" s="5">
        <f>IFERROR(VLOOKUP(AQL$1,'Renta Mixta Conservador'!$B$35:$C$53,2,FALSE),0%)</f>
        <v>0</v>
      </c>
      <c r="AQM8" s="5">
        <f>IFERROR(VLOOKUP(AQM$1,'Renta Mixta Conservador'!$B$35:$C$53,2,FALSE),0%)</f>
        <v>0</v>
      </c>
      <c r="AQN8" s="5">
        <f>IFERROR(VLOOKUP(AQN$1,'Renta Mixta Conservador'!$B$35:$C$53,2,FALSE),0%)</f>
        <v>0</v>
      </c>
      <c r="AQO8" s="5">
        <f>IFERROR(VLOOKUP(AQO$1,'Renta Mixta Conservador'!$B$35:$C$53,2,FALSE),0%)</f>
        <v>0</v>
      </c>
      <c r="AQP8" s="5">
        <f>IFERROR(VLOOKUP(AQP$1,'Renta Mixta Conservador'!$B$35:$C$53,2,FALSE),0%)</f>
        <v>0</v>
      </c>
      <c r="AQQ8" s="5">
        <f>IFERROR(VLOOKUP(AQQ$1,'Renta Mixta Conservador'!$B$35:$C$53,2,FALSE),0%)</f>
        <v>0</v>
      </c>
      <c r="AQR8" s="5">
        <f>IFERROR(VLOOKUP(AQR$1,'Renta Mixta Conservador'!$B$35:$C$53,2,FALSE),0%)</f>
        <v>0</v>
      </c>
      <c r="AQS8" s="5">
        <f>IFERROR(VLOOKUP(AQS$1,'Renta Mixta Conservador'!$B$35:$C$53,2,FALSE),0%)</f>
        <v>0</v>
      </c>
      <c r="AQT8" s="5">
        <f>IFERROR(VLOOKUP(AQT$1,'Renta Mixta Conservador'!$B$35:$C$53,2,FALSE),0%)</f>
        <v>0</v>
      </c>
      <c r="AQU8" s="5">
        <f>IFERROR(VLOOKUP(AQU$1,'Renta Mixta Conservador'!$B$35:$C$53,2,FALSE),0%)</f>
        <v>0</v>
      </c>
      <c r="AQV8" s="5">
        <f>IFERROR(VLOOKUP(AQV$1,'Renta Mixta Conservador'!$B$35:$C$53,2,FALSE),0%)</f>
        <v>0</v>
      </c>
      <c r="AQW8" s="5">
        <f>IFERROR(VLOOKUP(AQW$1,'Renta Mixta Conservador'!$B$35:$C$53,2,FALSE),0%)</f>
        <v>0</v>
      </c>
      <c r="AQX8" s="5">
        <f>IFERROR(VLOOKUP(AQX$1,'Renta Mixta Conservador'!$B$35:$C$53,2,FALSE),0%)</f>
        <v>0</v>
      </c>
      <c r="AQY8" s="5">
        <f>IFERROR(VLOOKUP(AQY$1,'Renta Mixta Conservador'!$B$35:$C$53,2,FALSE),0%)</f>
        <v>0</v>
      </c>
      <c r="AQZ8" s="5">
        <f>IFERROR(VLOOKUP(AQZ$1,'Renta Mixta Conservador'!$B$35:$C$53,2,FALSE),0%)</f>
        <v>0</v>
      </c>
      <c r="ARA8" s="5">
        <f>IFERROR(VLOOKUP(ARA$1,'Renta Mixta Conservador'!$B$35:$C$53,2,FALSE),0%)</f>
        <v>0</v>
      </c>
      <c r="ARB8" s="5">
        <f>IFERROR(VLOOKUP(ARB$1,'Renta Mixta Conservador'!$B$35:$C$53,2,FALSE),0%)</f>
        <v>0</v>
      </c>
      <c r="ARC8" s="5">
        <f>IFERROR(VLOOKUP(ARC$1,'Renta Mixta Conservador'!$B$35:$C$53,2,FALSE),0%)</f>
        <v>0</v>
      </c>
      <c r="ARD8" s="5">
        <f>IFERROR(VLOOKUP(ARD$1,'Renta Mixta Conservador'!$B$35:$C$53,2,FALSE),0%)</f>
        <v>0</v>
      </c>
      <c r="ARE8" s="5">
        <f>IFERROR(VLOOKUP(ARE$1,'Renta Mixta Conservador'!$B$35:$C$53,2,FALSE),0%)</f>
        <v>0</v>
      </c>
      <c r="ARF8" s="5">
        <f>IFERROR(VLOOKUP(ARF$1,'Renta Mixta Conservador'!$B$35:$C$53,2,FALSE),0%)</f>
        <v>0</v>
      </c>
      <c r="ARG8" s="5">
        <f>IFERROR(VLOOKUP(ARG$1,'Renta Mixta Conservador'!$B$35:$C$53,2,FALSE),0%)</f>
        <v>0</v>
      </c>
      <c r="ARH8" s="5">
        <f>IFERROR(VLOOKUP(ARH$1,'Renta Mixta Conservador'!$B$35:$C$53,2,FALSE),0%)</f>
        <v>0</v>
      </c>
      <c r="ARI8" s="5">
        <f>IFERROR(VLOOKUP(ARI$1,'Renta Mixta Conservador'!$B$35:$C$53,2,FALSE),0%)</f>
        <v>0</v>
      </c>
      <c r="ARJ8" s="5">
        <f>IFERROR(VLOOKUP(ARJ$1,'Renta Mixta Conservador'!$B$35:$C$53,2,FALSE),0%)</f>
        <v>0</v>
      </c>
      <c r="ARK8" s="5">
        <f>IFERROR(VLOOKUP(ARK$1,'Renta Mixta Conservador'!$B$35:$C$53,2,FALSE),0%)</f>
        <v>0</v>
      </c>
      <c r="ARL8" s="5">
        <f>IFERROR(VLOOKUP(ARL$1,'Renta Mixta Conservador'!$B$35:$C$53,2,FALSE),0%)</f>
        <v>0</v>
      </c>
      <c r="ARM8" s="5">
        <f>IFERROR(VLOOKUP(ARM$1,'Renta Mixta Conservador'!$B$35:$C$53,2,FALSE),0%)</f>
        <v>0</v>
      </c>
      <c r="ARN8" s="5">
        <f>IFERROR(VLOOKUP(ARN$1,'Renta Mixta Conservador'!$B$35:$C$53,2,FALSE),0%)</f>
        <v>0</v>
      </c>
      <c r="ARO8" s="5">
        <f>IFERROR(VLOOKUP(ARO$1,'Renta Mixta Conservador'!$B$35:$C$53,2,FALSE),0%)</f>
        <v>0</v>
      </c>
      <c r="ARP8" s="5">
        <f>IFERROR(VLOOKUP(ARP$1,'Renta Mixta Conservador'!$B$35:$C$53,2,FALSE),0%)</f>
        <v>0</v>
      </c>
      <c r="ARQ8" s="5">
        <f>IFERROR(VLOOKUP(ARQ$1,'Renta Mixta Conservador'!$B$35:$C$53,2,FALSE),0%)</f>
        <v>0</v>
      </c>
      <c r="ARR8" s="5">
        <f>IFERROR(VLOOKUP(ARR$1,'Renta Mixta Conservador'!$B$35:$C$53,2,FALSE),0%)</f>
        <v>0</v>
      </c>
      <c r="ARS8" s="5">
        <f>IFERROR(VLOOKUP(ARS$1,'Renta Mixta Conservador'!$B$35:$C$53,2,FALSE),0%)</f>
        <v>0</v>
      </c>
      <c r="ART8" s="5">
        <f>IFERROR(VLOOKUP(ART$1,'Renta Mixta Conservador'!$B$35:$C$53,2,FALSE),0%)</f>
        <v>0</v>
      </c>
      <c r="ARU8" s="5">
        <f>IFERROR(VLOOKUP(ARU$1,'Renta Mixta Conservador'!$B$35:$C$53,2,FALSE),0%)</f>
        <v>0</v>
      </c>
      <c r="ARV8" s="5">
        <f>IFERROR(VLOOKUP(ARV$1,'Renta Mixta Conservador'!$B$35:$C$53,2,FALSE),0%)</f>
        <v>0</v>
      </c>
      <c r="ARW8" s="5">
        <f>IFERROR(VLOOKUP(ARW$1,'Renta Mixta Conservador'!$B$35:$C$53,2,FALSE),0%)</f>
        <v>0</v>
      </c>
      <c r="ARX8" s="5">
        <f>IFERROR(VLOOKUP(ARX$1,'Renta Mixta Conservador'!$B$35:$C$53,2,FALSE),0%)</f>
        <v>0</v>
      </c>
      <c r="ARY8" s="5">
        <f>IFERROR(VLOOKUP(ARY$1,'Renta Mixta Conservador'!$B$35:$C$53,2,FALSE),0%)</f>
        <v>0</v>
      </c>
      <c r="ARZ8" s="5">
        <f>IFERROR(VLOOKUP(ARZ$1,'Renta Mixta Conservador'!$B$35:$C$53,2,FALSE),0%)</f>
        <v>0</v>
      </c>
      <c r="ASA8" s="5">
        <f>IFERROR(VLOOKUP(ASA$1,'Renta Mixta Conservador'!$B$35:$C$53,2,FALSE),0%)</f>
        <v>0</v>
      </c>
      <c r="ASB8" s="5">
        <f>IFERROR(VLOOKUP(ASB$1,'Renta Mixta Conservador'!$B$35:$C$53,2,FALSE),0%)</f>
        <v>0</v>
      </c>
      <c r="ASC8" s="5">
        <f>IFERROR(VLOOKUP(ASC$1,'Renta Mixta Conservador'!$B$35:$C$53,2,FALSE),0%)</f>
        <v>0</v>
      </c>
      <c r="ASD8" s="5">
        <f>IFERROR(VLOOKUP(ASD$1,'Renta Mixta Conservador'!$B$35:$C$53,2,FALSE),0%)</f>
        <v>0</v>
      </c>
      <c r="ASE8" s="5">
        <f>IFERROR(VLOOKUP(ASE$1,'Renta Mixta Conservador'!$B$35:$C$53,2,FALSE),0%)</f>
        <v>0</v>
      </c>
      <c r="ASF8" s="5">
        <f>IFERROR(VLOOKUP(ASF$1,'Renta Mixta Conservador'!$B$35:$C$53,2,FALSE),0%)</f>
        <v>0</v>
      </c>
      <c r="ASG8" s="5">
        <f>IFERROR(VLOOKUP(ASG$1,'Renta Mixta Conservador'!$B$35:$C$53,2,FALSE),0%)</f>
        <v>0</v>
      </c>
      <c r="ASH8" s="5">
        <f>IFERROR(VLOOKUP(ASH$1,'Renta Mixta Conservador'!$B$35:$C$53,2,FALSE),0%)</f>
        <v>0</v>
      </c>
      <c r="ASI8" s="5">
        <f>IFERROR(VLOOKUP(ASI$1,'Renta Mixta Conservador'!$B$35:$C$53,2,FALSE),0%)</f>
        <v>0</v>
      </c>
      <c r="ASJ8" s="5">
        <f>IFERROR(VLOOKUP(ASJ$1,'Renta Mixta Conservador'!$B$35:$C$53,2,FALSE),0%)</f>
        <v>0</v>
      </c>
      <c r="ASK8" s="5">
        <f>IFERROR(VLOOKUP(ASK$1,'Renta Mixta Conservador'!$B$35:$C$53,2,FALSE),0%)</f>
        <v>0</v>
      </c>
      <c r="ASL8" s="5">
        <f>IFERROR(VLOOKUP(ASL$1,'Renta Mixta Conservador'!$B$35:$C$53,2,FALSE),0%)</f>
        <v>0</v>
      </c>
      <c r="ASM8" s="5">
        <f>IFERROR(VLOOKUP(ASM$1,'Renta Mixta Conservador'!$B$35:$C$53,2,FALSE),0%)</f>
        <v>0</v>
      </c>
      <c r="ASN8" s="5">
        <f>IFERROR(VLOOKUP(ASN$1,'Renta Mixta Conservador'!$B$35:$C$53,2,FALSE),0%)</f>
        <v>0</v>
      </c>
      <c r="ASO8" s="5">
        <f>IFERROR(VLOOKUP(ASO$1,'Renta Mixta Conservador'!$B$35:$C$53,2,FALSE),0%)</f>
        <v>0</v>
      </c>
      <c r="ASP8" s="5">
        <f>IFERROR(VLOOKUP(ASP$1,'Renta Mixta Conservador'!$B$35:$C$53,2,FALSE),0%)</f>
        <v>0</v>
      </c>
      <c r="ASQ8" s="5">
        <f>IFERROR(VLOOKUP(ASQ$1,'Renta Mixta Conservador'!$B$35:$C$53,2,FALSE),0%)</f>
        <v>0</v>
      </c>
      <c r="ASR8" s="5">
        <f>IFERROR(VLOOKUP(ASR$1,'Renta Mixta Conservador'!$B$35:$C$53,2,FALSE),0%)</f>
        <v>0</v>
      </c>
      <c r="ASS8" s="5">
        <f>IFERROR(VLOOKUP(ASS$1,'Renta Mixta Conservador'!$B$35:$C$53,2,FALSE),0%)</f>
        <v>0</v>
      </c>
      <c r="AST8" s="5">
        <f>IFERROR(VLOOKUP(AST$1,'Renta Mixta Conservador'!$B$35:$C$53,2,FALSE),0%)</f>
        <v>0</v>
      </c>
      <c r="ASU8" s="5">
        <f>IFERROR(VLOOKUP(ASU$1,'Renta Mixta Conservador'!$B$35:$C$53,2,FALSE),0%)</f>
        <v>0</v>
      </c>
      <c r="ASV8" s="5">
        <f>IFERROR(VLOOKUP(ASV$1,'Renta Mixta Conservador'!$B$35:$C$53,2,FALSE),0%)</f>
        <v>0</v>
      </c>
      <c r="ASW8" s="5">
        <f>IFERROR(VLOOKUP(ASW$1,'Renta Mixta Conservador'!$B$35:$C$53,2,FALSE),0%)</f>
        <v>0</v>
      </c>
      <c r="ASX8" s="5">
        <f>IFERROR(VLOOKUP(ASX$1,'Renta Mixta Conservador'!$B$35:$C$53,2,FALSE),0%)</f>
        <v>0</v>
      </c>
      <c r="ASY8" s="5">
        <f>IFERROR(VLOOKUP(ASY$1,'Renta Mixta Conservador'!$B$35:$C$53,2,FALSE),0%)</f>
        <v>0</v>
      </c>
      <c r="ASZ8" s="5">
        <f>IFERROR(VLOOKUP(ASZ$1,'Renta Mixta Conservador'!$B$35:$C$53,2,FALSE),0%)</f>
        <v>0</v>
      </c>
      <c r="ATA8" s="5">
        <f>IFERROR(VLOOKUP(ATA$1,'Renta Mixta Conservador'!$B$35:$C$53,2,FALSE),0%)</f>
        <v>0</v>
      </c>
      <c r="ATB8" s="5">
        <f>IFERROR(VLOOKUP(ATB$1,'Renta Mixta Conservador'!$B$35:$C$53,2,FALSE),0%)</f>
        <v>0</v>
      </c>
      <c r="ATC8" s="5">
        <f>IFERROR(VLOOKUP(ATC$1,'Renta Mixta Conservador'!$B$35:$C$53,2,FALSE),0%)</f>
        <v>0</v>
      </c>
      <c r="ATD8" s="5">
        <f>IFERROR(VLOOKUP(ATD$1,'Renta Mixta Conservador'!$B$35:$C$53,2,FALSE),0%)</f>
        <v>0</v>
      </c>
      <c r="ATE8" s="5">
        <f>IFERROR(VLOOKUP(ATE$1,'Renta Mixta Conservador'!$B$35:$C$53,2,FALSE),0%)</f>
        <v>0</v>
      </c>
      <c r="ATF8" s="5">
        <f>IFERROR(VLOOKUP(ATF$1,'Renta Mixta Conservador'!$B$35:$C$53,2,FALSE),0%)</f>
        <v>0</v>
      </c>
      <c r="ATG8" s="5">
        <f>IFERROR(VLOOKUP(ATG$1,'Renta Mixta Conservador'!$B$35:$C$53,2,FALSE),0%)</f>
        <v>0</v>
      </c>
      <c r="ATH8" s="5">
        <f>IFERROR(VLOOKUP(ATH$1,'Renta Mixta Conservador'!$B$35:$C$53,2,FALSE),0%)</f>
        <v>0</v>
      </c>
      <c r="ATI8" s="5">
        <f>IFERROR(VLOOKUP(ATI$1,'Renta Mixta Conservador'!$B$35:$C$53,2,FALSE),0%)</f>
        <v>0</v>
      </c>
      <c r="ATJ8" s="5">
        <f>IFERROR(VLOOKUP(ATJ$1,'Renta Mixta Conservador'!$B$35:$C$53,2,FALSE),0%)</f>
        <v>0</v>
      </c>
      <c r="ATK8" s="5">
        <f>IFERROR(VLOOKUP(ATK$1,'Renta Mixta Conservador'!$B$35:$C$53,2,FALSE),0%)</f>
        <v>0</v>
      </c>
      <c r="ATL8" s="5">
        <f>IFERROR(VLOOKUP(ATL$1,'Renta Mixta Conservador'!$B$35:$C$53,2,FALSE),0%)</f>
        <v>0</v>
      </c>
      <c r="ATM8" s="5">
        <f>IFERROR(VLOOKUP(ATM$1,'Renta Mixta Conservador'!$B$35:$C$53,2,FALSE),0%)</f>
        <v>0</v>
      </c>
      <c r="ATN8" s="5">
        <f>IFERROR(VLOOKUP(ATN$1,'Renta Mixta Conservador'!$B$35:$C$53,2,FALSE),0%)</f>
        <v>0</v>
      </c>
      <c r="ATO8" s="5">
        <f>IFERROR(VLOOKUP(ATO$1,'Renta Mixta Conservador'!$B$35:$C$53,2,FALSE),0%)</f>
        <v>0</v>
      </c>
      <c r="ATP8" s="5">
        <f>IFERROR(VLOOKUP(ATP$1,'Renta Mixta Conservador'!$B$35:$C$53,2,FALSE),0%)</f>
        <v>0</v>
      </c>
      <c r="ATQ8" s="5">
        <f>IFERROR(VLOOKUP(ATQ$1,'Renta Mixta Conservador'!$B$35:$C$53,2,FALSE),0%)</f>
        <v>0</v>
      </c>
      <c r="ATR8" s="5">
        <f>IFERROR(VLOOKUP(ATR$1,'Renta Mixta Conservador'!$B$35:$C$53,2,FALSE),0%)</f>
        <v>0</v>
      </c>
      <c r="ATS8" s="5">
        <f>IFERROR(VLOOKUP(ATS$1,'Renta Mixta Conservador'!$B$35:$C$53,2,FALSE),0%)</f>
        <v>0</v>
      </c>
      <c r="ATT8" s="5">
        <f>IFERROR(VLOOKUP(ATT$1,'Renta Mixta Conservador'!$B$35:$C$53,2,FALSE),0%)</f>
        <v>0</v>
      </c>
      <c r="ATU8" s="5">
        <f>IFERROR(VLOOKUP(ATU$1,'Renta Mixta Conservador'!$B$35:$C$53,2,FALSE),0%)</f>
        <v>0</v>
      </c>
      <c r="ATV8" s="5">
        <f>IFERROR(VLOOKUP(ATV$1,'Renta Mixta Conservador'!$B$35:$C$53,2,FALSE),0%)</f>
        <v>0</v>
      </c>
      <c r="ATW8" s="5">
        <f>IFERROR(VLOOKUP(ATW$1,'Renta Mixta Conservador'!$B$35:$C$53,2,FALSE),0%)</f>
        <v>0</v>
      </c>
      <c r="ATX8" s="5">
        <f>IFERROR(VLOOKUP(ATX$1,'Renta Mixta Conservador'!$B$35:$C$53,2,FALSE),0%)</f>
        <v>0</v>
      </c>
      <c r="ATY8" s="5">
        <f>IFERROR(VLOOKUP(ATY$1,'Renta Mixta Conservador'!$B$35:$C$53,2,FALSE),0%)</f>
        <v>0</v>
      </c>
      <c r="ATZ8" s="5">
        <f>IFERROR(VLOOKUP(ATZ$1,'Renta Mixta Conservador'!$B$35:$C$53,2,FALSE),0%)</f>
        <v>0</v>
      </c>
      <c r="AUA8" s="5">
        <f>IFERROR(VLOOKUP(AUA$1,'Renta Mixta Conservador'!$B$35:$C$53,2,FALSE),0%)</f>
        <v>0</v>
      </c>
      <c r="AUB8" s="5">
        <f>IFERROR(VLOOKUP(AUB$1,'Renta Mixta Conservador'!$B$35:$C$53,2,FALSE),0%)</f>
        <v>0</v>
      </c>
      <c r="AUC8" s="5">
        <f>IFERROR(VLOOKUP(AUC$1,'Renta Mixta Conservador'!$B$35:$C$53,2,FALSE),0%)</f>
        <v>0</v>
      </c>
      <c r="AUD8" s="5">
        <f>IFERROR(VLOOKUP(AUD$1,'Renta Mixta Conservador'!$B$35:$C$53,2,FALSE),0%)</f>
        <v>0</v>
      </c>
      <c r="AUE8" s="5">
        <f>IFERROR(VLOOKUP(AUE$1,'Renta Mixta Conservador'!$B$35:$C$53,2,FALSE),0%)</f>
        <v>0</v>
      </c>
      <c r="AUF8" s="5">
        <f>IFERROR(VLOOKUP(AUF$1,'Renta Mixta Conservador'!$B$35:$C$53,2,FALSE),0%)</f>
        <v>0</v>
      </c>
      <c r="AUG8" s="5">
        <f>IFERROR(VLOOKUP(AUG$1,'Renta Mixta Conservador'!$B$35:$C$53,2,FALSE),0%)</f>
        <v>0</v>
      </c>
      <c r="AUH8" s="5">
        <f>IFERROR(VLOOKUP(AUH$1,'Renta Mixta Conservador'!$B$35:$C$53,2,FALSE),0%)</f>
        <v>0</v>
      </c>
      <c r="AUI8" s="5">
        <f>IFERROR(VLOOKUP(AUI$1,'Renta Mixta Conservador'!$B$35:$C$53,2,FALSE),0%)</f>
        <v>0</v>
      </c>
      <c r="AUJ8" s="5">
        <f>IFERROR(VLOOKUP(AUJ$1,'Renta Mixta Conservador'!$B$35:$C$53,2,FALSE),0%)</f>
        <v>0</v>
      </c>
      <c r="AUK8" s="5">
        <f>IFERROR(VLOOKUP(AUK$1,'Renta Mixta Conservador'!$B$35:$C$53,2,FALSE),0%)</f>
        <v>0</v>
      </c>
      <c r="AUL8" s="5">
        <f>IFERROR(VLOOKUP(AUL$1,'Renta Mixta Conservador'!$B$35:$C$53,2,FALSE),0%)</f>
        <v>0</v>
      </c>
      <c r="AUM8" s="5">
        <f>IFERROR(VLOOKUP(AUM$1,'Renta Mixta Conservador'!$B$35:$C$53,2,FALSE),0%)</f>
        <v>0</v>
      </c>
      <c r="AUN8" s="5">
        <f>IFERROR(VLOOKUP(AUN$1,'Renta Mixta Conservador'!$B$35:$C$53,2,FALSE),0%)</f>
        <v>0</v>
      </c>
      <c r="AUO8" s="5">
        <f>IFERROR(VLOOKUP(AUO$1,'Renta Mixta Conservador'!$B$35:$C$53,2,FALSE),0%)</f>
        <v>0</v>
      </c>
      <c r="AUP8" s="5">
        <f>IFERROR(VLOOKUP(AUP$1,'Renta Mixta Conservador'!$B$35:$C$53,2,FALSE),0%)</f>
        <v>0</v>
      </c>
      <c r="AUQ8" s="5">
        <f>IFERROR(VLOOKUP(AUQ$1,'Renta Mixta Conservador'!$B$35:$C$53,2,FALSE),0%)</f>
        <v>0</v>
      </c>
      <c r="AUR8" s="5">
        <f>IFERROR(VLOOKUP(AUR$1,'Renta Mixta Conservador'!$B$35:$C$53,2,FALSE),0%)</f>
        <v>0</v>
      </c>
      <c r="AUS8" s="5">
        <f>IFERROR(VLOOKUP(AUS$1,'Renta Mixta Conservador'!$B$35:$C$53,2,FALSE),0%)</f>
        <v>0</v>
      </c>
      <c r="AUT8" s="5">
        <f>IFERROR(VLOOKUP(AUT$1,'Renta Mixta Conservador'!$B$35:$C$53,2,FALSE),0%)</f>
        <v>0</v>
      </c>
      <c r="AUU8" s="5">
        <f>IFERROR(VLOOKUP(AUU$1,'Renta Mixta Conservador'!$B$35:$C$53,2,FALSE),0%)</f>
        <v>0</v>
      </c>
      <c r="AUV8" s="5">
        <f>IFERROR(VLOOKUP(AUV$1,'Renta Mixta Conservador'!$B$35:$C$53,2,FALSE),0%)</f>
        <v>0</v>
      </c>
      <c r="AUW8" s="5">
        <f>IFERROR(VLOOKUP(AUW$1,'Renta Mixta Conservador'!$B$35:$C$53,2,FALSE),0%)</f>
        <v>0</v>
      </c>
      <c r="AUX8" s="5">
        <f>IFERROR(VLOOKUP(AUX$1,'Renta Mixta Conservador'!$B$35:$C$53,2,FALSE),0%)</f>
        <v>0</v>
      </c>
      <c r="AUY8" s="5">
        <f>IFERROR(VLOOKUP(AUY$1,'Renta Mixta Conservador'!$B$35:$C$53,2,FALSE),0%)</f>
        <v>0</v>
      </c>
      <c r="AUZ8" s="5">
        <f>IFERROR(VLOOKUP(AUZ$1,'Renta Mixta Conservador'!$B$35:$C$53,2,FALSE),0%)</f>
        <v>0</v>
      </c>
      <c r="AVA8" s="5">
        <f>IFERROR(VLOOKUP(AVA$1,'Renta Mixta Conservador'!$B$35:$C$53,2,FALSE),0%)</f>
        <v>0</v>
      </c>
      <c r="AVB8" s="5">
        <f>IFERROR(VLOOKUP(AVB$1,'Renta Mixta Conservador'!$B$35:$C$53,2,FALSE),0%)</f>
        <v>0</v>
      </c>
      <c r="AVC8" s="5">
        <f>IFERROR(VLOOKUP(AVC$1,'Renta Mixta Conservador'!$B$35:$C$53,2,FALSE),0%)</f>
        <v>0</v>
      </c>
      <c r="AVD8" s="5">
        <f>IFERROR(VLOOKUP(AVD$1,'Renta Mixta Conservador'!$B$35:$C$53,2,FALSE),0%)</f>
        <v>0</v>
      </c>
      <c r="AVE8" s="5">
        <f>IFERROR(VLOOKUP(AVE$1,'Renta Mixta Conservador'!$B$35:$C$53,2,FALSE),0%)</f>
        <v>0</v>
      </c>
      <c r="AVF8" s="5">
        <f>IFERROR(VLOOKUP(AVF$1,'Renta Mixta Conservador'!$B$35:$C$53,2,FALSE),0%)</f>
        <v>0</v>
      </c>
      <c r="AVG8" s="5">
        <f>IFERROR(VLOOKUP(AVG$1,'Renta Mixta Conservador'!$B$35:$C$53,2,FALSE),0%)</f>
        <v>0</v>
      </c>
      <c r="AVH8" s="5">
        <f>IFERROR(VLOOKUP(AVH$1,'Renta Mixta Conservador'!$B$35:$C$53,2,FALSE),0%)</f>
        <v>0</v>
      </c>
      <c r="AVI8" s="5">
        <f>IFERROR(VLOOKUP(AVI$1,'Renta Mixta Conservador'!$B$35:$C$53,2,FALSE),0%)</f>
        <v>0</v>
      </c>
      <c r="AVJ8" s="5">
        <f>IFERROR(VLOOKUP(AVJ$1,'Renta Mixta Conservador'!$B$35:$C$53,2,FALSE),0%)</f>
        <v>0</v>
      </c>
      <c r="AVK8" s="5">
        <f>IFERROR(VLOOKUP(AVK$1,'Renta Mixta Conservador'!$B$35:$C$53,2,FALSE),0%)</f>
        <v>0</v>
      </c>
      <c r="AVL8" s="5">
        <f>IFERROR(VLOOKUP(AVL$1,'Renta Mixta Conservador'!$B$35:$C$53,2,FALSE),0%)</f>
        <v>0</v>
      </c>
      <c r="AVM8" s="5">
        <f>IFERROR(VLOOKUP(AVM$1,'Renta Mixta Conservador'!$B$35:$C$53,2,FALSE),0%)</f>
        <v>0</v>
      </c>
      <c r="AVN8" s="5">
        <f>IFERROR(VLOOKUP(AVN$1,'Renta Mixta Conservador'!$B$35:$C$53,2,FALSE),0%)</f>
        <v>0</v>
      </c>
      <c r="AVO8" s="5">
        <f>IFERROR(VLOOKUP(AVO$1,'Renta Mixta Conservador'!$B$35:$C$53,2,FALSE),0%)</f>
        <v>0</v>
      </c>
      <c r="AVP8" s="5">
        <f>IFERROR(VLOOKUP(AVP$1,'Renta Mixta Conservador'!$B$35:$C$53,2,FALSE),0%)</f>
        <v>0</v>
      </c>
      <c r="AVQ8" s="5">
        <f>IFERROR(VLOOKUP(AVQ$1,'Renta Mixta Conservador'!$B$35:$C$53,2,FALSE),0%)</f>
        <v>0</v>
      </c>
      <c r="AVR8" s="5">
        <f>IFERROR(VLOOKUP(AVR$1,'Renta Mixta Conservador'!$B$35:$C$53,2,FALSE),0%)</f>
        <v>0</v>
      </c>
      <c r="AVS8" s="5">
        <f>IFERROR(VLOOKUP(AVS$1,'Renta Mixta Conservador'!$B$35:$C$53,2,FALSE),0%)</f>
        <v>0</v>
      </c>
      <c r="AVT8" s="5">
        <f>IFERROR(VLOOKUP(AVT$1,'Renta Mixta Conservador'!$B$35:$C$53,2,FALSE),0%)</f>
        <v>0</v>
      </c>
      <c r="AVU8" s="5">
        <f>IFERROR(VLOOKUP(AVU$1,'Renta Mixta Conservador'!$B$35:$C$53,2,FALSE),0%)</f>
        <v>0</v>
      </c>
      <c r="AVV8" s="5">
        <f>IFERROR(VLOOKUP(AVV$1,'Renta Mixta Conservador'!$B$35:$C$53,2,FALSE),0%)</f>
        <v>0</v>
      </c>
      <c r="AVW8" s="5">
        <f>IFERROR(VLOOKUP(AVW$1,'Renta Mixta Conservador'!$B$35:$C$53,2,FALSE),0%)</f>
        <v>0</v>
      </c>
      <c r="AVX8" s="5">
        <f>IFERROR(VLOOKUP(AVX$1,'Renta Mixta Conservador'!$B$35:$C$53,2,FALSE),0%)</f>
        <v>0</v>
      </c>
      <c r="AVY8" s="5">
        <f>IFERROR(VLOOKUP(AVY$1,'Renta Mixta Conservador'!$B$35:$C$53,2,FALSE),0%)</f>
        <v>0</v>
      </c>
      <c r="AVZ8" s="5">
        <f>IFERROR(VLOOKUP(AVZ$1,'Renta Mixta Conservador'!$B$35:$C$53,2,FALSE),0%)</f>
        <v>0</v>
      </c>
      <c r="AWA8" s="5">
        <f>IFERROR(VLOOKUP(AWA$1,'Renta Mixta Conservador'!$B$35:$C$53,2,FALSE),0%)</f>
        <v>0</v>
      </c>
      <c r="AWB8" s="5">
        <f>IFERROR(VLOOKUP(AWB$1,'Renta Mixta Conservador'!$B$35:$C$53,2,FALSE),0%)</f>
        <v>0</v>
      </c>
      <c r="AWC8" s="5">
        <f>IFERROR(VLOOKUP(AWC$1,'Renta Mixta Conservador'!$B$35:$C$53,2,FALSE),0%)</f>
        <v>0</v>
      </c>
      <c r="AWD8" s="5">
        <f>IFERROR(VLOOKUP(AWD$1,'Renta Mixta Conservador'!$B$35:$C$53,2,FALSE),0%)</f>
        <v>0</v>
      </c>
      <c r="AWE8" s="5">
        <f>IFERROR(VLOOKUP(AWE$1,'Renta Mixta Conservador'!$B$35:$C$53,2,FALSE),0%)</f>
        <v>0</v>
      </c>
      <c r="AWF8" s="5">
        <f>IFERROR(VLOOKUP(AWF$1,'Renta Mixta Conservador'!$B$35:$C$53,2,FALSE),0%)</f>
        <v>0</v>
      </c>
      <c r="AWG8" s="5">
        <f>IFERROR(VLOOKUP(AWG$1,'Renta Mixta Conservador'!$B$35:$C$53,2,FALSE),0%)</f>
        <v>0</v>
      </c>
      <c r="AWH8" s="5">
        <f>IFERROR(VLOOKUP(AWH$1,'Renta Mixta Conservador'!$B$35:$C$53,2,FALSE),0%)</f>
        <v>0</v>
      </c>
      <c r="AWI8" s="5">
        <f>IFERROR(VLOOKUP(AWI$1,'Renta Mixta Conservador'!$B$35:$C$53,2,FALSE),0%)</f>
        <v>0</v>
      </c>
      <c r="AWJ8" s="5">
        <f>IFERROR(VLOOKUP(AWJ$1,'Renta Mixta Conservador'!$B$35:$C$53,2,FALSE),0%)</f>
        <v>0</v>
      </c>
      <c r="AWK8" s="5">
        <f>IFERROR(VLOOKUP(AWK$1,'Renta Mixta Conservador'!$B$35:$C$53,2,FALSE),0%)</f>
        <v>0</v>
      </c>
      <c r="AWL8" s="5">
        <f>IFERROR(VLOOKUP(AWL$1,'Renta Mixta Conservador'!$B$35:$C$53,2,FALSE),0%)</f>
        <v>0</v>
      </c>
      <c r="AWM8" s="5">
        <f>IFERROR(VLOOKUP(AWM$1,'Renta Mixta Conservador'!$B$35:$C$53,2,FALSE),0%)</f>
        <v>0</v>
      </c>
      <c r="AWN8" s="5">
        <f>IFERROR(VLOOKUP(AWN$1,'Renta Mixta Conservador'!$B$35:$C$53,2,FALSE),0%)</f>
        <v>0</v>
      </c>
      <c r="AWO8" s="5">
        <f>IFERROR(VLOOKUP(AWO$1,'Renta Mixta Conservador'!$B$35:$C$53,2,FALSE),0%)</f>
        <v>0</v>
      </c>
      <c r="AWP8" s="5">
        <f>IFERROR(VLOOKUP(AWP$1,'Renta Mixta Conservador'!$B$35:$C$53,2,FALSE),0%)</f>
        <v>0</v>
      </c>
      <c r="AWQ8" s="5">
        <f>IFERROR(VLOOKUP(AWQ$1,'Renta Mixta Conservador'!$B$35:$C$53,2,FALSE),0%)</f>
        <v>0</v>
      </c>
      <c r="AWR8" s="5">
        <f>IFERROR(VLOOKUP(AWR$1,'Renta Mixta Conservador'!$B$35:$C$53,2,FALSE),0%)</f>
        <v>0</v>
      </c>
      <c r="AWS8" s="5">
        <f>IFERROR(VLOOKUP(AWS$1,'Renta Mixta Conservador'!$B$35:$C$53,2,FALSE),0%)</f>
        <v>0</v>
      </c>
      <c r="AWT8" s="5">
        <f>IFERROR(VLOOKUP(AWT$1,'Renta Mixta Conservador'!$B$35:$C$53,2,FALSE),0%)</f>
        <v>0</v>
      </c>
      <c r="AWU8" s="5">
        <f>IFERROR(VLOOKUP(AWU$1,'Renta Mixta Conservador'!$B$35:$C$53,2,FALSE),0%)</f>
        <v>0</v>
      </c>
      <c r="AWV8" s="5">
        <f>IFERROR(VLOOKUP(AWV$1,'Renta Mixta Conservador'!$B$35:$C$53,2,FALSE),0%)</f>
        <v>0</v>
      </c>
      <c r="AWW8" s="5">
        <f>IFERROR(VLOOKUP(AWW$1,'Renta Mixta Conservador'!$B$35:$C$53,2,FALSE),0%)</f>
        <v>0</v>
      </c>
      <c r="AWX8" s="5">
        <f>IFERROR(VLOOKUP(AWX$1,'Renta Mixta Conservador'!$B$35:$C$53,2,FALSE),0%)</f>
        <v>0</v>
      </c>
      <c r="AWY8" s="5">
        <f>IFERROR(VLOOKUP(AWY$1,'Renta Mixta Conservador'!$B$35:$C$53,2,FALSE),0%)</f>
        <v>0</v>
      </c>
      <c r="AWZ8" s="5">
        <f>IFERROR(VLOOKUP(AWZ$1,'Renta Mixta Conservador'!$B$35:$C$53,2,FALSE),0%)</f>
        <v>0</v>
      </c>
      <c r="AXA8" s="5">
        <f>IFERROR(VLOOKUP(AXA$1,'Renta Mixta Conservador'!$B$35:$C$53,2,FALSE),0%)</f>
        <v>0</v>
      </c>
      <c r="AXB8" s="5">
        <f>IFERROR(VLOOKUP(AXB$1,'Renta Mixta Conservador'!$B$35:$C$53,2,FALSE),0%)</f>
        <v>0</v>
      </c>
      <c r="AXC8" s="5">
        <f>IFERROR(VLOOKUP(AXC$1,'Renta Mixta Conservador'!$B$35:$C$53,2,FALSE),0%)</f>
        <v>0</v>
      </c>
      <c r="AXD8" s="5">
        <f>IFERROR(VLOOKUP(AXD$1,'Renta Mixta Conservador'!$B$35:$C$53,2,FALSE),0%)</f>
        <v>0</v>
      </c>
      <c r="AXE8" s="5">
        <f>IFERROR(VLOOKUP(AXE$1,'Renta Mixta Conservador'!$B$35:$C$53,2,FALSE),0%)</f>
        <v>0</v>
      </c>
      <c r="AXF8" s="5">
        <f>IFERROR(VLOOKUP(AXF$1,'Renta Mixta Conservador'!$B$35:$C$53,2,FALSE),0%)</f>
        <v>0</v>
      </c>
      <c r="AXG8" s="5">
        <f>IFERROR(VLOOKUP(AXG$1,'Renta Mixta Conservador'!$B$35:$C$53,2,FALSE),0%)</f>
        <v>0</v>
      </c>
      <c r="AXH8" s="5">
        <f>IFERROR(VLOOKUP(AXH$1,'Renta Mixta Conservador'!$B$35:$C$53,2,FALSE),0%)</f>
        <v>0</v>
      </c>
      <c r="AXI8" s="5">
        <f>IFERROR(VLOOKUP(AXI$1,'Renta Mixta Conservador'!$B$35:$C$53,2,FALSE),0%)</f>
        <v>0</v>
      </c>
      <c r="AXJ8" s="5">
        <f>IFERROR(VLOOKUP(AXJ$1,'Renta Mixta Conservador'!$B$35:$C$53,2,FALSE),0%)</f>
        <v>0</v>
      </c>
      <c r="AXK8" s="5">
        <f>IFERROR(VLOOKUP(AXK$1,'Renta Mixta Conservador'!$B$35:$C$53,2,FALSE),0%)</f>
        <v>0</v>
      </c>
      <c r="AXL8" s="5">
        <f>IFERROR(VLOOKUP(AXL$1,'Renta Mixta Conservador'!$B$35:$C$53,2,FALSE),0%)</f>
        <v>0</v>
      </c>
      <c r="AXM8" s="5">
        <f>IFERROR(VLOOKUP(AXM$1,'Renta Mixta Conservador'!$B$35:$C$53,2,FALSE),0%)</f>
        <v>0</v>
      </c>
      <c r="AXN8" s="5">
        <f>IFERROR(VLOOKUP(AXN$1,'Renta Mixta Conservador'!$B$35:$C$53,2,FALSE),0%)</f>
        <v>0</v>
      </c>
      <c r="AXO8" s="5">
        <f>IFERROR(VLOOKUP(AXO$1,'Renta Mixta Conservador'!$B$35:$C$53,2,FALSE),0%)</f>
        <v>0</v>
      </c>
      <c r="AXP8" s="5">
        <f>IFERROR(VLOOKUP(AXP$1,'Renta Mixta Conservador'!$B$35:$C$53,2,FALSE),0%)</f>
        <v>0</v>
      </c>
      <c r="AXQ8" s="5">
        <f>IFERROR(VLOOKUP(AXQ$1,'Renta Mixta Conservador'!$B$35:$C$53,2,FALSE),0%)</f>
        <v>0</v>
      </c>
      <c r="AXR8" s="5">
        <f>IFERROR(VLOOKUP(AXR$1,'Renta Mixta Conservador'!$B$35:$C$53,2,FALSE),0%)</f>
        <v>0</v>
      </c>
      <c r="AXS8" s="5">
        <f>IFERROR(VLOOKUP(AXS$1,'Renta Mixta Conservador'!$B$35:$C$53,2,FALSE),0%)</f>
        <v>0</v>
      </c>
      <c r="AXT8" s="5">
        <f>IFERROR(VLOOKUP(AXT$1,'Renta Mixta Conservador'!$B$35:$C$53,2,FALSE),0%)</f>
        <v>0</v>
      </c>
      <c r="AXU8" s="5">
        <f>IFERROR(VLOOKUP(AXU$1,'Renta Mixta Conservador'!$B$35:$C$53,2,FALSE),0%)</f>
        <v>0</v>
      </c>
      <c r="AXV8" s="5">
        <f>IFERROR(VLOOKUP(AXV$1,'Renta Mixta Conservador'!$B$35:$C$53,2,FALSE),0%)</f>
        <v>0</v>
      </c>
      <c r="AXW8" s="5">
        <f>IFERROR(VLOOKUP(AXW$1,'Renta Mixta Conservador'!$B$35:$C$53,2,FALSE),0%)</f>
        <v>0</v>
      </c>
      <c r="AXX8" s="5">
        <f>IFERROR(VLOOKUP(AXX$1,'Renta Mixta Conservador'!$B$35:$C$53,2,FALSE),0%)</f>
        <v>0</v>
      </c>
      <c r="AXY8" s="5">
        <f>IFERROR(VLOOKUP(AXY$1,'Renta Mixta Conservador'!$B$35:$C$53,2,FALSE),0%)</f>
        <v>0</v>
      </c>
      <c r="AXZ8" s="5">
        <f>IFERROR(VLOOKUP(AXZ$1,'Renta Mixta Conservador'!$B$35:$C$53,2,FALSE),0%)</f>
        <v>0</v>
      </c>
      <c r="AYA8" s="5">
        <f>IFERROR(VLOOKUP(AYA$1,'Renta Mixta Conservador'!$B$35:$C$53,2,FALSE),0%)</f>
        <v>0</v>
      </c>
      <c r="AYB8" s="5">
        <f>IFERROR(VLOOKUP(AYB$1,'Renta Mixta Conservador'!$B$35:$C$53,2,FALSE),0%)</f>
        <v>0</v>
      </c>
      <c r="AYC8" s="5">
        <f>IFERROR(VLOOKUP(AYC$1,'Renta Mixta Conservador'!$B$35:$C$53,2,FALSE),0%)</f>
        <v>0</v>
      </c>
      <c r="AYD8" s="5">
        <f>IFERROR(VLOOKUP(AYD$1,'Renta Mixta Conservador'!$B$35:$C$53,2,FALSE),0%)</f>
        <v>0</v>
      </c>
      <c r="AYE8" s="5">
        <f>IFERROR(VLOOKUP(AYE$1,'Renta Mixta Conservador'!$B$35:$C$53,2,FALSE),0%)</f>
        <v>0</v>
      </c>
      <c r="AYF8" s="5">
        <f>IFERROR(VLOOKUP(AYF$1,'Renta Mixta Conservador'!$B$35:$C$53,2,FALSE),0%)</f>
        <v>0</v>
      </c>
      <c r="AYG8" s="5">
        <f>IFERROR(VLOOKUP(AYG$1,'Renta Mixta Conservador'!$B$35:$C$53,2,FALSE),0%)</f>
        <v>0</v>
      </c>
      <c r="AYH8" s="5">
        <f>IFERROR(VLOOKUP(AYH$1,'Renta Mixta Conservador'!$B$35:$C$53,2,FALSE),0%)</f>
        <v>0</v>
      </c>
      <c r="AYI8" s="5">
        <f>IFERROR(VLOOKUP(AYI$1,'Renta Mixta Conservador'!$B$35:$C$53,2,FALSE),0%)</f>
        <v>0</v>
      </c>
      <c r="AYJ8" s="5">
        <f>IFERROR(VLOOKUP(AYJ$1,'Renta Mixta Conservador'!$B$35:$C$53,2,FALSE),0%)</f>
        <v>0</v>
      </c>
      <c r="AYK8" s="5">
        <f>IFERROR(VLOOKUP(AYK$1,'Renta Mixta Conservador'!$B$35:$C$53,2,FALSE),0%)</f>
        <v>0</v>
      </c>
      <c r="AYL8" s="5">
        <f>IFERROR(VLOOKUP(AYL$1,'Renta Mixta Conservador'!$B$35:$C$53,2,FALSE),0%)</f>
        <v>0</v>
      </c>
      <c r="AYM8" s="5">
        <f>IFERROR(VLOOKUP(AYM$1,'Renta Mixta Conservador'!$B$35:$C$53,2,FALSE),0%)</f>
        <v>0</v>
      </c>
      <c r="AYN8" s="5">
        <f>IFERROR(VLOOKUP(AYN$1,'Renta Mixta Conservador'!$B$35:$C$53,2,FALSE),0%)</f>
        <v>0</v>
      </c>
      <c r="AYO8" s="5">
        <f>IFERROR(VLOOKUP(AYO$1,'Renta Mixta Conservador'!$B$35:$C$53,2,FALSE),0%)</f>
        <v>0</v>
      </c>
      <c r="AYP8" s="5">
        <f>IFERROR(VLOOKUP(AYP$1,'Renta Mixta Conservador'!$B$35:$C$53,2,FALSE),0%)</f>
        <v>0</v>
      </c>
      <c r="AYQ8" s="5">
        <f>IFERROR(VLOOKUP(AYQ$1,'Renta Mixta Conservador'!$B$35:$C$53,2,FALSE),0%)</f>
        <v>0</v>
      </c>
      <c r="AYR8" s="5">
        <f>IFERROR(VLOOKUP(AYR$1,'Renta Mixta Conservador'!$B$35:$C$53,2,FALSE),0%)</f>
        <v>0</v>
      </c>
      <c r="AYS8" s="5">
        <f>IFERROR(VLOOKUP(AYS$1,'Renta Mixta Conservador'!$B$35:$C$53,2,FALSE),0%)</f>
        <v>0</v>
      </c>
      <c r="AYT8" s="5">
        <f>IFERROR(VLOOKUP(AYT$1,'Renta Mixta Conservador'!$B$35:$C$53,2,FALSE),0%)</f>
        <v>0</v>
      </c>
      <c r="AYU8" s="5">
        <f>IFERROR(VLOOKUP(AYU$1,'Renta Mixta Conservador'!$B$35:$C$53,2,FALSE),0%)</f>
        <v>0</v>
      </c>
      <c r="AYV8" s="5">
        <f>IFERROR(VLOOKUP(AYV$1,'Renta Mixta Conservador'!$B$35:$C$53,2,FALSE),0%)</f>
        <v>0</v>
      </c>
      <c r="AYW8" s="5">
        <f>IFERROR(VLOOKUP(AYW$1,'Renta Mixta Conservador'!$B$35:$C$53,2,FALSE),0%)</f>
        <v>0</v>
      </c>
      <c r="AYX8" s="5">
        <f>IFERROR(VLOOKUP(AYX$1,'Renta Mixta Conservador'!$B$35:$C$53,2,FALSE),0%)</f>
        <v>0</v>
      </c>
      <c r="AYY8" s="5">
        <f>IFERROR(VLOOKUP(AYY$1,'Renta Mixta Conservador'!$B$35:$C$53,2,FALSE),0%)</f>
        <v>0</v>
      </c>
      <c r="AYZ8" s="5">
        <f>IFERROR(VLOOKUP(AYZ$1,'Renta Mixta Conservador'!$B$35:$C$53,2,FALSE),0%)</f>
        <v>0</v>
      </c>
      <c r="AZA8" s="5">
        <f>IFERROR(VLOOKUP(AZA$1,'Renta Mixta Conservador'!$B$35:$C$53,2,FALSE),0%)</f>
        <v>0</v>
      </c>
      <c r="AZB8" s="5">
        <f>IFERROR(VLOOKUP(AZB$1,'Renta Mixta Conservador'!$B$35:$C$53,2,FALSE),0%)</f>
        <v>0</v>
      </c>
      <c r="AZC8" s="5">
        <f>IFERROR(VLOOKUP(AZC$1,'Renta Mixta Conservador'!$B$35:$C$53,2,FALSE),0%)</f>
        <v>0</v>
      </c>
      <c r="AZD8" s="5">
        <f>IFERROR(VLOOKUP(AZD$1,'Renta Mixta Conservador'!$B$35:$C$53,2,FALSE),0%)</f>
        <v>0</v>
      </c>
      <c r="AZE8" s="5">
        <f>IFERROR(VLOOKUP(AZE$1,'Renta Mixta Conservador'!$B$35:$C$53,2,FALSE),0%)</f>
        <v>0</v>
      </c>
      <c r="AZF8" s="5">
        <f>IFERROR(VLOOKUP(AZF$1,'Renta Mixta Conservador'!$B$35:$C$53,2,FALSE),0%)</f>
        <v>0</v>
      </c>
      <c r="AZG8" s="5">
        <f>IFERROR(VLOOKUP(AZG$1,'Renta Mixta Conservador'!$B$35:$C$53,2,FALSE),0%)</f>
        <v>0</v>
      </c>
      <c r="AZH8" s="5">
        <f>IFERROR(VLOOKUP(AZH$1,'Renta Mixta Conservador'!$B$35:$C$53,2,FALSE),0%)</f>
        <v>0</v>
      </c>
      <c r="AZI8" s="5">
        <f>IFERROR(VLOOKUP(AZI$1,'Renta Mixta Conservador'!$B$35:$C$53,2,FALSE),0%)</f>
        <v>0</v>
      </c>
      <c r="AZJ8" s="5">
        <f>IFERROR(VLOOKUP(AZJ$1,'Renta Mixta Conservador'!$B$35:$C$53,2,FALSE),0%)</f>
        <v>0</v>
      </c>
      <c r="AZK8" s="5">
        <f>IFERROR(VLOOKUP(AZK$1,'Renta Mixta Conservador'!$B$35:$C$53,2,FALSE),0%)</f>
        <v>0</v>
      </c>
      <c r="AZL8" s="5">
        <f>IFERROR(VLOOKUP(AZL$1,'Renta Mixta Conservador'!$B$35:$C$53,2,FALSE),0%)</f>
        <v>0</v>
      </c>
      <c r="AZM8" s="5">
        <f>IFERROR(VLOOKUP(AZM$1,'Renta Mixta Conservador'!$B$35:$C$53,2,FALSE),0%)</f>
        <v>0</v>
      </c>
      <c r="AZN8" s="5">
        <f>IFERROR(VLOOKUP(AZN$1,'Renta Mixta Conservador'!$B$35:$C$53,2,FALSE),0%)</f>
        <v>0</v>
      </c>
      <c r="AZO8" s="5">
        <f>IFERROR(VLOOKUP(AZO$1,'Renta Mixta Conservador'!$B$35:$C$53,2,FALSE),0%)</f>
        <v>0</v>
      </c>
      <c r="AZP8" s="5">
        <f>IFERROR(VLOOKUP(AZP$1,'Renta Mixta Conservador'!$B$35:$C$53,2,FALSE),0%)</f>
        <v>0</v>
      </c>
      <c r="AZQ8" s="5">
        <f>IFERROR(VLOOKUP(AZQ$1,'Renta Mixta Conservador'!$B$35:$C$53,2,FALSE),0%)</f>
        <v>0</v>
      </c>
      <c r="AZR8" s="5">
        <f>IFERROR(VLOOKUP(AZR$1,'Renta Mixta Conservador'!$B$35:$C$53,2,FALSE),0%)</f>
        <v>0</v>
      </c>
      <c r="AZS8" s="5">
        <f>IFERROR(VLOOKUP(AZS$1,'Renta Mixta Conservador'!$B$35:$C$53,2,FALSE),0%)</f>
        <v>0</v>
      </c>
      <c r="AZT8" s="5">
        <f>IFERROR(VLOOKUP(AZT$1,'Renta Mixta Conservador'!$B$35:$C$53,2,FALSE),0%)</f>
        <v>0</v>
      </c>
      <c r="AZU8" s="5">
        <f>IFERROR(VLOOKUP(AZU$1,'Renta Mixta Conservador'!$B$35:$C$53,2,FALSE),0%)</f>
        <v>0</v>
      </c>
      <c r="AZV8" s="5">
        <f>IFERROR(VLOOKUP(AZV$1,'Renta Mixta Conservador'!$B$35:$C$53,2,FALSE),0%)</f>
        <v>0</v>
      </c>
      <c r="AZW8" s="5">
        <f>IFERROR(VLOOKUP(AZW$1,'Renta Mixta Conservador'!$B$35:$C$53,2,FALSE),0%)</f>
        <v>0</v>
      </c>
      <c r="AZX8" s="5">
        <f>IFERROR(VLOOKUP(AZX$1,'Renta Mixta Conservador'!$B$35:$C$53,2,FALSE),0%)</f>
        <v>0</v>
      </c>
      <c r="AZY8" s="5">
        <f>IFERROR(VLOOKUP(AZY$1,'Renta Mixta Conservador'!$B$35:$C$53,2,FALSE),0%)</f>
        <v>0</v>
      </c>
      <c r="AZZ8" s="5">
        <f>IFERROR(VLOOKUP(AZZ$1,'Renta Mixta Conservador'!$B$35:$C$53,2,FALSE),0%)</f>
        <v>0</v>
      </c>
      <c r="BAA8" s="5">
        <f>IFERROR(VLOOKUP(BAA$1,'Renta Mixta Conservador'!$B$35:$C$53,2,FALSE),0%)</f>
        <v>0.008166780564</v>
      </c>
      <c r="BAB8" s="5">
        <f>IFERROR(VLOOKUP(BAB$1,'Renta Mixta Conservador'!$B$35:$C$53,2,FALSE),0%)</f>
        <v>0</v>
      </c>
      <c r="BAC8" s="5">
        <f>IFERROR(VLOOKUP(BAC$1,'Renta Mixta Conservador'!$B$35:$C$53,2,FALSE),0%)</f>
        <v>0</v>
      </c>
      <c r="BAD8" s="5">
        <f>IFERROR(VLOOKUP(BAD$1,'Renta Mixta Conservador'!$B$35:$C$53,2,FALSE),0%)</f>
        <v>0</v>
      </c>
      <c r="BAE8" s="5">
        <f>IFERROR(VLOOKUP(BAE$1,'Renta Mixta Conservador'!$B$35:$C$53,2,FALSE),0%)</f>
        <v>0</v>
      </c>
      <c r="BAF8" s="5">
        <f>IFERROR(VLOOKUP(BAF$1,'Renta Mixta Conservador'!$B$35:$C$53,2,FALSE),0%)</f>
        <v>0</v>
      </c>
      <c r="BAG8" s="5">
        <f>IFERROR(VLOOKUP(BAG$1,'Renta Mixta Conservador'!$B$35:$C$53,2,FALSE),0%)</f>
        <v>0</v>
      </c>
      <c r="BAH8" s="5">
        <f>IFERROR(VLOOKUP(BAH$1,'Renta Mixta Conservador'!$B$35:$C$53,2,FALSE),0%)</f>
        <v>0</v>
      </c>
      <c r="BAI8" s="5">
        <f>IFERROR(VLOOKUP(BAI$1,'Renta Mixta Conservador'!$B$35:$C$53,2,FALSE),0%)</f>
        <v>0</v>
      </c>
      <c r="BAJ8" s="5">
        <f>IFERROR(VLOOKUP(BAJ$1,'Renta Mixta Conservador'!$B$35:$C$53,2,FALSE),0%)</f>
        <v>0</v>
      </c>
      <c r="BAK8" s="5">
        <f>IFERROR(VLOOKUP(BAK$1,'Renta Mixta Conservador'!$B$35:$C$53,2,FALSE),0%)</f>
        <v>0</v>
      </c>
      <c r="BAL8" s="5">
        <f>IFERROR(VLOOKUP(BAL$1,'Renta Mixta Conservador'!$B$35:$C$53,2,FALSE),0%)</f>
        <v>0</v>
      </c>
      <c r="BAM8" s="5">
        <f>IFERROR(VLOOKUP(BAM$1,'Renta Mixta Conservador'!$B$35:$C$53,2,FALSE),0%)</f>
        <v>0</v>
      </c>
      <c r="BAN8" s="5">
        <f>IFERROR(VLOOKUP(BAN$1,'Renta Mixta Conservador'!$B$35:$C$53,2,FALSE),0%)</f>
        <v>0</v>
      </c>
      <c r="BAO8" s="5">
        <f>IFERROR(VLOOKUP(BAO$1,'Renta Mixta Conservador'!$B$35:$C$53,2,FALSE),0%)</f>
        <v>0</v>
      </c>
      <c r="BAP8" s="5">
        <f>IFERROR(VLOOKUP(BAP$1,'Renta Mixta Conservador'!$B$35:$C$53,2,FALSE),0%)</f>
        <v>0</v>
      </c>
      <c r="BAQ8" s="5">
        <f>IFERROR(VLOOKUP(BAQ$1,'Renta Mixta Conservador'!$B$35:$C$53,2,FALSE),0%)</f>
        <v>0</v>
      </c>
      <c r="BAR8" s="5">
        <f>IFERROR(VLOOKUP(BAR$1,'Renta Mixta Conservador'!$B$35:$C$53,2,FALSE),0%)</f>
        <v>0</v>
      </c>
      <c r="BAS8" s="5">
        <f>IFERROR(VLOOKUP(BAS$1,'Renta Mixta Conservador'!$B$35:$C$53,2,FALSE),0%)</f>
        <v>0</v>
      </c>
      <c r="BAT8" s="5">
        <f>IFERROR(VLOOKUP(BAT$1,'Renta Mixta Conservador'!$B$35:$C$53,2,FALSE),0%)</f>
        <v>0</v>
      </c>
      <c r="BAU8" s="5">
        <f>IFERROR(VLOOKUP(BAU$1,'Renta Mixta Conservador'!$B$35:$C$53,2,FALSE),0%)</f>
        <v>0</v>
      </c>
      <c r="BAV8" s="5">
        <f>IFERROR(VLOOKUP(BAV$1,'Renta Mixta Conservador'!$B$35:$C$53,2,FALSE),0%)</f>
        <v>0</v>
      </c>
      <c r="BAW8" s="5">
        <f>IFERROR(VLOOKUP(BAW$1,'Renta Mixta Conservador'!$B$35:$C$53,2,FALSE),0%)</f>
        <v>0</v>
      </c>
      <c r="BAX8" s="5">
        <f>IFERROR(VLOOKUP(BAX$1,'Renta Mixta Conservador'!$B$35:$C$53,2,FALSE),0%)</f>
        <v>0</v>
      </c>
      <c r="BAY8" s="5">
        <f>IFERROR(VLOOKUP(BAY$1,'Renta Mixta Conservador'!$B$35:$C$53,2,FALSE),0%)</f>
        <v>0</v>
      </c>
      <c r="BAZ8" s="5">
        <f>IFERROR(VLOOKUP(BAZ$1,'Renta Mixta Conservador'!$B$35:$C$53,2,FALSE),0%)</f>
        <v>0</v>
      </c>
      <c r="BBA8" s="5">
        <f>IFERROR(VLOOKUP(BBA$1,'Renta Mixta Conservador'!$B$35:$C$53,2,FALSE),0%)</f>
        <v>0</v>
      </c>
      <c r="BBB8" s="5">
        <f>IFERROR(VLOOKUP(BBB$1,'Renta Mixta Conservador'!$B$35:$C$53,2,FALSE),0%)</f>
        <v>0</v>
      </c>
      <c r="BBC8" s="5">
        <f>IFERROR(VLOOKUP(BBC$1,'Renta Mixta Conservador'!$B$35:$C$53,2,FALSE),0%)</f>
        <v>0</v>
      </c>
      <c r="BBD8" s="5">
        <f>IFERROR(VLOOKUP(BBD$1,'Renta Mixta Conservador'!$B$35:$C$53,2,FALSE),0%)</f>
        <v>0</v>
      </c>
      <c r="BBE8" s="5">
        <f>IFERROR(VLOOKUP(BBE$1,'Renta Mixta Conservador'!$B$35:$C$53,2,FALSE),0%)</f>
        <v>0</v>
      </c>
      <c r="BBF8" s="5">
        <f>IFERROR(VLOOKUP(BBF$1,'Renta Mixta Conservador'!$B$35:$C$53,2,FALSE),0%)</f>
        <v>0</v>
      </c>
      <c r="BBG8" s="5">
        <f>IFERROR(VLOOKUP(BBG$1,'Renta Mixta Conservador'!$B$35:$C$53,2,FALSE),0%)</f>
        <v>0</v>
      </c>
      <c r="BBH8" s="5">
        <f>IFERROR(VLOOKUP(BBH$1,'Renta Mixta Conservador'!$B$35:$C$53,2,FALSE),0%)</f>
        <v>0</v>
      </c>
      <c r="BBI8" s="5">
        <f>IFERROR(VLOOKUP(BBI$1,'Renta Mixta Conservador'!$B$35:$C$53,2,FALSE),0%)</f>
        <v>0</v>
      </c>
      <c r="BBJ8" s="5">
        <f>IFERROR(VLOOKUP(BBJ$1,'Renta Mixta Conservador'!$B$35:$C$53,2,FALSE),0%)</f>
        <v>0</v>
      </c>
      <c r="BBK8" s="5">
        <f>IFERROR(VLOOKUP(BBK$1,'Renta Mixta Conservador'!$B$35:$C$53,2,FALSE),0%)</f>
        <v>0</v>
      </c>
      <c r="BBL8" s="5">
        <f>IFERROR(VLOOKUP(BBL$1,'Renta Mixta Conservador'!$B$35:$C$53,2,FALSE),0%)</f>
        <v>0</v>
      </c>
      <c r="BBM8" s="5">
        <f>IFERROR(VLOOKUP(BBM$1,'Renta Mixta Conservador'!$B$35:$C$53,2,FALSE),0%)</f>
        <v>0</v>
      </c>
      <c r="BBN8" s="5">
        <f>IFERROR(VLOOKUP(BBN$1,'Renta Mixta Conservador'!$B$35:$C$53,2,FALSE),0%)</f>
        <v>0</v>
      </c>
      <c r="BBO8" s="5">
        <f>IFERROR(VLOOKUP(BBO$1,'Renta Mixta Conservador'!$B$35:$C$53,2,FALSE),0%)</f>
        <v>0</v>
      </c>
      <c r="BBP8" s="5">
        <f>IFERROR(VLOOKUP(BBP$1,'Renta Mixta Conservador'!$B$35:$C$53,2,FALSE),0%)</f>
        <v>0</v>
      </c>
      <c r="BBQ8" s="5">
        <f>IFERROR(VLOOKUP(BBQ$1,'Renta Mixta Conservador'!$B$35:$C$53,2,FALSE),0%)</f>
        <v>0</v>
      </c>
      <c r="BBR8" s="5">
        <f>IFERROR(VLOOKUP(BBR$1,'Renta Mixta Conservador'!$B$35:$C$53,2,FALSE),0%)</f>
        <v>0</v>
      </c>
      <c r="BBS8" s="5">
        <f>IFERROR(VLOOKUP(BBS$1,'Renta Mixta Conservador'!$B$35:$C$53,2,FALSE),0%)</f>
        <v>0</v>
      </c>
      <c r="BBT8" s="5">
        <f>IFERROR(VLOOKUP(BBT$1,'Renta Mixta Conservador'!$B$35:$C$53,2,FALSE),0%)</f>
        <v>0</v>
      </c>
      <c r="BBU8" s="5">
        <f>IFERROR(VLOOKUP(BBU$1,'Renta Mixta Conservador'!$B$35:$C$53,2,FALSE),0%)</f>
        <v>0</v>
      </c>
      <c r="BBV8" s="5">
        <f>IFERROR(VLOOKUP(BBV$1,'Renta Mixta Conservador'!$B$35:$C$53,2,FALSE),0%)</f>
        <v>0</v>
      </c>
      <c r="BBW8" s="5">
        <f>IFERROR(VLOOKUP(BBW$1,'Renta Mixta Conservador'!$B$35:$C$53,2,FALSE),0%)</f>
        <v>0</v>
      </c>
      <c r="BBX8" s="5">
        <f>IFERROR(VLOOKUP(BBX$1,'Renta Mixta Conservador'!$B$35:$C$53,2,FALSE),0%)</f>
        <v>0</v>
      </c>
      <c r="BBY8" s="5">
        <f>IFERROR(VLOOKUP(BBY$1,'Renta Mixta Conservador'!$B$35:$C$53,2,FALSE),0%)</f>
        <v>0</v>
      </c>
      <c r="BBZ8" s="5">
        <f>IFERROR(VLOOKUP(BBZ$1,'Renta Mixta Conservador'!$B$35:$C$53,2,FALSE),0%)</f>
        <v>0</v>
      </c>
      <c r="BCA8" s="5">
        <f>IFERROR(VLOOKUP(BCA$1,'Renta Mixta Conservador'!$B$35:$C$53,2,FALSE),0%)</f>
        <v>0</v>
      </c>
      <c r="BCB8" s="5">
        <f>IFERROR(VLOOKUP(BCB$1,'Renta Mixta Conservador'!$B$35:$C$53,2,FALSE),0%)</f>
        <v>0</v>
      </c>
      <c r="BCC8" s="5">
        <f>IFERROR(VLOOKUP(BCC$1,'Renta Mixta Conservador'!$B$35:$C$53,2,FALSE),0%)</f>
        <v>0</v>
      </c>
      <c r="BCD8" s="5">
        <f>IFERROR(VLOOKUP(BCD$1,'Renta Mixta Conservador'!$B$35:$C$53,2,FALSE),0%)</f>
        <v>0</v>
      </c>
      <c r="BCE8" s="5">
        <f>IFERROR(VLOOKUP(BCE$1,'Renta Mixta Conservador'!$B$35:$C$53,2,FALSE),0%)</f>
        <v>0</v>
      </c>
      <c r="BCF8" s="5">
        <f>IFERROR(VLOOKUP(BCF$1,'Renta Mixta Conservador'!$B$35:$C$53,2,FALSE),0%)</f>
        <v>0</v>
      </c>
      <c r="BCG8" s="5">
        <f>IFERROR(VLOOKUP(BCG$1,'Renta Mixta Conservador'!$B$35:$C$53,2,FALSE),0%)</f>
        <v>0</v>
      </c>
      <c r="BCH8" s="5">
        <f>IFERROR(VLOOKUP(BCH$1,'Renta Mixta Conservador'!$B$35:$C$53,2,FALSE),0%)</f>
        <v>0</v>
      </c>
      <c r="BCI8" s="5">
        <f>IFERROR(VLOOKUP(BCI$1,'Renta Mixta Conservador'!$B$35:$C$53,2,FALSE),0%)</f>
        <v>0</v>
      </c>
      <c r="BCJ8" s="5">
        <f>IFERROR(VLOOKUP(BCJ$1,'Renta Mixta Conservador'!$B$35:$C$53,2,FALSE),0%)</f>
        <v>0</v>
      </c>
      <c r="BCK8" s="5">
        <f>IFERROR(VLOOKUP(BCK$1,'Renta Mixta Conservador'!$B$35:$C$53,2,FALSE),0%)</f>
        <v>0</v>
      </c>
      <c r="BCL8" s="5">
        <f>IFERROR(VLOOKUP(BCL$1,'Renta Mixta Conservador'!$B$35:$C$53,2,FALSE),0%)</f>
        <v>0</v>
      </c>
      <c r="BCM8" s="5">
        <f>IFERROR(VLOOKUP(BCM$1,'Renta Mixta Conservador'!$B$35:$C$53,2,FALSE),0%)</f>
        <v>0.0393</v>
      </c>
      <c r="BCN8" s="5">
        <f>IFERROR(VLOOKUP(BCN$1,'Renta Mixta Conservador'!$B$35:$C$53,2,FALSE),0%)</f>
        <v>0</v>
      </c>
      <c r="BCO8" s="5">
        <f>IFERROR(VLOOKUP(BCO$1,'Renta Mixta Conservador'!$B$35:$C$53,2,FALSE),0%)</f>
        <v>0</v>
      </c>
      <c r="BCP8" s="5">
        <f>IFERROR(VLOOKUP(BCP$1,'Renta Mixta Conservador'!$B$35:$C$53,2,FALSE),0%)</f>
        <v>0</v>
      </c>
      <c r="BCQ8" s="5">
        <f>IFERROR(VLOOKUP(BCQ$1,'Renta Mixta Conservador'!$B$35:$C$53,2,FALSE),0%)</f>
        <v>0</v>
      </c>
      <c r="BCR8" s="5">
        <f>IFERROR(VLOOKUP(BCR$1,'Renta Mixta Conservador'!$B$35:$C$53,2,FALSE),0%)</f>
        <v>0</v>
      </c>
      <c r="BCS8" s="5">
        <f>IFERROR(VLOOKUP(BCS$1,'Renta Mixta Conservador'!$B$35:$C$53,2,FALSE),0%)</f>
        <v>0</v>
      </c>
      <c r="BCT8" s="5">
        <f>IFERROR(VLOOKUP(BCT$1,'Renta Mixta Conservador'!$B$35:$C$53,2,FALSE),0%)</f>
        <v>0</v>
      </c>
      <c r="BCU8" s="5">
        <f>IFERROR(VLOOKUP(BCU$1,'Renta Mixta Conservador'!$B$35:$C$53,2,FALSE),0%)</f>
        <v>0</v>
      </c>
      <c r="BCV8" s="5">
        <f>IFERROR(VLOOKUP(BCV$1,'Renta Mixta Conservador'!$B$35:$C$53,2,FALSE),0%)</f>
        <v>0</v>
      </c>
      <c r="BCW8" s="5">
        <f>IFERROR(VLOOKUP(BCW$1,'Renta Mixta Conservador'!$B$35:$C$53,2,FALSE),0%)</f>
        <v>0</v>
      </c>
      <c r="BCX8" s="5">
        <f>IFERROR(VLOOKUP(BCX$1,'Renta Mixta Conservador'!$B$35:$C$53,2,FALSE),0%)</f>
        <v>0</v>
      </c>
      <c r="BCY8" s="5">
        <f>IFERROR(VLOOKUP(BCY$1,'Renta Mixta Conservador'!$B$35:$C$53,2,FALSE),0%)</f>
        <v>0</v>
      </c>
      <c r="BCZ8" s="5">
        <f>IFERROR(VLOOKUP(BCZ$1,'Renta Mixta Conservador'!$B$35:$C$53,2,FALSE),0%)</f>
        <v>0</v>
      </c>
      <c r="BDA8" s="5">
        <f>IFERROR(VLOOKUP(BDA$1,'Renta Mixta Conservador'!$B$35:$C$53,2,FALSE),0%)</f>
        <v>0</v>
      </c>
      <c r="BDB8" s="5">
        <f>IFERROR(VLOOKUP(BDB$1,'Renta Mixta Conservador'!$B$35:$C$53,2,FALSE),0%)</f>
        <v>0</v>
      </c>
      <c r="BDC8" s="5">
        <f>IFERROR(VLOOKUP(BDC$1,'Renta Mixta Conservador'!$B$35:$C$53,2,FALSE),0%)</f>
        <v>0</v>
      </c>
      <c r="BDD8" s="5">
        <f>IFERROR(VLOOKUP(BDD$1,'Renta Mixta Conservador'!$B$35:$C$53,2,FALSE),0%)</f>
        <v>0</v>
      </c>
      <c r="BDE8" s="5">
        <f>IFERROR(VLOOKUP(BDE$1,'Renta Mixta Conservador'!$B$35:$C$53,2,FALSE),0%)</f>
        <v>0</v>
      </c>
      <c r="BDF8" s="5">
        <f>IFERROR(VLOOKUP(BDF$1,'Renta Mixta Conservador'!$B$35:$C$53,2,FALSE),0%)</f>
        <v>0</v>
      </c>
      <c r="BDG8" s="5">
        <f>IFERROR(VLOOKUP(BDG$1,'Renta Mixta Conservador'!$B$35:$C$53,2,FALSE),0%)</f>
        <v>0</v>
      </c>
      <c r="BDH8" s="5">
        <f>IFERROR(VLOOKUP(BDH$1,'Renta Mixta Conservador'!$B$35:$C$53,2,FALSE),0%)</f>
        <v>0</v>
      </c>
      <c r="BDI8" s="5">
        <f>IFERROR(VLOOKUP(BDI$1,'Renta Mixta Conservador'!$B$35:$C$53,2,FALSE),0%)</f>
        <v>0</v>
      </c>
      <c r="BDJ8" s="5">
        <f>IFERROR(VLOOKUP(BDJ$1,'Renta Mixta Conservador'!$B$35:$C$53,2,FALSE),0%)</f>
        <v>0</v>
      </c>
      <c r="BDK8" s="5">
        <f>IFERROR(VLOOKUP(BDK$1,'Renta Mixta Conservador'!$B$35:$C$53,2,FALSE),0%)</f>
        <v>0</v>
      </c>
      <c r="BDL8" s="5">
        <f>IFERROR(VLOOKUP(BDL$1,'Renta Mixta Conservador'!$B$35:$C$53,2,FALSE),0%)</f>
        <v>0</v>
      </c>
      <c r="BDM8" s="5">
        <f>IFERROR(VLOOKUP(BDM$1,'Renta Mixta Conservador'!$B$35:$C$53,2,FALSE),0%)</f>
        <v>0</v>
      </c>
      <c r="BDN8" s="5">
        <f>IFERROR(VLOOKUP(BDN$1,'Renta Mixta Conservador'!$B$35:$C$53,2,FALSE),0%)</f>
        <v>0</v>
      </c>
      <c r="BDO8" s="5">
        <f>IFERROR(VLOOKUP(BDO$1,'Renta Mixta Conservador'!$B$35:$C$53,2,FALSE),0%)</f>
        <v>0</v>
      </c>
      <c r="BDP8" s="5">
        <f>IFERROR(VLOOKUP(BDP$1,'Renta Mixta Conservador'!$B$35:$C$53,2,FALSE),0%)</f>
        <v>0</v>
      </c>
      <c r="BDQ8" s="5">
        <f>IFERROR(VLOOKUP(BDQ$1,'Renta Mixta Conservador'!$B$35:$C$53,2,FALSE),0%)</f>
        <v>0</v>
      </c>
      <c r="BDR8" s="5">
        <f>IFERROR(VLOOKUP(BDR$1,'Renta Mixta Conservador'!$B$35:$C$53,2,FALSE),0%)</f>
        <v>0</v>
      </c>
      <c r="BDS8" s="5">
        <f>IFERROR(VLOOKUP(BDS$1,'Renta Mixta Conservador'!$B$35:$C$53,2,FALSE),0%)</f>
        <v>0</v>
      </c>
      <c r="BDT8" s="5">
        <f>IFERROR(VLOOKUP(BDT$1,'Renta Mixta Conservador'!$B$35:$C$53,2,FALSE),0%)</f>
        <v>0</v>
      </c>
      <c r="BDU8" s="5">
        <f>IFERROR(VLOOKUP(BDU$1,'Renta Mixta Conservador'!$B$35:$C$53,2,FALSE),0%)</f>
        <v>0</v>
      </c>
      <c r="BDV8" s="5">
        <f>IFERROR(VLOOKUP(BDV$1,'Renta Mixta Conservador'!$B$35:$C$53,2,FALSE),0%)</f>
        <v>0</v>
      </c>
      <c r="BDW8" s="5">
        <f>IFERROR(VLOOKUP(BDW$1,'Renta Mixta Conservador'!$B$35:$C$53,2,FALSE),0%)</f>
        <v>0</v>
      </c>
      <c r="BDX8" s="5">
        <f>IFERROR(VLOOKUP(BDX$1,'Renta Mixta Conservador'!$B$35:$C$53,2,FALSE),0%)</f>
        <v>0</v>
      </c>
      <c r="BDY8" s="5">
        <f>IFERROR(VLOOKUP(BDY$1,'Renta Mixta Conservador'!$B$35:$C$53,2,FALSE),0%)</f>
        <v>0</v>
      </c>
      <c r="BDZ8" s="5">
        <f>IFERROR(VLOOKUP(BDZ$1,'Renta Mixta Conservador'!$B$35:$C$53,2,FALSE),0%)</f>
        <v>0</v>
      </c>
      <c r="BEA8" s="5">
        <f>IFERROR(VLOOKUP(BEA$1,'Renta Mixta Conservador'!$B$35:$C$53,2,FALSE),0%)</f>
        <v>0</v>
      </c>
      <c r="BEB8" s="5">
        <f>IFERROR(VLOOKUP(BEB$1,'Renta Mixta Conservador'!$B$35:$C$53,2,FALSE),0%)</f>
        <v>0</v>
      </c>
      <c r="BEC8" s="5">
        <f>IFERROR(VLOOKUP(BEC$1,'Renta Mixta Conservador'!$B$35:$C$53,2,FALSE),0%)</f>
        <v>0</v>
      </c>
      <c r="BED8" s="5">
        <f>IFERROR(VLOOKUP(BED$1,'Renta Mixta Conservador'!$B$35:$C$53,2,FALSE),0%)</f>
        <v>0</v>
      </c>
      <c r="BEE8" s="5">
        <f>IFERROR(VLOOKUP(BEE$1,'Renta Mixta Conservador'!$B$35:$C$53,2,FALSE),0%)</f>
        <v>0</v>
      </c>
      <c r="BEF8" s="5">
        <f>IFERROR(VLOOKUP(BEF$1,'Renta Mixta Conservador'!$B$35:$C$53,2,FALSE),0%)</f>
        <v>0</v>
      </c>
      <c r="BEG8" s="5">
        <f>IFERROR(VLOOKUP(BEG$1,'Renta Mixta Conservador'!$B$35:$C$53,2,FALSE),0%)</f>
        <v>0</v>
      </c>
      <c r="BEH8" s="5">
        <f>IFERROR(VLOOKUP(BEH$1,'Renta Mixta Conservador'!$B$35:$C$53,2,FALSE),0%)</f>
        <v>0</v>
      </c>
      <c r="BEI8" s="5">
        <f>IFERROR(VLOOKUP(BEI$1,'Renta Mixta Conservador'!$B$35:$C$53,2,FALSE),0%)</f>
        <v>0</v>
      </c>
      <c r="BEJ8" s="5">
        <f>IFERROR(VLOOKUP(BEJ$1,'Renta Mixta Conservador'!$B$35:$C$53,2,FALSE),0%)</f>
        <v>0</v>
      </c>
      <c r="BEK8" s="5">
        <f>IFERROR(VLOOKUP(BEK$1,'Renta Mixta Conservador'!$B$35:$C$53,2,FALSE),0%)</f>
        <v>0</v>
      </c>
      <c r="BEL8" s="5">
        <f>IFERROR(VLOOKUP(BEL$1,'Renta Mixta Conservador'!$B$35:$C$53,2,FALSE),0%)</f>
        <v>0</v>
      </c>
      <c r="BEM8" s="5">
        <f>IFERROR(VLOOKUP(BEM$1,'Renta Mixta Conservador'!$B$35:$C$53,2,FALSE),0%)</f>
        <v>0</v>
      </c>
      <c r="BEN8" s="5">
        <f>IFERROR(VLOOKUP(BEN$1,'Renta Mixta Conservador'!$B$35:$C$53,2,FALSE),0%)</f>
        <v>0</v>
      </c>
      <c r="BEO8" s="5">
        <f>IFERROR(VLOOKUP(BEO$1,'Renta Mixta Conservador'!$B$35:$C$53,2,FALSE),0%)</f>
        <v>0</v>
      </c>
      <c r="BEP8" s="5">
        <f>IFERROR(VLOOKUP(BEP$1,'Renta Mixta Conservador'!$B$35:$C$53,2,FALSE),0%)</f>
        <v>0</v>
      </c>
      <c r="BEQ8" s="5">
        <f>IFERROR(VLOOKUP(BEQ$1,'Renta Mixta Conservador'!$B$35:$C$53,2,FALSE),0%)</f>
        <v>0</v>
      </c>
      <c r="BER8" s="5">
        <f>IFERROR(VLOOKUP(BER$1,'Renta Mixta Conservador'!$B$35:$C$53,2,FALSE),0%)</f>
        <v>0</v>
      </c>
      <c r="BES8" s="5">
        <f>IFERROR(VLOOKUP(BES$1,'Renta Mixta Conservador'!$B$35:$C$53,2,FALSE),0%)</f>
        <v>0</v>
      </c>
      <c r="BET8" s="5">
        <f>IFERROR(VLOOKUP(BET$1,'Renta Mixta Conservador'!$B$35:$C$53,2,FALSE),0%)</f>
        <v>0</v>
      </c>
      <c r="BEU8" s="5">
        <f>IFERROR(VLOOKUP(BEU$1,'Renta Mixta Conservador'!$B$35:$C$53,2,FALSE),0%)</f>
        <v>0</v>
      </c>
      <c r="BEV8" s="5">
        <f>IFERROR(VLOOKUP(BEV$1,'Renta Mixta Conservador'!$B$35:$C$53,2,FALSE),0%)</f>
        <v>0</v>
      </c>
      <c r="BEW8" s="5">
        <f>IFERROR(VLOOKUP(BEW$1,'Renta Mixta Conservador'!$B$35:$C$53,2,FALSE),0%)</f>
        <v>0</v>
      </c>
      <c r="BEX8" s="5">
        <f>IFERROR(VLOOKUP(BEX$1,'Renta Mixta Conservador'!$B$35:$C$53,2,FALSE),0%)</f>
        <v>0</v>
      </c>
      <c r="BEY8" s="5">
        <f>IFERROR(VLOOKUP(BEY$1,'Renta Mixta Conservador'!$B$35:$C$53,2,FALSE),0%)</f>
        <v>0</v>
      </c>
      <c r="BEZ8" s="5">
        <f>IFERROR(VLOOKUP(BEZ$1,'Renta Mixta Conservador'!$B$35:$C$53,2,FALSE),0%)</f>
        <v>0</v>
      </c>
      <c r="BFA8" s="5">
        <f>IFERROR(VLOOKUP(BFA$1,'Renta Mixta Conservador'!$B$35:$C$53,2,FALSE),0%)</f>
        <v>0</v>
      </c>
      <c r="BFB8" s="5">
        <f>IFERROR(VLOOKUP(BFB$1,'Renta Mixta Conservador'!$B$35:$C$53,2,FALSE),0%)</f>
        <v>0</v>
      </c>
      <c r="BFC8" s="5">
        <f>IFERROR(VLOOKUP(BFC$1,'Renta Mixta Conservador'!$B$35:$C$53,2,FALSE),0%)</f>
        <v>0</v>
      </c>
      <c r="BFD8" s="5">
        <f>IFERROR(VLOOKUP(BFD$1,'Renta Mixta Conservador'!$B$35:$C$53,2,FALSE),0%)</f>
        <v>0</v>
      </c>
      <c r="BFE8" s="5">
        <f>IFERROR(VLOOKUP(BFE$1,'Renta Mixta Conservador'!$B$35:$C$53,2,FALSE),0%)</f>
        <v>0</v>
      </c>
      <c r="BFF8" s="5">
        <f>IFERROR(VLOOKUP(BFF$1,'Renta Mixta Conservador'!$B$35:$C$53,2,FALSE),0%)</f>
        <v>0</v>
      </c>
      <c r="BFG8" s="5">
        <f>IFERROR(VLOOKUP(BFG$1,'Renta Mixta Conservador'!$B$35:$C$53,2,FALSE),0%)</f>
        <v>0</v>
      </c>
      <c r="BFH8" s="5">
        <f>IFERROR(VLOOKUP(BFH$1,'Renta Mixta Conservador'!$B$35:$C$53,2,FALSE),0%)</f>
        <v>0</v>
      </c>
      <c r="BFI8" s="5">
        <f>IFERROR(VLOOKUP(BFI$1,'Renta Mixta Conservador'!$B$35:$C$53,2,FALSE),0%)</f>
        <v>0</v>
      </c>
      <c r="BFJ8" s="5">
        <f>IFERROR(VLOOKUP(BFJ$1,'Renta Mixta Conservador'!$B$35:$C$53,2,FALSE),0%)</f>
        <v>0</v>
      </c>
      <c r="BFK8" s="5">
        <f>IFERROR(VLOOKUP(BFK$1,'Renta Mixta Conservador'!$B$35:$C$53,2,FALSE),0%)</f>
        <v>0</v>
      </c>
      <c r="BFL8" s="5">
        <f>IFERROR(VLOOKUP(BFL$1,'Renta Mixta Conservador'!$B$35:$C$53,2,FALSE),0%)</f>
        <v>0</v>
      </c>
      <c r="BFM8" s="5">
        <f>IFERROR(VLOOKUP(BFM$1,'Renta Mixta Conservador'!$B$35:$C$53,2,FALSE),0%)</f>
        <v>0</v>
      </c>
      <c r="BFN8" s="5">
        <f>IFERROR(VLOOKUP(BFN$1,'Renta Mixta Conservador'!$B$35:$C$53,2,FALSE),0%)</f>
        <v>0</v>
      </c>
      <c r="BFO8" s="5">
        <f>IFERROR(VLOOKUP(BFO$1,'Renta Mixta Conservador'!$B$35:$C$53,2,FALSE),0%)</f>
        <v>0</v>
      </c>
      <c r="BFP8" s="5">
        <f>IFERROR(VLOOKUP(BFP$1,'Renta Mixta Conservador'!$B$35:$C$53,2,FALSE),0%)</f>
        <v>0</v>
      </c>
      <c r="BFQ8" s="5">
        <f>IFERROR(VLOOKUP(BFQ$1,'Renta Mixta Conservador'!$B$35:$C$53,2,FALSE),0%)</f>
        <v>0</v>
      </c>
      <c r="BFR8" s="5">
        <f>IFERROR(VLOOKUP(BFR$1,'Renta Mixta Conservador'!$B$35:$C$53,2,FALSE),0%)</f>
        <v>0</v>
      </c>
      <c r="BFS8" s="5">
        <f>IFERROR(VLOOKUP(BFS$1,'Renta Mixta Conservador'!$B$35:$C$53,2,FALSE),0%)</f>
        <v>0</v>
      </c>
      <c r="BFT8" s="5">
        <f>IFERROR(VLOOKUP(BFT$1,'Renta Mixta Conservador'!$B$35:$C$53,2,FALSE),0%)</f>
        <v>0</v>
      </c>
      <c r="BFU8" s="5">
        <f>IFERROR(VLOOKUP(BFU$1,'Renta Mixta Conservador'!$B$35:$C$53,2,FALSE),0%)</f>
        <v>0</v>
      </c>
      <c r="BFV8" s="5">
        <f>IFERROR(VLOOKUP(BFV$1,'Renta Mixta Conservador'!$B$35:$C$53,2,FALSE),0%)</f>
        <v>0</v>
      </c>
      <c r="BFW8" s="5">
        <f>IFERROR(VLOOKUP(BFW$1,'Renta Mixta Conservador'!$B$35:$C$53,2,FALSE),0%)</f>
        <v>0</v>
      </c>
      <c r="BFX8" s="5">
        <f>IFERROR(VLOOKUP(BFX$1,'Renta Mixta Conservador'!$B$35:$C$53,2,FALSE),0%)</f>
        <v>0</v>
      </c>
      <c r="BFY8" s="5">
        <f>IFERROR(VLOOKUP(BFY$1,'Renta Mixta Conservador'!$B$35:$C$53,2,FALSE),0%)</f>
        <v>0</v>
      </c>
      <c r="BFZ8" s="5">
        <f>IFERROR(VLOOKUP(BFZ$1,'Renta Mixta Conservador'!$B$35:$C$53,2,FALSE),0%)</f>
        <v>0</v>
      </c>
      <c r="BGA8" s="5">
        <f>IFERROR(VLOOKUP(BGA$1,'Renta Mixta Conservador'!$B$35:$C$53,2,FALSE),0%)</f>
        <v>0</v>
      </c>
      <c r="BGB8" s="5">
        <f>IFERROR(VLOOKUP(BGB$1,'Renta Mixta Conservador'!$B$35:$C$53,2,FALSE),0%)</f>
        <v>0</v>
      </c>
      <c r="BGC8" s="5">
        <f>IFERROR(VLOOKUP(BGC$1,'Renta Mixta Conservador'!$B$35:$C$53,2,FALSE),0%)</f>
        <v>0</v>
      </c>
      <c r="BGD8" s="5">
        <f>IFERROR(VLOOKUP(BGD$1,'Renta Mixta Conservador'!$B$35:$C$53,2,FALSE),0%)</f>
        <v>0</v>
      </c>
      <c r="BGE8" s="5">
        <f>IFERROR(VLOOKUP(BGE$1,'Renta Mixta Conservador'!$B$35:$C$53,2,FALSE),0%)</f>
        <v>0</v>
      </c>
      <c r="BGF8" s="5">
        <f>IFERROR(VLOOKUP(BGF$1,'Renta Mixta Conservador'!$B$35:$C$53,2,FALSE),0%)</f>
        <v>0</v>
      </c>
      <c r="BGG8" s="5">
        <f>IFERROR(VLOOKUP(BGG$1,'Renta Mixta Conservador'!$B$35:$C$53,2,FALSE),0%)</f>
        <v>0</v>
      </c>
      <c r="BGH8" s="5">
        <f>IFERROR(VLOOKUP(BGH$1,'Renta Mixta Conservador'!$B$35:$C$53,2,FALSE),0%)</f>
        <v>0</v>
      </c>
      <c r="BGI8" s="5">
        <f>IFERROR(VLOOKUP(BGI$1,'Renta Mixta Conservador'!$B$35:$C$53,2,FALSE),0%)</f>
        <v>0</v>
      </c>
      <c r="BGJ8" s="5">
        <f>IFERROR(VLOOKUP(BGJ$1,'Renta Mixta Conservador'!$B$35:$C$53,2,FALSE),0%)</f>
        <v>0</v>
      </c>
      <c r="BGK8" s="5">
        <f>IFERROR(VLOOKUP(BGK$1,'Renta Mixta Conservador'!$B$35:$C$53,2,FALSE),0%)</f>
        <v>0</v>
      </c>
      <c r="BGL8" s="5">
        <f>IFERROR(VLOOKUP(BGL$1,'Renta Mixta Conservador'!$B$35:$C$53,2,FALSE),0%)</f>
        <v>0</v>
      </c>
      <c r="BGM8" s="5">
        <f>IFERROR(VLOOKUP(BGM$1,'Renta Mixta Conservador'!$B$35:$C$53,2,FALSE),0%)</f>
        <v>0</v>
      </c>
      <c r="BGN8" s="5">
        <f>IFERROR(VLOOKUP(BGN$1,'Renta Mixta Conservador'!$B$35:$C$53,2,FALSE),0%)</f>
        <v>0</v>
      </c>
      <c r="BGO8" s="5">
        <f>IFERROR(VLOOKUP(BGO$1,'Renta Mixta Conservador'!$B$35:$C$53,2,FALSE),0%)</f>
        <v>0</v>
      </c>
      <c r="BGP8" s="5">
        <f>IFERROR(VLOOKUP(BGP$1,'Renta Mixta Conservador'!$B$35:$C$53,2,FALSE),0%)</f>
        <v>0</v>
      </c>
      <c r="BGQ8" s="5">
        <f>IFERROR(VLOOKUP(BGQ$1,'Renta Mixta Conservador'!$B$35:$C$53,2,FALSE),0%)</f>
        <v>0</v>
      </c>
      <c r="BGR8" s="5">
        <f>IFERROR(VLOOKUP(BGR$1,'Renta Mixta Conservador'!$B$35:$C$53,2,FALSE),0%)</f>
        <v>0</v>
      </c>
      <c r="BGS8" s="5">
        <f>IFERROR(VLOOKUP(BGS$1,'Renta Mixta Conservador'!$B$35:$C$53,2,FALSE),0%)</f>
        <v>0</v>
      </c>
      <c r="BGT8" s="5">
        <f>IFERROR(VLOOKUP(BGT$1,'Renta Mixta Conservador'!$B$35:$C$53,2,FALSE),0%)</f>
        <v>0</v>
      </c>
      <c r="BGU8" s="5">
        <f>IFERROR(VLOOKUP(BGU$1,'Renta Mixta Conservador'!$B$35:$C$53,2,FALSE),0%)</f>
        <v>0</v>
      </c>
      <c r="BGV8" s="5">
        <f>IFERROR(VLOOKUP(BGV$1,'Renta Mixta Conservador'!$B$35:$C$53,2,FALSE),0%)</f>
        <v>0</v>
      </c>
      <c r="BGW8" s="5">
        <f>IFERROR(VLOOKUP(BGW$1,'Renta Mixta Conservador'!$B$35:$C$53,2,FALSE),0%)</f>
        <v>0</v>
      </c>
      <c r="BGX8" s="5">
        <f>IFERROR(VLOOKUP(BGX$1,'Renta Mixta Conservador'!$B$35:$C$53,2,FALSE),0%)</f>
        <v>0</v>
      </c>
      <c r="BGY8" s="5">
        <f>IFERROR(VLOOKUP(BGY$1,'Renta Mixta Conservador'!$B$35:$C$53,2,FALSE),0%)</f>
        <v>0</v>
      </c>
      <c r="BGZ8" s="5">
        <f>IFERROR(VLOOKUP(BGZ$1,'Renta Mixta Conservador'!$B$35:$C$53,2,FALSE),0%)</f>
        <v>0</v>
      </c>
      <c r="BHA8" s="5">
        <f>IFERROR(VLOOKUP(BHA$1,'Renta Mixta Conservador'!$B$35:$C$53,2,FALSE),0%)</f>
        <v>0</v>
      </c>
      <c r="BHB8" s="5">
        <f>IFERROR(VLOOKUP(BHB$1,'Renta Mixta Conservador'!$B$35:$C$53,2,FALSE),0%)</f>
        <v>0</v>
      </c>
      <c r="BHC8" s="5">
        <f>IFERROR(VLOOKUP(BHC$1,'Renta Mixta Conservador'!$B$35:$C$53,2,FALSE),0%)</f>
        <v>0</v>
      </c>
      <c r="BHD8" s="5">
        <f>IFERROR(VLOOKUP(BHD$1,'Renta Mixta Conservador'!$B$35:$C$53,2,FALSE),0%)</f>
        <v>0</v>
      </c>
      <c r="BHE8" s="5">
        <f>IFERROR(VLOOKUP(BHE$1,'Renta Mixta Conservador'!$B$35:$C$53,2,FALSE),0%)</f>
        <v>0</v>
      </c>
      <c r="BHF8" s="5">
        <f>IFERROR(VLOOKUP(BHF$1,'Renta Mixta Conservador'!$B$35:$C$53,2,FALSE),0%)</f>
        <v>0</v>
      </c>
      <c r="BHG8" s="5">
        <f>IFERROR(VLOOKUP(BHG$1,'Renta Mixta Conservador'!$B$35:$C$53,2,FALSE),0%)</f>
        <v>0</v>
      </c>
      <c r="BHH8" s="5">
        <f>IFERROR(VLOOKUP(BHH$1,'Renta Mixta Conservador'!$B$35:$C$53,2,FALSE),0%)</f>
        <v>0</v>
      </c>
      <c r="BHI8" s="5">
        <f>IFERROR(VLOOKUP(BHI$1,'Renta Mixta Conservador'!$B$35:$C$53,2,FALSE),0%)</f>
        <v>0</v>
      </c>
      <c r="BHJ8" s="5">
        <f>IFERROR(VLOOKUP(BHJ$1,'Renta Mixta Conservador'!$B$35:$C$53,2,FALSE),0%)</f>
        <v>0</v>
      </c>
      <c r="BHK8" s="5">
        <f>IFERROR(VLOOKUP(BHK$1,'Renta Mixta Conservador'!$B$35:$C$53,2,FALSE),0%)</f>
        <v>0</v>
      </c>
      <c r="BHL8" s="5">
        <f>IFERROR(VLOOKUP(BHL$1,'Renta Mixta Conservador'!$B$35:$C$53,2,FALSE),0%)</f>
        <v>0</v>
      </c>
      <c r="BHM8" s="5">
        <f>IFERROR(VLOOKUP(BHM$1,'Renta Mixta Conservador'!$B$35:$C$53,2,FALSE),0%)</f>
        <v>0</v>
      </c>
      <c r="BHN8" s="5">
        <f>IFERROR(VLOOKUP(BHN$1,'Renta Mixta Conservador'!$B$35:$C$53,2,FALSE),0%)</f>
        <v>0</v>
      </c>
      <c r="BHO8" s="5">
        <f>IFERROR(VLOOKUP(BHO$1,'Renta Mixta Conservador'!$B$35:$C$53,2,FALSE),0%)</f>
        <v>0</v>
      </c>
      <c r="BHP8" s="5">
        <f>IFERROR(VLOOKUP(BHP$1,'Renta Mixta Conservador'!$B$35:$C$53,2,FALSE),0%)</f>
        <v>0</v>
      </c>
      <c r="BHQ8" s="5">
        <f>IFERROR(VLOOKUP(BHQ$1,'Renta Mixta Conservador'!$B$35:$C$53,2,FALSE),0%)</f>
        <v>0</v>
      </c>
      <c r="BHR8" s="5">
        <f>IFERROR(VLOOKUP(BHR$1,'Renta Mixta Conservador'!$B$35:$C$53,2,FALSE),0%)</f>
        <v>0</v>
      </c>
      <c r="BHS8" s="5">
        <f>IFERROR(VLOOKUP(BHS$1,'Renta Mixta Conservador'!$B$35:$C$53,2,FALSE),0%)</f>
        <v>0</v>
      </c>
      <c r="BHT8" s="5">
        <f>IFERROR(VLOOKUP(BHT$1,'Renta Mixta Conservador'!$B$35:$C$53,2,FALSE),0%)</f>
        <v>0</v>
      </c>
      <c r="BHU8" s="5">
        <f>IFERROR(VLOOKUP(BHU$1,'Renta Mixta Conservador'!$B$35:$C$53,2,FALSE),0%)</f>
        <v>0</v>
      </c>
      <c r="BHV8" s="5">
        <f>IFERROR(VLOOKUP(BHV$1,'Renta Mixta Conservador'!$B$35:$C$53,2,FALSE),0%)</f>
        <v>0</v>
      </c>
      <c r="BHW8" s="5">
        <f>IFERROR(VLOOKUP(BHW$1,'Renta Mixta Conservador'!$B$35:$C$53,2,FALSE),0%)</f>
        <v>0</v>
      </c>
      <c r="BHX8" s="5">
        <f>IFERROR(VLOOKUP(BHX$1,'Renta Mixta Conservador'!$B$35:$C$53,2,FALSE),0%)</f>
        <v>0</v>
      </c>
      <c r="BHY8" s="5">
        <f>IFERROR(VLOOKUP(BHY$1,'Renta Mixta Conservador'!$B$35:$C$53,2,FALSE),0%)</f>
        <v>0</v>
      </c>
      <c r="BHZ8" s="5">
        <f>IFERROR(VLOOKUP(BHZ$1,'Renta Mixta Conservador'!$B$35:$C$53,2,FALSE),0%)</f>
        <v>0</v>
      </c>
      <c r="BIA8" s="5">
        <f>IFERROR(VLOOKUP(BIA$1,'Renta Mixta Conservador'!$B$35:$C$53,2,FALSE),0%)</f>
        <v>0</v>
      </c>
      <c r="BIB8" s="5">
        <f>IFERROR(VLOOKUP(BIB$1,'Renta Mixta Conservador'!$B$35:$C$53,2,FALSE),0%)</f>
        <v>0</v>
      </c>
      <c r="BIC8" s="5">
        <f>IFERROR(VLOOKUP(BIC$1,'Renta Mixta Conservador'!$B$35:$C$53,2,FALSE),0%)</f>
        <v>0</v>
      </c>
      <c r="BID8" s="5">
        <f>IFERROR(VLOOKUP(BID$1,'Renta Mixta Conservador'!$B$35:$C$53,2,FALSE),0%)</f>
        <v>0</v>
      </c>
      <c r="BIE8" s="5">
        <f>IFERROR(VLOOKUP(BIE$1,'Renta Mixta Conservador'!$B$35:$C$53,2,FALSE),0%)</f>
        <v>0</v>
      </c>
      <c r="BIF8" s="5">
        <f>IFERROR(VLOOKUP(BIF$1,'Renta Mixta Conservador'!$B$35:$C$53,2,FALSE),0%)</f>
        <v>0</v>
      </c>
      <c r="BIG8" s="5">
        <f>IFERROR(VLOOKUP(BIG$1,'Renta Mixta Conservador'!$B$35:$C$53,2,FALSE),0%)</f>
        <v>0</v>
      </c>
      <c r="BIH8" s="5">
        <f>IFERROR(VLOOKUP(BIH$1,'Renta Mixta Conservador'!$B$35:$C$53,2,FALSE),0%)</f>
        <v>0</v>
      </c>
      <c r="BII8" s="5">
        <f>IFERROR(VLOOKUP(BII$1,'Renta Mixta Conservador'!$B$35:$C$53,2,FALSE),0%)</f>
        <v>0</v>
      </c>
      <c r="BIJ8" s="5">
        <f>IFERROR(VLOOKUP(BIJ$1,'Renta Mixta Conservador'!$B$35:$C$53,2,FALSE),0%)</f>
        <v>0</v>
      </c>
      <c r="BIK8" s="5">
        <f>IFERROR(VLOOKUP(BIK$1,'Renta Mixta Conservador'!$B$35:$C$53,2,FALSE),0%)</f>
        <v>0.2303044343</v>
      </c>
      <c r="BIL8" s="5">
        <f>IFERROR(VLOOKUP(BIL$1,'Renta Mixta Conservador'!$B$35:$C$53,2,FALSE),0%)</f>
        <v>0</v>
      </c>
      <c r="BIM8" s="5">
        <f>IFERROR(VLOOKUP(BIM$1,'Renta Mixta Conservador'!$B$35:$C$53,2,FALSE),0%)</f>
        <v>0</v>
      </c>
      <c r="BIN8" s="5">
        <f>IFERROR(VLOOKUP(BIN$1,'Renta Mixta Conservador'!$B$35:$C$53,2,FALSE),0%)</f>
        <v>0</v>
      </c>
      <c r="BIO8" s="5">
        <f>IFERROR(VLOOKUP(BIO$1,'Renta Mixta Conservador'!$B$35:$C$53,2,FALSE),0%)</f>
        <v>0</v>
      </c>
      <c r="BIP8" s="5">
        <f>IFERROR(VLOOKUP(BIP$1,'Renta Mixta Conservador'!$B$35:$C$53,2,FALSE),0%)</f>
        <v>0</v>
      </c>
      <c r="BIQ8" s="5">
        <f>IFERROR(VLOOKUP(BIQ$1,'Renta Mixta Conservador'!$B$35:$C$53,2,FALSE),0%)</f>
        <v>0</v>
      </c>
      <c r="BIR8" s="5">
        <f>IFERROR(VLOOKUP(BIR$1,'Renta Mixta Conservador'!$B$35:$C$53,2,FALSE),0%)</f>
        <v>0</v>
      </c>
      <c r="BIS8" s="5">
        <f>IFERROR(VLOOKUP(BIS$1,'Renta Mixta Conservador'!$B$35:$C$53,2,FALSE),0%)</f>
        <v>0</v>
      </c>
      <c r="BIT8" s="5">
        <f>IFERROR(VLOOKUP(BIT$1,'Renta Mixta Conservador'!$B$35:$C$53,2,FALSE),0%)</f>
        <v>0</v>
      </c>
      <c r="BIU8" s="5">
        <f>IFERROR(VLOOKUP(BIU$1,'Renta Mixta Conservador'!$B$35:$C$53,2,FALSE),0%)</f>
        <v>0</v>
      </c>
      <c r="BIV8" s="5">
        <f>IFERROR(VLOOKUP(BIV$1,'Renta Mixta Conservador'!$B$35:$C$53,2,FALSE),0%)</f>
        <v>0</v>
      </c>
      <c r="BIW8" s="5">
        <f>IFERROR(VLOOKUP(BIW$1,'Renta Mixta Conservador'!$B$35:$C$53,2,FALSE),0%)</f>
        <v>0</v>
      </c>
      <c r="BIX8" s="5">
        <f>IFERROR(VLOOKUP(BIX$1,'Renta Mixta Conservador'!$B$35:$C$53,2,FALSE),0%)</f>
        <v>0</v>
      </c>
      <c r="BIY8" s="5">
        <f>IFERROR(VLOOKUP(BIY$1,'Renta Mixta Conservador'!$B$35:$C$53,2,FALSE),0%)</f>
        <v>0</v>
      </c>
      <c r="BIZ8" s="5">
        <f>IFERROR(VLOOKUP(BIZ$1,'Renta Mixta Conservador'!$B$35:$C$53,2,FALSE),0%)</f>
        <v>0</v>
      </c>
      <c r="BJA8" s="5">
        <f>IFERROR(VLOOKUP(BJA$1,'Renta Mixta Conservador'!$B$35:$C$53,2,FALSE),0%)</f>
        <v>0</v>
      </c>
      <c r="BJB8" s="5">
        <f>IFERROR(VLOOKUP(BJB$1,'Renta Mixta Conservador'!$B$35:$C$53,2,FALSE),0%)</f>
        <v>0</v>
      </c>
      <c r="BJC8" s="5">
        <f>IFERROR(VLOOKUP(BJC$1,'Renta Mixta Conservador'!$B$35:$C$53,2,FALSE),0%)</f>
        <v>0</v>
      </c>
      <c r="BJD8" s="5">
        <f>IFERROR(VLOOKUP(BJD$1,'Renta Mixta Conservador'!$B$35:$C$53,2,FALSE),0%)</f>
        <v>0</v>
      </c>
      <c r="BJE8" s="5">
        <f>IFERROR(VLOOKUP(BJE$1,'Renta Mixta Conservador'!$B$35:$C$53,2,FALSE),0%)</f>
        <v>0</v>
      </c>
      <c r="BJF8" s="5">
        <f>IFERROR(VLOOKUP(BJF$1,'Renta Mixta Conservador'!$B$35:$C$53,2,FALSE),0%)</f>
        <v>0</v>
      </c>
      <c r="BJG8" s="5">
        <f>IFERROR(VLOOKUP(BJG$1,'Renta Mixta Conservador'!$B$35:$C$53,2,FALSE),0%)</f>
        <v>0</v>
      </c>
      <c r="BJH8" s="5">
        <f>IFERROR(VLOOKUP(BJH$1,'Renta Mixta Conservador'!$B$35:$C$53,2,FALSE),0%)</f>
        <v>0</v>
      </c>
      <c r="BJI8" s="5">
        <f>IFERROR(VLOOKUP(BJI$1,'Renta Mixta Conservador'!$B$35:$C$53,2,FALSE),0%)</f>
        <v>0</v>
      </c>
      <c r="BJJ8" s="5">
        <f>IFERROR(VLOOKUP(BJJ$1,'Renta Mixta Conservador'!$B$35:$C$53,2,FALSE),0%)</f>
        <v>0</v>
      </c>
      <c r="BJK8" s="5">
        <f>IFERROR(VLOOKUP(BJK$1,'Renta Mixta Conservador'!$B$35:$C$53,2,FALSE),0%)</f>
        <v>0</v>
      </c>
      <c r="BJL8" s="5">
        <f>IFERROR(VLOOKUP(BJL$1,'Renta Mixta Conservador'!$B$35:$C$53,2,FALSE),0%)</f>
        <v>0</v>
      </c>
      <c r="BJM8" s="5">
        <f>IFERROR(VLOOKUP(BJM$1,'Renta Mixta Conservador'!$B$35:$C$53,2,FALSE),0%)</f>
        <v>0</v>
      </c>
      <c r="BJN8" s="5">
        <f>IFERROR(VLOOKUP(BJN$1,'Renta Mixta Conservador'!$B$35:$C$53,2,FALSE),0%)</f>
        <v>0</v>
      </c>
      <c r="BJO8" s="5">
        <f>IFERROR(VLOOKUP(BJO$1,'Renta Mixta Conservador'!$B$35:$C$53,2,FALSE),0%)</f>
        <v>0</v>
      </c>
      <c r="BJP8" s="5">
        <f>IFERROR(VLOOKUP(BJP$1,'Renta Mixta Conservador'!$B$35:$C$53,2,FALSE),0%)</f>
        <v>0</v>
      </c>
      <c r="BJQ8" s="5">
        <f>IFERROR(VLOOKUP(BJQ$1,'Renta Mixta Conservador'!$B$35:$C$53,2,FALSE),0%)</f>
        <v>0</v>
      </c>
      <c r="BJR8" s="5">
        <f>IFERROR(VLOOKUP(BJR$1,'Renta Mixta Conservador'!$B$35:$C$53,2,FALSE),0%)</f>
        <v>0</v>
      </c>
      <c r="BJS8" s="5">
        <f>IFERROR(VLOOKUP(BJS$1,'Renta Mixta Conservador'!$B$35:$C$53,2,FALSE),0%)</f>
        <v>0</v>
      </c>
      <c r="BJT8" s="5">
        <f>IFERROR(VLOOKUP(BJT$1,'Renta Mixta Conservador'!$B$35:$C$53,2,FALSE),0%)</f>
        <v>0</v>
      </c>
      <c r="BJU8" s="5">
        <f>IFERROR(VLOOKUP(BJU$1,'Renta Mixta Conservador'!$B$35:$C$53,2,FALSE),0%)</f>
        <v>0</v>
      </c>
      <c r="BJV8" s="5">
        <f>IFERROR(VLOOKUP(BJV$1,'Renta Mixta Conservador'!$B$35:$C$53,2,FALSE),0%)</f>
        <v>0</v>
      </c>
      <c r="BJW8" s="5">
        <f>IFERROR(VLOOKUP(BJW$1,'Renta Mixta Conservador'!$B$35:$C$53,2,FALSE),0%)</f>
        <v>0</v>
      </c>
      <c r="BJX8" s="5">
        <f>IFERROR(VLOOKUP(BJX$1,'Renta Mixta Conservador'!$B$35:$C$53,2,FALSE),0%)</f>
        <v>0</v>
      </c>
      <c r="BJY8" s="5">
        <f>IFERROR(VLOOKUP(BJY$1,'Renta Mixta Conservador'!$B$35:$C$53,2,FALSE),0%)</f>
        <v>0</v>
      </c>
      <c r="BJZ8" s="5">
        <f>IFERROR(VLOOKUP(BJZ$1,'Renta Mixta Conservador'!$B$35:$C$53,2,FALSE),0%)</f>
        <v>0</v>
      </c>
      <c r="BKA8" s="5">
        <f>IFERROR(VLOOKUP(BKA$1,'Renta Mixta Conservador'!$B$35:$C$53,2,FALSE),0%)</f>
        <v>0</v>
      </c>
      <c r="BKB8" s="5">
        <f>IFERROR(VLOOKUP(BKB$1,'Renta Mixta Conservador'!$B$35:$C$53,2,FALSE),0%)</f>
        <v>0</v>
      </c>
      <c r="BKC8" s="5">
        <f>IFERROR(VLOOKUP(BKC$1,'Renta Mixta Conservador'!$B$35:$C$53,2,FALSE),0%)</f>
        <v>0</v>
      </c>
      <c r="BKD8" s="5">
        <f>IFERROR(VLOOKUP(BKD$1,'Renta Mixta Conservador'!$B$35:$C$53,2,FALSE),0%)</f>
        <v>0</v>
      </c>
      <c r="BKE8" s="5">
        <f>IFERROR(VLOOKUP(BKE$1,'Renta Mixta Conservador'!$B$35:$C$53,2,FALSE),0%)</f>
        <v>0</v>
      </c>
      <c r="BKF8" s="5">
        <f>IFERROR(VLOOKUP(BKF$1,'Renta Mixta Conservador'!$B$35:$C$53,2,FALSE),0%)</f>
        <v>0</v>
      </c>
      <c r="BKG8" s="5">
        <f>IFERROR(VLOOKUP(BKG$1,'Renta Mixta Conservador'!$B$35:$C$53,2,FALSE),0%)</f>
        <v>0</v>
      </c>
      <c r="BKH8" s="5">
        <f>IFERROR(VLOOKUP(BKH$1,'Renta Mixta Conservador'!$B$35:$C$53,2,FALSE),0%)</f>
        <v>0</v>
      </c>
      <c r="BKI8" s="5">
        <f>IFERROR(VLOOKUP(BKI$1,'Renta Mixta Conservador'!$B$35:$C$53,2,FALSE),0%)</f>
        <v>0</v>
      </c>
      <c r="BKJ8" s="5">
        <f>IFERROR(VLOOKUP(BKJ$1,'Renta Mixta Conservador'!$B$35:$C$53,2,FALSE),0%)</f>
        <v>0</v>
      </c>
      <c r="BKK8" s="5">
        <f>IFERROR(VLOOKUP(BKK$1,'Renta Mixta Conservador'!$B$35:$C$53,2,FALSE),0%)</f>
        <v>0</v>
      </c>
      <c r="BKL8" s="5">
        <f>IFERROR(VLOOKUP(BKL$1,'Renta Mixta Conservador'!$B$35:$C$53,2,FALSE),0%)</f>
        <v>0</v>
      </c>
      <c r="BKM8" s="5">
        <f>IFERROR(VLOOKUP(BKM$1,'Renta Mixta Conservador'!$B$35:$C$53,2,FALSE),0%)</f>
        <v>0</v>
      </c>
      <c r="BKN8" s="5">
        <f>IFERROR(VLOOKUP(BKN$1,'Renta Mixta Conservador'!$B$35:$C$53,2,FALSE),0%)</f>
        <v>0</v>
      </c>
      <c r="BKO8" s="5">
        <f>IFERROR(VLOOKUP(BKO$1,'Renta Mixta Conservador'!$B$35:$C$53,2,FALSE),0%)</f>
        <v>0</v>
      </c>
      <c r="BKP8" s="5">
        <f>IFERROR(VLOOKUP(BKP$1,'Renta Mixta Conservador'!$B$35:$C$53,2,FALSE),0%)</f>
        <v>0</v>
      </c>
      <c r="BKQ8" s="5">
        <f>IFERROR(VLOOKUP(BKQ$1,'Renta Mixta Conservador'!$B$35:$C$53,2,FALSE),0%)</f>
        <v>0</v>
      </c>
      <c r="BKR8" s="5">
        <f>IFERROR(VLOOKUP(BKR$1,'Renta Mixta Conservador'!$B$35:$C$53,2,FALSE),0%)</f>
        <v>0</v>
      </c>
      <c r="BKS8" s="5">
        <f>IFERROR(VLOOKUP(BKS$1,'Renta Mixta Conservador'!$B$35:$C$53,2,FALSE),0%)</f>
        <v>0</v>
      </c>
      <c r="BKT8" s="5">
        <f>IFERROR(VLOOKUP(BKT$1,'Renta Mixta Conservador'!$B$35:$C$53,2,FALSE),0%)</f>
        <v>0</v>
      </c>
      <c r="BKU8" s="5">
        <f>IFERROR(VLOOKUP(BKU$1,'Renta Mixta Conservador'!$B$35:$C$53,2,FALSE),0%)</f>
        <v>0</v>
      </c>
      <c r="BKV8" s="5">
        <f>IFERROR(VLOOKUP(BKV$1,'Renta Mixta Conservador'!$B$35:$C$53,2,FALSE),0%)</f>
        <v>0</v>
      </c>
      <c r="BKW8" s="5">
        <f>IFERROR(VLOOKUP(BKW$1,'Renta Mixta Conservador'!$B$35:$C$53,2,FALSE),0%)</f>
        <v>0</v>
      </c>
      <c r="BKX8" s="5">
        <f>IFERROR(VLOOKUP(BKX$1,'Renta Mixta Conservador'!$B$35:$C$53,2,FALSE),0%)</f>
        <v>0</v>
      </c>
      <c r="BKY8" s="5">
        <f>IFERROR(VLOOKUP(BKY$1,'Renta Mixta Conservador'!$B$35:$C$53,2,FALSE),0%)</f>
        <v>0</v>
      </c>
      <c r="BKZ8" s="5">
        <f>IFERROR(VLOOKUP(BKZ$1,'Renta Mixta Conservador'!$B$35:$C$53,2,FALSE),0%)</f>
        <v>0</v>
      </c>
      <c r="BLA8" s="5">
        <f>IFERROR(VLOOKUP(BLA$1,'Renta Mixta Conservador'!$B$35:$C$53,2,FALSE),0%)</f>
        <v>0</v>
      </c>
      <c r="BLB8" s="5">
        <f>IFERROR(VLOOKUP(BLB$1,'Renta Mixta Conservador'!$B$35:$C$53,2,FALSE),0%)</f>
        <v>0</v>
      </c>
      <c r="BLC8" s="5">
        <f>IFERROR(VLOOKUP(BLC$1,'Renta Mixta Conservador'!$B$35:$C$53,2,FALSE),0%)</f>
        <v>0</v>
      </c>
      <c r="BLD8" s="5">
        <f>IFERROR(VLOOKUP(BLD$1,'Renta Mixta Conservador'!$B$35:$C$53,2,FALSE),0%)</f>
        <v>0</v>
      </c>
      <c r="BLE8" s="5">
        <f>IFERROR(VLOOKUP(BLE$1,'Renta Mixta Conservador'!$B$35:$C$53,2,FALSE),0%)</f>
        <v>0</v>
      </c>
      <c r="BLF8" s="5">
        <f>IFERROR(VLOOKUP(BLF$1,'Renta Mixta Conservador'!$B$35:$C$53,2,FALSE),0%)</f>
        <v>0</v>
      </c>
      <c r="BLG8" s="5">
        <f>IFERROR(VLOOKUP(BLG$1,'Renta Mixta Conservador'!$B$35:$C$53,2,FALSE),0%)</f>
        <v>0</v>
      </c>
      <c r="BLH8" s="5">
        <f>IFERROR(VLOOKUP(BLH$1,'Renta Mixta Conservador'!$B$35:$C$53,2,FALSE),0%)</f>
        <v>0</v>
      </c>
      <c r="BLI8" s="5">
        <f>IFERROR(VLOOKUP(BLI$1,'Renta Mixta Conservador'!$B$35:$C$53,2,FALSE),0%)</f>
        <v>0</v>
      </c>
      <c r="BLJ8" s="5">
        <f>IFERROR(VLOOKUP(BLJ$1,'Renta Mixta Conservador'!$B$35:$C$53,2,FALSE),0%)</f>
        <v>0</v>
      </c>
      <c r="BLK8" s="5">
        <f>IFERROR(VLOOKUP(BLK$1,'Renta Mixta Conservador'!$B$35:$C$53,2,FALSE),0%)</f>
        <v>0</v>
      </c>
      <c r="BLL8" s="5">
        <f>IFERROR(VLOOKUP(BLL$1,'Renta Mixta Conservador'!$B$35:$C$53,2,FALSE),0%)</f>
        <v>0</v>
      </c>
      <c r="BLM8" s="5">
        <f>IFERROR(VLOOKUP(BLM$1,'Renta Mixta Conservador'!$B$35:$C$53,2,FALSE),0%)</f>
        <v>0</v>
      </c>
      <c r="BLN8" s="5">
        <f>IFERROR(VLOOKUP(BLN$1,'Renta Mixta Conservador'!$B$35:$C$53,2,FALSE),0%)</f>
        <v>0</v>
      </c>
      <c r="BLO8" s="5">
        <f>IFERROR(VLOOKUP(BLO$1,'Renta Mixta Conservador'!$B$35:$C$53,2,FALSE),0%)</f>
        <v>0</v>
      </c>
      <c r="BLP8" s="5">
        <f>IFERROR(VLOOKUP(BLP$1,'Renta Mixta Conservador'!$B$35:$C$53,2,FALSE),0%)</f>
        <v>0</v>
      </c>
      <c r="BLQ8" s="5">
        <f>IFERROR(VLOOKUP(BLQ$1,'Renta Mixta Conservador'!$B$35:$C$53,2,FALSE),0%)</f>
        <v>0</v>
      </c>
      <c r="BLR8" s="5">
        <f>IFERROR(VLOOKUP(BLR$1,'Renta Mixta Conservador'!$B$35:$C$53,2,FALSE),0%)</f>
        <v>0</v>
      </c>
      <c r="BLS8" s="5">
        <f>IFERROR(VLOOKUP(BLS$1,'Renta Mixta Conservador'!$B$35:$C$53,2,FALSE),0%)</f>
        <v>0</v>
      </c>
      <c r="BLT8" s="5">
        <f>IFERROR(VLOOKUP(BLT$1,'Renta Mixta Conservador'!$B$35:$C$53,2,FALSE),0%)</f>
        <v>0</v>
      </c>
      <c r="BLU8" s="5">
        <f>IFERROR(VLOOKUP(BLU$1,'Renta Mixta Conservador'!$B$35:$C$53,2,FALSE),0%)</f>
        <v>0</v>
      </c>
      <c r="BLV8" s="5">
        <f>IFERROR(VLOOKUP(BLV$1,'Renta Mixta Conservador'!$B$35:$C$53,2,FALSE),0%)</f>
        <v>0</v>
      </c>
      <c r="BLW8" s="5">
        <f>IFERROR(VLOOKUP(BLW$1,'Renta Mixta Conservador'!$B$35:$C$53,2,FALSE),0%)</f>
        <v>0</v>
      </c>
      <c r="BLX8" s="5">
        <f>IFERROR(VLOOKUP(BLX$1,'Renta Mixta Conservador'!$B$35:$C$53,2,FALSE),0%)</f>
        <v>0</v>
      </c>
      <c r="BLY8" s="5">
        <f>IFERROR(VLOOKUP(BLY$1,'Renta Mixta Conservador'!$B$35:$C$53,2,FALSE),0%)</f>
        <v>0</v>
      </c>
      <c r="BLZ8" s="5">
        <f>IFERROR(VLOOKUP(BLZ$1,'Renta Mixta Conservador'!$B$35:$C$53,2,FALSE),0%)</f>
        <v>0</v>
      </c>
      <c r="BMA8" s="5">
        <f>IFERROR(VLOOKUP(BMA$1,'Renta Mixta Conservador'!$B$35:$C$53,2,FALSE),0%)</f>
        <v>0</v>
      </c>
      <c r="BMB8" s="5">
        <f>IFERROR(VLOOKUP(BMB$1,'Renta Mixta Conservador'!$B$35:$C$53,2,FALSE),0%)</f>
        <v>0</v>
      </c>
      <c r="BMC8" s="5">
        <f>IFERROR(VLOOKUP(BMC$1,'Renta Mixta Conservador'!$B$35:$C$53,2,FALSE),0%)</f>
        <v>0</v>
      </c>
      <c r="BMD8" s="5">
        <f>IFERROR(VLOOKUP(BMD$1,'Renta Mixta Conservador'!$B$35:$C$53,2,FALSE),0%)</f>
        <v>0</v>
      </c>
      <c r="BME8" s="5">
        <f>IFERROR(VLOOKUP(BME$1,'Renta Mixta Conservador'!$B$35:$C$53,2,FALSE),0%)</f>
        <v>0</v>
      </c>
      <c r="BMF8" s="5">
        <f>IFERROR(VLOOKUP(BMF$1,'Renta Mixta Conservador'!$B$35:$C$53,2,FALSE),0%)</f>
        <v>0</v>
      </c>
      <c r="BMG8" s="5">
        <f>IFERROR(VLOOKUP(BMG$1,'Renta Mixta Conservador'!$B$35:$C$53,2,FALSE),0%)</f>
        <v>0</v>
      </c>
      <c r="BMH8" s="5">
        <f>IFERROR(VLOOKUP(BMH$1,'Renta Mixta Conservador'!$B$35:$C$53,2,FALSE),0%)</f>
        <v>0</v>
      </c>
      <c r="BMI8" s="5">
        <f>IFERROR(VLOOKUP(BMI$1,'Renta Mixta Conservador'!$B$35:$C$53,2,FALSE),0%)</f>
        <v>0</v>
      </c>
      <c r="BMJ8" s="5">
        <f>IFERROR(VLOOKUP(BMJ$1,'Renta Mixta Conservador'!$B$35:$C$53,2,FALSE),0%)</f>
        <v>0</v>
      </c>
      <c r="BMK8" s="5">
        <f>IFERROR(VLOOKUP(BMK$1,'Renta Mixta Conservador'!$B$35:$C$53,2,FALSE),0%)</f>
        <v>0</v>
      </c>
      <c r="BML8" s="5">
        <f>IFERROR(VLOOKUP(BML$1,'Renta Mixta Conservador'!$B$35:$C$53,2,FALSE),0%)</f>
        <v>0</v>
      </c>
      <c r="BMM8" s="5">
        <f>IFERROR(VLOOKUP(BMM$1,'Renta Mixta Conservador'!$B$35:$C$53,2,FALSE),0%)</f>
        <v>0</v>
      </c>
      <c r="BMN8" s="5">
        <f>IFERROR(VLOOKUP(BMN$1,'Renta Mixta Conservador'!$B$35:$C$53,2,FALSE),0%)</f>
        <v>0</v>
      </c>
      <c r="BMO8" s="5">
        <f>IFERROR(VLOOKUP(BMO$1,'Renta Mixta Conservador'!$B$35:$C$53,2,FALSE),0%)</f>
        <v>0</v>
      </c>
      <c r="BMP8" s="5">
        <f>IFERROR(VLOOKUP(BMP$1,'Renta Mixta Conservador'!$B$35:$C$53,2,FALSE),0%)</f>
        <v>0</v>
      </c>
      <c r="BMQ8" s="5">
        <f>IFERROR(VLOOKUP(BMQ$1,'Renta Mixta Conservador'!$B$35:$C$53,2,FALSE),0%)</f>
        <v>0</v>
      </c>
      <c r="BMR8" s="5">
        <f>IFERROR(VLOOKUP(BMR$1,'Renta Mixta Conservador'!$B$35:$C$53,2,FALSE),0%)</f>
        <v>0</v>
      </c>
      <c r="BMS8" s="5">
        <f>IFERROR(VLOOKUP(BMS$1,'Renta Mixta Conservador'!$B$35:$C$53,2,FALSE),0%)</f>
        <v>0</v>
      </c>
      <c r="BMT8" s="5">
        <f>IFERROR(VLOOKUP(BMT$1,'Renta Mixta Conservador'!$B$35:$C$53,2,FALSE),0%)</f>
        <v>0</v>
      </c>
      <c r="BMU8" s="5">
        <f>IFERROR(VLOOKUP(BMU$1,'Renta Mixta Conservador'!$B$35:$C$53,2,FALSE),0%)</f>
        <v>0</v>
      </c>
      <c r="BMV8" s="5">
        <f>IFERROR(VLOOKUP(BMV$1,'Renta Mixta Conservador'!$B$35:$C$53,2,FALSE),0%)</f>
        <v>0</v>
      </c>
      <c r="BMW8" s="5">
        <f>IFERROR(VLOOKUP(BMW$1,'Renta Mixta Conservador'!$B$35:$C$53,2,FALSE),0%)</f>
        <v>0</v>
      </c>
      <c r="BMX8" s="5">
        <f>IFERROR(VLOOKUP(BMX$1,'Renta Mixta Conservador'!$B$35:$C$53,2,FALSE),0%)</f>
        <v>0</v>
      </c>
      <c r="BMY8" s="5">
        <f>IFERROR(VLOOKUP(BMY$1,'Renta Mixta Conservador'!$B$35:$C$53,2,FALSE),0%)</f>
        <v>0</v>
      </c>
      <c r="BMZ8" s="5">
        <f>IFERROR(VLOOKUP(BMZ$1,'Renta Mixta Conservador'!$B$35:$C$53,2,FALSE),0%)</f>
        <v>0</v>
      </c>
      <c r="BNA8" s="5">
        <f>IFERROR(VLOOKUP(BNA$1,'Renta Mixta Conservador'!$B$35:$C$53,2,FALSE),0%)</f>
        <v>0</v>
      </c>
      <c r="BNB8" s="5">
        <f>IFERROR(VLOOKUP(BNB$1,'Renta Mixta Conservador'!$B$35:$C$53,2,FALSE),0%)</f>
        <v>0</v>
      </c>
      <c r="BNC8" s="5">
        <f>IFERROR(VLOOKUP(BNC$1,'Renta Mixta Conservador'!$B$35:$C$53,2,FALSE),0%)</f>
        <v>0</v>
      </c>
      <c r="BND8" s="5">
        <f>IFERROR(VLOOKUP(BND$1,'Renta Mixta Conservador'!$B$35:$C$53,2,FALSE),0%)</f>
        <v>0</v>
      </c>
      <c r="BNE8" s="5">
        <f>IFERROR(VLOOKUP(BNE$1,'Renta Mixta Conservador'!$B$35:$C$53,2,FALSE),0%)</f>
        <v>0</v>
      </c>
      <c r="BNF8" s="5">
        <f>IFERROR(VLOOKUP(BNF$1,'Renta Mixta Conservador'!$B$35:$C$53,2,FALSE),0%)</f>
        <v>0</v>
      </c>
      <c r="BNG8" s="5">
        <f>IFERROR(VLOOKUP(BNG$1,'Renta Mixta Conservador'!$B$35:$C$53,2,FALSE),0%)</f>
        <v>0</v>
      </c>
      <c r="BNH8" s="5">
        <f>IFERROR(VLOOKUP(BNH$1,'Renta Mixta Conservador'!$B$35:$C$53,2,FALSE),0%)</f>
        <v>0</v>
      </c>
      <c r="BNI8" s="5">
        <f>IFERROR(VLOOKUP(BNI$1,'Renta Mixta Conservador'!$B$35:$C$53,2,FALSE),0%)</f>
        <v>0</v>
      </c>
      <c r="BNJ8" s="5">
        <f>IFERROR(VLOOKUP(BNJ$1,'Renta Mixta Conservador'!$B$35:$C$53,2,FALSE),0%)</f>
        <v>0</v>
      </c>
      <c r="BNK8" s="5">
        <f>IFERROR(VLOOKUP(BNK$1,'Renta Mixta Conservador'!$B$35:$C$53,2,FALSE),0%)</f>
        <v>0</v>
      </c>
      <c r="BNL8" s="5">
        <f>IFERROR(VLOOKUP(BNL$1,'Renta Mixta Conservador'!$B$35:$C$53,2,FALSE),0%)</f>
        <v>0</v>
      </c>
      <c r="BNM8" s="5">
        <f>IFERROR(VLOOKUP(BNM$1,'Renta Mixta Conservador'!$B$35:$C$53,2,FALSE),0%)</f>
        <v>0</v>
      </c>
      <c r="BNN8" s="5">
        <f>IFERROR(VLOOKUP(BNN$1,'Renta Mixta Conservador'!$B$35:$C$53,2,FALSE),0%)</f>
        <v>0</v>
      </c>
      <c r="BNO8" s="5">
        <f>IFERROR(VLOOKUP(BNO$1,'Renta Mixta Conservador'!$B$35:$C$53,2,FALSE),0%)</f>
        <v>0</v>
      </c>
      <c r="BNP8" s="5">
        <f>IFERROR(VLOOKUP(BNP$1,'Renta Mixta Conservador'!$B$35:$C$53,2,FALSE),0%)</f>
        <v>0</v>
      </c>
      <c r="BNQ8" s="5">
        <f>IFERROR(VLOOKUP(BNQ$1,'Renta Mixta Conservador'!$B$35:$C$53,2,FALSE),0%)</f>
        <v>0</v>
      </c>
      <c r="BNR8" s="5">
        <f>IFERROR(VLOOKUP(BNR$1,'Renta Mixta Conservador'!$B$35:$C$53,2,FALSE),0%)</f>
        <v>0</v>
      </c>
      <c r="BNS8" s="5">
        <f>IFERROR(VLOOKUP(BNS$1,'Renta Mixta Conservador'!$B$35:$C$53,2,FALSE),0%)</f>
        <v>0</v>
      </c>
      <c r="BNT8" s="5">
        <f>IFERROR(VLOOKUP(BNT$1,'Renta Mixta Conservador'!$B$35:$C$53,2,FALSE),0%)</f>
        <v>0</v>
      </c>
      <c r="BNU8" s="5">
        <f>IFERROR(VLOOKUP(BNU$1,'Renta Mixta Conservador'!$B$35:$C$53,2,FALSE),0%)</f>
        <v>0</v>
      </c>
      <c r="BNV8" s="5">
        <f>IFERROR(VLOOKUP(BNV$1,'Renta Mixta Conservador'!$B$35:$C$53,2,FALSE),0%)</f>
        <v>0</v>
      </c>
      <c r="BNW8" s="5">
        <f>IFERROR(VLOOKUP(BNW$1,'Renta Mixta Conservador'!$B$35:$C$53,2,FALSE),0%)</f>
        <v>0</v>
      </c>
      <c r="BNX8" s="5">
        <f>IFERROR(VLOOKUP(BNX$1,'Renta Mixta Conservador'!$B$35:$C$53,2,FALSE),0%)</f>
        <v>0</v>
      </c>
      <c r="BNY8" s="5">
        <f>IFERROR(VLOOKUP(BNY$1,'Renta Mixta Conservador'!$B$35:$C$53,2,FALSE),0%)</f>
        <v>0</v>
      </c>
      <c r="BNZ8" s="5">
        <f>IFERROR(VLOOKUP(BNZ$1,'Renta Mixta Conservador'!$B$35:$C$53,2,FALSE),0%)</f>
        <v>0</v>
      </c>
      <c r="BOA8" s="5">
        <f>IFERROR(VLOOKUP(BOA$1,'Renta Mixta Conservador'!$B$35:$C$53,2,FALSE),0%)</f>
        <v>0</v>
      </c>
      <c r="BOB8" s="5">
        <f>IFERROR(VLOOKUP(BOB$1,'Renta Mixta Conservador'!$B$35:$C$53,2,FALSE),0%)</f>
        <v>0</v>
      </c>
      <c r="BOC8" s="5">
        <f>IFERROR(VLOOKUP(BOC$1,'Renta Mixta Conservador'!$B$35:$C$53,2,FALSE),0%)</f>
        <v>0</v>
      </c>
      <c r="BOD8" s="5">
        <f>IFERROR(VLOOKUP(BOD$1,'Renta Mixta Conservador'!$B$35:$C$53,2,FALSE),0%)</f>
        <v>0</v>
      </c>
      <c r="BOE8" s="5">
        <f>IFERROR(VLOOKUP(BOE$1,'Renta Mixta Conservador'!$B$35:$C$53,2,FALSE),0%)</f>
        <v>0</v>
      </c>
      <c r="BOF8" s="5">
        <f>IFERROR(VLOOKUP(BOF$1,'Renta Mixta Conservador'!$B$35:$C$53,2,FALSE),0%)</f>
        <v>0</v>
      </c>
      <c r="BOG8" s="5">
        <f>IFERROR(VLOOKUP(BOG$1,'Renta Mixta Conservador'!$B$35:$C$53,2,FALSE),0%)</f>
        <v>0</v>
      </c>
      <c r="BOH8" s="5">
        <f>IFERROR(VLOOKUP(BOH$1,'Renta Mixta Conservador'!$B$35:$C$53,2,FALSE),0%)</f>
        <v>0</v>
      </c>
      <c r="BOI8" s="5">
        <f>IFERROR(VLOOKUP(BOI$1,'Renta Mixta Conservador'!$B$35:$C$53,2,FALSE),0%)</f>
        <v>0</v>
      </c>
      <c r="BOJ8" s="5">
        <f>IFERROR(VLOOKUP(BOJ$1,'Renta Mixta Conservador'!$B$35:$C$53,2,FALSE),0%)</f>
        <v>0</v>
      </c>
      <c r="BOK8" s="5">
        <f>IFERROR(VLOOKUP(BOK$1,'Renta Mixta Conservador'!$B$35:$C$53,2,FALSE),0%)</f>
        <v>0</v>
      </c>
      <c r="BOL8" s="5">
        <f>IFERROR(VLOOKUP(BOL$1,'Renta Mixta Conservador'!$B$35:$C$53,2,FALSE),0%)</f>
        <v>0</v>
      </c>
      <c r="BOM8" s="5">
        <f>IFERROR(VLOOKUP(BOM$1,'Renta Mixta Conservador'!$B$35:$C$53,2,FALSE),0%)</f>
        <v>0</v>
      </c>
      <c r="BON8" s="5">
        <f>IFERROR(VLOOKUP(BON$1,'Renta Mixta Conservador'!$B$35:$C$53,2,FALSE),0%)</f>
        <v>0</v>
      </c>
      <c r="BOO8" s="5">
        <f>IFERROR(VLOOKUP(BOO$1,'Renta Mixta Conservador'!$B$35:$C$53,2,FALSE),0%)</f>
        <v>0</v>
      </c>
      <c r="BOP8" s="5">
        <f>IFERROR(VLOOKUP(BOP$1,'Renta Mixta Conservador'!$B$35:$C$53,2,FALSE),0%)</f>
        <v>0</v>
      </c>
      <c r="BOQ8" s="5">
        <f>IFERROR(VLOOKUP(BOQ$1,'Renta Mixta Conservador'!$B$35:$C$53,2,FALSE),0%)</f>
        <v>0</v>
      </c>
      <c r="BOR8" s="5">
        <f>IFERROR(VLOOKUP(BOR$1,'Renta Mixta Conservador'!$B$35:$C$53,2,FALSE),0%)</f>
        <v>0</v>
      </c>
      <c r="BOS8" s="5">
        <f>IFERROR(VLOOKUP(BOS$1,'Renta Mixta Conservador'!$B$35:$C$53,2,FALSE),0%)</f>
        <v>0.04343321944</v>
      </c>
      <c r="BOT8" s="5">
        <f>IFERROR(VLOOKUP(BOT$1,'Renta Mixta Conservador'!$B$35:$C$53,2,FALSE),0%)</f>
        <v>0</v>
      </c>
      <c r="BOU8" s="5">
        <f>IFERROR(VLOOKUP(BOU$1,'Renta Mixta Conservador'!$B$35:$C$53,2,FALSE),0%)</f>
        <v>0</v>
      </c>
      <c r="BOV8" s="5">
        <f>IFERROR(VLOOKUP(BOV$1,'Renta Mixta Conservador'!$B$35:$C$53,2,FALSE),0%)</f>
        <v>0</v>
      </c>
      <c r="BOW8" s="5">
        <f>IFERROR(VLOOKUP(BOW$1,'Renta Mixta Conservador'!$B$35:$C$53,2,FALSE),0%)</f>
        <v>0</v>
      </c>
      <c r="BOX8" s="5">
        <f>IFERROR(VLOOKUP(BOX$1,'Renta Mixta Conservador'!$B$35:$C$53,2,FALSE),0%)</f>
        <v>0</v>
      </c>
      <c r="BOY8" s="5">
        <f>IFERROR(VLOOKUP(BOY$1,'Renta Mixta Conservador'!$B$35:$C$53,2,FALSE),0%)</f>
        <v>0</v>
      </c>
      <c r="BOZ8" s="5">
        <f>IFERROR(VLOOKUP(BOZ$1,'Renta Mixta Conservador'!$B$35:$C$53,2,FALSE),0%)</f>
        <v>0</v>
      </c>
      <c r="BPA8" s="5">
        <f>IFERROR(VLOOKUP(BPA$1,'Renta Mixta Conservador'!$B$35:$C$53,2,FALSE),0%)</f>
        <v>0</v>
      </c>
      <c r="BPB8" s="5">
        <f>IFERROR(VLOOKUP(BPB$1,'Renta Mixta Conservador'!$B$35:$C$53,2,FALSE),0%)</f>
        <v>0</v>
      </c>
      <c r="BPC8" s="5">
        <f>IFERROR(VLOOKUP(BPC$1,'Renta Mixta Conservador'!$B$35:$C$53,2,FALSE),0%)</f>
        <v>0</v>
      </c>
      <c r="BPD8" s="5">
        <f>IFERROR(VLOOKUP(BPD$1,'Renta Mixta Conservador'!$B$35:$C$53,2,FALSE),0%)</f>
        <v>0</v>
      </c>
      <c r="BPE8" s="5">
        <f>IFERROR(VLOOKUP(BPE$1,'Renta Mixta Conservador'!$B$35:$C$53,2,FALSE),0%)</f>
        <v>0</v>
      </c>
      <c r="BPF8" s="5">
        <f>IFERROR(VLOOKUP(BPF$1,'Renta Mixta Conservador'!$B$35:$C$53,2,FALSE),0%)</f>
        <v>0</v>
      </c>
      <c r="BPG8" s="5">
        <f>IFERROR(VLOOKUP(BPG$1,'Renta Mixta Conservador'!$B$35:$C$53,2,FALSE),0%)</f>
        <v>0</v>
      </c>
      <c r="BPH8" s="5">
        <f>IFERROR(VLOOKUP(BPH$1,'Renta Mixta Conservador'!$B$35:$C$53,2,FALSE),0%)</f>
        <v>0</v>
      </c>
      <c r="BPI8" s="5">
        <f>IFERROR(VLOOKUP(BPI$1,'Renta Mixta Conservador'!$B$35:$C$53,2,FALSE),0%)</f>
        <v>0</v>
      </c>
      <c r="BPJ8" s="5">
        <f>IFERROR(VLOOKUP(BPJ$1,'Renta Mixta Conservador'!$B$35:$C$53,2,FALSE),0%)</f>
        <v>0</v>
      </c>
      <c r="BPK8" s="5">
        <f>IFERROR(VLOOKUP(BPK$1,'Renta Mixta Conservador'!$B$35:$C$53,2,FALSE),0%)</f>
        <v>0</v>
      </c>
      <c r="BPL8" s="5">
        <f>IFERROR(VLOOKUP(BPL$1,'Renta Mixta Conservador'!$B$35:$C$53,2,FALSE),0%)</f>
        <v>0</v>
      </c>
      <c r="BPM8" s="5">
        <f>IFERROR(VLOOKUP(BPM$1,'Renta Mixta Conservador'!$B$35:$C$53,2,FALSE),0%)</f>
        <v>0</v>
      </c>
      <c r="BPN8" s="5">
        <f>IFERROR(VLOOKUP(BPN$1,'Renta Mixta Conservador'!$B$35:$C$53,2,FALSE),0%)</f>
        <v>0</v>
      </c>
      <c r="BPO8" s="5">
        <f>IFERROR(VLOOKUP(BPO$1,'Renta Mixta Conservador'!$B$35:$C$53,2,FALSE),0%)</f>
        <v>0</v>
      </c>
      <c r="BPP8" s="5">
        <f>IFERROR(VLOOKUP(BPP$1,'Renta Mixta Conservador'!$B$35:$C$53,2,FALSE),0%)</f>
        <v>0</v>
      </c>
      <c r="BPQ8" s="5">
        <f>IFERROR(VLOOKUP(BPQ$1,'Renta Mixta Conservador'!$B$35:$C$53,2,FALSE),0%)</f>
        <v>0</v>
      </c>
      <c r="BPR8" s="5">
        <f>IFERROR(VLOOKUP(BPR$1,'Renta Mixta Conservador'!$B$35:$C$53,2,FALSE),0%)</f>
        <v>0</v>
      </c>
      <c r="BPS8" s="5">
        <f>IFERROR(VLOOKUP(BPS$1,'Renta Mixta Conservador'!$B$35:$C$53,2,FALSE),0%)</f>
        <v>0</v>
      </c>
      <c r="BPT8" s="5">
        <f>IFERROR(VLOOKUP(BPT$1,'Renta Mixta Conservador'!$B$35:$C$53,2,FALSE),0%)</f>
        <v>0</v>
      </c>
      <c r="BPU8" s="5">
        <f>IFERROR(VLOOKUP(BPU$1,'Renta Mixta Conservador'!$B$35:$C$53,2,FALSE),0%)</f>
        <v>0</v>
      </c>
      <c r="BPV8" s="5">
        <f>IFERROR(VLOOKUP(BPV$1,'Renta Mixta Conservador'!$B$35:$C$53,2,FALSE),0%)</f>
        <v>0</v>
      </c>
      <c r="BPW8" s="5">
        <f>IFERROR(VLOOKUP(BPW$1,'Renta Mixta Conservador'!$B$35:$C$53,2,FALSE),0%)</f>
        <v>0</v>
      </c>
      <c r="BPX8" s="5">
        <f>IFERROR(VLOOKUP(BPX$1,'Renta Mixta Conservador'!$B$35:$C$53,2,FALSE),0%)</f>
        <v>0</v>
      </c>
      <c r="BPY8" s="5">
        <f>IFERROR(VLOOKUP(BPY$1,'Renta Mixta Conservador'!$B$35:$C$53,2,FALSE),0%)</f>
        <v>0</v>
      </c>
      <c r="BPZ8" s="5">
        <f>IFERROR(VLOOKUP(BPZ$1,'Renta Mixta Conservador'!$B$35:$C$53,2,FALSE),0%)</f>
        <v>0</v>
      </c>
      <c r="BQA8" s="5">
        <f>IFERROR(VLOOKUP(BQA$1,'Renta Mixta Conservador'!$B$35:$C$53,2,FALSE),0%)</f>
        <v>0</v>
      </c>
      <c r="BQB8" s="5">
        <f>IFERROR(VLOOKUP(BQB$1,'Renta Mixta Conservador'!$B$35:$C$53,2,FALSE),0%)</f>
        <v>0</v>
      </c>
      <c r="BQC8" s="5">
        <f>IFERROR(VLOOKUP(BQC$1,'Renta Mixta Conservador'!$B$35:$C$53,2,FALSE),0%)</f>
        <v>0</v>
      </c>
      <c r="BQD8" s="5">
        <f>IFERROR(VLOOKUP(BQD$1,'Renta Mixta Conservador'!$B$35:$C$53,2,FALSE),0%)</f>
        <v>0</v>
      </c>
      <c r="BQE8" s="5">
        <f>IFERROR(VLOOKUP(BQE$1,'Renta Mixta Conservador'!$B$35:$C$53,2,FALSE),0%)</f>
        <v>0</v>
      </c>
      <c r="BQF8" s="5">
        <f>IFERROR(VLOOKUP(BQF$1,'Renta Mixta Conservador'!$B$35:$C$53,2,FALSE),0%)</f>
        <v>0</v>
      </c>
      <c r="BQG8" s="5">
        <f>IFERROR(VLOOKUP(BQG$1,'Renta Mixta Conservador'!$B$35:$C$53,2,FALSE),0%)</f>
        <v>0.03227629249</v>
      </c>
      <c r="BQH8" s="5">
        <f>IFERROR(VLOOKUP(BQH$1,'Renta Mixta Conservador'!$B$35:$C$53,2,FALSE),0%)</f>
        <v>0</v>
      </c>
      <c r="BQI8" s="5">
        <f>IFERROR(VLOOKUP(BQI$1,'Renta Mixta Conservador'!$B$35:$C$53,2,FALSE),0%)</f>
        <v>0</v>
      </c>
      <c r="BQJ8" s="5">
        <f>IFERROR(VLOOKUP(BQJ$1,'Renta Mixta Conservador'!$B$35:$C$53,2,FALSE),0%)</f>
        <v>0</v>
      </c>
      <c r="BQK8" s="5">
        <f>IFERROR(VLOOKUP(BQK$1,'Renta Mixta Conservador'!$B$35:$C$53,2,FALSE),0%)</f>
        <v>0</v>
      </c>
      <c r="BQL8" s="5">
        <f>IFERROR(VLOOKUP(BQL$1,'Renta Mixta Conservador'!$B$35:$C$53,2,FALSE),0%)</f>
        <v>0</v>
      </c>
      <c r="BQM8" s="5">
        <f>IFERROR(VLOOKUP(BQM$1,'Renta Mixta Conservador'!$B$35:$C$53,2,FALSE),0%)</f>
        <v>0</v>
      </c>
      <c r="BQN8" s="5">
        <f>IFERROR(VLOOKUP(BQN$1,'Renta Mixta Conservador'!$B$35:$C$53,2,FALSE),0%)</f>
        <v>0</v>
      </c>
      <c r="BQO8" s="5">
        <f>IFERROR(VLOOKUP(BQO$1,'Renta Mixta Conservador'!$B$35:$C$53,2,FALSE),0%)</f>
        <v>0</v>
      </c>
      <c r="BQP8" s="5">
        <f>IFERROR(VLOOKUP(BQP$1,'Renta Mixta Conservador'!$B$35:$C$53,2,FALSE),0%)</f>
        <v>0</v>
      </c>
      <c r="BQQ8" s="5">
        <f>IFERROR(VLOOKUP(BQQ$1,'Renta Mixta Conservador'!$B$35:$C$53,2,FALSE),0%)</f>
        <v>0</v>
      </c>
      <c r="BQR8" s="5">
        <f>IFERROR(VLOOKUP(BQR$1,'Renta Mixta Conservador'!$B$35:$C$53,2,FALSE),0%)</f>
        <v>0</v>
      </c>
      <c r="BQS8" s="5">
        <f>IFERROR(VLOOKUP(BQS$1,'Renta Mixta Conservador'!$B$35:$C$53,2,FALSE),0%)</f>
        <v>0</v>
      </c>
      <c r="BQT8" s="5">
        <f>IFERROR(VLOOKUP(BQT$1,'Renta Mixta Conservador'!$B$35:$C$53,2,FALSE),0%)</f>
        <v>0</v>
      </c>
      <c r="BQU8" s="5">
        <f>IFERROR(VLOOKUP(BQU$1,'Renta Mixta Conservador'!$B$35:$C$53,2,FALSE),0%)</f>
        <v>0</v>
      </c>
      <c r="BQV8" s="5">
        <f>IFERROR(VLOOKUP(BQV$1,'Renta Mixta Conservador'!$B$35:$C$53,2,FALSE),0%)</f>
        <v>0</v>
      </c>
      <c r="BQW8" s="5">
        <f>IFERROR(VLOOKUP(BQW$1,'Renta Mixta Conservador'!$B$35:$C$53,2,FALSE),0%)</f>
        <v>0</v>
      </c>
      <c r="BQX8" s="5">
        <f>IFERROR(VLOOKUP(BQX$1,'Renta Mixta Conservador'!$B$35:$C$53,2,FALSE),0%)</f>
        <v>0</v>
      </c>
      <c r="BQY8" s="5">
        <f>IFERROR(VLOOKUP(BQY$1,'Renta Mixta Conservador'!$B$35:$C$53,2,FALSE),0%)</f>
        <v>0</v>
      </c>
      <c r="BQZ8" s="5">
        <f>IFERROR(VLOOKUP(BQZ$1,'Renta Mixta Conservador'!$B$35:$C$53,2,FALSE),0%)</f>
        <v>0</v>
      </c>
      <c r="BRA8" s="5">
        <f>IFERROR(VLOOKUP(BRA$1,'Renta Mixta Conservador'!$B$35:$C$53,2,FALSE),0%)</f>
        <v>0</v>
      </c>
      <c r="BRB8" s="5">
        <f>IFERROR(VLOOKUP(BRB$1,'Renta Mixta Conservador'!$B$35:$C$53,2,FALSE),0%)</f>
        <v>0</v>
      </c>
      <c r="BRC8" s="5">
        <f>IFERROR(VLOOKUP(BRC$1,'Renta Mixta Conservador'!$B$35:$C$53,2,FALSE),0%)</f>
        <v>0</v>
      </c>
      <c r="BRD8" s="5">
        <f>IFERROR(VLOOKUP(BRD$1,'Renta Mixta Conservador'!$B$35:$C$53,2,FALSE),0%)</f>
        <v>0</v>
      </c>
      <c r="BRE8" s="5">
        <f>IFERROR(VLOOKUP(BRE$1,'Renta Mixta Conservador'!$B$35:$C$53,2,FALSE),0%)</f>
        <v>0</v>
      </c>
      <c r="BRF8" s="5">
        <f>IFERROR(VLOOKUP(BRF$1,'Renta Mixta Conservador'!$B$35:$C$53,2,FALSE),0%)</f>
        <v>0</v>
      </c>
      <c r="BRG8" s="5">
        <f>IFERROR(VLOOKUP(BRG$1,'Renta Mixta Conservador'!$B$35:$C$53,2,FALSE),0%)</f>
        <v>0</v>
      </c>
      <c r="BRH8" s="5">
        <f>IFERROR(VLOOKUP(BRH$1,'Renta Mixta Conservador'!$B$35:$C$53,2,FALSE),0%)</f>
        <v>0</v>
      </c>
      <c r="BRI8" s="5">
        <f>IFERROR(VLOOKUP(BRI$1,'Renta Mixta Conservador'!$B$35:$C$53,2,FALSE),0%)</f>
        <v>0</v>
      </c>
      <c r="BRJ8" s="5">
        <f>IFERROR(VLOOKUP(BRJ$1,'Renta Mixta Conservador'!$B$35:$C$53,2,FALSE),0%)</f>
        <v>0</v>
      </c>
      <c r="BRK8" s="5">
        <f>IFERROR(VLOOKUP(BRK$1,'Renta Mixta Conservador'!$B$35:$C$53,2,FALSE),0%)</f>
        <v>0</v>
      </c>
      <c r="BRL8" s="5">
        <f>IFERROR(VLOOKUP(BRL$1,'Renta Mixta Conservador'!$B$35:$C$53,2,FALSE),0%)</f>
        <v>0</v>
      </c>
      <c r="BRM8" s="5">
        <f>IFERROR(VLOOKUP(BRM$1,'Renta Mixta Conservador'!$B$35:$C$53,2,FALSE),0%)</f>
        <v>0</v>
      </c>
      <c r="BRN8" s="5">
        <f>IFERROR(VLOOKUP(BRN$1,'Renta Mixta Conservador'!$B$35:$C$53,2,FALSE),0%)</f>
        <v>0</v>
      </c>
      <c r="BRO8" s="5">
        <f>IFERROR(VLOOKUP(BRO$1,'Renta Mixta Conservador'!$B$35:$C$53,2,FALSE),0%)</f>
        <v>0</v>
      </c>
      <c r="BRP8" s="5">
        <f>IFERROR(VLOOKUP(BRP$1,'Renta Mixta Conservador'!$B$35:$C$53,2,FALSE),0%)</f>
        <v>0</v>
      </c>
      <c r="BRQ8" s="5">
        <f>IFERROR(VLOOKUP(BRQ$1,'Renta Mixta Conservador'!$B$35:$C$53,2,FALSE),0%)</f>
        <v>0</v>
      </c>
      <c r="BRR8" s="5">
        <f>IFERROR(VLOOKUP(BRR$1,'Renta Mixta Conservador'!$B$35:$C$53,2,FALSE),0%)</f>
        <v>0</v>
      </c>
      <c r="BRS8" s="5">
        <f>IFERROR(VLOOKUP(BRS$1,'Renta Mixta Conservador'!$B$35:$C$53,2,FALSE),0%)</f>
        <v>0</v>
      </c>
      <c r="BRT8" s="5">
        <f>IFERROR(VLOOKUP(BRT$1,'Renta Mixta Conservador'!$B$35:$C$53,2,FALSE),0%)</f>
        <v>0</v>
      </c>
      <c r="BRU8" s="5">
        <f>IFERROR(VLOOKUP(BRU$1,'Renta Mixta Conservador'!$B$35:$C$53,2,FALSE),0%)</f>
        <v>0</v>
      </c>
      <c r="BRV8" s="5">
        <f>IFERROR(VLOOKUP(BRV$1,'Renta Mixta Conservador'!$B$35:$C$53,2,FALSE),0%)</f>
        <v>0</v>
      </c>
      <c r="BRW8" s="5">
        <f>IFERROR(VLOOKUP(BRW$1,'Renta Mixta Conservador'!$B$35:$C$53,2,FALSE),0%)</f>
        <v>0</v>
      </c>
      <c r="BRX8" s="5">
        <f>IFERROR(VLOOKUP(BRX$1,'Renta Mixta Conservador'!$B$35:$C$53,2,FALSE),0%)</f>
        <v>0</v>
      </c>
      <c r="BRY8" s="5">
        <f>IFERROR(VLOOKUP(BRY$1,'Renta Mixta Conservador'!$B$35:$C$53,2,FALSE),0%)</f>
        <v>0</v>
      </c>
      <c r="BRZ8" s="5">
        <f>IFERROR(VLOOKUP(BRZ$1,'Renta Mixta Conservador'!$B$35:$C$53,2,FALSE),0%)</f>
        <v>0</v>
      </c>
      <c r="BSA8" s="5">
        <f>IFERROR(VLOOKUP(BSA$1,'Renta Mixta Conservador'!$B$35:$C$53,2,FALSE),0%)</f>
        <v>0</v>
      </c>
      <c r="BSB8" s="5">
        <f>IFERROR(VLOOKUP(BSB$1,'Renta Mixta Conservador'!$B$35:$C$53,2,FALSE),0%)</f>
        <v>0</v>
      </c>
      <c r="BSC8" s="5">
        <f>IFERROR(VLOOKUP(BSC$1,'Renta Mixta Conservador'!$B$35:$C$53,2,FALSE),0%)</f>
        <v>0</v>
      </c>
      <c r="BSD8" s="5">
        <f>IFERROR(VLOOKUP(BSD$1,'Renta Mixta Conservador'!$B$35:$C$53,2,FALSE),0%)</f>
        <v>0</v>
      </c>
      <c r="BSE8" s="5">
        <f>IFERROR(VLOOKUP(BSE$1,'Renta Mixta Conservador'!$B$35:$C$53,2,FALSE),0%)</f>
        <v>0</v>
      </c>
      <c r="BSF8" s="5">
        <f>IFERROR(VLOOKUP(BSF$1,'Renta Mixta Conservador'!$B$35:$C$53,2,FALSE),0%)</f>
        <v>0</v>
      </c>
      <c r="BSG8" s="5">
        <f>IFERROR(VLOOKUP(BSG$1,'Renta Mixta Conservador'!$B$35:$C$53,2,FALSE),0%)</f>
        <v>0</v>
      </c>
      <c r="BSH8" s="5">
        <f>IFERROR(VLOOKUP(BSH$1,'Renta Mixta Conservador'!$B$35:$C$53,2,FALSE),0%)</f>
        <v>0</v>
      </c>
      <c r="BSI8" s="5">
        <f>IFERROR(VLOOKUP(BSI$1,'Renta Mixta Conservador'!$B$35:$C$53,2,FALSE),0%)</f>
        <v>0</v>
      </c>
      <c r="BSJ8" s="5">
        <f>IFERROR(VLOOKUP(BSJ$1,'Renta Mixta Conservador'!$B$35:$C$53,2,FALSE),0%)</f>
        <v>0</v>
      </c>
      <c r="BSK8" s="5">
        <f>IFERROR(VLOOKUP(BSK$1,'Renta Mixta Conservador'!$B$35:$C$53,2,FALSE),0%)</f>
        <v>0</v>
      </c>
      <c r="BSL8" s="5">
        <f>IFERROR(VLOOKUP(BSL$1,'Renta Mixta Conservador'!$B$35:$C$53,2,FALSE),0%)</f>
        <v>0</v>
      </c>
      <c r="BSM8" s="5">
        <f>IFERROR(VLOOKUP(BSM$1,'Renta Mixta Conservador'!$B$35:$C$53,2,FALSE),0%)</f>
        <v>0</v>
      </c>
      <c r="BSN8" s="5">
        <f>IFERROR(VLOOKUP(BSN$1,'Renta Mixta Conservador'!$B$35:$C$53,2,FALSE),0%)</f>
        <v>0</v>
      </c>
      <c r="BSO8" s="5">
        <f>IFERROR(VLOOKUP(BSO$1,'Renta Mixta Conservador'!$B$35:$C$53,2,FALSE),0%)</f>
        <v>0</v>
      </c>
      <c r="BSP8" s="5">
        <f>IFERROR(VLOOKUP(BSP$1,'Renta Mixta Conservador'!$B$35:$C$53,2,FALSE),0%)</f>
        <v>0</v>
      </c>
      <c r="BSQ8" s="5">
        <f>IFERROR(VLOOKUP(BSQ$1,'Renta Mixta Conservador'!$B$35:$C$53,2,FALSE),0%)</f>
        <v>0</v>
      </c>
      <c r="BSR8" s="5">
        <f>IFERROR(VLOOKUP(BSR$1,'Renta Mixta Conservador'!$B$35:$C$53,2,FALSE),0%)</f>
        <v>0</v>
      </c>
      <c r="BSS8" s="5">
        <f>IFERROR(VLOOKUP(BSS$1,'Renta Mixta Conservador'!$B$35:$C$53,2,FALSE),0%)</f>
        <v>0</v>
      </c>
      <c r="BST8" s="5">
        <f>IFERROR(VLOOKUP(BST$1,'Renta Mixta Conservador'!$B$35:$C$53,2,FALSE),0%)</f>
        <v>0</v>
      </c>
      <c r="BSU8" s="5">
        <f>IFERROR(VLOOKUP(BSU$1,'Renta Mixta Conservador'!$B$35:$C$53,2,FALSE),0%)</f>
        <v>0</v>
      </c>
      <c r="BSV8" s="5">
        <f>IFERROR(VLOOKUP(BSV$1,'Renta Mixta Conservador'!$B$35:$C$53,2,FALSE),0%)</f>
        <v>0</v>
      </c>
      <c r="BSW8" s="5">
        <f>IFERROR(VLOOKUP(BSW$1,'Renta Mixta Conservador'!$B$35:$C$53,2,FALSE),0%)</f>
        <v>0</v>
      </c>
      <c r="BSX8" s="5">
        <f>IFERROR(VLOOKUP(BSX$1,'Renta Mixta Conservador'!$B$35:$C$53,2,FALSE),0%)</f>
        <v>0</v>
      </c>
      <c r="BSY8" s="5">
        <f>IFERROR(VLOOKUP(BSY$1,'Renta Mixta Conservador'!$B$35:$C$53,2,FALSE),0%)</f>
        <v>0</v>
      </c>
      <c r="BSZ8" s="5">
        <f>IFERROR(VLOOKUP(BSZ$1,'Renta Mixta Conservador'!$B$35:$C$53,2,FALSE),0%)</f>
        <v>0</v>
      </c>
      <c r="BTA8" s="5">
        <f>IFERROR(VLOOKUP(BTA$1,'Renta Mixta Conservador'!$B$35:$C$53,2,FALSE),0%)</f>
        <v>0</v>
      </c>
      <c r="BTB8" s="5">
        <f>IFERROR(VLOOKUP(BTB$1,'Renta Mixta Conservador'!$B$35:$C$53,2,FALSE),0%)</f>
        <v>0</v>
      </c>
      <c r="BTC8" s="5">
        <f>IFERROR(VLOOKUP(BTC$1,'Renta Mixta Conservador'!$B$35:$C$53,2,FALSE),0%)</f>
        <v>0</v>
      </c>
      <c r="BTD8" s="5">
        <f>IFERROR(VLOOKUP(BTD$1,'Renta Mixta Conservador'!$B$35:$C$53,2,FALSE),0%)</f>
        <v>0</v>
      </c>
      <c r="BTE8" s="5">
        <f>IFERROR(VLOOKUP(BTE$1,'Renta Mixta Conservador'!$B$35:$C$53,2,FALSE),0%)</f>
        <v>0</v>
      </c>
      <c r="BTF8" s="5">
        <f>IFERROR(VLOOKUP(BTF$1,'Renta Mixta Conservador'!$B$35:$C$53,2,FALSE),0%)</f>
        <v>0</v>
      </c>
      <c r="BTG8" s="5">
        <f>IFERROR(VLOOKUP(BTG$1,'Renta Mixta Conservador'!$B$35:$C$53,2,FALSE),0%)</f>
        <v>0</v>
      </c>
      <c r="BTH8" s="5">
        <f>IFERROR(VLOOKUP(BTH$1,'Renta Mixta Conservador'!$B$35:$C$53,2,FALSE),0%)</f>
        <v>0</v>
      </c>
      <c r="BTI8" s="5">
        <f>IFERROR(VLOOKUP(BTI$1,'Renta Mixta Conservador'!$B$35:$C$53,2,FALSE),0%)</f>
        <v>0</v>
      </c>
      <c r="BTJ8" s="5">
        <f>IFERROR(VLOOKUP(BTJ$1,'Renta Mixta Conservador'!$B$35:$C$53,2,FALSE),0%)</f>
        <v>0</v>
      </c>
      <c r="BTK8" s="5">
        <f>IFERROR(VLOOKUP(BTK$1,'Renta Mixta Conservador'!$B$35:$C$53,2,FALSE),0%)</f>
        <v>0</v>
      </c>
      <c r="BTL8" s="5">
        <f>IFERROR(VLOOKUP(BTL$1,'Renta Mixta Conservador'!$B$35:$C$53,2,FALSE),0%)</f>
        <v>0</v>
      </c>
      <c r="BTM8" s="5">
        <f>IFERROR(VLOOKUP(BTM$1,'Renta Mixta Conservador'!$B$35:$C$53,2,FALSE),0%)</f>
        <v>0</v>
      </c>
      <c r="BTN8" s="5">
        <f>IFERROR(VLOOKUP(BTN$1,'Renta Mixta Conservador'!$B$35:$C$53,2,FALSE),0%)</f>
        <v>0</v>
      </c>
      <c r="BTO8" s="5">
        <f>IFERROR(VLOOKUP(BTO$1,'Renta Mixta Conservador'!$B$35:$C$53,2,FALSE),0%)</f>
        <v>0</v>
      </c>
      <c r="BTP8" s="5">
        <f>IFERROR(VLOOKUP(BTP$1,'Renta Mixta Conservador'!$B$35:$C$53,2,FALSE),0%)</f>
        <v>0</v>
      </c>
      <c r="BTQ8" s="5">
        <f>IFERROR(VLOOKUP(BTQ$1,'Renta Mixta Conservador'!$B$35:$C$53,2,FALSE),0%)</f>
        <v>0</v>
      </c>
      <c r="BTR8" s="5">
        <f>IFERROR(VLOOKUP(BTR$1,'Renta Mixta Conservador'!$B$35:$C$53,2,FALSE),0%)</f>
        <v>0</v>
      </c>
      <c r="BTS8" s="5">
        <f>IFERROR(VLOOKUP(BTS$1,'Renta Mixta Conservador'!$B$35:$C$53,2,FALSE),0%)</f>
        <v>0</v>
      </c>
      <c r="BTT8" s="5">
        <f>IFERROR(VLOOKUP(BTT$1,'Renta Mixta Conservador'!$B$35:$C$53,2,FALSE),0%)</f>
        <v>0</v>
      </c>
      <c r="BTU8" s="5">
        <f>IFERROR(VLOOKUP(BTU$1,'Renta Mixta Conservador'!$B$35:$C$53,2,FALSE),0%)</f>
        <v>0</v>
      </c>
      <c r="BTV8" s="5">
        <f>IFERROR(VLOOKUP(BTV$1,'Renta Mixta Conservador'!$B$35:$C$53,2,FALSE),0%)</f>
        <v>0</v>
      </c>
      <c r="BTW8" s="5">
        <f>IFERROR(VLOOKUP(BTW$1,'Renta Mixta Conservador'!$B$35:$C$53,2,FALSE),0%)</f>
        <v>0</v>
      </c>
      <c r="BTX8" s="5">
        <f>IFERROR(VLOOKUP(BTX$1,'Renta Mixta Conservador'!$B$35:$C$53,2,FALSE),0%)</f>
        <v>0</v>
      </c>
      <c r="BTY8" s="5">
        <f>IFERROR(VLOOKUP(BTY$1,'Renta Mixta Conservador'!$B$35:$C$53,2,FALSE),0%)</f>
        <v>0</v>
      </c>
      <c r="BTZ8" s="5">
        <f>IFERROR(VLOOKUP(BTZ$1,'Renta Mixta Conservador'!$B$35:$C$53,2,FALSE),0%)</f>
        <v>0.0157</v>
      </c>
      <c r="BUA8" s="5">
        <f>IFERROR(VLOOKUP(BUA$1,'Renta Mixta Conservador'!$B$35:$C$53,2,FALSE),0%)</f>
        <v>0</v>
      </c>
      <c r="BUB8" s="5">
        <f>IFERROR(VLOOKUP(BUB$1,'Renta Mixta Conservador'!$B$35:$C$53,2,FALSE),0%)</f>
        <v>0</v>
      </c>
      <c r="BUC8" s="5">
        <f>IFERROR(VLOOKUP(BUC$1,'Renta Mixta Conservador'!$B$35:$C$53,2,FALSE),0%)</f>
        <v>0</v>
      </c>
      <c r="BUD8" s="5">
        <f>IFERROR(VLOOKUP(BUD$1,'Renta Mixta Conservador'!$B$35:$C$53,2,FALSE),0%)</f>
        <v>0</v>
      </c>
      <c r="BUE8" s="5">
        <f>IFERROR(VLOOKUP(BUE$1,'Renta Mixta Conservador'!$B$35:$C$53,2,FALSE),0%)</f>
        <v>0</v>
      </c>
      <c r="BUF8" s="5">
        <f>IFERROR(VLOOKUP(BUF$1,'Renta Mixta Conservador'!$B$35:$C$53,2,FALSE),0%)</f>
        <v>0</v>
      </c>
      <c r="BUG8" s="5">
        <f>IFERROR(VLOOKUP(BUG$1,'Renta Mixta Conservador'!$B$35:$C$53,2,FALSE),0%)</f>
        <v>0</v>
      </c>
      <c r="BUH8" s="5">
        <f>IFERROR(VLOOKUP(BUH$1,'Renta Mixta Conservador'!$B$35:$C$53,2,FALSE),0%)</f>
        <v>0</v>
      </c>
      <c r="BUI8" s="5">
        <f>IFERROR(VLOOKUP(BUI$1,'Renta Mixta Conservador'!$B$35:$C$53,2,FALSE),0%)</f>
        <v>0</v>
      </c>
      <c r="BUJ8" s="5">
        <f>IFERROR(VLOOKUP(BUJ$1,'Renta Mixta Conservador'!$B$35:$C$53,2,FALSE),0%)</f>
        <v>0</v>
      </c>
      <c r="BUK8" s="5">
        <f>IFERROR(VLOOKUP(BUK$1,'Renta Mixta Conservador'!$B$35:$C$53,2,FALSE),0%)</f>
        <v>0</v>
      </c>
      <c r="BUL8" s="5">
        <f>IFERROR(VLOOKUP(BUL$1,'Renta Mixta Conservador'!$B$35:$C$53,2,FALSE),0%)</f>
        <v>0</v>
      </c>
      <c r="BUM8" s="5">
        <f>IFERROR(VLOOKUP(BUM$1,'Renta Mixta Conservador'!$B$35:$C$53,2,FALSE),0%)</f>
        <v>0</v>
      </c>
      <c r="BUN8" s="5">
        <f>IFERROR(VLOOKUP(BUN$1,'Renta Mixta Conservador'!$B$35:$C$53,2,FALSE),0%)</f>
        <v>0</v>
      </c>
      <c r="BUO8" s="5">
        <f>IFERROR(VLOOKUP(BUO$1,'Renta Mixta Conservador'!$B$35:$C$53,2,FALSE),0%)</f>
        <v>0</v>
      </c>
      <c r="BUP8" s="5">
        <f>IFERROR(VLOOKUP(BUP$1,'Renta Mixta Conservador'!$B$35:$C$53,2,FALSE),0%)</f>
        <v>0</v>
      </c>
      <c r="BUQ8" s="5">
        <f>IFERROR(VLOOKUP(BUQ$1,'Renta Mixta Conservador'!$B$35:$C$53,2,FALSE),0%)</f>
        <v>0</v>
      </c>
      <c r="BUR8" s="5">
        <f>IFERROR(VLOOKUP(BUR$1,'Renta Mixta Conservador'!$B$35:$C$53,2,FALSE),0%)</f>
        <v>0</v>
      </c>
      <c r="BUS8" s="5">
        <f>IFERROR(VLOOKUP(BUS$1,'Renta Mixta Conservador'!$B$35:$C$53,2,FALSE),0%)</f>
        <v>0</v>
      </c>
      <c r="BUT8" s="5">
        <f>IFERROR(VLOOKUP(BUT$1,'Renta Mixta Conservador'!$B$35:$C$53,2,FALSE),0%)</f>
        <v>0</v>
      </c>
      <c r="BUU8" s="5">
        <f>IFERROR(VLOOKUP(BUU$1,'Renta Mixta Conservador'!$B$35:$C$53,2,FALSE),0%)</f>
        <v>0</v>
      </c>
      <c r="BUV8" s="5">
        <f>IFERROR(VLOOKUP(BUV$1,'Renta Mixta Conservador'!$B$35:$C$53,2,FALSE),0%)</f>
        <v>0</v>
      </c>
      <c r="BUW8" s="5">
        <f>IFERROR(VLOOKUP(BUW$1,'Renta Mixta Conservador'!$B$35:$C$53,2,FALSE),0%)</f>
        <v>0</v>
      </c>
      <c r="BUX8" s="5">
        <f>IFERROR(VLOOKUP(BUX$1,'Renta Mixta Conservador'!$B$35:$C$53,2,FALSE),0%)</f>
        <v>0</v>
      </c>
      <c r="BUY8" s="5">
        <f>IFERROR(VLOOKUP(BUY$1,'Renta Mixta Conservador'!$B$35:$C$53,2,FALSE),0%)</f>
        <v>0</v>
      </c>
      <c r="BUZ8" s="5">
        <f>IFERROR(VLOOKUP(BUZ$1,'Renta Mixta Conservador'!$B$35:$C$53,2,FALSE),0%)</f>
        <v>0</v>
      </c>
      <c r="BVA8" s="5">
        <f>IFERROR(VLOOKUP(BVA$1,'Renta Mixta Conservador'!$B$35:$C$53,2,FALSE),0%)</f>
        <v>0</v>
      </c>
      <c r="BVB8" s="5">
        <f>IFERROR(VLOOKUP(BVB$1,'Renta Mixta Conservador'!$B$35:$C$53,2,FALSE),0%)</f>
        <v>0</v>
      </c>
      <c r="BVC8" s="5">
        <f>IFERROR(VLOOKUP(BVC$1,'Renta Mixta Conservador'!$B$35:$C$53,2,FALSE),0%)</f>
        <v>0</v>
      </c>
      <c r="BVD8" s="5">
        <f>IFERROR(VLOOKUP(BVD$1,'Renta Mixta Conservador'!$B$35:$C$53,2,FALSE),0%)</f>
        <v>0</v>
      </c>
      <c r="BVE8" s="5">
        <f>IFERROR(VLOOKUP(BVE$1,'Renta Mixta Conservador'!$B$35:$C$53,2,FALSE),0%)</f>
        <v>0</v>
      </c>
      <c r="BVF8" s="5">
        <f>IFERROR(VLOOKUP(BVF$1,'Renta Mixta Conservador'!$B$35:$C$53,2,FALSE),0%)</f>
        <v>0</v>
      </c>
      <c r="BVG8" s="5">
        <f>IFERROR(VLOOKUP(BVG$1,'Renta Mixta Conservador'!$B$35:$C$53,2,FALSE),0%)</f>
        <v>0</v>
      </c>
      <c r="BVH8" s="5">
        <f>IFERROR(VLOOKUP(BVH$1,'Renta Mixta Conservador'!$B$35:$C$53,2,FALSE),0%)</f>
        <v>0</v>
      </c>
      <c r="BVI8" s="5">
        <f>IFERROR(VLOOKUP(BVI$1,'Renta Mixta Conservador'!$B$35:$C$53,2,FALSE),0%)</f>
        <v>0</v>
      </c>
      <c r="BVJ8" s="5">
        <f>IFERROR(VLOOKUP(BVJ$1,'Renta Mixta Conservador'!$B$35:$C$53,2,FALSE),0%)</f>
        <v>0</v>
      </c>
      <c r="BVK8" s="5">
        <f>IFERROR(VLOOKUP(BVK$1,'Renta Mixta Conservador'!$B$35:$C$53,2,FALSE),0%)</f>
        <v>0</v>
      </c>
      <c r="BVL8" s="5">
        <f>IFERROR(VLOOKUP(BVL$1,'Renta Mixta Conservador'!$B$35:$C$53,2,FALSE),0%)</f>
        <v>0</v>
      </c>
      <c r="BVM8" s="5">
        <f>IFERROR(VLOOKUP(BVM$1,'Renta Mixta Conservador'!$B$35:$C$53,2,FALSE),0%)</f>
        <v>0</v>
      </c>
      <c r="BVN8" s="5">
        <f>IFERROR(VLOOKUP(BVN$1,'Renta Mixta Conservador'!$B$35:$C$53,2,FALSE),0%)</f>
        <v>0</v>
      </c>
      <c r="BVO8" s="5">
        <f>IFERROR(VLOOKUP(BVO$1,'Renta Mixta Conservador'!$B$35:$C$53,2,FALSE),0%)</f>
        <v>0</v>
      </c>
      <c r="BVP8" s="5">
        <f>IFERROR(VLOOKUP(BVP$1,'Renta Mixta Conservador'!$B$35:$C$53,2,FALSE),0%)</f>
        <v>0</v>
      </c>
      <c r="BVQ8" s="5">
        <f>IFERROR(VLOOKUP(BVQ$1,'Renta Mixta Conservador'!$B$35:$C$53,2,FALSE),0%)</f>
        <v>0</v>
      </c>
      <c r="BVR8" s="5">
        <f>IFERROR(VLOOKUP(BVR$1,'Renta Mixta Conservador'!$B$35:$C$53,2,FALSE),0%)</f>
        <v>0</v>
      </c>
      <c r="BVS8" s="5">
        <f>IFERROR(VLOOKUP(BVS$1,'Renta Mixta Conservador'!$B$35:$C$53,2,FALSE),0%)</f>
        <v>0</v>
      </c>
      <c r="BVT8" s="5">
        <f>IFERROR(VLOOKUP(BVT$1,'Renta Mixta Conservador'!$B$35:$C$53,2,FALSE),0%)</f>
        <v>0</v>
      </c>
      <c r="BVU8" s="5">
        <f>IFERROR(VLOOKUP(BVU$1,'Renta Mixta Conservador'!$B$35:$C$53,2,FALSE),0%)</f>
        <v>0</v>
      </c>
      <c r="BVV8" s="5">
        <f>IFERROR(VLOOKUP(BVV$1,'Renta Mixta Conservador'!$B$35:$C$53,2,FALSE),0%)</f>
        <v>0</v>
      </c>
      <c r="BVW8" s="5">
        <f>IFERROR(VLOOKUP(BVW$1,'Renta Mixta Conservador'!$B$35:$C$53,2,FALSE),0%)</f>
        <v>0</v>
      </c>
      <c r="BVX8" s="5">
        <f>IFERROR(VLOOKUP(BVX$1,'Renta Mixta Conservador'!$B$35:$C$53,2,FALSE),0%)</f>
        <v>0</v>
      </c>
      <c r="BVY8" s="5">
        <f>IFERROR(VLOOKUP(BVY$1,'Renta Mixta Conservador'!$B$35:$C$53,2,FALSE),0%)</f>
        <v>0</v>
      </c>
      <c r="BVZ8" s="5">
        <f>IFERROR(VLOOKUP(BVZ$1,'Renta Mixta Conservador'!$B$35:$C$53,2,FALSE),0%)</f>
        <v>0</v>
      </c>
      <c r="BWA8" s="5">
        <f>IFERROR(VLOOKUP(BWA$1,'Renta Mixta Conservador'!$B$35:$C$53,2,FALSE),0%)</f>
        <v>0</v>
      </c>
      <c r="BWB8" s="5">
        <f>IFERROR(VLOOKUP(BWB$1,'Renta Mixta Conservador'!$B$35:$C$53,2,FALSE),0%)</f>
        <v>0</v>
      </c>
      <c r="BWC8" s="5">
        <f>IFERROR(VLOOKUP(BWC$1,'Renta Mixta Conservador'!$B$35:$C$53,2,FALSE),0%)</f>
        <v>0</v>
      </c>
      <c r="BWD8" s="5">
        <f>IFERROR(VLOOKUP(BWD$1,'Renta Mixta Conservador'!$B$35:$C$53,2,FALSE),0%)</f>
        <v>0</v>
      </c>
      <c r="BWE8" s="5">
        <f>IFERROR(VLOOKUP(BWE$1,'Renta Mixta Conservador'!$B$35:$C$53,2,FALSE),0%)</f>
        <v>0</v>
      </c>
      <c r="BWF8" s="5">
        <f>IFERROR(VLOOKUP(BWF$1,'Renta Mixta Conservador'!$B$35:$C$53,2,FALSE),0%)</f>
        <v>0</v>
      </c>
      <c r="BWG8" s="5">
        <f>IFERROR(VLOOKUP(BWG$1,'Renta Mixta Conservador'!$B$35:$C$53,2,FALSE),0%)</f>
        <v>0</v>
      </c>
      <c r="BWH8" s="5">
        <f>IFERROR(VLOOKUP(BWH$1,'Renta Mixta Conservador'!$B$35:$C$53,2,FALSE),0%)</f>
        <v>0</v>
      </c>
      <c r="BWI8" s="5">
        <f>IFERROR(VLOOKUP(BWI$1,'Renta Mixta Conservador'!$B$35:$C$53,2,FALSE),0%)</f>
        <v>0</v>
      </c>
      <c r="BWJ8" s="5">
        <f>IFERROR(VLOOKUP(BWJ$1,'Renta Mixta Conservador'!$B$35:$C$53,2,FALSE),0%)</f>
        <v>0</v>
      </c>
      <c r="BWK8" s="5">
        <f>IFERROR(VLOOKUP(BWK$1,'Renta Mixta Conservador'!$B$35:$C$53,2,FALSE),0%)</f>
        <v>0</v>
      </c>
      <c r="BWL8" s="5">
        <f>IFERROR(VLOOKUP(BWL$1,'Renta Mixta Conservador'!$B$35:$C$53,2,FALSE),0%)</f>
        <v>0</v>
      </c>
      <c r="BWM8" s="5">
        <f>IFERROR(VLOOKUP(BWM$1,'Renta Mixta Conservador'!$B$35:$C$53,2,FALSE),0%)</f>
        <v>0</v>
      </c>
      <c r="BWN8" s="5">
        <f>IFERROR(VLOOKUP(BWN$1,'Renta Mixta Conservador'!$B$35:$C$53,2,FALSE),0%)</f>
        <v>0</v>
      </c>
      <c r="BWO8" s="5">
        <f>IFERROR(VLOOKUP(BWO$1,'Renta Mixta Conservador'!$B$35:$C$53,2,FALSE),0%)</f>
        <v>0</v>
      </c>
      <c r="BWP8" s="5">
        <f>IFERROR(VLOOKUP(BWP$1,'Renta Mixta Conservador'!$B$35:$C$53,2,FALSE),0%)</f>
        <v>0</v>
      </c>
      <c r="BWQ8" s="5">
        <f>IFERROR(VLOOKUP(BWQ$1,'Renta Mixta Conservador'!$B$35:$C$53,2,FALSE),0%)</f>
        <v>0</v>
      </c>
      <c r="BWR8" s="5">
        <f>IFERROR(VLOOKUP(BWR$1,'Renta Mixta Conservador'!$B$35:$C$53,2,FALSE),0%)</f>
        <v>0</v>
      </c>
      <c r="BWS8" s="5">
        <f>IFERROR(VLOOKUP(BWS$1,'Renta Mixta Conservador'!$B$35:$C$53,2,FALSE),0%)</f>
        <v>0</v>
      </c>
      <c r="BWT8" s="5">
        <f>IFERROR(VLOOKUP(BWT$1,'Renta Mixta Conservador'!$B$35:$C$53,2,FALSE),0%)</f>
        <v>0</v>
      </c>
      <c r="BWU8" s="5">
        <f>IFERROR(VLOOKUP(BWU$1,'Renta Mixta Conservador'!$B$35:$C$53,2,FALSE),0%)</f>
        <v>0</v>
      </c>
      <c r="BWV8" s="5">
        <f>IFERROR(VLOOKUP(BWV$1,'Renta Mixta Conservador'!$B$35:$C$53,2,FALSE),0%)</f>
        <v>0</v>
      </c>
      <c r="BWW8" s="5">
        <f>IFERROR(VLOOKUP(BWW$1,'Renta Mixta Conservador'!$B$35:$C$53,2,FALSE),0%)</f>
        <v>0</v>
      </c>
      <c r="BWX8" s="5">
        <f>IFERROR(VLOOKUP(BWX$1,'Renta Mixta Conservador'!$B$35:$C$53,2,FALSE),0%)</f>
        <v>0</v>
      </c>
      <c r="BWY8" s="5">
        <f>IFERROR(VLOOKUP(BWY$1,'Renta Mixta Conservador'!$B$35:$C$53,2,FALSE),0%)</f>
        <v>0</v>
      </c>
      <c r="BWZ8" s="5">
        <f>IFERROR(VLOOKUP(BWZ$1,'Renta Mixta Conservador'!$B$35:$C$53,2,FALSE),0%)</f>
        <v>0</v>
      </c>
      <c r="BXA8" s="5">
        <f>IFERROR(VLOOKUP(BXA$1,'Renta Mixta Conservador'!$B$35:$C$53,2,FALSE),0%)</f>
        <v>0</v>
      </c>
      <c r="BXB8" s="5">
        <f>IFERROR(VLOOKUP(BXB$1,'Renta Mixta Conservador'!$B$35:$C$53,2,FALSE),0%)</f>
        <v>0</v>
      </c>
      <c r="BXC8" s="5">
        <f>IFERROR(VLOOKUP(BXC$1,'Renta Mixta Conservador'!$B$35:$C$53,2,FALSE),0%)</f>
        <v>0</v>
      </c>
      <c r="BXD8" s="5">
        <f>IFERROR(VLOOKUP(BXD$1,'Renta Mixta Conservador'!$B$35:$C$53,2,FALSE),0%)</f>
        <v>0</v>
      </c>
      <c r="BXE8" s="5">
        <f>IFERROR(VLOOKUP(BXE$1,'Renta Mixta Conservador'!$B$35:$C$53,2,FALSE),0%)</f>
        <v>0</v>
      </c>
      <c r="BXF8" s="5">
        <f>IFERROR(VLOOKUP(BXF$1,'Renta Mixta Conservador'!$B$35:$C$53,2,FALSE),0%)</f>
        <v>0</v>
      </c>
      <c r="BXG8" s="5">
        <f>IFERROR(VLOOKUP(BXG$1,'Renta Mixta Conservador'!$B$35:$C$53,2,FALSE),0%)</f>
        <v>0</v>
      </c>
      <c r="BXH8" s="5">
        <f>IFERROR(VLOOKUP(BXH$1,'Renta Mixta Conservador'!$B$35:$C$53,2,FALSE),0%)</f>
        <v>0</v>
      </c>
      <c r="BXI8" s="5">
        <f>IFERROR(VLOOKUP(BXI$1,'Renta Mixta Conservador'!$B$35:$C$53,2,FALSE),0%)</f>
        <v>0</v>
      </c>
      <c r="BXJ8" s="5">
        <f>IFERROR(VLOOKUP(BXJ$1,'Renta Mixta Conservador'!$B$35:$C$53,2,FALSE),0%)</f>
        <v>0</v>
      </c>
      <c r="BXK8" s="5">
        <f>IFERROR(VLOOKUP(BXK$1,'Renta Mixta Conservador'!$B$35:$C$53,2,FALSE),0%)</f>
        <v>0</v>
      </c>
      <c r="BXL8" s="5">
        <f>IFERROR(VLOOKUP(BXL$1,'Renta Mixta Conservador'!$B$35:$C$53,2,FALSE),0%)</f>
        <v>0</v>
      </c>
      <c r="BXM8" s="5">
        <f>IFERROR(VLOOKUP(BXM$1,'Renta Mixta Conservador'!$B$35:$C$53,2,FALSE),0%)</f>
        <v>0</v>
      </c>
      <c r="BXN8" s="5">
        <f>IFERROR(VLOOKUP(BXN$1,'Renta Mixta Conservador'!$B$35:$C$53,2,FALSE),0%)</f>
        <v>0</v>
      </c>
      <c r="BXO8" s="5">
        <f>IFERROR(VLOOKUP(BXO$1,'Renta Mixta Conservador'!$B$35:$C$53,2,FALSE),0%)</f>
        <v>0</v>
      </c>
      <c r="BXP8" s="5">
        <f>IFERROR(VLOOKUP(BXP$1,'Renta Mixta Conservador'!$B$35:$C$53,2,FALSE),0%)</f>
        <v>0</v>
      </c>
      <c r="BXQ8" s="5">
        <f>IFERROR(VLOOKUP(BXQ$1,'Renta Mixta Conservador'!$B$35:$C$53,2,FALSE),0%)</f>
        <v>0</v>
      </c>
      <c r="BXR8" s="5">
        <f>IFERROR(VLOOKUP(BXR$1,'Renta Mixta Conservador'!$B$35:$C$53,2,FALSE),0%)</f>
        <v>0</v>
      </c>
      <c r="BXS8" s="5">
        <f>IFERROR(VLOOKUP(BXS$1,'Renta Mixta Conservador'!$B$35:$C$53,2,FALSE),0%)</f>
        <v>0</v>
      </c>
      <c r="BXT8" s="5">
        <f>IFERROR(VLOOKUP(BXT$1,'Renta Mixta Conservador'!$B$35:$C$53,2,FALSE),0%)</f>
        <v>0</v>
      </c>
      <c r="BXU8" s="5">
        <f>IFERROR(VLOOKUP(BXU$1,'Renta Mixta Conservador'!$B$35:$C$53,2,FALSE),0%)</f>
        <v>0</v>
      </c>
      <c r="BXV8" s="5">
        <f>IFERROR(VLOOKUP(BXV$1,'Renta Mixta Conservador'!$B$35:$C$53,2,FALSE),0%)</f>
        <v>0</v>
      </c>
      <c r="BXW8" s="5">
        <f>IFERROR(VLOOKUP(BXW$1,'Renta Mixta Conservador'!$B$35:$C$53,2,FALSE),0%)</f>
        <v>0</v>
      </c>
      <c r="BXX8" s="5">
        <f>IFERROR(VLOOKUP(BXX$1,'Renta Mixta Conservador'!$B$35:$C$53,2,FALSE),0%)</f>
        <v>0</v>
      </c>
      <c r="BXY8" s="5">
        <f>IFERROR(VLOOKUP(BXY$1,'Renta Mixta Conservador'!$B$35:$C$53,2,FALSE),0%)</f>
        <v>0</v>
      </c>
      <c r="BXZ8" s="5">
        <f>IFERROR(VLOOKUP(BXZ$1,'Renta Mixta Conservador'!$B$35:$C$53,2,FALSE),0%)</f>
        <v>0</v>
      </c>
      <c r="BYA8" s="5">
        <f>IFERROR(VLOOKUP(BYA$1,'Renta Mixta Conservador'!$B$35:$C$53,2,FALSE),0%)</f>
        <v>0</v>
      </c>
      <c r="BYB8" s="5">
        <f>IFERROR(VLOOKUP(BYB$1,'Renta Mixta Conservador'!$B$35:$C$53,2,FALSE),0%)</f>
        <v>0.0467</v>
      </c>
      <c r="BYC8" s="5">
        <f>IFERROR(VLOOKUP(BYC$1,'Renta Mixta Conservador'!$B$35:$C$53,2,FALSE),0%)</f>
        <v>0</v>
      </c>
      <c r="BYD8" s="5">
        <f>IFERROR(VLOOKUP(BYD$1,'Renta Mixta Conservador'!$B$35:$C$53,2,FALSE),0%)</f>
        <v>0</v>
      </c>
      <c r="BYE8" s="5">
        <f>IFERROR(VLOOKUP(BYE$1,'Renta Mixta Conservador'!$B$35:$C$53,2,FALSE),0%)</f>
        <v>0</v>
      </c>
      <c r="BYF8" s="5">
        <f>IFERROR(VLOOKUP(BYF$1,'Renta Mixta Conservador'!$B$35:$C$53,2,FALSE),0%)</f>
        <v>0</v>
      </c>
      <c r="BYG8" s="5">
        <f>IFERROR(VLOOKUP(BYG$1,'Renta Mixta Conservador'!$B$35:$C$53,2,FALSE),0%)</f>
        <v>0</v>
      </c>
      <c r="BYH8" s="5">
        <f>IFERROR(VLOOKUP(BYH$1,'Renta Mixta Conservador'!$B$35:$C$53,2,FALSE),0%)</f>
        <v>0</v>
      </c>
      <c r="BYI8" s="5">
        <f>IFERROR(VLOOKUP(BYI$1,'Renta Mixta Conservador'!$B$35:$C$53,2,FALSE),0%)</f>
        <v>0</v>
      </c>
      <c r="BYJ8" s="5">
        <f>IFERROR(VLOOKUP(BYJ$1,'Renta Mixta Conservador'!$B$35:$C$53,2,FALSE),0%)</f>
        <v>0</v>
      </c>
      <c r="BYK8" s="5">
        <f>IFERROR(VLOOKUP(BYK$1,'Renta Mixta Conservador'!$B$35:$C$53,2,FALSE),0%)</f>
        <v>0</v>
      </c>
      <c r="BYL8" s="5">
        <f>IFERROR(VLOOKUP(BYL$1,'Renta Mixta Conservador'!$B$35:$C$53,2,FALSE),0%)</f>
        <v>0</v>
      </c>
    </row>
    <row r="9">
      <c r="A9" s="4" t="s">
        <v>2021</v>
      </c>
      <c r="B9" s="5">
        <f>IFERROR(VLOOKUP(B$1,'All Weather'!$B$35:$C$55,2,FALSE),0%)</f>
        <v>0</v>
      </c>
      <c r="C9" s="5">
        <f>IFERROR(VLOOKUP(C$1,'All Weather'!$B$35:$C$55,2,FALSE),0%)</f>
        <v>0</v>
      </c>
      <c r="D9" s="5">
        <f>IFERROR(VLOOKUP(D$1,'All Weather'!$B$35:$C$55,2,FALSE),0%)</f>
        <v>0</v>
      </c>
      <c r="E9" s="5">
        <f>IFERROR(VLOOKUP(E$1,'All Weather'!$B$35:$C$55,2,FALSE),0%)</f>
        <v>0</v>
      </c>
      <c r="F9" s="5">
        <f>IFERROR(VLOOKUP(F$1,'All Weather'!$B$35:$C$55,2,FALSE),0%)</f>
        <v>0</v>
      </c>
      <c r="G9" s="5">
        <f>IFERROR(VLOOKUP(G$1,'All Weather'!$B$35:$C$55,2,FALSE),0%)</f>
        <v>0</v>
      </c>
      <c r="H9" s="5">
        <f>IFERROR(VLOOKUP(H$1,'All Weather'!$B$35:$C$55,2,FALSE),0%)</f>
        <v>0</v>
      </c>
      <c r="I9" s="5">
        <f>IFERROR(VLOOKUP(I$1,'All Weather'!$B$35:$C$55,2,FALSE),0%)</f>
        <v>0</v>
      </c>
      <c r="J9" s="5">
        <f>IFERROR(VLOOKUP(J$1,'All Weather'!$B$35:$C$55,2,FALSE),0%)</f>
        <v>0</v>
      </c>
      <c r="K9" s="5">
        <f>IFERROR(VLOOKUP(K$1,'All Weather'!$B$35:$C$55,2,FALSE),0%)</f>
        <v>0</v>
      </c>
      <c r="L9" s="5">
        <f>IFERROR(VLOOKUP(L$1,'All Weather'!$B$35:$C$55,2,FALSE),0%)</f>
        <v>0</v>
      </c>
      <c r="M9" s="5">
        <f>IFERROR(VLOOKUP(M$1,'All Weather'!$B$35:$C$55,2,FALSE),0%)</f>
        <v>0</v>
      </c>
      <c r="N9" s="5">
        <f>IFERROR(VLOOKUP(N$1,'All Weather'!$B$35:$C$55,2,FALSE),0%)</f>
        <v>0</v>
      </c>
      <c r="O9" s="5">
        <f>IFERROR(VLOOKUP(O$1,'All Weather'!$B$35:$C$55,2,FALSE),0%)</f>
        <v>0</v>
      </c>
      <c r="P9" s="5">
        <f>IFERROR(VLOOKUP(P$1,'All Weather'!$B$35:$C$55,2,FALSE),0%)</f>
        <v>0</v>
      </c>
      <c r="Q9" s="5">
        <f>IFERROR(VLOOKUP(Q$1,'All Weather'!$B$35:$C$55,2,FALSE),0%)</f>
        <v>0</v>
      </c>
      <c r="R9" s="5">
        <f>IFERROR(VLOOKUP(R$1,'All Weather'!$B$35:$C$55,2,FALSE),0%)</f>
        <v>0</v>
      </c>
      <c r="S9" s="5">
        <f>IFERROR(VLOOKUP(S$1,'All Weather'!$B$35:$C$55,2,FALSE),0%)</f>
        <v>0</v>
      </c>
      <c r="T9" s="5">
        <f>IFERROR(VLOOKUP(T$1,'All Weather'!$B$35:$C$55,2,FALSE),0%)</f>
        <v>0</v>
      </c>
      <c r="U9" s="5">
        <f>IFERROR(VLOOKUP(U$1,'All Weather'!$B$35:$C$55,2,FALSE),0%)</f>
        <v>0</v>
      </c>
      <c r="V9" s="5">
        <f>IFERROR(VLOOKUP(V$1,'All Weather'!$B$35:$C$55,2,FALSE),0%)</f>
        <v>0</v>
      </c>
      <c r="W9" s="5">
        <f>IFERROR(VLOOKUP(W$1,'All Weather'!$B$35:$C$55,2,FALSE),0%)</f>
        <v>0</v>
      </c>
      <c r="X9" s="5">
        <f>IFERROR(VLOOKUP(X$1,'All Weather'!$B$35:$C$55,2,FALSE),0%)</f>
        <v>0</v>
      </c>
      <c r="Y9" s="5">
        <f>IFERROR(VLOOKUP(Y$1,'All Weather'!$B$35:$C$55,2,FALSE),0%)</f>
        <v>0</v>
      </c>
      <c r="Z9" s="5">
        <f>IFERROR(VLOOKUP(Z$1,'All Weather'!$B$35:$C$55,2,FALSE),0%)</f>
        <v>0</v>
      </c>
      <c r="AA9" s="5">
        <f>IFERROR(VLOOKUP(AA$1,'All Weather'!$B$35:$C$55,2,FALSE),0%)</f>
        <v>0</v>
      </c>
      <c r="AB9" s="5">
        <f>IFERROR(VLOOKUP(AB$1,'All Weather'!$B$35:$C$55,2,FALSE),0%)</f>
        <v>0</v>
      </c>
      <c r="AC9" s="5">
        <f>IFERROR(VLOOKUP(AC$1,'All Weather'!$B$35:$C$55,2,FALSE),0%)</f>
        <v>0</v>
      </c>
      <c r="AD9" s="5">
        <f>IFERROR(VLOOKUP(AD$1,'All Weather'!$B$35:$C$55,2,FALSE),0%)</f>
        <v>0</v>
      </c>
      <c r="AE9" s="5">
        <f>IFERROR(VLOOKUP(AE$1,'All Weather'!$B$35:$C$55,2,FALSE),0%)</f>
        <v>0</v>
      </c>
      <c r="AF9" s="5">
        <f>IFERROR(VLOOKUP(AF$1,'All Weather'!$B$35:$C$55,2,FALSE),0%)</f>
        <v>0</v>
      </c>
      <c r="AG9" s="5">
        <f>IFERROR(VLOOKUP(AG$1,'All Weather'!$B$35:$C$55,2,FALSE),0%)</f>
        <v>0</v>
      </c>
      <c r="AH9" s="5">
        <f>IFERROR(VLOOKUP(AH$1,'All Weather'!$B$35:$C$55,2,FALSE),0%)</f>
        <v>0</v>
      </c>
      <c r="AI9" s="5">
        <f>IFERROR(VLOOKUP(AI$1,'All Weather'!$B$35:$C$55,2,FALSE),0%)</f>
        <v>0</v>
      </c>
      <c r="AJ9" s="5">
        <f>IFERROR(VLOOKUP(AJ$1,'All Weather'!$B$35:$C$55,2,FALSE),0%)</f>
        <v>0</v>
      </c>
      <c r="AK9" s="5">
        <f>IFERROR(VLOOKUP(AK$1,'All Weather'!$B$35:$C$55,2,FALSE),0%)</f>
        <v>0.01705150198</v>
      </c>
      <c r="AL9" s="5">
        <f>IFERROR(VLOOKUP(AL$1,'All Weather'!$B$35:$C$55,2,FALSE),0%)</f>
        <v>0</v>
      </c>
      <c r="AM9" s="5">
        <f>IFERROR(VLOOKUP(AM$1,'All Weather'!$B$35:$C$55,2,FALSE),0%)</f>
        <v>0</v>
      </c>
      <c r="AN9" s="5">
        <f>IFERROR(VLOOKUP(AN$1,'All Weather'!$B$35:$C$55,2,FALSE),0%)</f>
        <v>0</v>
      </c>
      <c r="AO9" s="5">
        <f>IFERROR(VLOOKUP(AO$1,'All Weather'!$B$35:$C$55,2,FALSE),0%)</f>
        <v>0</v>
      </c>
      <c r="AP9" s="5">
        <f>IFERROR(VLOOKUP(AP$1,'All Weather'!$B$35:$C$55,2,FALSE),0%)</f>
        <v>0</v>
      </c>
      <c r="AQ9" s="5">
        <f>IFERROR(VLOOKUP(AQ$1,'All Weather'!$B$35:$C$55,2,FALSE),0%)</f>
        <v>0</v>
      </c>
      <c r="AR9" s="5">
        <f>IFERROR(VLOOKUP(AR$1,'All Weather'!$B$35:$C$55,2,FALSE),0%)</f>
        <v>0</v>
      </c>
      <c r="AS9" s="5">
        <f>IFERROR(VLOOKUP(AS$1,'All Weather'!$B$35:$C$55,2,FALSE),0%)</f>
        <v>0</v>
      </c>
      <c r="AT9" s="5">
        <f>IFERROR(VLOOKUP(AT$1,'All Weather'!$B$35:$C$55,2,FALSE),0%)</f>
        <v>0</v>
      </c>
      <c r="AU9" s="5">
        <f>IFERROR(VLOOKUP(AU$1,'All Weather'!$B$35:$C$55,2,FALSE),0%)</f>
        <v>0</v>
      </c>
      <c r="AV9" s="5">
        <f>IFERROR(VLOOKUP(AV$1,'All Weather'!$B$35:$C$55,2,FALSE),0%)</f>
        <v>0</v>
      </c>
      <c r="AW9" s="5">
        <f>IFERROR(VLOOKUP(AW$1,'All Weather'!$B$35:$C$55,2,FALSE),0%)</f>
        <v>0</v>
      </c>
      <c r="AX9" s="5">
        <f>IFERROR(VLOOKUP(AX$1,'All Weather'!$B$35:$C$55,2,FALSE),0%)</f>
        <v>0</v>
      </c>
      <c r="AY9" s="5">
        <f>IFERROR(VLOOKUP(AY$1,'All Weather'!$B$35:$C$55,2,FALSE),0%)</f>
        <v>0</v>
      </c>
      <c r="AZ9" s="5">
        <f>IFERROR(VLOOKUP(AZ$1,'All Weather'!$B$35:$C$55,2,FALSE),0%)</f>
        <v>0</v>
      </c>
      <c r="BA9" s="5">
        <f>IFERROR(VLOOKUP(BA$1,'All Weather'!$B$35:$C$55,2,FALSE),0%)</f>
        <v>0</v>
      </c>
      <c r="BB9" s="5">
        <f>IFERROR(VLOOKUP(BB$1,'All Weather'!$B$35:$C$55,2,FALSE),0%)</f>
        <v>0</v>
      </c>
      <c r="BC9" s="5">
        <f>IFERROR(VLOOKUP(BC$1,'All Weather'!$B$35:$C$55,2,FALSE),0%)</f>
        <v>0</v>
      </c>
      <c r="BD9" s="5">
        <f>IFERROR(VLOOKUP(BD$1,'All Weather'!$B$35:$C$55,2,FALSE),0%)</f>
        <v>0</v>
      </c>
      <c r="BE9" s="5">
        <f>IFERROR(VLOOKUP(BE$1,'All Weather'!$B$35:$C$55,2,FALSE),0%)</f>
        <v>0</v>
      </c>
      <c r="BF9" s="5">
        <f>IFERROR(VLOOKUP(BF$1,'All Weather'!$B$35:$C$55,2,FALSE),0%)</f>
        <v>0</v>
      </c>
      <c r="BG9" s="5">
        <f>IFERROR(VLOOKUP(BG$1,'All Weather'!$B$35:$C$55,2,FALSE),0%)</f>
        <v>0</v>
      </c>
      <c r="BH9" s="5">
        <f>IFERROR(VLOOKUP(BH$1,'All Weather'!$B$35:$C$55,2,FALSE),0%)</f>
        <v>0</v>
      </c>
      <c r="BI9" s="5">
        <f>IFERROR(VLOOKUP(BI$1,'All Weather'!$B$35:$C$55,2,FALSE),0%)</f>
        <v>0</v>
      </c>
      <c r="BJ9" s="5">
        <f>IFERROR(VLOOKUP(BJ$1,'All Weather'!$B$35:$C$55,2,FALSE),0%)</f>
        <v>0</v>
      </c>
      <c r="BK9" s="5">
        <f>IFERROR(VLOOKUP(BK$1,'All Weather'!$B$35:$C$55,2,FALSE),0%)</f>
        <v>0</v>
      </c>
      <c r="BL9" s="5">
        <f>IFERROR(VLOOKUP(BL$1,'All Weather'!$B$35:$C$55,2,FALSE),0%)</f>
        <v>0</v>
      </c>
      <c r="BM9" s="5">
        <f>IFERROR(VLOOKUP(BM$1,'All Weather'!$B$35:$C$55,2,FALSE),0%)</f>
        <v>0</v>
      </c>
      <c r="BN9" s="5">
        <f>IFERROR(VLOOKUP(BN$1,'All Weather'!$B$35:$C$55,2,FALSE),0%)</f>
        <v>0</v>
      </c>
      <c r="BO9" s="5">
        <f>IFERROR(VLOOKUP(BO$1,'All Weather'!$B$35:$C$55,2,FALSE),0%)</f>
        <v>0</v>
      </c>
      <c r="BP9" s="5">
        <f>IFERROR(VLOOKUP(BP$1,'All Weather'!$B$35:$C$55,2,FALSE),0%)</f>
        <v>0</v>
      </c>
      <c r="BQ9" s="5">
        <f>IFERROR(VLOOKUP(BQ$1,'All Weather'!$B$35:$C$55,2,FALSE),0%)</f>
        <v>0</v>
      </c>
      <c r="BR9" s="5">
        <f>IFERROR(VLOOKUP(BR$1,'All Weather'!$B$35:$C$55,2,FALSE),0%)</f>
        <v>0.03631307707</v>
      </c>
      <c r="BS9" s="5">
        <f>IFERROR(VLOOKUP(BS$1,'All Weather'!$B$35:$C$55,2,FALSE),0%)</f>
        <v>0</v>
      </c>
      <c r="BT9" s="5">
        <f>IFERROR(VLOOKUP(BT$1,'All Weather'!$B$35:$C$55,2,FALSE),0%)</f>
        <v>0</v>
      </c>
      <c r="BU9" s="5">
        <f>IFERROR(VLOOKUP(BU$1,'All Weather'!$B$35:$C$55,2,FALSE),0%)</f>
        <v>0</v>
      </c>
      <c r="BV9" s="5">
        <f>IFERROR(VLOOKUP(BV$1,'All Weather'!$B$35:$C$55,2,FALSE),0%)</f>
        <v>0</v>
      </c>
      <c r="BW9" s="5">
        <f>IFERROR(VLOOKUP(BW$1,'All Weather'!$B$35:$C$55,2,FALSE),0%)</f>
        <v>0</v>
      </c>
      <c r="BX9" s="5">
        <f>IFERROR(VLOOKUP(BX$1,'All Weather'!$B$35:$C$55,2,FALSE),0%)</f>
        <v>0</v>
      </c>
      <c r="BY9" s="5">
        <f>IFERROR(VLOOKUP(BY$1,'All Weather'!$B$35:$C$55,2,FALSE),0%)</f>
        <v>0</v>
      </c>
      <c r="BZ9" s="5">
        <f>IFERROR(VLOOKUP(BZ$1,'All Weather'!$B$35:$C$55,2,FALSE),0%)</f>
        <v>0</v>
      </c>
      <c r="CA9" s="5">
        <f>IFERROR(VLOOKUP(CA$1,'All Weather'!$B$35:$C$55,2,FALSE),0%)</f>
        <v>0</v>
      </c>
      <c r="CB9" s="5">
        <f>IFERROR(VLOOKUP(CB$1,'All Weather'!$B$35:$C$55,2,FALSE),0%)</f>
        <v>0</v>
      </c>
      <c r="CC9" s="5">
        <f>IFERROR(VLOOKUP(CC$1,'All Weather'!$B$35:$C$55,2,FALSE),0%)</f>
        <v>0</v>
      </c>
      <c r="CD9" s="5">
        <f>IFERROR(VLOOKUP(CD$1,'All Weather'!$B$35:$C$55,2,FALSE),0%)</f>
        <v>0</v>
      </c>
      <c r="CE9" s="5">
        <f>IFERROR(VLOOKUP(CE$1,'All Weather'!$B$35:$C$55,2,FALSE),0%)</f>
        <v>0</v>
      </c>
      <c r="CF9" s="5">
        <f>IFERROR(VLOOKUP(CF$1,'All Weather'!$B$35:$C$55,2,FALSE),0%)</f>
        <v>0</v>
      </c>
      <c r="CG9" s="5">
        <f>IFERROR(VLOOKUP(CG$1,'All Weather'!$B$35:$C$55,2,FALSE),0%)</f>
        <v>0</v>
      </c>
      <c r="CH9" s="5">
        <f>IFERROR(VLOOKUP(CH$1,'All Weather'!$B$35:$C$55,2,FALSE),0%)</f>
        <v>0</v>
      </c>
      <c r="CI9" s="5">
        <f>IFERROR(VLOOKUP(CI$1,'All Weather'!$B$35:$C$55,2,FALSE),0%)</f>
        <v>0</v>
      </c>
      <c r="CJ9" s="5">
        <f>IFERROR(VLOOKUP(CJ$1,'All Weather'!$B$35:$C$55,2,FALSE),0%)</f>
        <v>0</v>
      </c>
      <c r="CK9" s="5">
        <f>IFERROR(VLOOKUP(CK$1,'All Weather'!$B$35:$C$55,2,FALSE),0%)</f>
        <v>0</v>
      </c>
      <c r="CL9" s="5">
        <f>IFERROR(VLOOKUP(CL$1,'All Weather'!$B$35:$C$55,2,FALSE),0%)</f>
        <v>0</v>
      </c>
      <c r="CM9" s="5">
        <f>IFERROR(VLOOKUP(CM$1,'All Weather'!$B$35:$C$55,2,FALSE),0%)</f>
        <v>0</v>
      </c>
      <c r="CN9" s="5">
        <f>IFERROR(VLOOKUP(CN$1,'All Weather'!$B$35:$C$55,2,FALSE),0%)</f>
        <v>0</v>
      </c>
      <c r="CO9" s="5">
        <f>IFERROR(VLOOKUP(CO$1,'All Weather'!$B$35:$C$55,2,FALSE),0%)</f>
        <v>0</v>
      </c>
      <c r="CP9" s="5">
        <f>IFERROR(VLOOKUP(CP$1,'All Weather'!$B$35:$C$55,2,FALSE),0%)</f>
        <v>0</v>
      </c>
      <c r="CQ9" s="5">
        <f>IFERROR(VLOOKUP(CQ$1,'All Weather'!$B$35:$C$55,2,FALSE),0%)</f>
        <v>0</v>
      </c>
      <c r="CR9" s="5">
        <f>IFERROR(VLOOKUP(CR$1,'All Weather'!$B$35:$C$55,2,FALSE),0%)</f>
        <v>0</v>
      </c>
      <c r="CS9" s="5">
        <f>IFERROR(VLOOKUP(CS$1,'All Weather'!$B$35:$C$55,2,FALSE),0%)</f>
        <v>0</v>
      </c>
      <c r="CT9" s="5">
        <f>IFERROR(VLOOKUP(CT$1,'All Weather'!$B$35:$C$55,2,FALSE),0%)</f>
        <v>0</v>
      </c>
      <c r="CU9" s="5">
        <f>IFERROR(VLOOKUP(CU$1,'All Weather'!$B$35:$C$55,2,FALSE),0%)</f>
        <v>0</v>
      </c>
      <c r="CV9" s="5">
        <f>IFERROR(VLOOKUP(CV$1,'All Weather'!$B$35:$C$55,2,FALSE),0%)</f>
        <v>0</v>
      </c>
      <c r="CW9" s="5">
        <f>IFERROR(VLOOKUP(CW$1,'All Weather'!$B$35:$C$55,2,FALSE),0%)</f>
        <v>0</v>
      </c>
      <c r="CX9" s="5">
        <f>IFERROR(VLOOKUP(CX$1,'All Weather'!$B$35:$C$55,2,FALSE),0%)</f>
        <v>0</v>
      </c>
      <c r="CY9" s="5">
        <f>IFERROR(VLOOKUP(CY$1,'All Weather'!$B$35:$C$55,2,FALSE),0%)</f>
        <v>0</v>
      </c>
      <c r="CZ9" s="5">
        <f>IFERROR(VLOOKUP(CZ$1,'All Weather'!$B$35:$C$55,2,FALSE),0%)</f>
        <v>0</v>
      </c>
      <c r="DA9" s="5">
        <f>IFERROR(VLOOKUP(DA$1,'All Weather'!$B$35:$C$55,2,FALSE),0%)</f>
        <v>0</v>
      </c>
      <c r="DB9" s="5">
        <f>IFERROR(VLOOKUP(DB$1,'All Weather'!$B$35:$C$55,2,FALSE),0%)</f>
        <v>0</v>
      </c>
      <c r="DC9" s="5">
        <f>IFERROR(VLOOKUP(DC$1,'All Weather'!$B$35:$C$55,2,FALSE),0%)</f>
        <v>0</v>
      </c>
      <c r="DD9" s="5">
        <f>IFERROR(VLOOKUP(DD$1,'All Weather'!$B$35:$C$55,2,FALSE),0%)</f>
        <v>0</v>
      </c>
      <c r="DE9" s="5">
        <f>IFERROR(VLOOKUP(DE$1,'All Weather'!$B$35:$C$55,2,FALSE),0%)</f>
        <v>0</v>
      </c>
      <c r="DF9" s="5">
        <f>IFERROR(VLOOKUP(DF$1,'All Weather'!$B$35:$C$55,2,FALSE),0%)</f>
        <v>0</v>
      </c>
      <c r="DG9" s="5">
        <f>IFERROR(VLOOKUP(DG$1,'All Weather'!$B$35:$C$55,2,FALSE),0%)</f>
        <v>0</v>
      </c>
      <c r="DH9" s="5">
        <f>IFERROR(VLOOKUP(DH$1,'All Weather'!$B$35:$C$55,2,FALSE),0%)</f>
        <v>0</v>
      </c>
      <c r="DI9" s="5">
        <f>IFERROR(VLOOKUP(DI$1,'All Weather'!$B$35:$C$55,2,FALSE),0%)</f>
        <v>0</v>
      </c>
      <c r="DJ9" s="5">
        <f>IFERROR(VLOOKUP(DJ$1,'All Weather'!$B$35:$C$55,2,FALSE),0%)</f>
        <v>0</v>
      </c>
      <c r="DK9" s="5">
        <f>IFERROR(VLOOKUP(DK$1,'All Weather'!$B$35:$C$55,2,FALSE),0%)</f>
        <v>0</v>
      </c>
      <c r="DL9" s="5">
        <f>IFERROR(VLOOKUP(DL$1,'All Weather'!$B$35:$C$55,2,FALSE),0%)</f>
        <v>0</v>
      </c>
      <c r="DM9" s="5">
        <f>IFERROR(VLOOKUP(DM$1,'All Weather'!$B$35:$C$55,2,FALSE),0%)</f>
        <v>0</v>
      </c>
      <c r="DN9" s="5">
        <f>IFERROR(VLOOKUP(DN$1,'All Weather'!$B$35:$C$55,2,FALSE),0%)</f>
        <v>0</v>
      </c>
      <c r="DO9" s="5">
        <f>IFERROR(VLOOKUP(DO$1,'All Weather'!$B$35:$C$55,2,FALSE),0%)</f>
        <v>0</v>
      </c>
      <c r="DP9" s="5">
        <f>IFERROR(VLOOKUP(DP$1,'All Weather'!$B$35:$C$55,2,FALSE),0%)</f>
        <v>0</v>
      </c>
      <c r="DQ9" s="5">
        <f>IFERROR(VLOOKUP(DQ$1,'All Weather'!$B$35:$C$55,2,FALSE),0%)</f>
        <v>0</v>
      </c>
      <c r="DR9" s="5">
        <f>IFERROR(VLOOKUP(DR$1,'All Weather'!$B$35:$C$55,2,FALSE),0%)</f>
        <v>0</v>
      </c>
      <c r="DS9" s="5">
        <f>IFERROR(VLOOKUP(DS$1,'All Weather'!$B$35:$C$55,2,FALSE),0%)</f>
        <v>0</v>
      </c>
      <c r="DT9" s="5">
        <f>IFERROR(VLOOKUP(DT$1,'All Weather'!$B$35:$C$55,2,FALSE),0%)</f>
        <v>0</v>
      </c>
      <c r="DU9" s="5">
        <f>IFERROR(VLOOKUP(DU$1,'All Weather'!$B$35:$C$55,2,FALSE),0%)</f>
        <v>0</v>
      </c>
      <c r="DV9" s="5">
        <f>IFERROR(VLOOKUP(DV$1,'All Weather'!$B$35:$C$55,2,FALSE),0%)</f>
        <v>0</v>
      </c>
      <c r="DW9" s="5">
        <f>IFERROR(VLOOKUP(DW$1,'All Weather'!$B$35:$C$55,2,FALSE),0%)</f>
        <v>0</v>
      </c>
      <c r="DX9" s="5">
        <f>IFERROR(VLOOKUP(DX$1,'All Weather'!$B$35:$C$55,2,FALSE),0%)</f>
        <v>0</v>
      </c>
      <c r="DY9" s="5">
        <f>IFERROR(VLOOKUP(DY$1,'All Weather'!$B$35:$C$55,2,FALSE),0%)</f>
        <v>0</v>
      </c>
      <c r="DZ9" s="5">
        <f>IFERROR(VLOOKUP(DZ$1,'All Weather'!$B$35:$C$55,2,FALSE),0%)</f>
        <v>0</v>
      </c>
      <c r="EA9" s="5">
        <f>IFERROR(VLOOKUP(EA$1,'All Weather'!$B$35:$C$55,2,FALSE),0%)</f>
        <v>0</v>
      </c>
      <c r="EB9" s="5">
        <f>IFERROR(VLOOKUP(EB$1,'All Weather'!$B$35:$C$55,2,FALSE),0%)</f>
        <v>0</v>
      </c>
      <c r="EC9" s="5">
        <f>IFERROR(VLOOKUP(EC$1,'All Weather'!$B$35:$C$55,2,FALSE),0%)</f>
        <v>0</v>
      </c>
      <c r="ED9" s="5">
        <f>IFERROR(VLOOKUP(ED$1,'All Weather'!$B$35:$C$55,2,FALSE),0%)</f>
        <v>0</v>
      </c>
      <c r="EE9" s="5">
        <f>IFERROR(VLOOKUP(EE$1,'All Weather'!$B$35:$C$55,2,FALSE),0%)</f>
        <v>0</v>
      </c>
      <c r="EF9" s="5">
        <f>IFERROR(VLOOKUP(EF$1,'All Weather'!$B$35:$C$55,2,FALSE),0%)</f>
        <v>0</v>
      </c>
      <c r="EG9" s="5">
        <f>IFERROR(VLOOKUP(EG$1,'All Weather'!$B$35:$C$55,2,FALSE),0%)</f>
        <v>0</v>
      </c>
      <c r="EH9" s="5">
        <f>IFERROR(VLOOKUP(EH$1,'All Weather'!$B$35:$C$55,2,FALSE),0%)</f>
        <v>0</v>
      </c>
      <c r="EI9" s="5">
        <f>IFERROR(VLOOKUP(EI$1,'All Weather'!$B$35:$C$55,2,FALSE),0%)</f>
        <v>0</v>
      </c>
      <c r="EJ9" s="5">
        <f>IFERROR(VLOOKUP(EJ$1,'All Weather'!$B$35:$C$55,2,FALSE),0%)</f>
        <v>0</v>
      </c>
      <c r="EK9" s="5">
        <f>IFERROR(VLOOKUP(EK$1,'All Weather'!$B$35:$C$55,2,FALSE),0%)</f>
        <v>0</v>
      </c>
      <c r="EL9" s="5">
        <f>IFERROR(VLOOKUP(EL$1,'All Weather'!$B$35:$C$55,2,FALSE),0%)</f>
        <v>0</v>
      </c>
      <c r="EM9" s="5">
        <f>IFERROR(VLOOKUP(EM$1,'All Weather'!$B$35:$C$55,2,FALSE),0%)</f>
        <v>0</v>
      </c>
      <c r="EN9" s="5">
        <f>IFERROR(VLOOKUP(EN$1,'All Weather'!$B$35:$C$55,2,FALSE),0%)</f>
        <v>0</v>
      </c>
      <c r="EO9" s="5">
        <f>IFERROR(VLOOKUP(EO$1,'All Weather'!$B$35:$C$55,2,FALSE),0%)</f>
        <v>0</v>
      </c>
      <c r="EP9" s="5">
        <f>IFERROR(VLOOKUP(EP$1,'All Weather'!$B$35:$C$55,2,FALSE),0%)</f>
        <v>0</v>
      </c>
      <c r="EQ9" s="5">
        <f>IFERROR(VLOOKUP(EQ$1,'All Weather'!$B$35:$C$55,2,FALSE),0%)</f>
        <v>0</v>
      </c>
      <c r="ER9" s="5">
        <f>IFERROR(VLOOKUP(ER$1,'All Weather'!$B$35:$C$55,2,FALSE),0%)</f>
        <v>0</v>
      </c>
      <c r="ES9" s="5">
        <f>IFERROR(VLOOKUP(ES$1,'All Weather'!$B$35:$C$55,2,FALSE),0%)</f>
        <v>0</v>
      </c>
      <c r="ET9" s="5">
        <f>IFERROR(VLOOKUP(ET$1,'All Weather'!$B$35:$C$55,2,FALSE),0%)</f>
        <v>0</v>
      </c>
      <c r="EU9" s="5">
        <f>IFERROR(VLOOKUP(EU$1,'All Weather'!$B$35:$C$55,2,FALSE),0%)</f>
        <v>0.09973211133</v>
      </c>
      <c r="EV9" s="5">
        <f>IFERROR(VLOOKUP(EV$1,'All Weather'!$B$35:$C$55,2,FALSE),0%)</f>
        <v>0</v>
      </c>
      <c r="EW9" s="5">
        <f>IFERROR(VLOOKUP(EW$1,'All Weather'!$B$35:$C$55,2,FALSE),0%)</f>
        <v>0</v>
      </c>
      <c r="EX9" s="5">
        <f>IFERROR(VLOOKUP(EX$1,'All Weather'!$B$35:$C$55,2,FALSE),0%)</f>
        <v>0</v>
      </c>
      <c r="EY9" s="5">
        <f>IFERROR(VLOOKUP(EY$1,'All Weather'!$B$35:$C$55,2,FALSE),0%)</f>
        <v>0</v>
      </c>
      <c r="EZ9" s="5">
        <f>IFERROR(VLOOKUP(EZ$1,'All Weather'!$B$35:$C$55,2,FALSE),0%)</f>
        <v>0</v>
      </c>
      <c r="FA9" s="5">
        <f>IFERROR(VLOOKUP(FA$1,'All Weather'!$B$35:$C$55,2,FALSE),0%)</f>
        <v>0</v>
      </c>
      <c r="FB9" s="5">
        <f>IFERROR(VLOOKUP(FB$1,'All Weather'!$B$35:$C$55,2,FALSE),0%)</f>
        <v>0</v>
      </c>
      <c r="FC9" s="5">
        <f>IFERROR(VLOOKUP(FC$1,'All Weather'!$B$35:$C$55,2,FALSE),0%)</f>
        <v>0</v>
      </c>
      <c r="FD9" s="5">
        <f>IFERROR(VLOOKUP(FD$1,'All Weather'!$B$35:$C$55,2,FALSE),0%)</f>
        <v>0</v>
      </c>
      <c r="FE9" s="5">
        <f>IFERROR(VLOOKUP(FE$1,'All Weather'!$B$35:$C$55,2,FALSE),0%)</f>
        <v>0</v>
      </c>
      <c r="FF9" s="5">
        <f>IFERROR(VLOOKUP(FF$1,'All Weather'!$B$35:$C$55,2,FALSE),0%)</f>
        <v>0</v>
      </c>
      <c r="FG9" s="5">
        <f>IFERROR(VLOOKUP(FG$1,'All Weather'!$B$35:$C$55,2,FALSE),0%)</f>
        <v>0</v>
      </c>
      <c r="FH9" s="5">
        <f>IFERROR(VLOOKUP(FH$1,'All Weather'!$B$35:$C$55,2,FALSE),0%)</f>
        <v>0</v>
      </c>
      <c r="FI9" s="5">
        <f>IFERROR(VLOOKUP(FI$1,'All Weather'!$B$35:$C$55,2,FALSE),0%)</f>
        <v>0</v>
      </c>
      <c r="FJ9" s="5">
        <f>IFERROR(VLOOKUP(FJ$1,'All Weather'!$B$35:$C$55,2,FALSE),0%)</f>
        <v>0</v>
      </c>
      <c r="FK9" s="5">
        <f>IFERROR(VLOOKUP(FK$1,'All Weather'!$B$35:$C$55,2,FALSE),0%)</f>
        <v>0</v>
      </c>
      <c r="FL9" s="5">
        <f>IFERROR(VLOOKUP(FL$1,'All Weather'!$B$35:$C$55,2,FALSE),0%)</f>
        <v>0</v>
      </c>
      <c r="FM9" s="5">
        <f>IFERROR(VLOOKUP(FM$1,'All Weather'!$B$35:$C$55,2,FALSE),0%)</f>
        <v>0</v>
      </c>
      <c r="FN9" s="5">
        <f>IFERROR(VLOOKUP(FN$1,'All Weather'!$B$35:$C$55,2,FALSE),0%)</f>
        <v>0</v>
      </c>
      <c r="FO9" s="5">
        <f>IFERROR(VLOOKUP(FO$1,'All Weather'!$B$35:$C$55,2,FALSE),0%)</f>
        <v>0</v>
      </c>
      <c r="FP9" s="5">
        <f>IFERROR(VLOOKUP(FP$1,'All Weather'!$B$35:$C$55,2,FALSE),0%)</f>
        <v>0</v>
      </c>
      <c r="FQ9" s="5">
        <f>IFERROR(VLOOKUP(FQ$1,'All Weather'!$B$35:$C$55,2,FALSE),0%)</f>
        <v>0</v>
      </c>
      <c r="FR9" s="5">
        <f>IFERROR(VLOOKUP(FR$1,'All Weather'!$B$35:$C$55,2,FALSE),0%)</f>
        <v>0</v>
      </c>
      <c r="FS9" s="5">
        <f>IFERROR(VLOOKUP(FS$1,'All Weather'!$B$35:$C$55,2,FALSE),0%)</f>
        <v>0</v>
      </c>
      <c r="FT9" s="5">
        <f>IFERROR(VLOOKUP(FT$1,'All Weather'!$B$35:$C$55,2,FALSE),0%)</f>
        <v>0</v>
      </c>
      <c r="FU9" s="5">
        <f>IFERROR(VLOOKUP(FU$1,'All Weather'!$B$35:$C$55,2,FALSE),0%)</f>
        <v>0</v>
      </c>
      <c r="FV9" s="5">
        <f>IFERROR(VLOOKUP(FV$1,'All Weather'!$B$35:$C$55,2,FALSE),0%)</f>
        <v>0</v>
      </c>
      <c r="FW9" s="5">
        <f>IFERROR(VLOOKUP(FW$1,'All Weather'!$B$35:$C$55,2,FALSE),0%)</f>
        <v>0</v>
      </c>
      <c r="FX9" s="5">
        <f>IFERROR(VLOOKUP(FX$1,'All Weather'!$B$35:$C$55,2,FALSE),0%)</f>
        <v>0</v>
      </c>
      <c r="FY9" s="5">
        <f>IFERROR(VLOOKUP(FY$1,'All Weather'!$B$35:$C$55,2,FALSE),0%)</f>
        <v>0</v>
      </c>
      <c r="FZ9" s="5">
        <f>IFERROR(VLOOKUP(FZ$1,'All Weather'!$B$35:$C$55,2,FALSE),0%)</f>
        <v>0</v>
      </c>
      <c r="GA9" s="5">
        <f>IFERROR(VLOOKUP(GA$1,'All Weather'!$B$35:$C$55,2,FALSE),0%)</f>
        <v>0</v>
      </c>
      <c r="GB9" s="5">
        <f>IFERROR(VLOOKUP(GB$1,'All Weather'!$B$35:$C$55,2,FALSE),0%)</f>
        <v>0</v>
      </c>
      <c r="GC9" s="5">
        <f>IFERROR(VLOOKUP(GC$1,'All Weather'!$B$35:$C$55,2,FALSE),0%)</f>
        <v>0</v>
      </c>
      <c r="GD9" s="5">
        <f>IFERROR(VLOOKUP(GD$1,'All Weather'!$B$35:$C$55,2,FALSE),0%)</f>
        <v>0</v>
      </c>
      <c r="GE9" s="5">
        <f>IFERROR(VLOOKUP(GE$1,'All Weather'!$B$35:$C$55,2,FALSE),0%)</f>
        <v>0</v>
      </c>
      <c r="GF9" s="5">
        <f>IFERROR(VLOOKUP(GF$1,'All Weather'!$B$35:$C$55,2,FALSE),0%)</f>
        <v>0</v>
      </c>
      <c r="GG9" s="5">
        <f>IFERROR(VLOOKUP(GG$1,'All Weather'!$B$35:$C$55,2,FALSE),0%)</f>
        <v>0</v>
      </c>
      <c r="GH9" s="5">
        <f>IFERROR(VLOOKUP(GH$1,'All Weather'!$B$35:$C$55,2,FALSE),0%)</f>
        <v>0</v>
      </c>
      <c r="GI9" s="5">
        <f>IFERROR(VLOOKUP(GI$1,'All Weather'!$B$35:$C$55,2,FALSE),0%)</f>
        <v>0</v>
      </c>
      <c r="GJ9" s="5">
        <f>IFERROR(VLOOKUP(GJ$1,'All Weather'!$B$35:$C$55,2,FALSE),0%)</f>
        <v>0</v>
      </c>
      <c r="GK9" s="5">
        <f>IFERROR(VLOOKUP(GK$1,'All Weather'!$B$35:$C$55,2,FALSE),0%)</f>
        <v>0</v>
      </c>
      <c r="GL9" s="5">
        <f>IFERROR(VLOOKUP(GL$1,'All Weather'!$B$35:$C$55,2,FALSE),0%)</f>
        <v>0</v>
      </c>
      <c r="GM9" s="5">
        <f>IFERROR(VLOOKUP(GM$1,'All Weather'!$B$35:$C$55,2,FALSE),0%)</f>
        <v>0</v>
      </c>
      <c r="GN9" s="5">
        <f>IFERROR(VLOOKUP(GN$1,'All Weather'!$B$35:$C$55,2,FALSE),0%)</f>
        <v>0</v>
      </c>
      <c r="GO9" s="5">
        <f>IFERROR(VLOOKUP(GO$1,'All Weather'!$B$35:$C$55,2,FALSE),0%)</f>
        <v>0</v>
      </c>
      <c r="GP9" s="5">
        <f>IFERROR(VLOOKUP(GP$1,'All Weather'!$B$35:$C$55,2,FALSE),0%)</f>
        <v>0</v>
      </c>
      <c r="GQ9" s="5">
        <f>IFERROR(VLOOKUP(GQ$1,'All Weather'!$B$35:$C$55,2,FALSE),0%)</f>
        <v>0</v>
      </c>
      <c r="GR9" s="5">
        <f>IFERROR(VLOOKUP(GR$1,'All Weather'!$B$35:$C$55,2,FALSE),0%)</f>
        <v>0</v>
      </c>
      <c r="GS9" s="5">
        <f>IFERROR(VLOOKUP(GS$1,'All Weather'!$B$35:$C$55,2,FALSE),0%)</f>
        <v>0</v>
      </c>
      <c r="GT9" s="5">
        <f>IFERROR(VLOOKUP(GT$1,'All Weather'!$B$35:$C$55,2,FALSE),0%)</f>
        <v>0</v>
      </c>
      <c r="GU9" s="5">
        <f>IFERROR(VLOOKUP(GU$1,'All Weather'!$B$35:$C$55,2,FALSE),0%)</f>
        <v>0</v>
      </c>
      <c r="GV9" s="5">
        <f>IFERROR(VLOOKUP(GV$1,'All Weather'!$B$35:$C$55,2,FALSE),0%)</f>
        <v>0</v>
      </c>
      <c r="GW9" s="5">
        <f>IFERROR(VLOOKUP(GW$1,'All Weather'!$B$35:$C$55,2,FALSE),0%)</f>
        <v>0</v>
      </c>
      <c r="GX9" s="5">
        <f>IFERROR(VLOOKUP(GX$1,'All Weather'!$B$35:$C$55,2,FALSE),0%)</f>
        <v>0</v>
      </c>
      <c r="GY9" s="5">
        <f>IFERROR(VLOOKUP(GY$1,'All Weather'!$B$35:$C$55,2,FALSE),0%)</f>
        <v>0</v>
      </c>
      <c r="GZ9" s="5">
        <f>IFERROR(VLOOKUP(GZ$1,'All Weather'!$B$35:$C$55,2,FALSE),0%)</f>
        <v>0</v>
      </c>
      <c r="HA9" s="5">
        <f>IFERROR(VLOOKUP(HA$1,'All Weather'!$B$35:$C$55,2,FALSE),0%)</f>
        <v>0</v>
      </c>
      <c r="HB9" s="5">
        <f>IFERROR(VLOOKUP(HB$1,'All Weather'!$B$35:$C$55,2,FALSE),0%)</f>
        <v>0</v>
      </c>
      <c r="HC9" s="5">
        <f>IFERROR(VLOOKUP(HC$1,'All Weather'!$B$35:$C$55,2,FALSE),0%)</f>
        <v>0</v>
      </c>
      <c r="HD9" s="5">
        <f>IFERROR(VLOOKUP(HD$1,'All Weather'!$B$35:$C$55,2,FALSE),0%)</f>
        <v>0</v>
      </c>
      <c r="HE9" s="5">
        <f>IFERROR(VLOOKUP(HE$1,'All Weather'!$B$35:$C$55,2,FALSE),0%)</f>
        <v>0</v>
      </c>
      <c r="HF9" s="5">
        <f>IFERROR(VLOOKUP(HF$1,'All Weather'!$B$35:$C$55,2,FALSE),0%)</f>
        <v>0</v>
      </c>
      <c r="HG9" s="5">
        <f>IFERROR(VLOOKUP(HG$1,'All Weather'!$B$35:$C$55,2,FALSE),0%)</f>
        <v>0</v>
      </c>
      <c r="HH9" s="5">
        <f>IFERROR(VLOOKUP(HH$1,'All Weather'!$B$35:$C$55,2,FALSE),0%)</f>
        <v>0</v>
      </c>
      <c r="HI9" s="5">
        <f>IFERROR(VLOOKUP(HI$1,'All Weather'!$B$35:$C$55,2,FALSE),0%)</f>
        <v>0</v>
      </c>
      <c r="HJ9" s="5">
        <f>IFERROR(VLOOKUP(HJ$1,'All Weather'!$B$35:$C$55,2,FALSE),0%)</f>
        <v>0</v>
      </c>
      <c r="HK9" s="5">
        <f>IFERROR(VLOOKUP(HK$1,'All Weather'!$B$35:$C$55,2,FALSE),0%)</f>
        <v>0</v>
      </c>
      <c r="HL9" s="5">
        <f>IFERROR(VLOOKUP(HL$1,'All Weather'!$B$35:$C$55,2,FALSE),0%)</f>
        <v>0</v>
      </c>
      <c r="HM9" s="5">
        <f>IFERROR(VLOOKUP(HM$1,'All Weather'!$B$35:$C$55,2,FALSE),0%)</f>
        <v>0</v>
      </c>
      <c r="HN9" s="5">
        <f>IFERROR(VLOOKUP(HN$1,'All Weather'!$B$35:$C$55,2,FALSE),0%)</f>
        <v>0</v>
      </c>
      <c r="HO9" s="5">
        <f>IFERROR(VLOOKUP(HO$1,'All Weather'!$B$35:$C$55,2,FALSE),0%)</f>
        <v>0</v>
      </c>
      <c r="HP9" s="5">
        <f>IFERROR(VLOOKUP(HP$1,'All Weather'!$B$35:$C$55,2,FALSE),0%)</f>
        <v>0</v>
      </c>
      <c r="HQ9" s="5">
        <f>IFERROR(VLOOKUP(HQ$1,'All Weather'!$B$35:$C$55,2,FALSE),0%)</f>
        <v>0</v>
      </c>
      <c r="HR9" s="5">
        <f>IFERROR(VLOOKUP(HR$1,'All Weather'!$B$35:$C$55,2,FALSE),0%)</f>
        <v>0</v>
      </c>
      <c r="HS9" s="5">
        <f>IFERROR(VLOOKUP(HS$1,'All Weather'!$B$35:$C$55,2,FALSE),0%)</f>
        <v>0</v>
      </c>
      <c r="HT9" s="5">
        <f>IFERROR(VLOOKUP(HT$1,'All Weather'!$B$35:$C$55,2,FALSE),0%)</f>
        <v>0</v>
      </c>
      <c r="HU9" s="5">
        <f>IFERROR(VLOOKUP(HU$1,'All Weather'!$B$35:$C$55,2,FALSE),0%)</f>
        <v>0</v>
      </c>
      <c r="HV9" s="5">
        <f>IFERROR(VLOOKUP(HV$1,'All Weather'!$B$35:$C$55,2,FALSE),0%)</f>
        <v>0</v>
      </c>
      <c r="HW9" s="5">
        <f>IFERROR(VLOOKUP(HW$1,'All Weather'!$B$35:$C$55,2,FALSE),0%)</f>
        <v>0</v>
      </c>
      <c r="HX9" s="5">
        <f>IFERROR(VLOOKUP(HX$1,'All Weather'!$B$35:$C$55,2,FALSE),0%)</f>
        <v>0</v>
      </c>
      <c r="HY9" s="5">
        <f>IFERROR(VLOOKUP(HY$1,'All Weather'!$B$35:$C$55,2,FALSE),0%)</f>
        <v>0</v>
      </c>
      <c r="HZ9" s="5">
        <f>IFERROR(VLOOKUP(HZ$1,'All Weather'!$B$35:$C$55,2,FALSE),0%)</f>
        <v>0</v>
      </c>
      <c r="IA9" s="5">
        <f>IFERROR(VLOOKUP(IA$1,'All Weather'!$B$35:$C$55,2,FALSE),0%)</f>
        <v>0</v>
      </c>
      <c r="IB9" s="5">
        <f>IFERROR(VLOOKUP(IB$1,'All Weather'!$B$35:$C$55,2,FALSE),0%)</f>
        <v>0</v>
      </c>
      <c r="IC9" s="5">
        <f>IFERROR(VLOOKUP(IC$1,'All Weather'!$B$35:$C$55,2,FALSE),0%)</f>
        <v>0</v>
      </c>
      <c r="ID9" s="5">
        <f>IFERROR(VLOOKUP(ID$1,'All Weather'!$B$35:$C$55,2,FALSE),0%)</f>
        <v>0</v>
      </c>
      <c r="IE9" s="5">
        <f>IFERROR(VLOOKUP(IE$1,'All Weather'!$B$35:$C$55,2,FALSE),0%)</f>
        <v>0</v>
      </c>
      <c r="IF9" s="5">
        <f>IFERROR(VLOOKUP(IF$1,'All Weather'!$B$35:$C$55,2,FALSE),0%)</f>
        <v>0</v>
      </c>
      <c r="IG9" s="5">
        <f>IFERROR(VLOOKUP(IG$1,'All Weather'!$B$35:$C$55,2,FALSE),0%)</f>
        <v>0</v>
      </c>
      <c r="IH9" s="5">
        <f>IFERROR(VLOOKUP(IH$1,'All Weather'!$B$35:$C$55,2,FALSE),0%)</f>
        <v>0</v>
      </c>
      <c r="II9" s="5">
        <f>IFERROR(VLOOKUP(II$1,'All Weather'!$B$35:$C$55,2,FALSE),0%)</f>
        <v>0</v>
      </c>
      <c r="IJ9" s="5">
        <f>IFERROR(VLOOKUP(IJ$1,'All Weather'!$B$35:$C$55,2,FALSE),0%)</f>
        <v>0</v>
      </c>
      <c r="IK9" s="5">
        <f>IFERROR(VLOOKUP(IK$1,'All Weather'!$B$35:$C$55,2,FALSE),0%)</f>
        <v>0</v>
      </c>
      <c r="IL9" s="5">
        <f>IFERROR(VLOOKUP(IL$1,'All Weather'!$B$35:$C$55,2,FALSE),0%)</f>
        <v>0</v>
      </c>
      <c r="IM9" s="5">
        <f>IFERROR(VLOOKUP(IM$1,'All Weather'!$B$35:$C$55,2,FALSE),0%)</f>
        <v>0</v>
      </c>
      <c r="IN9" s="5">
        <f>IFERROR(VLOOKUP(IN$1,'All Weather'!$B$35:$C$55,2,FALSE),0%)</f>
        <v>0</v>
      </c>
      <c r="IO9" s="5">
        <f>IFERROR(VLOOKUP(IO$1,'All Weather'!$B$35:$C$55,2,FALSE),0%)</f>
        <v>0</v>
      </c>
      <c r="IP9" s="5">
        <f>IFERROR(VLOOKUP(IP$1,'All Weather'!$B$35:$C$55,2,FALSE),0%)</f>
        <v>0</v>
      </c>
      <c r="IQ9" s="5">
        <f>IFERROR(VLOOKUP(IQ$1,'All Weather'!$B$35:$C$55,2,FALSE),0%)</f>
        <v>0</v>
      </c>
      <c r="IR9" s="5">
        <f>IFERROR(VLOOKUP(IR$1,'All Weather'!$B$35:$C$55,2,FALSE),0%)</f>
        <v>0</v>
      </c>
      <c r="IS9" s="5">
        <f>IFERROR(VLOOKUP(IS$1,'All Weather'!$B$35:$C$55,2,FALSE),0%)</f>
        <v>0</v>
      </c>
      <c r="IT9" s="5">
        <f>IFERROR(VLOOKUP(IT$1,'All Weather'!$B$35:$C$55,2,FALSE),0%)</f>
        <v>0</v>
      </c>
      <c r="IU9" s="5">
        <f>IFERROR(VLOOKUP(IU$1,'All Weather'!$B$35:$C$55,2,FALSE),0%)</f>
        <v>0</v>
      </c>
      <c r="IV9" s="5">
        <f>IFERROR(VLOOKUP(IV$1,'All Weather'!$B$35:$C$55,2,FALSE),0%)</f>
        <v>0</v>
      </c>
      <c r="IW9" s="5">
        <f>IFERROR(VLOOKUP(IW$1,'All Weather'!$B$35:$C$55,2,FALSE),0%)</f>
        <v>0</v>
      </c>
      <c r="IX9" s="5">
        <f>IFERROR(VLOOKUP(IX$1,'All Weather'!$B$35:$C$55,2,FALSE),0%)</f>
        <v>0</v>
      </c>
      <c r="IY9" s="5">
        <f>IFERROR(VLOOKUP(IY$1,'All Weather'!$B$35:$C$55,2,FALSE),0%)</f>
        <v>0</v>
      </c>
      <c r="IZ9" s="5">
        <f>IFERROR(VLOOKUP(IZ$1,'All Weather'!$B$35:$C$55,2,FALSE),0%)</f>
        <v>0</v>
      </c>
      <c r="JA9" s="5">
        <f>IFERROR(VLOOKUP(JA$1,'All Weather'!$B$35:$C$55,2,FALSE),0%)</f>
        <v>0</v>
      </c>
      <c r="JB9" s="5">
        <f>IFERROR(VLOOKUP(JB$1,'All Weather'!$B$35:$C$55,2,FALSE),0%)</f>
        <v>0</v>
      </c>
      <c r="JC9" s="5">
        <f>IFERROR(VLOOKUP(JC$1,'All Weather'!$B$35:$C$55,2,FALSE),0%)</f>
        <v>0</v>
      </c>
      <c r="JD9" s="5">
        <f>IFERROR(VLOOKUP(JD$1,'All Weather'!$B$35:$C$55,2,FALSE),0%)</f>
        <v>0</v>
      </c>
      <c r="JE9" s="5">
        <f>IFERROR(VLOOKUP(JE$1,'All Weather'!$B$35:$C$55,2,FALSE),0%)</f>
        <v>0</v>
      </c>
      <c r="JF9" s="5">
        <f>IFERROR(VLOOKUP(JF$1,'All Weather'!$B$35:$C$55,2,FALSE),0%)</f>
        <v>0</v>
      </c>
      <c r="JG9" s="5">
        <f>IFERROR(VLOOKUP(JG$1,'All Weather'!$B$35:$C$55,2,FALSE),0%)</f>
        <v>0</v>
      </c>
      <c r="JH9" s="5">
        <f>IFERROR(VLOOKUP(JH$1,'All Weather'!$B$35:$C$55,2,FALSE),0%)</f>
        <v>0.02863542095</v>
      </c>
      <c r="JI9" s="5">
        <f>IFERROR(VLOOKUP(JI$1,'All Weather'!$B$35:$C$55,2,FALSE),0%)</f>
        <v>0</v>
      </c>
      <c r="JJ9" s="5">
        <f>IFERROR(VLOOKUP(JJ$1,'All Weather'!$B$35:$C$55,2,FALSE),0%)</f>
        <v>0</v>
      </c>
      <c r="JK9" s="5">
        <f>IFERROR(VLOOKUP(JK$1,'All Weather'!$B$35:$C$55,2,FALSE),0%)</f>
        <v>0</v>
      </c>
      <c r="JL9" s="5">
        <f>IFERROR(VLOOKUP(JL$1,'All Weather'!$B$35:$C$55,2,FALSE),0%)</f>
        <v>0</v>
      </c>
      <c r="JM9" s="5">
        <f>IFERROR(VLOOKUP(JM$1,'All Weather'!$B$35:$C$55,2,FALSE),0%)</f>
        <v>0</v>
      </c>
      <c r="JN9" s="5">
        <f>IFERROR(VLOOKUP(JN$1,'All Weather'!$B$35:$C$55,2,FALSE),0%)</f>
        <v>0</v>
      </c>
      <c r="JO9" s="5">
        <f>IFERROR(VLOOKUP(JO$1,'All Weather'!$B$35:$C$55,2,FALSE),0%)</f>
        <v>0</v>
      </c>
      <c r="JP9" s="5">
        <f>IFERROR(VLOOKUP(JP$1,'All Weather'!$B$35:$C$55,2,FALSE),0%)</f>
        <v>0</v>
      </c>
      <c r="JQ9" s="5">
        <f>IFERROR(VLOOKUP(JQ$1,'All Weather'!$B$35:$C$55,2,FALSE),0%)</f>
        <v>0</v>
      </c>
      <c r="JR9" s="5">
        <f>IFERROR(VLOOKUP(JR$1,'All Weather'!$B$35:$C$55,2,FALSE),0%)</f>
        <v>0</v>
      </c>
      <c r="JS9" s="5">
        <f>IFERROR(VLOOKUP(JS$1,'All Weather'!$B$35:$C$55,2,FALSE),0%)</f>
        <v>0</v>
      </c>
      <c r="JT9" s="5">
        <f>IFERROR(VLOOKUP(JT$1,'All Weather'!$B$35:$C$55,2,FALSE),0%)</f>
        <v>0</v>
      </c>
      <c r="JU9" s="5">
        <f>IFERROR(VLOOKUP(JU$1,'All Weather'!$B$35:$C$55,2,FALSE),0%)</f>
        <v>0</v>
      </c>
      <c r="JV9" s="5">
        <f>IFERROR(VLOOKUP(JV$1,'All Weather'!$B$35:$C$55,2,FALSE),0%)</f>
        <v>0</v>
      </c>
      <c r="JW9" s="5">
        <f>IFERROR(VLOOKUP(JW$1,'All Weather'!$B$35:$C$55,2,FALSE),0%)</f>
        <v>0</v>
      </c>
      <c r="JX9" s="5">
        <f>IFERROR(VLOOKUP(JX$1,'All Weather'!$B$35:$C$55,2,FALSE),0%)</f>
        <v>0</v>
      </c>
      <c r="JY9" s="5">
        <f>IFERROR(VLOOKUP(JY$1,'All Weather'!$B$35:$C$55,2,FALSE),0%)</f>
        <v>0</v>
      </c>
      <c r="JZ9" s="5">
        <f>IFERROR(VLOOKUP(JZ$1,'All Weather'!$B$35:$C$55,2,FALSE),0%)</f>
        <v>0</v>
      </c>
      <c r="KA9" s="5">
        <f>IFERROR(VLOOKUP(KA$1,'All Weather'!$B$35:$C$55,2,FALSE),0%)</f>
        <v>0</v>
      </c>
      <c r="KB9" s="5">
        <f>IFERROR(VLOOKUP(KB$1,'All Weather'!$B$35:$C$55,2,FALSE),0%)</f>
        <v>0</v>
      </c>
      <c r="KC9" s="5">
        <f>IFERROR(VLOOKUP(KC$1,'All Weather'!$B$35:$C$55,2,FALSE),0%)</f>
        <v>0</v>
      </c>
      <c r="KD9" s="5">
        <f>IFERROR(VLOOKUP(KD$1,'All Weather'!$B$35:$C$55,2,FALSE),0%)</f>
        <v>0</v>
      </c>
      <c r="KE9" s="5">
        <f>IFERROR(VLOOKUP(KE$1,'All Weather'!$B$35:$C$55,2,FALSE),0%)</f>
        <v>0</v>
      </c>
      <c r="KF9" s="5">
        <f>IFERROR(VLOOKUP(KF$1,'All Weather'!$B$35:$C$55,2,FALSE),0%)</f>
        <v>0</v>
      </c>
      <c r="KG9" s="5">
        <f>IFERROR(VLOOKUP(KG$1,'All Weather'!$B$35:$C$55,2,FALSE),0%)</f>
        <v>0</v>
      </c>
      <c r="KH9" s="5">
        <f>IFERROR(VLOOKUP(KH$1,'All Weather'!$B$35:$C$55,2,FALSE),0%)</f>
        <v>0</v>
      </c>
      <c r="KI9" s="5">
        <f>IFERROR(VLOOKUP(KI$1,'All Weather'!$B$35:$C$55,2,FALSE),0%)</f>
        <v>0</v>
      </c>
      <c r="KJ9" s="5">
        <f>IFERROR(VLOOKUP(KJ$1,'All Weather'!$B$35:$C$55,2,FALSE),0%)</f>
        <v>0</v>
      </c>
      <c r="KK9" s="5">
        <f>IFERROR(VLOOKUP(KK$1,'All Weather'!$B$35:$C$55,2,FALSE),0%)</f>
        <v>0</v>
      </c>
      <c r="KL9" s="5">
        <f>IFERROR(VLOOKUP(KL$1,'All Weather'!$B$35:$C$55,2,FALSE),0%)</f>
        <v>0</v>
      </c>
      <c r="KM9" s="5">
        <f>IFERROR(VLOOKUP(KM$1,'All Weather'!$B$35:$C$55,2,FALSE),0%)</f>
        <v>0</v>
      </c>
      <c r="KN9" s="5">
        <f>IFERROR(VLOOKUP(KN$1,'All Weather'!$B$35:$C$55,2,FALSE),0%)</f>
        <v>0</v>
      </c>
      <c r="KO9" s="5">
        <f>IFERROR(VLOOKUP(KO$1,'All Weather'!$B$35:$C$55,2,FALSE),0%)</f>
        <v>0</v>
      </c>
      <c r="KP9" s="5">
        <f>IFERROR(VLOOKUP(KP$1,'All Weather'!$B$35:$C$55,2,FALSE),0%)</f>
        <v>0</v>
      </c>
      <c r="KQ9" s="5">
        <f>IFERROR(VLOOKUP(KQ$1,'All Weather'!$B$35:$C$55,2,FALSE),0%)</f>
        <v>0</v>
      </c>
      <c r="KR9" s="5">
        <f>IFERROR(VLOOKUP(KR$1,'All Weather'!$B$35:$C$55,2,FALSE),0%)</f>
        <v>0</v>
      </c>
      <c r="KS9" s="5">
        <f>IFERROR(VLOOKUP(KS$1,'All Weather'!$B$35:$C$55,2,FALSE),0%)</f>
        <v>0</v>
      </c>
      <c r="KT9" s="5">
        <f>IFERROR(VLOOKUP(KT$1,'All Weather'!$B$35:$C$55,2,FALSE),0%)</f>
        <v>0</v>
      </c>
      <c r="KU9" s="5">
        <f>IFERROR(VLOOKUP(KU$1,'All Weather'!$B$35:$C$55,2,FALSE),0%)</f>
        <v>0</v>
      </c>
      <c r="KV9" s="5">
        <f>IFERROR(VLOOKUP(KV$1,'All Weather'!$B$35:$C$55,2,FALSE),0%)</f>
        <v>0</v>
      </c>
      <c r="KW9" s="5">
        <f>IFERROR(VLOOKUP(KW$1,'All Weather'!$B$35:$C$55,2,FALSE),0%)</f>
        <v>0</v>
      </c>
      <c r="KX9" s="5">
        <f>IFERROR(VLOOKUP(KX$1,'All Weather'!$B$35:$C$55,2,FALSE),0%)</f>
        <v>0</v>
      </c>
      <c r="KY9" s="5">
        <f>IFERROR(VLOOKUP(KY$1,'All Weather'!$B$35:$C$55,2,FALSE),0%)</f>
        <v>0</v>
      </c>
      <c r="KZ9" s="5">
        <f>IFERROR(VLOOKUP(KZ$1,'All Weather'!$B$35:$C$55,2,FALSE),0%)</f>
        <v>0</v>
      </c>
      <c r="LA9" s="5">
        <f>IFERROR(VLOOKUP(LA$1,'All Weather'!$B$35:$C$55,2,FALSE),0%)</f>
        <v>0</v>
      </c>
      <c r="LB9" s="5">
        <f>IFERROR(VLOOKUP(LB$1,'All Weather'!$B$35:$C$55,2,FALSE),0%)</f>
        <v>0</v>
      </c>
      <c r="LC9" s="5">
        <f>IFERROR(VLOOKUP(LC$1,'All Weather'!$B$35:$C$55,2,FALSE),0%)</f>
        <v>0</v>
      </c>
      <c r="LD9" s="5">
        <f>IFERROR(VLOOKUP(LD$1,'All Weather'!$B$35:$C$55,2,FALSE),0%)</f>
        <v>0</v>
      </c>
      <c r="LE9" s="5">
        <f>IFERROR(VLOOKUP(LE$1,'All Weather'!$B$35:$C$55,2,FALSE),0%)</f>
        <v>0</v>
      </c>
      <c r="LF9" s="5">
        <f>IFERROR(VLOOKUP(LF$1,'All Weather'!$B$35:$C$55,2,FALSE),0%)</f>
        <v>0</v>
      </c>
      <c r="LG9" s="5">
        <f>IFERROR(VLOOKUP(LG$1,'All Weather'!$B$35:$C$55,2,FALSE),0%)</f>
        <v>0</v>
      </c>
      <c r="LH9" s="5">
        <f>IFERROR(VLOOKUP(LH$1,'All Weather'!$B$35:$C$55,2,FALSE),0%)</f>
        <v>0</v>
      </c>
      <c r="LI9" s="5">
        <f>IFERROR(VLOOKUP(LI$1,'All Weather'!$B$35:$C$55,2,FALSE),0%)</f>
        <v>0</v>
      </c>
      <c r="LJ9" s="5">
        <f>IFERROR(VLOOKUP(LJ$1,'All Weather'!$B$35:$C$55,2,FALSE),0%)</f>
        <v>0</v>
      </c>
      <c r="LK9" s="5">
        <f>IFERROR(VLOOKUP(LK$1,'All Weather'!$B$35:$C$55,2,FALSE),0%)</f>
        <v>0</v>
      </c>
      <c r="LL9" s="5">
        <f>IFERROR(VLOOKUP(LL$1,'All Weather'!$B$35:$C$55,2,FALSE),0%)</f>
        <v>0</v>
      </c>
      <c r="LM9" s="5">
        <f>IFERROR(VLOOKUP(LM$1,'All Weather'!$B$35:$C$55,2,FALSE),0%)</f>
        <v>0</v>
      </c>
      <c r="LN9" s="5">
        <f>IFERROR(VLOOKUP(LN$1,'All Weather'!$B$35:$C$55,2,FALSE),0%)</f>
        <v>0</v>
      </c>
      <c r="LO9" s="5">
        <f>IFERROR(VLOOKUP(LO$1,'All Weather'!$B$35:$C$55,2,FALSE),0%)</f>
        <v>0</v>
      </c>
      <c r="LP9" s="5">
        <f>IFERROR(VLOOKUP(LP$1,'All Weather'!$B$35:$C$55,2,FALSE),0%)</f>
        <v>0</v>
      </c>
      <c r="LQ9" s="5">
        <f>IFERROR(VLOOKUP(LQ$1,'All Weather'!$B$35:$C$55,2,FALSE),0%)</f>
        <v>0</v>
      </c>
      <c r="LR9" s="5">
        <f>IFERROR(VLOOKUP(LR$1,'All Weather'!$B$35:$C$55,2,FALSE),0%)</f>
        <v>0</v>
      </c>
      <c r="LS9" s="5">
        <f>IFERROR(VLOOKUP(LS$1,'All Weather'!$B$35:$C$55,2,FALSE),0%)</f>
        <v>0</v>
      </c>
      <c r="LT9" s="5">
        <f>IFERROR(VLOOKUP(LT$1,'All Weather'!$B$35:$C$55,2,FALSE),0%)</f>
        <v>0</v>
      </c>
      <c r="LU9" s="5">
        <f>IFERROR(VLOOKUP(LU$1,'All Weather'!$B$35:$C$55,2,FALSE),0%)</f>
        <v>0</v>
      </c>
      <c r="LV9" s="5">
        <f>IFERROR(VLOOKUP(LV$1,'All Weather'!$B$35:$C$55,2,FALSE),0%)</f>
        <v>0</v>
      </c>
      <c r="LW9" s="5">
        <f>IFERROR(VLOOKUP(LW$1,'All Weather'!$B$35:$C$55,2,FALSE),0%)</f>
        <v>0</v>
      </c>
      <c r="LX9" s="5">
        <f>IFERROR(VLOOKUP(LX$1,'All Weather'!$B$35:$C$55,2,FALSE),0%)</f>
        <v>0</v>
      </c>
      <c r="LY9" s="5">
        <f>IFERROR(VLOOKUP(LY$1,'All Weather'!$B$35:$C$55,2,FALSE),0%)</f>
        <v>0</v>
      </c>
      <c r="LZ9" s="5">
        <f>IFERROR(VLOOKUP(LZ$1,'All Weather'!$B$35:$C$55,2,FALSE),0%)</f>
        <v>0</v>
      </c>
      <c r="MA9" s="5">
        <f>IFERROR(VLOOKUP(MA$1,'All Weather'!$B$35:$C$55,2,FALSE),0%)</f>
        <v>0</v>
      </c>
      <c r="MB9" s="5">
        <f>IFERROR(VLOOKUP(MB$1,'All Weather'!$B$35:$C$55,2,FALSE),0%)</f>
        <v>0</v>
      </c>
      <c r="MC9" s="5">
        <f>IFERROR(VLOOKUP(MC$1,'All Weather'!$B$35:$C$55,2,FALSE),0%)</f>
        <v>0</v>
      </c>
      <c r="MD9" s="5">
        <f>IFERROR(VLOOKUP(MD$1,'All Weather'!$B$35:$C$55,2,FALSE),0%)</f>
        <v>0</v>
      </c>
      <c r="ME9" s="5">
        <f>IFERROR(VLOOKUP(ME$1,'All Weather'!$B$35:$C$55,2,FALSE),0%)</f>
        <v>0</v>
      </c>
      <c r="MF9" s="5">
        <f>IFERROR(VLOOKUP(MF$1,'All Weather'!$B$35:$C$55,2,FALSE),0%)</f>
        <v>0</v>
      </c>
      <c r="MG9" s="5">
        <f>IFERROR(VLOOKUP(MG$1,'All Weather'!$B$35:$C$55,2,FALSE),0%)</f>
        <v>0</v>
      </c>
      <c r="MH9" s="5">
        <f>IFERROR(VLOOKUP(MH$1,'All Weather'!$B$35:$C$55,2,FALSE),0%)</f>
        <v>0</v>
      </c>
      <c r="MI9" s="5">
        <f>IFERROR(VLOOKUP(MI$1,'All Weather'!$B$35:$C$55,2,FALSE),0%)</f>
        <v>0</v>
      </c>
      <c r="MJ9" s="5">
        <f>IFERROR(VLOOKUP(MJ$1,'All Weather'!$B$35:$C$55,2,FALSE),0%)</f>
        <v>0</v>
      </c>
      <c r="MK9" s="5">
        <f>IFERROR(VLOOKUP(MK$1,'All Weather'!$B$35:$C$55,2,FALSE),0%)</f>
        <v>0</v>
      </c>
      <c r="ML9" s="5">
        <f>IFERROR(VLOOKUP(ML$1,'All Weather'!$B$35:$C$55,2,FALSE),0%)</f>
        <v>0</v>
      </c>
      <c r="MM9" s="5">
        <f>IFERROR(VLOOKUP(MM$1,'All Weather'!$B$35:$C$55,2,FALSE),0%)</f>
        <v>0</v>
      </c>
      <c r="MN9" s="5">
        <f>IFERROR(VLOOKUP(MN$1,'All Weather'!$B$35:$C$55,2,FALSE),0%)</f>
        <v>0</v>
      </c>
      <c r="MO9" s="5">
        <f>IFERROR(VLOOKUP(MO$1,'All Weather'!$B$35:$C$55,2,FALSE),0%)</f>
        <v>0</v>
      </c>
      <c r="MP9" s="5">
        <f>IFERROR(VLOOKUP(MP$1,'All Weather'!$B$35:$C$55,2,FALSE),0%)</f>
        <v>0</v>
      </c>
      <c r="MQ9" s="5">
        <f>IFERROR(VLOOKUP(MQ$1,'All Weather'!$B$35:$C$55,2,FALSE),0%)</f>
        <v>0</v>
      </c>
      <c r="MR9" s="5">
        <f>IFERROR(VLOOKUP(MR$1,'All Weather'!$B$35:$C$55,2,FALSE),0%)</f>
        <v>0</v>
      </c>
      <c r="MS9" s="5">
        <f>IFERROR(VLOOKUP(MS$1,'All Weather'!$B$35:$C$55,2,FALSE),0%)</f>
        <v>0</v>
      </c>
      <c r="MT9" s="5">
        <f>IFERROR(VLOOKUP(MT$1,'All Weather'!$B$35:$C$55,2,FALSE),0%)</f>
        <v>0</v>
      </c>
      <c r="MU9" s="5">
        <f>IFERROR(VLOOKUP(MU$1,'All Weather'!$B$35:$C$55,2,FALSE),0%)</f>
        <v>0</v>
      </c>
      <c r="MV9" s="5">
        <f>IFERROR(VLOOKUP(MV$1,'All Weather'!$B$35:$C$55,2,FALSE),0%)</f>
        <v>0</v>
      </c>
      <c r="MW9" s="5">
        <f>IFERROR(VLOOKUP(MW$1,'All Weather'!$B$35:$C$55,2,FALSE),0%)</f>
        <v>0</v>
      </c>
      <c r="MX9" s="5">
        <f>IFERROR(VLOOKUP(MX$1,'All Weather'!$B$35:$C$55,2,FALSE),0%)</f>
        <v>0</v>
      </c>
      <c r="MY9" s="5">
        <f>IFERROR(VLOOKUP(MY$1,'All Weather'!$B$35:$C$55,2,FALSE),0%)</f>
        <v>0</v>
      </c>
      <c r="MZ9" s="5">
        <f>IFERROR(VLOOKUP(MZ$1,'All Weather'!$B$35:$C$55,2,FALSE),0%)</f>
        <v>0</v>
      </c>
      <c r="NA9" s="5">
        <f>IFERROR(VLOOKUP(NA$1,'All Weather'!$B$35:$C$55,2,FALSE),0%)</f>
        <v>0</v>
      </c>
      <c r="NB9" s="5">
        <f>IFERROR(VLOOKUP(NB$1,'All Weather'!$B$35:$C$55,2,FALSE),0%)</f>
        <v>0</v>
      </c>
      <c r="NC9" s="5">
        <f>IFERROR(VLOOKUP(NC$1,'All Weather'!$B$35:$C$55,2,FALSE),0%)</f>
        <v>0</v>
      </c>
      <c r="ND9" s="5">
        <f>IFERROR(VLOOKUP(ND$1,'All Weather'!$B$35:$C$55,2,FALSE),0%)</f>
        <v>0</v>
      </c>
      <c r="NE9" s="5">
        <f>IFERROR(VLOOKUP(NE$1,'All Weather'!$B$35:$C$55,2,FALSE),0%)</f>
        <v>0</v>
      </c>
      <c r="NF9" s="5">
        <f>IFERROR(VLOOKUP(NF$1,'All Weather'!$B$35:$C$55,2,FALSE),0%)</f>
        <v>0</v>
      </c>
      <c r="NG9" s="5">
        <f>IFERROR(VLOOKUP(NG$1,'All Weather'!$B$35:$C$55,2,FALSE),0%)</f>
        <v>0</v>
      </c>
      <c r="NH9" s="5">
        <f>IFERROR(VLOOKUP(NH$1,'All Weather'!$B$35:$C$55,2,FALSE),0%)</f>
        <v>0</v>
      </c>
      <c r="NI9" s="5">
        <f>IFERROR(VLOOKUP(NI$1,'All Weather'!$B$35:$C$55,2,FALSE),0%)</f>
        <v>0</v>
      </c>
      <c r="NJ9" s="5">
        <f>IFERROR(VLOOKUP(NJ$1,'All Weather'!$B$35:$C$55,2,FALSE),0%)</f>
        <v>0</v>
      </c>
      <c r="NK9" s="5">
        <f>IFERROR(VLOOKUP(NK$1,'All Weather'!$B$35:$C$55,2,FALSE),0%)</f>
        <v>0</v>
      </c>
      <c r="NL9" s="5">
        <f>IFERROR(VLOOKUP(NL$1,'All Weather'!$B$35:$C$55,2,FALSE),0%)</f>
        <v>0</v>
      </c>
      <c r="NM9" s="5">
        <f>IFERROR(VLOOKUP(NM$1,'All Weather'!$B$35:$C$55,2,FALSE),0%)</f>
        <v>0</v>
      </c>
      <c r="NN9" s="5">
        <f>IFERROR(VLOOKUP(NN$1,'All Weather'!$B$35:$C$55,2,FALSE),0%)</f>
        <v>0</v>
      </c>
      <c r="NO9" s="5">
        <f>IFERROR(VLOOKUP(NO$1,'All Weather'!$B$35:$C$55,2,FALSE),0%)</f>
        <v>0</v>
      </c>
      <c r="NP9" s="5">
        <f>IFERROR(VLOOKUP(NP$1,'All Weather'!$B$35:$C$55,2,FALSE),0%)</f>
        <v>0</v>
      </c>
      <c r="NQ9" s="5">
        <f>IFERROR(VLOOKUP(NQ$1,'All Weather'!$B$35:$C$55,2,FALSE),0%)</f>
        <v>0</v>
      </c>
      <c r="NR9" s="5">
        <f>IFERROR(VLOOKUP(NR$1,'All Weather'!$B$35:$C$55,2,FALSE),0%)</f>
        <v>0</v>
      </c>
      <c r="NS9" s="5">
        <f>IFERROR(VLOOKUP(NS$1,'All Weather'!$B$35:$C$55,2,FALSE),0%)</f>
        <v>0</v>
      </c>
      <c r="NT9" s="5">
        <f>IFERROR(VLOOKUP(NT$1,'All Weather'!$B$35:$C$55,2,FALSE),0%)</f>
        <v>0</v>
      </c>
      <c r="NU9" s="5">
        <f>IFERROR(VLOOKUP(NU$1,'All Weather'!$B$35:$C$55,2,FALSE),0%)</f>
        <v>0</v>
      </c>
      <c r="NV9" s="5">
        <f>IFERROR(VLOOKUP(NV$1,'All Weather'!$B$35:$C$55,2,FALSE),0%)</f>
        <v>0</v>
      </c>
      <c r="NW9" s="5">
        <f>IFERROR(VLOOKUP(NW$1,'All Weather'!$B$35:$C$55,2,FALSE),0%)</f>
        <v>0</v>
      </c>
      <c r="NX9" s="5">
        <f>IFERROR(VLOOKUP(NX$1,'All Weather'!$B$35:$C$55,2,FALSE),0%)</f>
        <v>0</v>
      </c>
      <c r="NY9" s="5">
        <f>IFERROR(VLOOKUP(NY$1,'All Weather'!$B$35:$C$55,2,FALSE),0%)</f>
        <v>0</v>
      </c>
      <c r="NZ9" s="5">
        <f>IFERROR(VLOOKUP(NZ$1,'All Weather'!$B$35:$C$55,2,FALSE),0%)</f>
        <v>0</v>
      </c>
      <c r="OA9" s="5">
        <f>IFERROR(VLOOKUP(OA$1,'All Weather'!$B$35:$C$55,2,FALSE),0%)</f>
        <v>0</v>
      </c>
      <c r="OB9" s="5">
        <f>IFERROR(VLOOKUP(OB$1,'All Weather'!$B$35:$C$55,2,FALSE),0%)</f>
        <v>0</v>
      </c>
      <c r="OC9" s="5">
        <f>IFERROR(VLOOKUP(OC$1,'All Weather'!$B$35:$C$55,2,FALSE),0%)</f>
        <v>0</v>
      </c>
      <c r="OD9" s="5">
        <f>IFERROR(VLOOKUP(OD$1,'All Weather'!$B$35:$C$55,2,FALSE),0%)</f>
        <v>0</v>
      </c>
      <c r="OE9" s="5">
        <f>IFERROR(VLOOKUP(OE$1,'All Weather'!$B$35:$C$55,2,FALSE),0%)</f>
        <v>0</v>
      </c>
      <c r="OF9" s="5">
        <f>IFERROR(VLOOKUP(OF$1,'All Weather'!$B$35:$C$55,2,FALSE),0%)</f>
        <v>0</v>
      </c>
      <c r="OG9" s="5">
        <f>IFERROR(VLOOKUP(OG$1,'All Weather'!$B$35:$C$55,2,FALSE),0%)</f>
        <v>0</v>
      </c>
      <c r="OH9" s="5">
        <f>IFERROR(VLOOKUP(OH$1,'All Weather'!$B$35:$C$55,2,FALSE),0%)</f>
        <v>0</v>
      </c>
      <c r="OI9" s="5">
        <f>IFERROR(VLOOKUP(OI$1,'All Weather'!$B$35:$C$55,2,FALSE),0%)</f>
        <v>0</v>
      </c>
      <c r="OJ9" s="5">
        <f>IFERROR(VLOOKUP(OJ$1,'All Weather'!$B$35:$C$55,2,FALSE),0%)</f>
        <v>0</v>
      </c>
      <c r="OK9" s="5">
        <f>IFERROR(VLOOKUP(OK$1,'All Weather'!$B$35:$C$55,2,FALSE),0%)</f>
        <v>0</v>
      </c>
      <c r="OL9" s="5">
        <f>IFERROR(VLOOKUP(OL$1,'All Weather'!$B$35:$C$55,2,FALSE),0%)</f>
        <v>0</v>
      </c>
      <c r="OM9" s="5">
        <f>IFERROR(VLOOKUP(OM$1,'All Weather'!$B$35:$C$55,2,FALSE),0%)</f>
        <v>0</v>
      </c>
      <c r="ON9" s="5">
        <f>IFERROR(VLOOKUP(ON$1,'All Weather'!$B$35:$C$55,2,FALSE),0%)</f>
        <v>0</v>
      </c>
      <c r="OO9" s="5">
        <f>IFERROR(VLOOKUP(OO$1,'All Weather'!$B$35:$C$55,2,FALSE),0%)</f>
        <v>0</v>
      </c>
      <c r="OP9" s="5">
        <f>IFERROR(VLOOKUP(OP$1,'All Weather'!$B$35:$C$55,2,FALSE),0%)</f>
        <v>0</v>
      </c>
      <c r="OQ9" s="5">
        <f>IFERROR(VLOOKUP(OQ$1,'All Weather'!$B$35:$C$55,2,FALSE),0%)</f>
        <v>0</v>
      </c>
      <c r="OR9" s="5">
        <f>IFERROR(VLOOKUP(OR$1,'All Weather'!$B$35:$C$55,2,FALSE),0%)</f>
        <v>0</v>
      </c>
      <c r="OS9" s="5">
        <f>IFERROR(VLOOKUP(OS$1,'All Weather'!$B$35:$C$55,2,FALSE),0%)</f>
        <v>0</v>
      </c>
      <c r="OT9" s="5">
        <f>IFERROR(VLOOKUP(OT$1,'All Weather'!$B$35:$C$55,2,FALSE),0%)</f>
        <v>0</v>
      </c>
      <c r="OU9" s="5">
        <f>IFERROR(VLOOKUP(OU$1,'All Weather'!$B$35:$C$55,2,FALSE),0%)</f>
        <v>0</v>
      </c>
      <c r="OV9" s="5">
        <f>IFERROR(VLOOKUP(OV$1,'All Weather'!$B$35:$C$55,2,FALSE),0%)</f>
        <v>0</v>
      </c>
      <c r="OW9" s="5">
        <f>IFERROR(VLOOKUP(OW$1,'All Weather'!$B$35:$C$55,2,FALSE),0%)</f>
        <v>0</v>
      </c>
      <c r="OX9" s="5">
        <f>IFERROR(VLOOKUP(OX$1,'All Weather'!$B$35:$C$55,2,FALSE),0%)</f>
        <v>0</v>
      </c>
      <c r="OY9" s="5">
        <f>IFERROR(VLOOKUP(OY$1,'All Weather'!$B$35:$C$55,2,FALSE),0%)</f>
        <v>0</v>
      </c>
      <c r="OZ9" s="5">
        <f>IFERROR(VLOOKUP(OZ$1,'All Weather'!$B$35:$C$55,2,FALSE),0%)</f>
        <v>0</v>
      </c>
      <c r="PA9" s="5">
        <f>IFERROR(VLOOKUP(PA$1,'All Weather'!$B$35:$C$55,2,FALSE),0%)</f>
        <v>0</v>
      </c>
      <c r="PB9" s="5">
        <f>IFERROR(VLOOKUP(PB$1,'All Weather'!$B$35:$C$55,2,FALSE),0%)</f>
        <v>0</v>
      </c>
      <c r="PC9" s="5">
        <f>IFERROR(VLOOKUP(PC$1,'All Weather'!$B$35:$C$55,2,FALSE),0%)</f>
        <v>0</v>
      </c>
      <c r="PD9" s="5">
        <f>IFERROR(VLOOKUP(PD$1,'All Weather'!$B$35:$C$55,2,FALSE),0%)</f>
        <v>0</v>
      </c>
      <c r="PE9" s="5">
        <f>IFERROR(VLOOKUP(PE$1,'All Weather'!$B$35:$C$55,2,FALSE),0%)</f>
        <v>0</v>
      </c>
      <c r="PF9" s="5">
        <f>IFERROR(VLOOKUP(PF$1,'All Weather'!$B$35:$C$55,2,FALSE),0%)</f>
        <v>0</v>
      </c>
      <c r="PG9" s="5">
        <f>IFERROR(VLOOKUP(PG$1,'All Weather'!$B$35:$C$55,2,FALSE),0%)</f>
        <v>0</v>
      </c>
      <c r="PH9" s="5">
        <f>IFERROR(VLOOKUP(PH$1,'All Weather'!$B$35:$C$55,2,FALSE),0%)</f>
        <v>0</v>
      </c>
      <c r="PI9" s="5">
        <f>IFERROR(VLOOKUP(PI$1,'All Weather'!$B$35:$C$55,2,FALSE),0%)</f>
        <v>0</v>
      </c>
      <c r="PJ9" s="5">
        <f>IFERROR(VLOOKUP(PJ$1,'All Weather'!$B$35:$C$55,2,FALSE),0%)</f>
        <v>0</v>
      </c>
      <c r="PK9" s="5">
        <f>IFERROR(VLOOKUP(PK$1,'All Weather'!$B$35:$C$55,2,FALSE),0%)</f>
        <v>0</v>
      </c>
      <c r="PL9" s="5">
        <f>IFERROR(VLOOKUP(PL$1,'All Weather'!$B$35:$C$55,2,FALSE),0%)</f>
        <v>0</v>
      </c>
      <c r="PM9" s="5">
        <f>IFERROR(VLOOKUP(PM$1,'All Weather'!$B$35:$C$55,2,FALSE),0%)</f>
        <v>0</v>
      </c>
      <c r="PN9" s="5">
        <f>IFERROR(VLOOKUP(PN$1,'All Weather'!$B$35:$C$55,2,FALSE),0%)</f>
        <v>0</v>
      </c>
      <c r="PO9" s="5">
        <f>IFERROR(VLOOKUP(PO$1,'All Weather'!$B$35:$C$55,2,FALSE),0%)</f>
        <v>0</v>
      </c>
      <c r="PP9" s="5">
        <f>IFERROR(VLOOKUP(PP$1,'All Weather'!$B$35:$C$55,2,FALSE),0%)</f>
        <v>0</v>
      </c>
      <c r="PQ9" s="5">
        <f>IFERROR(VLOOKUP(PQ$1,'All Weather'!$B$35:$C$55,2,FALSE),0%)</f>
        <v>0</v>
      </c>
      <c r="PR9" s="5">
        <f>IFERROR(VLOOKUP(PR$1,'All Weather'!$B$35:$C$55,2,FALSE),0%)</f>
        <v>0</v>
      </c>
      <c r="PS9" s="5">
        <f>IFERROR(VLOOKUP(PS$1,'All Weather'!$B$35:$C$55,2,FALSE),0%)</f>
        <v>0</v>
      </c>
      <c r="PT9" s="5">
        <f>IFERROR(VLOOKUP(PT$1,'All Weather'!$B$35:$C$55,2,FALSE),0%)</f>
        <v>0</v>
      </c>
      <c r="PU9" s="5">
        <f>IFERROR(VLOOKUP(PU$1,'All Weather'!$B$35:$C$55,2,FALSE),0%)</f>
        <v>0</v>
      </c>
      <c r="PV9" s="5">
        <f>IFERROR(VLOOKUP(PV$1,'All Weather'!$B$35:$C$55,2,FALSE),0%)</f>
        <v>0</v>
      </c>
      <c r="PW9" s="5">
        <f>IFERROR(VLOOKUP(PW$1,'All Weather'!$B$35:$C$55,2,FALSE),0%)</f>
        <v>0</v>
      </c>
      <c r="PX9" s="5">
        <f>IFERROR(VLOOKUP(PX$1,'All Weather'!$B$35:$C$55,2,FALSE),0%)</f>
        <v>0</v>
      </c>
      <c r="PY9" s="5">
        <f>IFERROR(VLOOKUP(PY$1,'All Weather'!$B$35:$C$55,2,FALSE),0%)</f>
        <v>0</v>
      </c>
      <c r="PZ9" s="5">
        <f>IFERROR(VLOOKUP(PZ$1,'All Weather'!$B$35:$C$55,2,FALSE),0%)</f>
        <v>0</v>
      </c>
      <c r="QA9" s="5">
        <f>IFERROR(VLOOKUP(QA$1,'All Weather'!$B$35:$C$55,2,FALSE),0%)</f>
        <v>0</v>
      </c>
      <c r="QB9" s="5">
        <f>IFERROR(VLOOKUP(QB$1,'All Weather'!$B$35:$C$55,2,FALSE),0%)</f>
        <v>0</v>
      </c>
      <c r="QC9" s="5">
        <f>IFERROR(VLOOKUP(QC$1,'All Weather'!$B$35:$C$55,2,FALSE),0%)</f>
        <v>0</v>
      </c>
      <c r="QD9" s="5">
        <f>IFERROR(VLOOKUP(QD$1,'All Weather'!$B$35:$C$55,2,FALSE),0%)</f>
        <v>0</v>
      </c>
      <c r="QE9" s="5">
        <f>IFERROR(VLOOKUP(QE$1,'All Weather'!$B$35:$C$55,2,FALSE),0%)</f>
        <v>0</v>
      </c>
      <c r="QF9" s="5">
        <f>IFERROR(VLOOKUP(QF$1,'All Weather'!$B$35:$C$55,2,FALSE),0%)</f>
        <v>0</v>
      </c>
      <c r="QG9" s="5">
        <f>IFERROR(VLOOKUP(QG$1,'All Weather'!$B$35:$C$55,2,FALSE),0%)</f>
        <v>0</v>
      </c>
      <c r="QH9" s="5">
        <f>IFERROR(VLOOKUP(QH$1,'All Weather'!$B$35:$C$55,2,FALSE),0%)</f>
        <v>0</v>
      </c>
      <c r="QI9" s="5">
        <f>IFERROR(VLOOKUP(QI$1,'All Weather'!$B$35:$C$55,2,FALSE),0%)</f>
        <v>0</v>
      </c>
      <c r="QJ9" s="5">
        <f>IFERROR(VLOOKUP(QJ$1,'All Weather'!$B$35:$C$55,2,FALSE),0%)</f>
        <v>0</v>
      </c>
      <c r="QK9" s="5">
        <f>IFERROR(VLOOKUP(QK$1,'All Weather'!$B$35:$C$55,2,FALSE),0%)</f>
        <v>0</v>
      </c>
      <c r="QL9" s="5">
        <f>IFERROR(VLOOKUP(QL$1,'All Weather'!$B$35:$C$55,2,FALSE),0%)</f>
        <v>0</v>
      </c>
      <c r="QM9" s="5">
        <f>IFERROR(VLOOKUP(QM$1,'All Weather'!$B$35:$C$55,2,FALSE),0%)</f>
        <v>0</v>
      </c>
      <c r="QN9" s="5">
        <f>IFERROR(VLOOKUP(QN$1,'All Weather'!$B$35:$C$55,2,FALSE),0%)</f>
        <v>0</v>
      </c>
      <c r="QO9" s="5">
        <f>IFERROR(VLOOKUP(QO$1,'All Weather'!$B$35:$C$55,2,FALSE),0%)</f>
        <v>0</v>
      </c>
      <c r="QP9" s="5">
        <f>IFERROR(VLOOKUP(QP$1,'All Weather'!$B$35:$C$55,2,FALSE),0%)</f>
        <v>0</v>
      </c>
      <c r="QQ9" s="5">
        <f>IFERROR(VLOOKUP(QQ$1,'All Weather'!$B$35:$C$55,2,FALSE),0%)</f>
        <v>0</v>
      </c>
      <c r="QR9" s="5">
        <f>IFERROR(VLOOKUP(QR$1,'All Weather'!$B$35:$C$55,2,FALSE),0%)</f>
        <v>0</v>
      </c>
      <c r="QS9" s="5">
        <f>IFERROR(VLOOKUP(QS$1,'All Weather'!$B$35:$C$55,2,FALSE),0%)</f>
        <v>0</v>
      </c>
      <c r="QT9" s="5">
        <f>IFERROR(VLOOKUP(QT$1,'All Weather'!$B$35:$C$55,2,FALSE),0%)</f>
        <v>0</v>
      </c>
      <c r="QU9" s="5">
        <f>IFERROR(VLOOKUP(QU$1,'All Weather'!$B$35:$C$55,2,FALSE),0%)</f>
        <v>0</v>
      </c>
      <c r="QV9" s="5">
        <f>IFERROR(VLOOKUP(QV$1,'All Weather'!$B$35:$C$55,2,FALSE),0%)</f>
        <v>0</v>
      </c>
      <c r="QW9" s="5">
        <f>IFERROR(VLOOKUP(QW$1,'All Weather'!$B$35:$C$55,2,FALSE),0%)</f>
        <v>0</v>
      </c>
      <c r="QX9" s="5">
        <f>IFERROR(VLOOKUP(QX$1,'All Weather'!$B$35:$C$55,2,FALSE),0%)</f>
        <v>0</v>
      </c>
      <c r="QY9" s="5">
        <f>IFERROR(VLOOKUP(QY$1,'All Weather'!$B$35:$C$55,2,FALSE),0%)</f>
        <v>0</v>
      </c>
      <c r="QZ9" s="5">
        <f>IFERROR(VLOOKUP(QZ$1,'All Weather'!$B$35:$C$55,2,FALSE),0%)</f>
        <v>0</v>
      </c>
      <c r="RA9" s="5">
        <f>IFERROR(VLOOKUP(RA$1,'All Weather'!$B$35:$C$55,2,FALSE),0%)</f>
        <v>0</v>
      </c>
      <c r="RB9" s="5">
        <f>IFERROR(VLOOKUP(RB$1,'All Weather'!$B$35:$C$55,2,FALSE),0%)</f>
        <v>0</v>
      </c>
      <c r="RC9" s="5">
        <f>IFERROR(VLOOKUP(RC$1,'All Weather'!$B$35:$C$55,2,FALSE),0%)</f>
        <v>0</v>
      </c>
      <c r="RD9" s="5">
        <f>IFERROR(VLOOKUP(RD$1,'All Weather'!$B$35:$C$55,2,FALSE),0%)</f>
        <v>0</v>
      </c>
      <c r="RE9" s="5">
        <f>IFERROR(VLOOKUP(RE$1,'All Weather'!$B$35:$C$55,2,FALSE),0%)</f>
        <v>0</v>
      </c>
      <c r="RF9" s="5">
        <f>IFERROR(VLOOKUP(RF$1,'All Weather'!$B$35:$C$55,2,FALSE),0%)</f>
        <v>0</v>
      </c>
      <c r="RG9" s="5">
        <f>IFERROR(VLOOKUP(RG$1,'All Weather'!$B$35:$C$55,2,FALSE),0%)</f>
        <v>0</v>
      </c>
      <c r="RH9" s="5">
        <f>IFERROR(VLOOKUP(RH$1,'All Weather'!$B$35:$C$55,2,FALSE),0%)</f>
        <v>0</v>
      </c>
      <c r="RI9" s="5">
        <f>IFERROR(VLOOKUP(RI$1,'All Weather'!$B$35:$C$55,2,FALSE),0%)</f>
        <v>0</v>
      </c>
      <c r="RJ9" s="5">
        <f>IFERROR(VLOOKUP(RJ$1,'All Weather'!$B$35:$C$55,2,FALSE),0%)</f>
        <v>0</v>
      </c>
      <c r="RK9" s="5">
        <f>IFERROR(VLOOKUP(RK$1,'All Weather'!$B$35:$C$55,2,FALSE),0%)</f>
        <v>0</v>
      </c>
      <c r="RL9" s="5">
        <f>IFERROR(VLOOKUP(RL$1,'All Weather'!$B$35:$C$55,2,FALSE),0%)</f>
        <v>0</v>
      </c>
      <c r="RM9" s="5">
        <f>IFERROR(VLOOKUP(RM$1,'All Weather'!$B$35:$C$55,2,FALSE),0%)</f>
        <v>0</v>
      </c>
      <c r="RN9" s="5">
        <f>IFERROR(VLOOKUP(RN$1,'All Weather'!$B$35:$C$55,2,FALSE),0%)</f>
        <v>0</v>
      </c>
      <c r="RO9" s="5">
        <f>IFERROR(VLOOKUP(RO$1,'All Weather'!$B$35:$C$55,2,FALSE),0%)</f>
        <v>0</v>
      </c>
      <c r="RP9" s="5">
        <f>IFERROR(VLOOKUP(RP$1,'All Weather'!$B$35:$C$55,2,FALSE),0%)</f>
        <v>0</v>
      </c>
      <c r="RQ9" s="5">
        <f>IFERROR(VLOOKUP(RQ$1,'All Weather'!$B$35:$C$55,2,FALSE),0%)</f>
        <v>0</v>
      </c>
      <c r="RR9" s="5">
        <f>IFERROR(VLOOKUP(RR$1,'All Weather'!$B$35:$C$55,2,FALSE),0%)</f>
        <v>0</v>
      </c>
      <c r="RS9" s="5">
        <f>IFERROR(VLOOKUP(RS$1,'All Weather'!$B$35:$C$55,2,FALSE),0%)</f>
        <v>0</v>
      </c>
      <c r="RT9" s="5">
        <f>IFERROR(VLOOKUP(RT$1,'All Weather'!$B$35:$C$55,2,FALSE),0%)</f>
        <v>0</v>
      </c>
      <c r="RU9" s="5">
        <f>IFERROR(VLOOKUP(RU$1,'All Weather'!$B$35:$C$55,2,FALSE),0%)</f>
        <v>0</v>
      </c>
      <c r="RV9" s="5">
        <f>IFERROR(VLOOKUP(RV$1,'All Weather'!$B$35:$C$55,2,FALSE),0%)</f>
        <v>0</v>
      </c>
      <c r="RW9" s="5">
        <f>IFERROR(VLOOKUP(RW$1,'All Weather'!$B$35:$C$55,2,FALSE),0%)</f>
        <v>0</v>
      </c>
      <c r="RX9" s="5">
        <f>IFERROR(VLOOKUP(RX$1,'All Weather'!$B$35:$C$55,2,FALSE),0%)</f>
        <v>0</v>
      </c>
      <c r="RY9" s="5">
        <f>IFERROR(VLOOKUP(RY$1,'All Weather'!$B$35:$C$55,2,FALSE),0%)</f>
        <v>0</v>
      </c>
      <c r="RZ9" s="5">
        <f>IFERROR(VLOOKUP(RZ$1,'All Weather'!$B$35:$C$55,2,FALSE),0%)</f>
        <v>0</v>
      </c>
      <c r="SA9" s="5">
        <f>IFERROR(VLOOKUP(SA$1,'All Weather'!$B$35:$C$55,2,FALSE),0%)</f>
        <v>0</v>
      </c>
      <c r="SB9" s="5">
        <f>IFERROR(VLOOKUP(SB$1,'All Weather'!$B$35:$C$55,2,FALSE),0%)</f>
        <v>0</v>
      </c>
      <c r="SC9" s="5">
        <f>IFERROR(VLOOKUP(SC$1,'All Weather'!$B$35:$C$55,2,FALSE),0%)</f>
        <v>0</v>
      </c>
      <c r="SD9" s="5">
        <f>IFERROR(VLOOKUP(SD$1,'All Weather'!$B$35:$C$55,2,FALSE),0%)</f>
        <v>0</v>
      </c>
      <c r="SE9" s="5">
        <f>IFERROR(VLOOKUP(SE$1,'All Weather'!$B$35:$C$55,2,FALSE),0%)</f>
        <v>0</v>
      </c>
      <c r="SF9" s="5">
        <f>IFERROR(VLOOKUP(SF$1,'All Weather'!$B$35:$C$55,2,FALSE),0%)</f>
        <v>0</v>
      </c>
      <c r="SG9" s="5">
        <f>IFERROR(VLOOKUP(SG$1,'All Weather'!$B$35:$C$55,2,FALSE),0%)</f>
        <v>0</v>
      </c>
      <c r="SH9" s="5">
        <f>IFERROR(VLOOKUP(SH$1,'All Weather'!$B$35:$C$55,2,FALSE),0%)</f>
        <v>0</v>
      </c>
      <c r="SI9" s="5">
        <f>IFERROR(VLOOKUP(SI$1,'All Weather'!$B$35:$C$55,2,FALSE),0%)</f>
        <v>0</v>
      </c>
      <c r="SJ9" s="5">
        <f>IFERROR(VLOOKUP(SJ$1,'All Weather'!$B$35:$C$55,2,FALSE),0%)</f>
        <v>0</v>
      </c>
      <c r="SK9" s="5">
        <f>IFERROR(VLOOKUP(SK$1,'All Weather'!$B$35:$C$55,2,FALSE),0%)</f>
        <v>0</v>
      </c>
      <c r="SL9" s="5">
        <f>IFERROR(VLOOKUP(SL$1,'All Weather'!$B$35:$C$55,2,FALSE),0%)</f>
        <v>0</v>
      </c>
      <c r="SM9" s="5">
        <f>IFERROR(VLOOKUP(SM$1,'All Weather'!$B$35:$C$55,2,FALSE),0%)</f>
        <v>0</v>
      </c>
      <c r="SN9" s="5">
        <f>IFERROR(VLOOKUP(SN$1,'All Weather'!$B$35:$C$55,2,FALSE),0%)</f>
        <v>0</v>
      </c>
      <c r="SO9" s="5">
        <f>IFERROR(VLOOKUP(SO$1,'All Weather'!$B$35:$C$55,2,FALSE),0%)</f>
        <v>0</v>
      </c>
      <c r="SP9" s="5">
        <f>IFERROR(VLOOKUP(SP$1,'All Weather'!$B$35:$C$55,2,FALSE),0%)</f>
        <v>0</v>
      </c>
      <c r="SQ9" s="5">
        <f>IFERROR(VLOOKUP(SQ$1,'All Weather'!$B$35:$C$55,2,FALSE),0%)</f>
        <v>0</v>
      </c>
      <c r="SR9" s="5">
        <f>IFERROR(VLOOKUP(SR$1,'All Weather'!$B$35:$C$55,2,FALSE),0%)</f>
        <v>0</v>
      </c>
      <c r="SS9" s="5">
        <f>IFERROR(VLOOKUP(SS$1,'All Weather'!$B$35:$C$55,2,FALSE),0%)</f>
        <v>0</v>
      </c>
      <c r="ST9" s="5">
        <f>IFERROR(VLOOKUP(ST$1,'All Weather'!$B$35:$C$55,2,FALSE),0%)</f>
        <v>0</v>
      </c>
      <c r="SU9" s="5">
        <f>IFERROR(VLOOKUP(SU$1,'All Weather'!$B$35:$C$55,2,FALSE),0%)</f>
        <v>0</v>
      </c>
      <c r="SV9" s="5">
        <f>IFERROR(VLOOKUP(SV$1,'All Weather'!$B$35:$C$55,2,FALSE),0%)</f>
        <v>0</v>
      </c>
      <c r="SW9" s="5">
        <f>IFERROR(VLOOKUP(SW$1,'All Weather'!$B$35:$C$55,2,FALSE),0%)</f>
        <v>0</v>
      </c>
      <c r="SX9" s="5">
        <f>IFERROR(VLOOKUP(SX$1,'All Weather'!$B$35:$C$55,2,FALSE),0%)</f>
        <v>0</v>
      </c>
      <c r="SY9" s="5">
        <f>IFERROR(VLOOKUP(SY$1,'All Weather'!$B$35:$C$55,2,FALSE),0%)</f>
        <v>0</v>
      </c>
      <c r="SZ9" s="5">
        <f>IFERROR(VLOOKUP(SZ$1,'All Weather'!$B$35:$C$55,2,FALSE),0%)</f>
        <v>0</v>
      </c>
      <c r="TA9" s="5">
        <f>IFERROR(VLOOKUP(TA$1,'All Weather'!$B$35:$C$55,2,FALSE),0%)</f>
        <v>0</v>
      </c>
      <c r="TB9" s="5">
        <f>IFERROR(VLOOKUP(TB$1,'All Weather'!$B$35:$C$55,2,FALSE),0%)</f>
        <v>0</v>
      </c>
      <c r="TC9" s="5">
        <f>IFERROR(VLOOKUP(TC$1,'All Weather'!$B$35:$C$55,2,FALSE),0%)</f>
        <v>0</v>
      </c>
      <c r="TD9" s="5">
        <f>IFERROR(VLOOKUP(TD$1,'All Weather'!$B$35:$C$55,2,FALSE),0%)</f>
        <v>0</v>
      </c>
      <c r="TE9" s="5">
        <f>IFERROR(VLOOKUP(TE$1,'All Weather'!$B$35:$C$55,2,FALSE),0%)</f>
        <v>0</v>
      </c>
      <c r="TF9" s="5">
        <f>IFERROR(VLOOKUP(TF$1,'All Weather'!$B$35:$C$55,2,FALSE),0%)</f>
        <v>0</v>
      </c>
      <c r="TG9" s="5">
        <f>IFERROR(VLOOKUP(TG$1,'All Weather'!$B$35:$C$55,2,FALSE),0%)</f>
        <v>0</v>
      </c>
      <c r="TH9" s="5">
        <f>IFERROR(VLOOKUP(TH$1,'All Weather'!$B$35:$C$55,2,FALSE),0%)</f>
        <v>0</v>
      </c>
      <c r="TI9" s="5">
        <f>IFERROR(VLOOKUP(TI$1,'All Weather'!$B$35:$C$55,2,FALSE),0%)</f>
        <v>0</v>
      </c>
      <c r="TJ9" s="5">
        <f>IFERROR(VLOOKUP(TJ$1,'All Weather'!$B$35:$C$55,2,FALSE),0%)</f>
        <v>0</v>
      </c>
      <c r="TK9" s="5">
        <f>IFERROR(VLOOKUP(TK$1,'All Weather'!$B$35:$C$55,2,FALSE),0%)</f>
        <v>0</v>
      </c>
      <c r="TL9" s="5">
        <f>IFERROR(VLOOKUP(TL$1,'All Weather'!$B$35:$C$55,2,FALSE),0%)</f>
        <v>0</v>
      </c>
      <c r="TM9" s="5">
        <f>IFERROR(VLOOKUP(TM$1,'All Weather'!$B$35:$C$55,2,FALSE),0%)</f>
        <v>0</v>
      </c>
      <c r="TN9" s="5">
        <f>IFERROR(VLOOKUP(TN$1,'All Weather'!$B$35:$C$55,2,FALSE),0%)</f>
        <v>0</v>
      </c>
      <c r="TO9" s="5">
        <f>IFERROR(VLOOKUP(TO$1,'All Weather'!$B$35:$C$55,2,FALSE),0%)</f>
        <v>0</v>
      </c>
      <c r="TP9" s="5">
        <f>IFERROR(VLOOKUP(TP$1,'All Weather'!$B$35:$C$55,2,FALSE),0%)</f>
        <v>0</v>
      </c>
      <c r="TQ9" s="5">
        <f>IFERROR(VLOOKUP(TQ$1,'All Weather'!$B$35:$C$55,2,FALSE),0%)</f>
        <v>0</v>
      </c>
      <c r="TR9" s="5">
        <f>IFERROR(VLOOKUP(TR$1,'All Weather'!$B$35:$C$55,2,FALSE),0%)</f>
        <v>0</v>
      </c>
      <c r="TS9" s="5">
        <f>IFERROR(VLOOKUP(TS$1,'All Weather'!$B$35:$C$55,2,FALSE),0%)</f>
        <v>0</v>
      </c>
      <c r="TT9" s="5">
        <f>IFERROR(VLOOKUP(TT$1,'All Weather'!$B$35:$C$55,2,FALSE),0%)</f>
        <v>0</v>
      </c>
      <c r="TU9" s="5">
        <f>IFERROR(VLOOKUP(TU$1,'All Weather'!$B$35:$C$55,2,FALSE),0%)</f>
        <v>0</v>
      </c>
      <c r="TV9" s="5">
        <f>IFERROR(VLOOKUP(TV$1,'All Weather'!$B$35:$C$55,2,FALSE),0%)</f>
        <v>0</v>
      </c>
      <c r="TW9" s="5">
        <f>IFERROR(VLOOKUP(TW$1,'All Weather'!$B$35:$C$55,2,FALSE),0%)</f>
        <v>0</v>
      </c>
      <c r="TX9" s="5">
        <f>IFERROR(VLOOKUP(TX$1,'All Weather'!$B$35:$C$55,2,FALSE),0%)</f>
        <v>0</v>
      </c>
      <c r="TY9" s="5">
        <f>IFERROR(VLOOKUP(TY$1,'All Weather'!$B$35:$C$55,2,FALSE),0%)</f>
        <v>0</v>
      </c>
      <c r="TZ9" s="5">
        <f>IFERROR(VLOOKUP(TZ$1,'All Weather'!$B$35:$C$55,2,FALSE),0%)</f>
        <v>0.0831</v>
      </c>
      <c r="UA9" s="5">
        <f>IFERROR(VLOOKUP(UA$1,'All Weather'!$B$35:$C$55,2,FALSE),0%)</f>
        <v>0</v>
      </c>
      <c r="UB9" s="5">
        <f>IFERROR(VLOOKUP(UB$1,'All Weather'!$B$35:$C$55,2,FALSE),0%)</f>
        <v>0</v>
      </c>
      <c r="UC9" s="5">
        <f>IFERROR(VLOOKUP(UC$1,'All Weather'!$B$35:$C$55,2,FALSE),0%)</f>
        <v>0</v>
      </c>
      <c r="UD9" s="5">
        <f>IFERROR(VLOOKUP(UD$1,'All Weather'!$B$35:$C$55,2,FALSE),0%)</f>
        <v>0</v>
      </c>
      <c r="UE9" s="5">
        <f>IFERROR(VLOOKUP(UE$1,'All Weather'!$B$35:$C$55,2,FALSE),0%)</f>
        <v>0</v>
      </c>
      <c r="UF9" s="5">
        <f>IFERROR(VLOOKUP(UF$1,'All Weather'!$B$35:$C$55,2,FALSE),0%)</f>
        <v>0</v>
      </c>
      <c r="UG9" s="5">
        <f>IFERROR(VLOOKUP(UG$1,'All Weather'!$B$35:$C$55,2,FALSE),0%)</f>
        <v>0</v>
      </c>
      <c r="UH9" s="5">
        <f>IFERROR(VLOOKUP(UH$1,'All Weather'!$B$35:$C$55,2,FALSE),0%)</f>
        <v>0</v>
      </c>
      <c r="UI9" s="5">
        <f>IFERROR(VLOOKUP(UI$1,'All Weather'!$B$35:$C$55,2,FALSE),0%)</f>
        <v>0</v>
      </c>
      <c r="UJ9" s="5">
        <f>IFERROR(VLOOKUP(UJ$1,'All Weather'!$B$35:$C$55,2,FALSE),0%)</f>
        <v>0</v>
      </c>
      <c r="UK9" s="5">
        <f>IFERROR(VLOOKUP(UK$1,'All Weather'!$B$35:$C$55,2,FALSE),0%)</f>
        <v>0</v>
      </c>
      <c r="UL9" s="5">
        <f>IFERROR(VLOOKUP(UL$1,'All Weather'!$B$35:$C$55,2,FALSE),0%)</f>
        <v>0</v>
      </c>
      <c r="UM9" s="5">
        <f>IFERROR(VLOOKUP(UM$1,'All Weather'!$B$35:$C$55,2,FALSE),0%)</f>
        <v>0</v>
      </c>
      <c r="UN9" s="5">
        <f>IFERROR(VLOOKUP(UN$1,'All Weather'!$B$35:$C$55,2,FALSE),0%)</f>
        <v>0</v>
      </c>
      <c r="UO9" s="5">
        <f>IFERROR(VLOOKUP(UO$1,'All Weather'!$B$35:$C$55,2,FALSE),0%)</f>
        <v>0</v>
      </c>
      <c r="UP9" s="5">
        <f>IFERROR(VLOOKUP(UP$1,'All Weather'!$B$35:$C$55,2,FALSE),0%)</f>
        <v>0</v>
      </c>
      <c r="UQ9" s="5">
        <f>IFERROR(VLOOKUP(UQ$1,'All Weather'!$B$35:$C$55,2,FALSE),0%)</f>
        <v>0</v>
      </c>
      <c r="UR9" s="5">
        <f>IFERROR(VLOOKUP(UR$1,'All Weather'!$B$35:$C$55,2,FALSE),0%)</f>
        <v>0</v>
      </c>
      <c r="US9" s="5">
        <f>IFERROR(VLOOKUP(US$1,'All Weather'!$B$35:$C$55,2,FALSE),0%)</f>
        <v>0</v>
      </c>
      <c r="UT9" s="5">
        <f>IFERROR(VLOOKUP(UT$1,'All Weather'!$B$35:$C$55,2,FALSE),0%)</f>
        <v>0</v>
      </c>
      <c r="UU9" s="5">
        <f>IFERROR(VLOOKUP(UU$1,'All Weather'!$B$35:$C$55,2,FALSE),0%)</f>
        <v>0</v>
      </c>
      <c r="UV9" s="5">
        <f>IFERROR(VLOOKUP(UV$1,'All Weather'!$B$35:$C$55,2,FALSE),0%)</f>
        <v>0</v>
      </c>
      <c r="UW9" s="5">
        <f>IFERROR(VLOOKUP(UW$1,'All Weather'!$B$35:$C$55,2,FALSE),0%)</f>
        <v>0</v>
      </c>
      <c r="UX9" s="5">
        <f>IFERROR(VLOOKUP(UX$1,'All Weather'!$B$35:$C$55,2,FALSE),0%)</f>
        <v>0</v>
      </c>
      <c r="UY9" s="5">
        <f>IFERROR(VLOOKUP(UY$1,'All Weather'!$B$35:$C$55,2,FALSE),0%)</f>
        <v>0</v>
      </c>
      <c r="UZ9" s="5">
        <f>IFERROR(VLOOKUP(UZ$1,'All Weather'!$B$35:$C$55,2,FALSE),0%)</f>
        <v>0</v>
      </c>
      <c r="VA9" s="5">
        <f>IFERROR(VLOOKUP(VA$1,'All Weather'!$B$35:$C$55,2,FALSE),0%)</f>
        <v>0</v>
      </c>
      <c r="VB9" s="5">
        <f>IFERROR(VLOOKUP(VB$1,'All Weather'!$B$35:$C$55,2,FALSE),0%)</f>
        <v>0</v>
      </c>
      <c r="VC9" s="5">
        <f>IFERROR(VLOOKUP(VC$1,'All Weather'!$B$35:$C$55,2,FALSE),0%)</f>
        <v>0</v>
      </c>
      <c r="VD9" s="5">
        <f>IFERROR(VLOOKUP(VD$1,'All Weather'!$B$35:$C$55,2,FALSE),0%)</f>
        <v>0</v>
      </c>
      <c r="VE9" s="5">
        <f>IFERROR(VLOOKUP(VE$1,'All Weather'!$B$35:$C$55,2,FALSE),0%)</f>
        <v>0</v>
      </c>
      <c r="VF9" s="5">
        <f>IFERROR(VLOOKUP(VF$1,'All Weather'!$B$35:$C$55,2,FALSE),0%)</f>
        <v>0</v>
      </c>
      <c r="VG9" s="5">
        <f>IFERROR(VLOOKUP(VG$1,'All Weather'!$B$35:$C$55,2,FALSE),0%)</f>
        <v>0</v>
      </c>
      <c r="VH9" s="5">
        <f>IFERROR(VLOOKUP(VH$1,'All Weather'!$B$35:$C$55,2,FALSE),0%)</f>
        <v>0</v>
      </c>
      <c r="VI9" s="5">
        <f>IFERROR(VLOOKUP(VI$1,'All Weather'!$B$35:$C$55,2,FALSE),0%)</f>
        <v>0</v>
      </c>
      <c r="VJ9" s="5">
        <f>IFERROR(VLOOKUP(VJ$1,'All Weather'!$B$35:$C$55,2,FALSE),0%)</f>
        <v>0</v>
      </c>
      <c r="VK9" s="5">
        <f>IFERROR(VLOOKUP(VK$1,'All Weather'!$B$35:$C$55,2,FALSE),0%)</f>
        <v>0</v>
      </c>
      <c r="VL9" s="5">
        <f>IFERROR(VLOOKUP(VL$1,'All Weather'!$B$35:$C$55,2,FALSE),0%)</f>
        <v>0</v>
      </c>
      <c r="VM9" s="5">
        <f>IFERROR(VLOOKUP(VM$1,'All Weather'!$B$35:$C$55,2,FALSE),0%)</f>
        <v>0</v>
      </c>
      <c r="VN9" s="5">
        <f>IFERROR(VLOOKUP(VN$1,'All Weather'!$B$35:$C$55,2,FALSE),0%)</f>
        <v>0</v>
      </c>
      <c r="VO9" s="5">
        <f>IFERROR(VLOOKUP(VO$1,'All Weather'!$B$35:$C$55,2,FALSE),0%)</f>
        <v>0</v>
      </c>
      <c r="VP9" s="5">
        <f>IFERROR(VLOOKUP(VP$1,'All Weather'!$B$35:$C$55,2,FALSE),0%)</f>
        <v>0</v>
      </c>
      <c r="VQ9" s="5">
        <f>IFERROR(VLOOKUP(VQ$1,'All Weather'!$B$35:$C$55,2,FALSE),0%)</f>
        <v>0</v>
      </c>
      <c r="VR9" s="5">
        <f>IFERROR(VLOOKUP(VR$1,'All Weather'!$B$35:$C$55,2,FALSE),0%)</f>
        <v>0</v>
      </c>
      <c r="VS9" s="5">
        <f>IFERROR(VLOOKUP(VS$1,'All Weather'!$B$35:$C$55,2,FALSE),0%)</f>
        <v>0</v>
      </c>
      <c r="VT9" s="5">
        <f>IFERROR(VLOOKUP(VT$1,'All Weather'!$B$35:$C$55,2,FALSE),0%)</f>
        <v>0</v>
      </c>
      <c r="VU9" s="5">
        <f>IFERROR(VLOOKUP(VU$1,'All Weather'!$B$35:$C$55,2,FALSE),0%)</f>
        <v>0</v>
      </c>
      <c r="VV9" s="5">
        <f>IFERROR(VLOOKUP(VV$1,'All Weather'!$B$35:$C$55,2,FALSE),0%)</f>
        <v>0</v>
      </c>
      <c r="VW9" s="5">
        <f>IFERROR(VLOOKUP(VW$1,'All Weather'!$B$35:$C$55,2,FALSE),0%)</f>
        <v>0</v>
      </c>
      <c r="VX9" s="5">
        <f>IFERROR(VLOOKUP(VX$1,'All Weather'!$B$35:$C$55,2,FALSE),0%)</f>
        <v>0</v>
      </c>
      <c r="VY9" s="5">
        <f>IFERROR(VLOOKUP(VY$1,'All Weather'!$B$35:$C$55,2,FALSE),0%)</f>
        <v>0</v>
      </c>
      <c r="VZ9" s="5">
        <f>IFERROR(VLOOKUP(VZ$1,'All Weather'!$B$35:$C$55,2,FALSE),0%)</f>
        <v>0</v>
      </c>
      <c r="WA9" s="5">
        <f>IFERROR(VLOOKUP(WA$1,'All Weather'!$B$35:$C$55,2,FALSE),0%)</f>
        <v>0</v>
      </c>
      <c r="WB9" s="5">
        <f>IFERROR(VLOOKUP(WB$1,'All Weather'!$B$35:$C$55,2,FALSE),0%)</f>
        <v>0</v>
      </c>
      <c r="WC9" s="5">
        <f>IFERROR(VLOOKUP(WC$1,'All Weather'!$B$35:$C$55,2,FALSE),0%)</f>
        <v>0</v>
      </c>
      <c r="WD9" s="5">
        <f>IFERROR(VLOOKUP(WD$1,'All Weather'!$B$35:$C$55,2,FALSE),0%)</f>
        <v>0</v>
      </c>
      <c r="WE9" s="5">
        <f>IFERROR(VLOOKUP(WE$1,'All Weather'!$B$35:$C$55,2,FALSE),0%)</f>
        <v>0</v>
      </c>
      <c r="WF9" s="5">
        <f>IFERROR(VLOOKUP(WF$1,'All Weather'!$B$35:$C$55,2,FALSE),0%)</f>
        <v>0</v>
      </c>
      <c r="WG9" s="5">
        <f>IFERROR(VLOOKUP(WG$1,'All Weather'!$B$35:$C$55,2,FALSE),0%)</f>
        <v>0</v>
      </c>
      <c r="WH9" s="5">
        <f>IFERROR(VLOOKUP(WH$1,'All Weather'!$B$35:$C$55,2,FALSE),0%)</f>
        <v>0</v>
      </c>
      <c r="WI9" s="5">
        <f>IFERROR(VLOOKUP(WI$1,'All Weather'!$B$35:$C$55,2,FALSE),0%)</f>
        <v>0</v>
      </c>
      <c r="WJ9" s="5">
        <f>IFERROR(VLOOKUP(WJ$1,'All Weather'!$B$35:$C$55,2,FALSE),0%)</f>
        <v>0</v>
      </c>
      <c r="WK9" s="5">
        <f>IFERROR(VLOOKUP(WK$1,'All Weather'!$B$35:$C$55,2,FALSE),0%)</f>
        <v>0</v>
      </c>
      <c r="WL9" s="5">
        <f>IFERROR(VLOOKUP(WL$1,'All Weather'!$B$35:$C$55,2,FALSE),0%)</f>
        <v>0</v>
      </c>
      <c r="WM9" s="5">
        <f>IFERROR(VLOOKUP(WM$1,'All Weather'!$B$35:$C$55,2,FALSE),0%)</f>
        <v>0</v>
      </c>
      <c r="WN9" s="5">
        <f>IFERROR(VLOOKUP(WN$1,'All Weather'!$B$35:$C$55,2,FALSE),0%)</f>
        <v>0</v>
      </c>
      <c r="WO9" s="5">
        <f>IFERROR(VLOOKUP(WO$1,'All Weather'!$B$35:$C$55,2,FALSE),0%)</f>
        <v>0</v>
      </c>
      <c r="WP9" s="5">
        <f>IFERROR(VLOOKUP(WP$1,'All Weather'!$B$35:$C$55,2,FALSE),0%)</f>
        <v>0</v>
      </c>
      <c r="WQ9" s="5">
        <f>IFERROR(VLOOKUP(WQ$1,'All Weather'!$B$35:$C$55,2,FALSE),0%)</f>
        <v>0</v>
      </c>
      <c r="WR9" s="5">
        <f>IFERROR(VLOOKUP(WR$1,'All Weather'!$B$35:$C$55,2,FALSE),0%)</f>
        <v>0</v>
      </c>
      <c r="WS9" s="5">
        <f>IFERROR(VLOOKUP(WS$1,'All Weather'!$B$35:$C$55,2,FALSE),0%)</f>
        <v>0</v>
      </c>
      <c r="WT9" s="5">
        <f>IFERROR(VLOOKUP(WT$1,'All Weather'!$B$35:$C$55,2,FALSE),0%)</f>
        <v>0</v>
      </c>
      <c r="WU9" s="5">
        <f>IFERROR(VLOOKUP(WU$1,'All Weather'!$B$35:$C$55,2,FALSE),0%)</f>
        <v>0</v>
      </c>
      <c r="WV9" s="5">
        <f>IFERROR(VLOOKUP(WV$1,'All Weather'!$B$35:$C$55,2,FALSE),0%)</f>
        <v>0</v>
      </c>
      <c r="WW9" s="5">
        <f>IFERROR(VLOOKUP(WW$1,'All Weather'!$B$35:$C$55,2,FALSE),0%)</f>
        <v>0</v>
      </c>
      <c r="WX9" s="5">
        <f>IFERROR(VLOOKUP(WX$1,'All Weather'!$B$35:$C$55,2,FALSE),0%)</f>
        <v>0</v>
      </c>
      <c r="WY9" s="5">
        <f>IFERROR(VLOOKUP(WY$1,'All Weather'!$B$35:$C$55,2,FALSE),0%)</f>
        <v>0</v>
      </c>
      <c r="WZ9" s="5">
        <f>IFERROR(VLOOKUP(WZ$1,'All Weather'!$B$35:$C$55,2,FALSE),0%)</f>
        <v>0</v>
      </c>
      <c r="XA9" s="5">
        <f>IFERROR(VLOOKUP(XA$1,'All Weather'!$B$35:$C$55,2,FALSE),0%)</f>
        <v>0</v>
      </c>
      <c r="XB9" s="5">
        <f>IFERROR(VLOOKUP(XB$1,'All Weather'!$B$35:$C$55,2,FALSE),0%)</f>
        <v>0</v>
      </c>
      <c r="XC9" s="5">
        <f>IFERROR(VLOOKUP(XC$1,'All Weather'!$B$35:$C$55,2,FALSE),0%)</f>
        <v>0</v>
      </c>
      <c r="XD9" s="5">
        <f>IFERROR(VLOOKUP(XD$1,'All Weather'!$B$35:$C$55,2,FALSE),0%)</f>
        <v>0</v>
      </c>
      <c r="XE9" s="5">
        <f>IFERROR(VLOOKUP(XE$1,'All Weather'!$B$35:$C$55,2,FALSE),0%)</f>
        <v>0</v>
      </c>
      <c r="XF9" s="5">
        <f>IFERROR(VLOOKUP(XF$1,'All Weather'!$B$35:$C$55,2,FALSE),0%)</f>
        <v>0</v>
      </c>
      <c r="XG9" s="5">
        <f>IFERROR(VLOOKUP(XG$1,'All Weather'!$B$35:$C$55,2,FALSE),0%)</f>
        <v>0</v>
      </c>
      <c r="XH9" s="5">
        <f>IFERROR(VLOOKUP(XH$1,'All Weather'!$B$35:$C$55,2,FALSE),0%)</f>
        <v>0</v>
      </c>
      <c r="XI9" s="5">
        <f>IFERROR(VLOOKUP(XI$1,'All Weather'!$B$35:$C$55,2,FALSE),0%)</f>
        <v>0</v>
      </c>
      <c r="XJ9" s="5">
        <f>IFERROR(VLOOKUP(XJ$1,'All Weather'!$B$35:$C$55,2,FALSE),0%)</f>
        <v>0</v>
      </c>
      <c r="XK9" s="5">
        <f>IFERROR(VLOOKUP(XK$1,'All Weather'!$B$35:$C$55,2,FALSE),0%)</f>
        <v>0</v>
      </c>
      <c r="XL9" s="5">
        <f>IFERROR(VLOOKUP(XL$1,'All Weather'!$B$35:$C$55,2,FALSE),0%)</f>
        <v>0</v>
      </c>
      <c r="XM9" s="5">
        <f>IFERROR(VLOOKUP(XM$1,'All Weather'!$B$35:$C$55,2,FALSE),0%)</f>
        <v>0</v>
      </c>
      <c r="XN9" s="5">
        <f>IFERROR(VLOOKUP(XN$1,'All Weather'!$B$35:$C$55,2,FALSE),0%)</f>
        <v>0</v>
      </c>
      <c r="XO9" s="5">
        <f>IFERROR(VLOOKUP(XO$1,'All Weather'!$B$35:$C$55,2,FALSE),0%)</f>
        <v>0</v>
      </c>
      <c r="XP9" s="5">
        <f>IFERROR(VLOOKUP(XP$1,'All Weather'!$B$35:$C$55,2,FALSE),0%)</f>
        <v>0</v>
      </c>
      <c r="XQ9" s="5">
        <f>IFERROR(VLOOKUP(XQ$1,'All Weather'!$B$35:$C$55,2,FALSE),0%)</f>
        <v>0</v>
      </c>
      <c r="XR9" s="5">
        <f>IFERROR(VLOOKUP(XR$1,'All Weather'!$B$35:$C$55,2,FALSE),0%)</f>
        <v>0</v>
      </c>
      <c r="XS9" s="5">
        <f>IFERROR(VLOOKUP(XS$1,'All Weather'!$B$35:$C$55,2,FALSE),0%)</f>
        <v>0</v>
      </c>
      <c r="XT9" s="5">
        <f>IFERROR(VLOOKUP(XT$1,'All Weather'!$B$35:$C$55,2,FALSE),0%)</f>
        <v>0</v>
      </c>
      <c r="XU9" s="5">
        <f>IFERROR(VLOOKUP(XU$1,'All Weather'!$B$35:$C$55,2,FALSE),0%)</f>
        <v>0</v>
      </c>
      <c r="XV9" s="5">
        <f>IFERROR(VLOOKUP(XV$1,'All Weather'!$B$35:$C$55,2,FALSE),0%)</f>
        <v>0</v>
      </c>
      <c r="XW9" s="5">
        <f>IFERROR(VLOOKUP(XW$1,'All Weather'!$B$35:$C$55,2,FALSE),0%)</f>
        <v>0</v>
      </c>
      <c r="XX9" s="5">
        <f>IFERROR(VLOOKUP(XX$1,'All Weather'!$B$35:$C$55,2,FALSE),0%)</f>
        <v>0</v>
      </c>
      <c r="XY9" s="5">
        <f>IFERROR(VLOOKUP(XY$1,'All Weather'!$B$35:$C$55,2,FALSE),0%)</f>
        <v>0</v>
      </c>
      <c r="XZ9" s="5">
        <f>IFERROR(VLOOKUP(XZ$1,'All Weather'!$B$35:$C$55,2,FALSE),0%)</f>
        <v>0</v>
      </c>
      <c r="YA9" s="5">
        <f>IFERROR(VLOOKUP(YA$1,'All Weather'!$B$35:$C$55,2,FALSE),0%)</f>
        <v>0</v>
      </c>
      <c r="YB9" s="5">
        <f>IFERROR(VLOOKUP(YB$1,'All Weather'!$B$35:$C$55,2,FALSE),0%)</f>
        <v>0</v>
      </c>
      <c r="YC9" s="5">
        <f>IFERROR(VLOOKUP(YC$1,'All Weather'!$B$35:$C$55,2,FALSE),0%)</f>
        <v>0</v>
      </c>
      <c r="YD9" s="5">
        <f>IFERROR(VLOOKUP(YD$1,'All Weather'!$B$35:$C$55,2,FALSE),0%)</f>
        <v>0</v>
      </c>
      <c r="YE9" s="5">
        <f>IFERROR(VLOOKUP(YE$1,'All Weather'!$B$35:$C$55,2,FALSE),0%)</f>
        <v>0.1613</v>
      </c>
      <c r="YF9" s="5">
        <f>IFERROR(VLOOKUP(YF$1,'All Weather'!$B$35:$C$55,2,FALSE),0%)</f>
        <v>0</v>
      </c>
      <c r="YG9" s="5">
        <f>IFERROR(VLOOKUP(YG$1,'All Weather'!$B$35:$C$55,2,FALSE),0%)</f>
        <v>0</v>
      </c>
      <c r="YH9" s="5">
        <f>IFERROR(VLOOKUP(YH$1,'All Weather'!$B$35:$C$55,2,FALSE),0%)</f>
        <v>0</v>
      </c>
      <c r="YI9" s="5">
        <f>IFERROR(VLOOKUP(YI$1,'All Weather'!$B$35:$C$55,2,FALSE),0%)</f>
        <v>0</v>
      </c>
      <c r="YJ9" s="5">
        <f>IFERROR(VLOOKUP(YJ$1,'All Weather'!$B$35:$C$55,2,FALSE),0%)</f>
        <v>0</v>
      </c>
      <c r="YK9" s="5">
        <f>IFERROR(VLOOKUP(YK$1,'All Weather'!$B$35:$C$55,2,FALSE),0%)</f>
        <v>0</v>
      </c>
      <c r="YL9" s="5">
        <f>IFERROR(VLOOKUP(YL$1,'All Weather'!$B$35:$C$55,2,FALSE),0%)</f>
        <v>0</v>
      </c>
      <c r="YM9" s="5">
        <f>IFERROR(VLOOKUP(YM$1,'All Weather'!$B$35:$C$55,2,FALSE),0%)</f>
        <v>0</v>
      </c>
      <c r="YN9" s="5">
        <f>IFERROR(VLOOKUP(YN$1,'All Weather'!$B$35:$C$55,2,FALSE),0%)</f>
        <v>0</v>
      </c>
      <c r="YO9" s="5">
        <f>IFERROR(VLOOKUP(YO$1,'All Weather'!$B$35:$C$55,2,FALSE),0%)</f>
        <v>0</v>
      </c>
      <c r="YP9" s="5">
        <f>IFERROR(VLOOKUP(YP$1,'All Weather'!$B$35:$C$55,2,FALSE),0%)</f>
        <v>0</v>
      </c>
      <c r="YQ9" s="5">
        <f>IFERROR(VLOOKUP(YQ$1,'All Weather'!$B$35:$C$55,2,FALSE),0%)</f>
        <v>0</v>
      </c>
      <c r="YR9" s="5">
        <f>IFERROR(VLOOKUP(YR$1,'All Weather'!$B$35:$C$55,2,FALSE),0%)</f>
        <v>0</v>
      </c>
      <c r="YS9" s="5">
        <f>IFERROR(VLOOKUP(YS$1,'All Weather'!$B$35:$C$55,2,FALSE),0%)</f>
        <v>0</v>
      </c>
      <c r="YT9" s="5">
        <f>IFERROR(VLOOKUP(YT$1,'All Weather'!$B$35:$C$55,2,FALSE),0%)</f>
        <v>0</v>
      </c>
      <c r="YU9" s="5">
        <f>IFERROR(VLOOKUP(YU$1,'All Weather'!$B$35:$C$55,2,FALSE),0%)</f>
        <v>0</v>
      </c>
      <c r="YV9" s="5">
        <f>IFERROR(VLOOKUP(YV$1,'All Weather'!$B$35:$C$55,2,FALSE),0%)</f>
        <v>0</v>
      </c>
      <c r="YW9" s="5">
        <f>IFERROR(VLOOKUP(YW$1,'All Weather'!$B$35:$C$55,2,FALSE),0%)</f>
        <v>0</v>
      </c>
      <c r="YX9" s="5">
        <f>IFERROR(VLOOKUP(YX$1,'All Weather'!$B$35:$C$55,2,FALSE),0%)</f>
        <v>0</v>
      </c>
      <c r="YY9" s="5">
        <f>IFERROR(VLOOKUP(YY$1,'All Weather'!$B$35:$C$55,2,FALSE),0%)</f>
        <v>0</v>
      </c>
      <c r="YZ9" s="5">
        <f>IFERROR(VLOOKUP(YZ$1,'All Weather'!$B$35:$C$55,2,FALSE),0%)</f>
        <v>0</v>
      </c>
      <c r="ZA9" s="5">
        <f>IFERROR(VLOOKUP(ZA$1,'All Weather'!$B$35:$C$55,2,FALSE),0%)</f>
        <v>0</v>
      </c>
      <c r="ZB9" s="5">
        <f>IFERROR(VLOOKUP(ZB$1,'All Weather'!$B$35:$C$55,2,FALSE),0%)</f>
        <v>0</v>
      </c>
      <c r="ZC9" s="5">
        <f>IFERROR(VLOOKUP(ZC$1,'All Weather'!$B$35:$C$55,2,FALSE),0%)</f>
        <v>0</v>
      </c>
      <c r="ZD9" s="5">
        <f>IFERROR(VLOOKUP(ZD$1,'All Weather'!$B$35:$C$55,2,FALSE),0%)</f>
        <v>0</v>
      </c>
      <c r="ZE9" s="5">
        <f>IFERROR(VLOOKUP(ZE$1,'All Weather'!$B$35:$C$55,2,FALSE),0%)</f>
        <v>0</v>
      </c>
      <c r="ZF9" s="5">
        <f>IFERROR(VLOOKUP(ZF$1,'All Weather'!$B$35:$C$55,2,FALSE),0%)</f>
        <v>0</v>
      </c>
      <c r="ZG9" s="5">
        <f>IFERROR(VLOOKUP(ZG$1,'All Weather'!$B$35:$C$55,2,FALSE),0%)</f>
        <v>0</v>
      </c>
      <c r="ZH9" s="5">
        <f>IFERROR(VLOOKUP(ZH$1,'All Weather'!$B$35:$C$55,2,FALSE),0%)</f>
        <v>0</v>
      </c>
      <c r="ZI9" s="5">
        <f>IFERROR(VLOOKUP(ZI$1,'All Weather'!$B$35:$C$55,2,FALSE),0%)</f>
        <v>0</v>
      </c>
      <c r="ZJ9" s="5">
        <f>IFERROR(VLOOKUP(ZJ$1,'All Weather'!$B$35:$C$55,2,FALSE),0%)</f>
        <v>0</v>
      </c>
      <c r="ZK9" s="5">
        <f>IFERROR(VLOOKUP(ZK$1,'All Weather'!$B$35:$C$55,2,FALSE),0%)</f>
        <v>0</v>
      </c>
      <c r="ZL9" s="5">
        <f>IFERROR(VLOOKUP(ZL$1,'All Weather'!$B$35:$C$55,2,FALSE),0%)</f>
        <v>0</v>
      </c>
      <c r="ZM9" s="5">
        <f>IFERROR(VLOOKUP(ZM$1,'All Weather'!$B$35:$C$55,2,FALSE),0%)</f>
        <v>0</v>
      </c>
      <c r="ZN9" s="5">
        <f>IFERROR(VLOOKUP(ZN$1,'All Weather'!$B$35:$C$55,2,FALSE),0%)</f>
        <v>0</v>
      </c>
      <c r="ZO9" s="5">
        <f>IFERROR(VLOOKUP(ZO$1,'All Weather'!$B$35:$C$55,2,FALSE),0%)</f>
        <v>0</v>
      </c>
      <c r="ZP9" s="5">
        <f>IFERROR(VLOOKUP(ZP$1,'All Weather'!$B$35:$C$55,2,FALSE),0%)</f>
        <v>0</v>
      </c>
      <c r="ZQ9" s="5">
        <f>IFERROR(VLOOKUP(ZQ$1,'All Weather'!$B$35:$C$55,2,FALSE),0%)</f>
        <v>0</v>
      </c>
      <c r="ZR9" s="5">
        <f>IFERROR(VLOOKUP(ZR$1,'All Weather'!$B$35:$C$55,2,FALSE),0%)</f>
        <v>0</v>
      </c>
      <c r="ZS9" s="5">
        <f>IFERROR(VLOOKUP(ZS$1,'All Weather'!$B$35:$C$55,2,FALSE),0%)</f>
        <v>0</v>
      </c>
      <c r="ZT9" s="5">
        <f>IFERROR(VLOOKUP(ZT$1,'All Weather'!$B$35:$C$55,2,FALSE),0%)</f>
        <v>0</v>
      </c>
      <c r="ZU9" s="5">
        <f>IFERROR(VLOOKUP(ZU$1,'All Weather'!$B$35:$C$55,2,FALSE),0%)</f>
        <v>0</v>
      </c>
      <c r="ZV9" s="5">
        <f>IFERROR(VLOOKUP(ZV$1,'All Weather'!$B$35:$C$55,2,FALSE),0%)</f>
        <v>0</v>
      </c>
      <c r="ZW9" s="5">
        <f>IFERROR(VLOOKUP(ZW$1,'All Weather'!$B$35:$C$55,2,FALSE),0%)</f>
        <v>0</v>
      </c>
      <c r="ZX9" s="5">
        <f>IFERROR(VLOOKUP(ZX$1,'All Weather'!$B$35:$C$55,2,FALSE),0%)</f>
        <v>0</v>
      </c>
      <c r="ZY9" s="5">
        <f>IFERROR(VLOOKUP(ZY$1,'All Weather'!$B$35:$C$55,2,FALSE),0%)</f>
        <v>0</v>
      </c>
      <c r="ZZ9" s="5">
        <f>IFERROR(VLOOKUP(ZZ$1,'All Weather'!$B$35:$C$55,2,FALSE),0%)</f>
        <v>0</v>
      </c>
      <c r="AAA9" s="5">
        <f>IFERROR(VLOOKUP(AAA$1,'All Weather'!$B$35:$C$55,2,FALSE),0%)</f>
        <v>0</v>
      </c>
      <c r="AAB9" s="5">
        <f>IFERROR(VLOOKUP(AAB$1,'All Weather'!$B$35:$C$55,2,FALSE),0%)</f>
        <v>0</v>
      </c>
      <c r="AAC9" s="5">
        <f>IFERROR(VLOOKUP(AAC$1,'All Weather'!$B$35:$C$55,2,FALSE),0%)</f>
        <v>0</v>
      </c>
      <c r="AAD9" s="5">
        <f>IFERROR(VLOOKUP(AAD$1,'All Weather'!$B$35:$C$55,2,FALSE),0%)</f>
        <v>0</v>
      </c>
      <c r="AAE9" s="5">
        <f>IFERROR(VLOOKUP(AAE$1,'All Weather'!$B$35:$C$55,2,FALSE),0%)</f>
        <v>0</v>
      </c>
      <c r="AAF9" s="5">
        <f>IFERROR(VLOOKUP(AAF$1,'All Weather'!$B$35:$C$55,2,FALSE),0%)</f>
        <v>0</v>
      </c>
      <c r="AAG9" s="5">
        <f>IFERROR(VLOOKUP(AAG$1,'All Weather'!$B$35:$C$55,2,FALSE),0%)</f>
        <v>0</v>
      </c>
      <c r="AAH9" s="5">
        <f>IFERROR(VLOOKUP(AAH$1,'All Weather'!$B$35:$C$55,2,FALSE),0%)</f>
        <v>0</v>
      </c>
      <c r="AAI9" s="5">
        <f>IFERROR(VLOOKUP(AAI$1,'All Weather'!$B$35:$C$55,2,FALSE),0%)</f>
        <v>0</v>
      </c>
      <c r="AAJ9" s="5">
        <f>IFERROR(VLOOKUP(AAJ$1,'All Weather'!$B$35:$C$55,2,FALSE),0%)</f>
        <v>0</v>
      </c>
      <c r="AAK9" s="5">
        <f>IFERROR(VLOOKUP(AAK$1,'All Weather'!$B$35:$C$55,2,FALSE),0%)</f>
        <v>0</v>
      </c>
      <c r="AAL9" s="5">
        <f>IFERROR(VLOOKUP(AAL$1,'All Weather'!$B$35:$C$55,2,FALSE),0%)</f>
        <v>0</v>
      </c>
      <c r="AAM9" s="5">
        <f>IFERROR(VLOOKUP(AAM$1,'All Weather'!$B$35:$C$55,2,FALSE),0%)</f>
        <v>0</v>
      </c>
      <c r="AAN9" s="5">
        <f>IFERROR(VLOOKUP(AAN$1,'All Weather'!$B$35:$C$55,2,FALSE),0%)</f>
        <v>0</v>
      </c>
      <c r="AAO9" s="5">
        <f>IFERROR(VLOOKUP(AAO$1,'All Weather'!$B$35:$C$55,2,FALSE),0%)</f>
        <v>0</v>
      </c>
      <c r="AAP9" s="5">
        <f>IFERROR(VLOOKUP(AAP$1,'All Weather'!$B$35:$C$55,2,FALSE),0%)</f>
        <v>0</v>
      </c>
      <c r="AAQ9" s="5">
        <f>IFERROR(VLOOKUP(AAQ$1,'All Weather'!$B$35:$C$55,2,FALSE),0%)</f>
        <v>0</v>
      </c>
      <c r="AAR9" s="5">
        <f>IFERROR(VLOOKUP(AAR$1,'All Weather'!$B$35:$C$55,2,FALSE),0%)</f>
        <v>0</v>
      </c>
      <c r="AAS9" s="5">
        <f>IFERROR(VLOOKUP(AAS$1,'All Weather'!$B$35:$C$55,2,FALSE),0%)</f>
        <v>0</v>
      </c>
      <c r="AAT9" s="5">
        <f>IFERROR(VLOOKUP(AAT$1,'All Weather'!$B$35:$C$55,2,FALSE),0%)</f>
        <v>0</v>
      </c>
      <c r="AAU9" s="5">
        <f>IFERROR(VLOOKUP(AAU$1,'All Weather'!$B$35:$C$55,2,FALSE),0%)</f>
        <v>0</v>
      </c>
      <c r="AAV9" s="5">
        <f>IFERROR(VLOOKUP(AAV$1,'All Weather'!$B$35:$C$55,2,FALSE),0%)</f>
        <v>0</v>
      </c>
      <c r="AAW9" s="5">
        <f>IFERROR(VLOOKUP(AAW$1,'All Weather'!$B$35:$C$55,2,FALSE),0%)</f>
        <v>0</v>
      </c>
      <c r="AAX9" s="5">
        <f>IFERROR(VLOOKUP(AAX$1,'All Weather'!$B$35:$C$55,2,FALSE),0%)</f>
        <v>0</v>
      </c>
      <c r="AAY9" s="5">
        <f>IFERROR(VLOOKUP(AAY$1,'All Weather'!$B$35:$C$55,2,FALSE),0%)</f>
        <v>0</v>
      </c>
      <c r="AAZ9" s="5">
        <f>IFERROR(VLOOKUP(AAZ$1,'All Weather'!$B$35:$C$55,2,FALSE),0%)</f>
        <v>0</v>
      </c>
      <c r="ABA9" s="5">
        <f>IFERROR(VLOOKUP(ABA$1,'All Weather'!$B$35:$C$55,2,FALSE),0%)</f>
        <v>0</v>
      </c>
      <c r="ABB9" s="5">
        <f>IFERROR(VLOOKUP(ABB$1,'All Weather'!$B$35:$C$55,2,FALSE),0%)</f>
        <v>0</v>
      </c>
      <c r="ABC9" s="5">
        <f>IFERROR(VLOOKUP(ABC$1,'All Weather'!$B$35:$C$55,2,FALSE),0%)</f>
        <v>0</v>
      </c>
      <c r="ABD9" s="5">
        <f>IFERROR(VLOOKUP(ABD$1,'All Weather'!$B$35:$C$55,2,FALSE),0%)</f>
        <v>0</v>
      </c>
      <c r="ABE9" s="5">
        <f>IFERROR(VLOOKUP(ABE$1,'All Weather'!$B$35:$C$55,2,FALSE),0%)</f>
        <v>0</v>
      </c>
      <c r="ABF9" s="5">
        <f>IFERROR(VLOOKUP(ABF$1,'All Weather'!$B$35:$C$55,2,FALSE),0%)</f>
        <v>0</v>
      </c>
      <c r="ABG9" s="5">
        <f>IFERROR(VLOOKUP(ABG$1,'All Weather'!$B$35:$C$55,2,FALSE),0%)</f>
        <v>0</v>
      </c>
      <c r="ABH9" s="5">
        <f>IFERROR(VLOOKUP(ABH$1,'All Weather'!$B$35:$C$55,2,FALSE),0%)</f>
        <v>0</v>
      </c>
      <c r="ABI9" s="5">
        <f>IFERROR(VLOOKUP(ABI$1,'All Weather'!$B$35:$C$55,2,FALSE),0%)</f>
        <v>0</v>
      </c>
      <c r="ABJ9" s="5">
        <f>IFERROR(VLOOKUP(ABJ$1,'All Weather'!$B$35:$C$55,2,FALSE),0%)</f>
        <v>0</v>
      </c>
      <c r="ABK9" s="5">
        <f>IFERROR(VLOOKUP(ABK$1,'All Weather'!$B$35:$C$55,2,FALSE),0%)</f>
        <v>0</v>
      </c>
      <c r="ABL9" s="5">
        <f>IFERROR(VLOOKUP(ABL$1,'All Weather'!$B$35:$C$55,2,FALSE),0%)</f>
        <v>0</v>
      </c>
      <c r="ABM9" s="5">
        <f>IFERROR(VLOOKUP(ABM$1,'All Weather'!$B$35:$C$55,2,FALSE),0%)</f>
        <v>0</v>
      </c>
      <c r="ABN9" s="5">
        <f>IFERROR(VLOOKUP(ABN$1,'All Weather'!$B$35:$C$55,2,FALSE),0%)</f>
        <v>0</v>
      </c>
      <c r="ABO9" s="5">
        <f>IFERROR(VLOOKUP(ABO$1,'All Weather'!$B$35:$C$55,2,FALSE),0%)</f>
        <v>0</v>
      </c>
      <c r="ABP9" s="5">
        <f>IFERROR(VLOOKUP(ABP$1,'All Weather'!$B$35:$C$55,2,FALSE),0%)</f>
        <v>0</v>
      </c>
      <c r="ABQ9" s="5">
        <f>IFERROR(VLOOKUP(ABQ$1,'All Weather'!$B$35:$C$55,2,FALSE),0%)</f>
        <v>0</v>
      </c>
      <c r="ABR9" s="5">
        <f>IFERROR(VLOOKUP(ABR$1,'All Weather'!$B$35:$C$55,2,FALSE),0%)</f>
        <v>0</v>
      </c>
      <c r="ABS9" s="5">
        <f>IFERROR(VLOOKUP(ABS$1,'All Weather'!$B$35:$C$55,2,FALSE),0%)</f>
        <v>0</v>
      </c>
      <c r="ABT9" s="5">
        <f>IFERROR(VLOOKUP(ABT$1,'All Weather'!$B$35:$C$55,2,FALSE),0%)</f>
        <v>0</v>
      </c>
      <c r="ABU9" s="5">
        <f>IFERROR(VLOOKUP(ABU$1,'All Weather'!$B$35:$C$55,2,FALSE),0%)</f>
        <v>0</v>
      </c>
      <c r="ABV9" s="5">
        <f>IFERROR(VLOOKUP(ABV$1,'All Weather'!$B$35:$C$55,2,FALSE),0%)</f>
        <v>0</v>
      </c>
      <c r="ABW9" s="5">
        <f>IFERROR(VLOOKUP(ABW$1,'All Weather'!$B$35:$C$55,2,FALSE),0%)</f>
        <v>0</v>
      </c>
      <c r="ABX9" s="5">
        <f>IFERROR(VLOOKUP(ABX$1,'All Weather'!$B$35:$C$55,2,FALSE),0%)</f>
        <v>0</v>
      </c>
      <c r="ABY9" s="5">
        <f>IFERROR(VLOOKUP(ABY$1,'All Weather'!$B$35:$C$55,2,FALSE),0%)</f>
        <v>0</v>
      </c>
      <c r="ABZ9" s="5">
        <f>IFERROR(VLOOKUP(ABZ$1,'All Weather'!$B$35:$C$55,2,FALSE),0%)</f>
        <v>0</v>
      </c>
      <c r="ACA9" s="5">
        <f>IFERROR(VLOOKUP(ACA$1,'All Weather'!$B$35:$C$55,2,FALSE),0%)</f>
        <v>0</v>
      </c>
      <c r="ACB9" s="5">
        <f>IFERROR(VLOOKUP(ACB$1,'All Weather'!$B$35:$C$55,2,FALSE),0%)</f>
        <v>0</v>
      </c>
      <c r="ACC9" s="5">
        <f>IFERROR(VLOOKUP(ACC$1,'All Weather'!$B$35:$C$55,2,FALSE),0%)</f>
        <v>0</v>
      </c>
      <c r="ACD9" s="5">
        <f>IFERROR(VLOOKUP(ACD$1,'All Weather'!$B$35:$C$55,2,FALSE),0%)</f>
        <v>0</v>
      </c>
      <c r="ACE9" s="5">
        <f>IFERROR(VLOOKUP(ACE$1,'All Weather'!$B$35:$C$55,2,FALSE),0%)</f>
        <v>0</v>
      </c>
      <c r="ACF9" s="5">
        <f>IFERROR(VLOOKUP(ACF$1,'All Weather'!$B$35:$C$55,2,FALSE),0%)</f>
        <v>0</v>
      </c>
      <c r="ACG9" s="5">
        <f>IFERROR(VLOOKUP(ACG$1,'All Weather'!$B$35:$C$55,2,FALSE),0%)</f>
        <v>0</v>
      </c>
      <c r="ACH9" s="5">
        <f>IFERROR(VLOOKUP(ACH$1,'All Weather'!$B$35:$C$55,2,FALSE),0%)</f>
        <v>0</v>
      </c>
      <c r="ACI9" s="5">
        <f>IFERROR(VLOOKUP(ACI$1,'All Weather'!$B$35:$C$55,2,FALSE),0%)</f>
        <v>0</v>
      </c>
      <c r="ACJ9" s="5">
        <f>IFERROR(VLOOKUP(ACJ$1,'All Weather'!$B$35:$C$55,2,FALSE),0%)</f>
        <v>0</v>
      </c>
      <c r="ACK9" s="5">
        <f>IFERROR(VLOOKUP(ACK$1,'All Weather'!$B$35:$C$55,2,FALSE),0%)</f>
        <v>0</v>
      </c>
      <c r="ACL9" s="5">
        <f>IFERROR(VLOOKUP(ACL$1,'All Weather'!$B$35:$C$55,2,FALSE),0%)</f>
        <v>0</v>
      </c>
      <c r="ACM9" s="5">
        <f>IFERROR(VLOOKUP(ACM$1,'All Weather'!$B$35:$C$55,2,FALSE),0%)</f>
        <v>0.03583733659</v>
      </c>
      <c r="ACN9" s="5">
        <f>IFERROR(VLOOKUP(ACN$1,'All Weather'!$B$35:$C$55,2,FALSE),0%)</f>
        <v>0</v>
      </c>
      <c r="ACO9" s="5">
        <f>IFERROR(VLOOKUP(ACO$1,'All Weather'!$B$35:$C$55,2,FALSE),0%)</f>
        <v>0</v>
      </c>
      <c r="ACP9" s="5">
        <f>IFERROR(VLOOKUP(ACP$1,'All Weather'!$B$35:$C$55,2,FALSE),0%)</f>
        <v>0</v>
      </c>
      <c r="ACQ9" s="5">
        <f>IFERROR(VLOOKUP(ACQ$1,'All Weather'!$B$35:$C$55,2,FALSE),0%)</f>
        <v>0</v>
      </c>
      <c r="ACR9" s="5">
        <f>IFERROR(VLOOKUP(ACR$1,'All Weather'!$B$35:$C$55,2,FALSE),0%)</f>
        <v>0</v>
      </c>
      <c r="ACS9" s="5">
        <f>IFERROR(VLOOKUP(ACS$1,'All Weather'!$B$35:$C$55,2,FALSE),0%)</f>
        <v>0</v>
      </c>
      <c r="ACT9" s="5">
        <f>IFERROR(VLOOKUP(ACT$1,'All Weather'!$B$35:$C$55,2,FALSE),0%)</f>
        <v>0</v>
      </c>
      <c r="ACU9" s="5">
        <f>IFERROR(VLOOKUP(ACU$1,'All Weather'!$B$35:$C$55,2,FALSE),0%)</f>
        <v>0</v>
      </c>
      <c r="ACV9" s="5">
        <f>IFERROR(VLOOKUP(ACV$1,'All Weather'!$B$35:$C$55,2,FALSE),0%)</f>
        <v>0</v>
      </c>
      <c r="ACW9" s="5">
        <f>IFERROR(VLOOKUP(ACW$1,'All Weather'!$B$35:$C$55,2,FALSE),0%)</f>
        <v>0</v>
      </c>
      <c r="ACX9" s="5">
        <f>IFERROR(VLOOKUP(ACX$1,'All Weather'!$B$35:$C$55,2,FALSE),0%)</f>
        <v>0</v>
      </c>
      <c r="ACY9" s="5">
        <f>IFERROR(VLOOKUP(ACY$1,'All Weather'!$B$35:$C$55,2,FALSE),0%)</f>
        <v>0</v>
      </c>
      <c r="ACZ9" s="5">
        <f>IFERROR(VLOOKUP(ACZ$1,'All Weather'!$B$35:$C$55,2,FALSE),0%)</f>
        <v>0</v>
      </c>
      <c r="ADA9" s="5">
        <f>IFERROR(VLOOKUP(ADA$1,'All Weather'!$B$35:$C$55,2,FALSE),0%)</f>
        <v>0</v>
      </c>
      <c r="ADB9" s="5">
        <f>IFERROR(VLOOKUP(ADB$1,'All Weather'!$B$35:$C$55,2,FALSE),0%)</f>
        <v>0</v>
      </c>
      <c r="ADC9" s="5">
        <f>IFERROR(VLOOKUP(ADC$1,'All Weather'!$B$35:$C$55,2,FALSE),0%)</f>
        <v>0</v>
      </c>
      <c r="ADD9" s="5">
        <f>IFERROR(VLOOKUP(ADD$1,'All Weather'!$B$35:$C$55,2,FALSE),0%)</f>
        <v>0</v>
      </c>
      <c r="ADE9" s="5">
        <f>IFERROR(VLOOKUP(ADE$1,'All Weather'!$B$35:$C$55,2,FALSE),0%)</f>
        <v>0</v>
      </c>
      <c r="ADF9" s="5">
        <f>IFERROR(VLOOKUP(ADF$1,'All Weather'!$B$35:$C$55,2,FALSE),0%)</f>
        <v>0</v>
      </c>
      <c r="ADG9" s="5">
        <f>IFERROR(VLOOKUP(ADG$1,'All Weather'!$B$35:$C$55,2,FALSE),0%)</f>
        <v>0</v>
      </c>
      <c r="ADH9" s="5">
        <f>IFERROR(VLOOKUP(ADH$1,'All Weather'!$B$35:$C$55,2,FALSE),0%)</f>
        <v>0</v>
      </c>
      <c r="ADI9" s="5">
        <f>IFERROR(VLOOKUP(ADI$1,'All Weather'!$B$35:$C$55,2,FALSE),0%)</f>
        <v>0</v>
      </c>
      <c r="ADJ9" s="5">
        <f>IFERROR(VLOOKUP(ADJ$1,'All Weather'!$B$35:$C$55,2,FALSE),0%)</f>
        <v>0</v>
      </c>
      <c r="ADK9" s="5">
        <f>IFERROR(VLOOKUP(ADK$1,'All Weather'!$B$35:$C$55,2,FALSE),0%)</f>
        <v>0</v>
      </c>
      <c r="ADL9" s="5">
        <f>IFERROR(VLOOKUP(ADL$1,'All Weather'!$B$35:$C$55,2,FALSE),0%)</f>
        <v>0</v>
      </c>
      <c r="ADM9" s="5">
        <f>IFERROR(VLOOKUP(ADM$1,'All Weather'!$B$35:$C$55,2,FALSE),0%)</f>
        <v>0</v>
      </c>
      <c r="ADN9" s="5">
        <f>IFERROR(VLOOKUP(ADN$1,'All Weather'!$B$35:$C$55,2,FALSE),0%)</f>
        <v>0</v>
      </c>
      <c r="ADO9" s="5">
        <f>IFERROR(VLOOKUP(ADO$1,'All Weather'!$B$35:$C$55,2,FALSE),0%)</f>
        <v>0</v>
      </c>
      <c r="ADP9" s="5">
        <f>IFERROR(VLOOKUP(ADP$1,'All Weather'!$B$35:$C$55,2,FALSE),0%)</f>
        <v>0</v>
      </c>
      <c r="ADQ9" s="5">
        <f>IFERROR(VLOOKUP(ADQ$1,'All Weather'!$B$35:$C$55,2,FALSE),0%)</f>
        <v>0</v>
      </c>
      <c r="ADR9" s="5">
        <f>IFERROR(VLOOKUP(ADR$1,'All Weather'!$B$35:$C$55,2,FALSE),0%)</f>
        <v>0</v>
      </c>
      <c r="ADS9" s="5">
        <f>IFERROR(VLOOKUP(ADS$1,'All Weather'!$B$35:$C$55,2,FALSE),0%)</f>
        <v>0</v>
      </c>
      <c r="ADT9" s="5">
        <f>IFERROR(VLOOKUP(ADT$1,'All Weather'!$B$35:$C$55,2,FALSE),0%)</f>
        <v>0</v>
      </c>
      <c r="ADU9" s="5">
        <f>IFERROR(VLOOKUP(ADU$1,'All Weather'!$B$35:$C$55,2,FALSE),0%)</f>
        <v>0</v>
      </c>
      <c r="ADV9" s="5">
        <f>IFERROR(VLOOKUP(ADV$1,'All Weather'!$B$35:$C$55,2,FALSE),0%)</f>
        <v>0</v>
      </c>
      <c r="ADW9" s="5">
        <f>IFERROR(VLOOKUP(ADW$1,'All Weather'!$B$35:$C$55,2,FALSE),0%)</f>
        <v>0</v>
      </c>
      <c r="ADX9" s="5">
        <f>IFERROR(VLOOKUP(ADX$1,'All Weather'!$B$35:$C$55,2,FALSE),0%)</f>
        <v>0</v>
      </c>
      <c r="ADY9" s="5">
        <f>IFERROR(VLOOKUP(ADY$1,'All Weather'!$B$35:$C$55,2,FALSE),0%)</f>
        <v>0</v>
      </c>
      <c r="ADZ9" s="5">
        <f>IFERROR(VLOOKUP(ADZ$1,'All Weather'!$B$35:$C$55,2,FALSE),0%)</f>
        <v>0</v>
      </c>
      <c r="AEA9" s="5">
        <f>IFERROR(VLOOKUP(AEA$1,'All Weather'!$B$35:$C$55,2,FALSE),0%)</f>
        <v>0</v>
      </c>
      <c r="AEB9" s="5">
        <f>IFERROR(VLOOKUP(AEB$1,'All Weather'!$B$35:$C$55,2,FALSE),0%)</f>
        <v>0</v>
      </c>
      <c r="AEC9" s="5">
        <f>IFERROR(VLOOKUP(AEC$1,'All Weather'!$B$35:$C$55,2,FALSE),0%)</f>
        <v>0</v>
      </c>
      <c r="AED9" s="5">
        <f>IFERROR(VLOOKUP(AED$1,'All Weather'!$B$35:$C$55,2,FALSE),0%)</f>
        <v>0</v>
      </c>
      <c r="AEE9" s="5">
        <f>IFERROR(VLOOKUP(AEE$1,'All Weather'!$B$35:$C$55,2,FALSE),0%)</f>
        <v>0</v>
      </c>
      <c r="AEF9" s="5">
        <f>IFERROR(VLOOKUP(AEF$1,'All Weather'!$B$35:$C$55,2,FALSE),0%)</f>
        <v>0</v>
      </c>
      <c r="AEG9" s="5">
        <f>IFERROR(VLOOKUP(AEG$1,'All Weather'!$B$35:$C$55,2,FALSE),0%)</f>
        <v>0.0608</v>
      </c>
      <c r="AEH9" s="5">
        <f>IFERROR(VLOOKUP(AEH$1,'All Weather'!$B$35:$C$55,2,FALSE),0%)</f>
        <v>0</v>
      </c>
      <c r="AEI9" s="5">
        <f>IFERROR(VLOOKUP(AEI$1,'All Weather'!$B$35:$C$55,2,FALSE),0%)</f>
        <v>0</v>
      </c>
      <c r="AEJ9" s="5">
        <f>IFERROR(VLOOKUP(AEJ$1,'All Weather'!$B$35:$C$55,2,FALSE),0%)</f>
        <v>0</v>
      </c>
      <c r="AEK9" s="5">
        <f>IFERROR(VLOOKUP(AEK$1,'All Weather'!$B$35:$C$55,2,FALSE),0%)</f>
        <v>0</v>
      </c>
      <c r="AEL9" s="5">
        <f>IFERROR(VLOOKUP(AEL$1,'All Weather'!$B$35:$C$55,2,FALSE),0%)</f>
        <v>0</v>
      </c>
      <c r="AEM9" s="5">
        <f>IFERROR(VLOOKUP(AEM$1,'All Weather'!$B$35:$C$55,2,FALSE),0%)</f>
        <v>0</v>
      </c>
      <c r="AEN9" s="5">
        <f>IFERROR(VLOOKUP(AEN$1,'All Weather'!$B$35:$C$55,2,FALSE),0%)</f>
        <v>0</v>
      </c>
      <c r="AEO9" s="5">
        <f>IFERROR(VLOOKUP(AEO$1,'All Weather'!$B$35:$C$55,2,FALSE),0%)</f>
        <v>0</v>
      </c>
      <c r="AEP9" s="5">
        <f>IFERROR(VLOOKUP(AEP$1,'All Weather'!$B$35:$C$55,2,FALSE),0%)</f>
        <v>0</v>
      </c>
      <c r="AEQ9" s="5">
        <f>IFERROR(VLOOKUP(AEQ$1,'All Weather'!$B$35:$C$55,2,FALSE),0%)</f>
        <v>0</v>
      </c>
      <c r="AER9" s="5">
        <f>IFERROR(VLOOKUP(AER$1,'All Weather'!$B$35:$C$55,2,FALSE),0%)</f>
        <v>0</v>
      </c>
      <c r="AES9" s="5">
        <f>IFERROR(VLOOKUP(AES$1,'All Weather'!$B$35:$C$55,2,FALSE),0%)</f>
        <v>0</v>
      </c>
      <c r="AET9" s="5">
        <f>IFERROR(VLOOKUP(AET$1,'All Weather'!$B$35:$C$55,2,FALSE),0%)</f>
        <v>0</v>
      </c>
      <c r="AEU9" s="5">
        <f>IFERROR(VLOOKUP(AEU$1,'All Weather'!$B$35:$C$55,2,FALSE),0%)</f>
        <v>0</v>
      </c>
      <c r="AEV9" s="5">
        <f>IFERROR(VLOOKUP(AEV$1,'All Weather'!$B$35:$C$55,2,FALSE),0%)</f>
        <v>0</v>
      </c>
      <c r="AEW9" s="5">
        <f>IFERROR(VLOOKUP(AEW$1,'All Weather'!$B$35:$C$55,2,FALSE),0%)</f>
        <v>0</v>
      </c>
      <c r="AEX9" s="5">
        <f>IFERROR(VLOOKUP(AEX$1,'All Weather'!$B$35:$C$55,2,FALSE),0%)</f>
        <v>0</v>
      </c>
      <c r="AEY9" s="5">
        <f>IFERROR(VLOOKUP(AEY$1,'All Weather'!$B$35:$C$55,2,FALSE),0%)</f>
        <v>0</v>
      </c>
      <c r="AEZ9" s="5">
        <f>IFERROR(VLOOKUP(AEZ$1,'All Weather'!$B$35:$C$55,2,FALSE),0%)</f>
        <v>0</v>
      </c>
      <c r="AFA9" s="5">
        <f>IFERROR(VLOOKUP(AFA$1,'All Weather'!$B$35:$C$55,2,FALSE),0%)</f>
        <v>0</v>
      </c>
      <c r="AFB9" s="5">
        <f>IFERROR(VLOOKUP(AFB$1,'All Weather'!$B$35:$C$55,2,FALSE),0%)</f>
        <v>0</v>
      </c>
      <c r="AFC9" s="5">
        <f>IFERROR(VLOOKUP(AFC$1,'All Weather'!$B$35:$C$55,2,FALSE),0%)</f>
        <v>0</v>
      </c>
      <c r="AFD9" s="5">
        <f>IFERROR(VLOOKUP(AFD$1,'All Weather'!$B$35:$C$55,2,FALSE),0%)</f>
        <v>0</v>
      </c>
      <c r="AFE9" s="5">
        <f>IFERROR(VLOOKUP(AFE$1,'All Weather'!$B$35:$C$55,2,FALSE),0%)</f>
        <v>0</v>
      </c>
      <c r="AFF9" s="5">
        <f>IFERROR(VLOOKUP(AFF$1,'All Weather'!$B$35:$C$55,2,FALSE),0%)</f>
        <v>0</v>
      </c>
      <c r="AFG9" s="5">
        <f>IFERROR(VLOOKUP(AFG$1,'All Weather'!$B$35:$C$55,2,FALSE),0%)</f>
        <v>0</v>
      </c>
      <c r="AFH9" s="5">
        <f>IFERROR(VLOOKUP(AFH$1,'All Weather'!$B$35:$C$55,2,FALSE),0%)</f>
        <v>0</v>
      </c>
      <c r="AFI9" s="5">
        <f>IFERROR(VLOOKUP(AFI$1,'All Weather'!$B$35:$C$55,2,FALSE),0%)</f>
        <v>0</v>
      </c>
      <c r="AFJ9" s="5">
        <f>IFERROR(VLOOKUP(AFJ$1,'All Weather'!$B$35:$C$55,2,FALSE),0%)</f>
        <v>0</v>
      </c>
      <c r="AFK9" s="5">
        <f>IFERROR(VLOOKUP(AFK$1,'All Weather'!$B$35:$C$55,2,FALSE),0%)</f>
        <v>0</v>
      </c>
      <c r="AFL9" s="5">
        <f>IFERROR(VLOOKUP(AFL$1,'All Weather'!$B$35:$C$55,2,FALSE),0%)</f>
        <v>0</v>
      </c>
      <c r="AFM9" s="5">
        <f>IFERROR(VLOOKUP(AFM$1,'All Weather'!$B$35:$C$55,2,FALSE),0%)</f>
        <v>0</v>
      </c>
      <c r="AFN9" s="5">
        <f>IFERROR(VLOOKUP(AFN$1,'All Weather'!$B$35:$C$55,2,FALSE),0%)</f>
        <v>0</v>
      </c>
      <c r="AFO9" s="5">
        <f>IFERROR(VLOOKUP(AFO$1,'All Weather'!$B$35:$C$55,2,FALSE),0%)</f>
        <v>0</v>
      </c>
      <c r="AFP9" s="5">
        <f>IFERROR(VLOOKUP(AFP$1,'All Weather'!$B$35:$C$55,2,FALSE),0%)</f>
        <v>0</v>
      </c>
      <c r="AFQ9" s="5">
        <f>IFERROR(VLOOKUP(AFQ$1,'All Weather'!$B$35:$C$55,2,FALSE),0%)</f>
        <v>0</v>
      </c>
      <c r="AFR9" s="5">
        <f>IFERROR(VLOOKUP(AFR$1,'All Weather'!$B$35:$C$55,2,FALSE),0%)</f>
        <v>0</v>
      </c>
      <c r="AFS9" s="5">
        <f>IFERROR(VLOOKUP(AFS$1,'All Weather'!$B$35:$C$55,2,FALSE),0%)</f>
        <v>0</v>
      </c>
      <c r="AFT9" s="5">
        <f>IFERROR(VLOOKUP(AFT$1,'All Weather'!$B$35:$C$55,2,FALSE),0%)</f>
        <v>0</v>
      </c>
      <c r="AFU9" s="5">
        <f>IFERROR(VLOOKUP(AFU$1,'All Weather'!$B$35:$C$55,2,FALSE),0%)</f>
        <v>0</v>
      </c>
      <c r="AFV9" s="5">
        <f>IFERROR(VLOOKUP(AFV$1,'All Weather'!$B$35:$C$55,2,FALSE),0%)</f>
        <v>0</v>
      </c>
      <c r="AFW9" s="5">
        <f>IFERROR(VLOOKUP(AFW$1,'All Weather'!$B$35:$C$55,2,FALSE),0%)</f>
        <v>0</v>
      </c>
      <c r="AFX9" s="5">
        <f>IFERROR(VLOOKUP(AFX$1,'All Weather'!$B$35:$C$55,2,FALSE),0%)</f>
        <v>0</v>
      </c>
      <c r="AFY9" s="5">
        <f>IFERROR(VLOOKUP(AFY$1,'All Weather'!$B$35:$C$55,2,FALSE),0%)</f>
        <v>0</v>
      </c>
      <c r="AFZ9" s="5">
        <f>IFERROR(VLOOKUP(AFZ$1,'All Weather'!$B$35:$C$55,2,FALSE),0%)</f>
        <v>0</v>
      </c>
      <c r="AGA9" s="5">
        <f>IFERROR(VLOOKUP(AGA$1,'All Weather'!$B$35:$C$55,2,FALSE),0%)</f>
        <v>0</v>
      </c>
      <c r="AGB9" s="5">
        <f>IFERROR(VLOOKUP(AGB$1,'All Weather'!$B$35:$C$55,2,FALSE),0%)</f>
        <v>0</v>
      </c>
      <c r="AGC9" s="5">
        <f>IFERROR(VLOOKUP(AGC$1,'All Weather'!$B$35:$C$55,2,FALSE),0%)</f>
        <v>0</v>
      </c>
      <c r="AGD9" s="5">
        <f>IFERROR(VLOOKUP(AGD$1,'All Weather'!$B$35:$C$55,2,FALSE),0%)</f>
        <v>0</v>
      </c>
      <c r="AGE9" s="5">
        <f>IFERROR(VLOOKUP(AGE$1,'All Weather'!$B$35:$C$55,2,FALSE),0%)</f>
        <v>0</v>
      </c>
      <c r="AGF9" s="5">
        <f>IFERROR(VLOOKUP(AGF$1,'All Weather'!$B$35:$C$55,2,FALSE),0%)</f>
        <v>0</v>
      </c>
      <c r="AGG9" s="5">
        <f>IFERROR(VLOOKUP(AGG$1,'All Weather'!$B$35:$C$55,2,FALSE),0%)</f>
        <v>0</v>
      </c>
      <c r="AGH9" s="5">
        <f>IFERROR(VLOOKUP(AGH$1,'All Weather'!$B$35:$C$55,2,FALSE),0%)</f>
        <v>0</v>
      </c>
      <c r="AGI9" s="5">
        <f>IFERROR(VLOOKUP(AGI$1,'All Weather'!$B$35:$C$55,2,FALSE),0%)</f>
        <v>0</v>
      </c>
      <c r="AGJ9" s="5">
        <f>IFERROR(VLOOKUP(AGJ$1,'All Weather'!$B$35:$C$55,2,FALSE),0%)</f>
        <v>0</v>
      </c>
      <c r="AGK9" s="5">
        <f>IFERROR(VLOOKUP(AGK$1,'All Weather'!$B$35:$C$55,2,FALSE),0%)</f>
        <v>0</v>
      </c>
      <c r="AGL9" s="5">
        <f>IFERROR(VLOOKUP(AGL$1,'All Weather'!$B$35:$C$55,2,FALSE),0%)</f>
        <v>0</v>
      </c>
      <c r="AGM9" s="5">
        <f>IFERROR(VLOOKUP(AGM$1,'All Weather'!$B$35:$C$55,2,FALSE),0%)</f>
        <v>0</v>
      </c>
      <c r="AGN9" s="5">
        <f>IFERROR(VLOOKUP(AGN$1,'All Weather'!$B$35:$C$55,2,FALSE),0%)</f>
        <v>0</v>
      </c>
      <c r="AGO9" s="5">
        <f>IFERROR(VLOOKUP(AGO$1,'All Weather'!$B$35:$C$55,2,FALSE),0%)</f>
        <v>0</v>
      </c>
      <c r="AGP9" s="5">
        <f>IFERROR(VLOOKUP(AGP$1,'All Weather'!$B$35:$C$55,2,FALSE),0%)</f>
        <v>0</v>
      </c>
      <c r="AGQ9" s="5">
        <f>IFERROR(VLOOKUP(AGQ$1,'All Weather'!$B$35:$C$55,2,FALSE),0%)</f>
        <v>0</v>
      </c>
      <c r="AGR9" s="5">
        <f>IFERROR(VLOOKUP(AGR$1,'All Weather'!$B$35:$C$55,2,FALSE),0%)</f>
        <v>0</v>
      </c>
      <c r="AGS9" s="5">
        <f>IFERROR(VLOOKUP(AGS$1,'All Weather'!$B$35:$C$55,2,FALSE),0%)</f>
        <v>0</v>
      </c>
      <c r="AGT9" s="5">
        <f>IFERROR(VLOOKUP(AGT$1,'All Weather'!$B$35:$C$55,2,FALSE),0%)</f>
        <v>0</v>
      </c>
      <c r="AGU9" s="5">
        <f>IFERROR(VLOOKUP(AGU$1,'All Weather'!$B$35:$C$55,2,FALSE),0%)</f>
        <v>0</v>
      </c>
      <c r="AGV9" s="5">
        <f>IFERROR(VLOOKUP(AGV$1,'All Weather'!$B$35:$C$55,2,FALSE),0%)</f>
        <v>0</v>
      </c>
      <c r="AGW9" s="5">
        <f>IFERROR(VLOOKUP(AGW$1,'All Weather'!$B$35:$C$55,2,FALSE),0%)</f>
        <v>0</v>
      </c>
      <c r="AGX9" s="5">
        <f>IFERROR(VLOOKUP(AGX$1,'All Weather'!$B$35:$C$55,2,FALSE),0%)</f>
        <v>0</v>
      </c>
      <c r="AGY9" s="5">
        <f>IFERROR(VLOOKUP(AGY$1,'All Weather'!$B$35:$C$55,2,FALSE),0%)</f>
        <v>0</v>
      </c>
      <c r="AGZ9" s="5">
        <f>IFERROR(VLOOKUP(AGZ$1,'All Weather'!$B$35:$C$55,2,FALSE),0%)</f>
        <v>0</v>
      </c>
      <c r="AHA9" s="5">
        <f>IFERROR(VLOOKUP(AHA$1,'All Weather'!$B$35:$C$55,2,FALSE),0%)</f>
        <v>0</v>
      </c>
      <c r="AHB9" s="5">
        <f>IFERROR(VLOOKUP(AHB$1,'All Weather'!$B$35:$C$55,2,FALSE),0%)</f>
        <v>0</v>
      </c>
      <c r="AHC9" s="5">
        <f>IFERROR(VLOOKUP(AHC$1,'All Weather'!$B$35:$C$55,2,FALSE),0%)</f>
        <v>0</v>
      </c>
      <c r="AHD9" s="5">
        <f>IFERROR(VLOOKUP(AHD$1,'All Weather'!$B$35:$C$55,2,FALSE),0%)</f>
        <v>0</v>
      </c>
      <c r="AHE9" s="5">
        <f>IFERROR(VLOOKUP(AHE$1,'All Weather'!$B$35:$C$55,2,FALSE),0%)</f>
        <v>0</v>
      </c>
      <c r="AHF9" s="5">
        <f>IFERROR(VLOOKUP(AHF$1,'All Weather'!$B$35:$C$55,2,FALSE),0%)</f>
        <v>0</v>
      </c>
      <c r="AHG9" s="5">
        <f>IFERROR(VLOOKUP(AHG$1,'All Weather'!$B$35:$C$55,2,FALSE),0%)</f>
        <v>0</v>
      </c>
      <c r="AHH9" s="5">
        <f>IFERROR(VLOOKUP(AHH$1,'All Weather'!$B$35:$C$55,2,FALSE),0%)</f>
        <v>0</v>
      </c>
      <c r="AHI9" s="5">
        <f>IFERROR(VLOOKUP(AHI$1,'All Weather'!$B$35:$C$55,2,FALSE),0%)</f>
        <v>0</v>
      </c>
      <c r="AHJ9" s="5">
        <f>IFERROR(VLOOKUP(AHJ$1,'All Weather'!$B$35:$C$55,2,FALSE),0%)</f>
        <v>0</v>
      </c>
      <c r="AHK9" s="5">
        <f>IFERROR(VLOOKUP(AHK$1,'All Weather'!$B$35:$C$55,2,FALSE),0%)</f>
        <v>0</v>
      </c>
      <c r="AHL9" s="5">
        <f>IFERROR(VLOOKUP(AHL$1,'All Weather'!$B$35:$C$55,2,FALSE),0%)</f>
        <v>0</v>
      </c>
      <c r="AHM9" s="5">
        <f>IFERROR(VLOOKUP(AHM$1,'All Weather'!$B$35:$C$55,2,FALSE),0%)</f>
        <v>0</v>
      </c>
      <c r="AHN9" s="5">
        <f>IFERROR(VLOOKUP(AHN$1,'All Weather'!$B$35:$C$55,2,FALSE),0%)</f>
        <v>0</v>
      </c>
      <c r="AHO9" s="5">
        <f>IFERROR(VLOOKUP(AHO$1,'All Weather'!$B$35:$C$55,2,FALSE),0%)</f>
        <v>0</v>
      </c>
      <c r="AHP9" s="5">
        <f>IFERROR(VLOOKUP(AHP$1,'All Weather'!$B$35:$C$55,2,FALSE),0%)</f>
        <v>0</v>
      </c>
      <c r="AHQ9" s="5">
        <f>IFERROR(VLOOKUP(AHQ$1,'All Weather'!$B$35:$C$55,2,FALSE),0%)</f>
        <v>0</v>
      </c>
      <c r="AHR9" s="5">
        <f>IFERROR(VLOOKUP(AHR$1,'All Weather'!$B$35:$C$55,2,FALSE),0%)</f>
        <v>0</v>
      </c>
      <c r="AHS9" s="5">
        <f>IFERROR(VLOOKUP(AHS$1,'All Weather'!$B$35:$C$55,2,FALSE),0%)</f>
        <v>0</v>
      </c>
      <c r="AHT9" s="5">
        <f>IFERROR(VLOOKUP(AHT$1,'All Weather'!$B$35:$C$55,2,FALSE),0%)</f>
        <v>0</v>
      </c>
      <c r="AHU9" s="5">
        <f>IFERROR(VLOOKUP(AHU$1,'All Weather'!$B$35:$C$55,2,FALSE),0%)</f>
        <v>0</v>
      </c>
      <c r="AHV9" s="5">
        <f>IFERROR(VLOOKUP(AHV$1,'All Weather'!$B$35:$C$55,2,FALSE),0%)</f>
        <v>0</v>
      </c>
      <c r="AHW9" s="5">
        <f>IFERROR(VLOOKUP(AHW$1,'All Weather'!$B$35:$C$55,2,FALSE),0%)</f>
        <v>0</v>
      </c>
      <c r="AHX9" s="5">
        <f>IFERROR(VLOOKUP(AHX$1,'All Weather'!$B$35:$C$55,2,FALSE),0%)</f>
        <v>0</v>
      </c>
      <c r="AHY9" s="5">
        <f>IFERROR(VLOOKUP(AHY$1,'All Weather'!$B$35:$C$55,2,FALSE),0%)</f>
        <v>0</v>
      </c>
      <c r="AHZ9" s="5">
        <f>IFERROR(VLOOKUP(AHZ$1,'All Weather'!$B$35:$C$55,2,FALSE),0%)</f>
        <v>0</v>
      </c>
      <c r="AIA9" s="5">
        <f>IFERROR(VLOOKUP(AIA$1,'All Weather'!$B$35:$C$55,2,FALSE),0%)</f>
        <v>0</v>
      </c>
      <c r="AIB9" s="5">
        <f>IFERROR(VLOOKUP(AIB$1,'All Weather'!$B$35:$C$55,2,FALSE),0%)</f>
        <v>0</v>
      </c>
      <c r="AIC9" s="5">
        <f>IFERROR(VLOOKUP(AIC$1,'All Weather'!$B$35:$C$55,2,FALSE),0%)</f>
        <v>0</v>
      </c>
      <c r="AID9" s="5">
        <f>IFERROR(VLOOKUP(AID$1,'All Weather'!$B$35:$C$55,2,FALSE),0%)</f>
        <v>0</v>
      </c>
      <c r="AIE9" s="5">
        <f>IFERROR(VLOOKUP(AIE$1,'All Weather'!$B$35:$C$55,2,FALSE),0%)</f>
        <v>0</v>
      </c>
      <c r="AIF9" s="5">
        <f>IFERROR(VLOOKUP(AIF$1,'All Weather'!$B$35:$C$55,2,FALSE),0%)</f>
        <v>0</v>
      </c>
      <c r="AIG9" s="5">
        <f>IFERROR(VLOOKUP(AIG$1,'All Weather'!$B$35:$C$55,2,FALSE),0%)</f>
        <v>0</v>
      </c>
      <c r="AIH9" s="5">
        <f>IFERROR(VLOOKUP(AIH$1,'All Weather'!$B$35:$C$55,2,FALSE),0%)</f>
        <v>0</v>
      </c>
      <c r="AII9" s="5">
        <f>IFERROR(VLOOKUP(AII$1,'All Weather'!$B$35:$C$55,2,FALSE),0%)</f>
        <v>0</v>
      </c>
      <c r="AIJ9" s="5">
        <f>IFERROR(VLOOKUP(AIJ$1,'All Weather'!$B$35:$C$55,2,FALSE),0%)</f>
        <v>0</v>
      </c>
      <c r="AIK9" s="5">
        <f>IFERROR(VLOOKUP(AIK$1,'All Weather'!$B$35:$C$55,2,FALSE),0%)</f>
        <v>0</v>
      </c>
      <c r="AIL9" s="5">
        <f>IFERROR(VLOOKUP(AIL$1,'All Weather'!$B$35:$C$55,2,FALSE),0%)</f>
        <v>0</v>
      </c>
      <c r="AIM9" s="5">
        <f>IFERROR(VLOOKUP(AIM$1,'All Weather'!$B$35:$C$55,2,FALSE),0%)</f>
        <v>0</v>
      </c>
      <c r="AIN9" s="5">
        <f>IFERROR(VLOOKUP(AIN$1,'All Weather'!$B$35:$C$55,2,FALSE),0%)</f>
        <v>0</v>
      </c>
      <c r="AIO9" s="5">
        <f>IFERROR(VLOOKUP(AIO$1,'All Weather'!$B$35:$C$55,2,FALSE),0%)</f>
        <v>0</v>
      </c>
      <c r="AIP9" s="5">
        <f>IFERROR(VLOOKUP(AIP$1,'All Weather'!$B$35:$C$55,2,FALSE),0%)</f>
        <v>0</v>
      </c>
      <c r="AIQ9" s="5">
        <f>IFERROR(VLOOKUP(AIQ$1,'All Weather'!$B$35:$C$55,2,FALSE),0%)</f>
        <v>0</v>
      </c>
      <c r="AIR9" s="5">
        <f>IFERROR(VLOOKUP(AIR$1,'All Weather'!$B$35:$C$55,2,FALSE),0%)</f>
        <v>0</v>
      </c>
      <c r="AIS9" s="5">
        <f>IFERROR(VLOOKUP(AIS$1,'All Weather'!$B$35:$C$55,2,FALSE),0%)</f>
        <v>0</v>
      </c>
      <c r="AIT9" s="5">
        <f>IFERROR(VLOOKUP(AIT$1,'All Weather'!$B$35:$C$55,2,FALSE),0%)</f>
        <v>0</v>
      </c>
      <c r="AIU9" s="5">
        <f>IFERROR(VLOOKUP(AIU$1,'All Weather'!$B$35:$C$55,2,FALSE),0%)</f>
        <v>0</v>
      </c>
      <c r="AIV9" s="5">
        <f>IFERROR(VLOOKUP(AIV$1,'All Weather'!$B$35:$C$55,2,FALSE),0%)</f>
        <v>0</v>
      </c>
      <c r="AIW9" s="5">
        <f>IFERROR(VLOOKUP(AIW$1,'All Weather'!$B$35:$C$55,2,FALSE),0%)</f>
        <v>0</v>
      </c>
      <c r="AIX9" s="5">
        <f>IFERROR(VLOOKUP(AIX$1,'All Weather'!$B$35:$C$55,2,FALSE),0%)</f>
        <v>0</v>
      </c>
      <c r="AIY9" s="5">
        <f>IFERROR(VLOOKUP(AIY$1,'All Weather'!$B$35:$C$55,2,FALSE),0%)</f>
        <v>0</v>
      </c>
      <c r="AIZ9" s="5">
        <f>IFERROR(VLOOKUP(AIZ$1,'All Weather'!$B$35:$C$55,2,FALSE),0%)</f>
        <v>0</v>
      </c>
      <c r="AJA9" s="5">
        <f>IFERROR(VLOOKUP(AJA$1,'All Weather'!$B$35:$C$55,2,FALSE),0%)</f>
        <v>0</v>
      </c>
      <c r="AJB9" s="5">
        <f>IFERROR(VLOOKUP(AJB$1,'All Weather'!$B$35:$C$55,2,FALSE),0%)</f>
        <v>0</v>
      </c>
      <c r="AJC9" s="5">
        <f>IFERROR(VLOOKUP(AJC$1,'All Weather'!$B$35:$C$55,2,FALSE),0%)</f>
        <v>0</v>
      </c>
      <c r="AJD9" s="5">
        <f>IFERROR(VLOOKUP(AJD$1,'All Weather'!$B$35:$C$55,2,FALSE),0%)</f>
        <v>0</v>
      </c>
      <c r="AJE9" s="5">
        <f>IFERROR(VLOOKUP(AJE$1,'All Weather'!$B$35:$C$55,2,FALSE),0%)</f>
        <v>0</v>
      </c>
      <c r="AJF9" s="5">
        <f>IFERROR(VLOOKUP(AJF$1,'All Weather'!$B$35:$C$55,2,FALSE),0%)</f>
        <v>0</v>
      </c>
      <c r="AJG9" s="5">
        <f>IFERROR(VLOOKUP(AJG$1,'All Weather'!$B$35:$C$55,2,FALSE),0%)</f>
        <v>0</v>
      </c>
      <c r="AJH9" s="5">
        <f>IFERROR(VLOOKUP(AJH$1,'All Weather'!$B$35:$C$55,2,FALSE),0%)</f>
        <v>0</v>
      </c>
      <c r="AJI9" s="5">
        <f>IFERROR(VLOOKUP(AJI$1,'All Weather'!$B$35:$C$55,2,FALSE),0%)</f>
        <v>0</v>
      </c>
      <c r="AJJ9" s="5">
        <f>IFERROR(VLOOKUP(AJJ$1,'All Weather'!$B$35:$C$55,2,FALSE),0%)</f>
        <v>0</v>
      </c>
      <c r="AJK9" s="5">
        <f>IFERROR(VLOOKUP(AJK$1,'All Weather'!$B$35:$C$55,2,FALSE),0%)</f>
        <v>0</v>
      </c>
      <c r="AJL9" s="5">
        <f>IFERROR(VLOOKUP(AJL$1,'All Weather'!$B$35:$C$55,2,FALSE),0%)</f>
        <v>0</v>
      </c>
      <c r="AJM9" s="5">
        <f>IFERROR(VLOOKUP(AJM$1,'All Weather'!$B$35:$C$55,2,FALSE),0%)</f>
        <v>0</v>
      </c>
      <c r="AJN9" s="5">
        <f>IFERROR(VLOOKUP(AJN$1,'All Weather'!$B$35:$C$55,2,FALSE),0%)</f>
        <v>0</v>
      </c>
      <c r="AJO9" s="5">
        <f>IFERROR(VLOOKUP(AJO$1,'All Weather'!$B$35:$C$55,2,FALSE),0%)</f>
        <v>0</v>
      </c>
      <c r="AJP9" s="5">
        <f>IFERROR(VLOOKUP(AJP$1,'All Weather'!$B$35:$C$55,2,FALSE),0%)</f>
        <v>0</v>
      </c>
      <c r="AJQ9" s="5">
        <f>IFERROR(VLOOKUP(AJQ$1,'All Weather'!$B$35:$C$55,2,FALSE),0%)</f>
        <v>0</v>
      </c>
      <c r="AJR9" s="5">
        <f>IFERROR(VLOOKUP(AJR$1,'All Weather'!$B$35:$C$55,2,FALSE),0%)</f>
        <v>0</v>
      </c>
      <c r="AJS9" s="5">
        <f>IFERROR(VLOOKUP(AJS$1,'All Weather'!$B$35:$C$55,2,FALSE),0%)</f>
        <v>0</v>
      </c>
      <c r="AJT9" s="5">
        <f>IFERROR(VLOOKUP(AJT$1,'All Weather'!$B$35:$C$55,2,FALSE),0%)</f>
        <v>0</v>
      </c>
      <c r="AJU9" s="5">
        <f>IFERROR(VLOOKUP(AJU$1,'All Weather'!$B$35:$C$55,2,FALSE),0%)</f>
        <v>0</v>
      </c>
      <c r="AJV9" s="5">
        <f>IFERROR(VLOOKUP(AJV$1,'All Weather'!$B$35:$C$55,2,FALSE),0%)</f>
        <v>0</v>
      </c>
      <c r="AJW9" s="5">
        <f>IFERROR(VLOOKUP(AJW$1,'All Weather'!$B$35:$C$55,2,FALSE),0%)</f>
        <v>0</v>
      </c>
      <c r="AJX9" s="5">
        <f>IFERROR(VLOOKUP(AJX$1,'All Weather'!$B$35:$C$55,2,FALSE),0%)</f>
        <v>0</v>
      </c>
      <c r="AJY9" s="5">
        <f>IFERROR(VLOOKUP(AJY$1,'All Weather'!$B$35:$C$55,2,FALSE),0%)</f>
        <v>0</v>
      </c>
      <c r="AJZ9" s="5">
        <f>IFERROR(VLOOKUP(AJZ$1,'All Weather'!$B$35:$C$55,2,FALSE),0%)</f>
        <v>0</v>
      </c>
      <c r="AKA9" s="5">
        <f>IFERROR(VLOOKUP(AKA$1,'All Weather'!$B$35:$C$55,2,FALSE),0%)</f>
        <v>0</v>
      </c>
      <c r="AKB9" s="5">
        <f>IFERROR(VLOOKUP(AKB$1,'All Weather'!$B$35:$C$55,2,FALSE),0%)</f>
        <v>0</v>
      </c>
      <c r="AKC9" s="5">
        <f>IFERROR(VLOOKUP(AKC$1,'All Weather'!$B$35:$C$55,2,FALSE),0%)</f>
        <v>0</v>
      </c>
      <c r="AKD9" s="5">
        <f>IFERROR(VLOOKUP(AKD$1,'All Weather'!$B$35:$C$55,2,FALSE),0%)</f>
        <v>0</v>
      </c>
      <c r="AKE9" s="5">
        <f>IFERROR(VLOOKUP(AKE$1,'All Weather'!$B$35:$C$55,2,FALSE),0%)</f>
        <v>0</v>
      </c>
      <c r="AKF9" s="5">
        <f>IFERROR(VLOOKUP(AKF$1,'All Weather'!$B$35:$C$55,2,FALSE),0%)</f>
        <v>0</v>
      </c>
      <c r="AKG9" s="5">
        <f>IFERROR(VLOOKUP(AKG$1,'All Weather'!$B$35:$C$55,2,FALSE),0%)</f>
        <v>0</v>
      </c>
      <c r="AKH9" s="5">
        <f>IFERROR(VLOOKUP(AKH$1,'All Weather'!$B$35:$C$55,2,FALSE),0%)</f>
        <v>0</v>
      </c>
      <c r="AKI9" s="5">
        <f>IFERROR(VLOOKUP(AKI$1,'All Weather'!$B$35:$C$55,2,FALSE),0%)</f>
        <v>0</v>
      </c>
      <c r="AKJ9" s="5">
        <f>IFERROR(VLOOKUP(AKJ$1,'All Weather'!$B$35:$C$55,2,FALSE),0%)</f>
        <v>0</v>
      </c>
      <c r="AKK9" s="5">
        <f>IFERROR(VLOOKUP(AKK$1,'All Weather'!$B$35:$C$55,2,FALSE),0%)</f>
        <v>0</v>
      </c>
      <c r="AKL9" s="5">
        <f>IFERROR(VLOOKUP(AKL$1,'All Weather'!$B$35:$C$55,2,FALSE),0%)</f>
        <v>0</v>
      </c>
      <c r="AKM9" s="5">
        <f>IFERROR(VLOOKUP(AKM$1,'All Weather'!$B$35:$C$55,2,FALSE),0%)</f>
        <v>0</v>
      </c>
      <c r="AKN9" s="5">
        <f>IFERROR(VLOOKUP(AKN$1,'All Weather'!$B$35:$C$55,2,FALSE),0%)</f>
        <v>0</v>
      </c>
      <c r="AKO9" s="5">
        <f>IFERROR(VLOOKUP(AKO$1,'All Weather'!$B$35:$C$55,2,FALSE),0%)</f>
        <v>0</v>
      </c>
      <c r="AKP9" s="5">
        <f>IFERROR(VLOOKUP(AKP$1,'All Weather'!$B$35:$C$55,2,FALSE),0%)</f>
        <v>0</v>
      </c>
      <c r="AKQ9" s="5">
        <f>IFERROR(VLOOKUP(AKQ$1,'All Weather'!$B$35:$C$55,2,FALSE),0%)</f>
        <v>0</v>
      </c>
      <c r="AKR9" s="5">
        <f>IFERROR(VLOOKUP(AKR$1,'All Weather'!$B$35:$C$55,2,FALSE),0%)</f>
        <v>0</v>
      </c>
      <c r="AKS9" s="5">
        <f>IFERROR(VLOOKUP(AKS$1,'All Weather'!$B$35:$C$55,2,FALSE),0%)</f>
        <v>0</v>
      </c>
      <c r="AKT9" s="5">
        <f>IFERROR(VLOOKUP(AKT$1,'All Weather'!$B$35:$C$55,2,FALSE),0%)</f>
        <v>0</v>
      </c>
      <c r="AKU9" s="5">
        <f>IFERROR(VLOOKUP(AKU$1,'All Weather'!$B$35:$C$55,2,FALSE),0%)</f>
        <v>0</v>
      </c>
      <c r="AKV9" s="5">
        <f>IFERROR(VLOOKUP(AKV$1,'All Weather'!$B$35:$C$55,2,FALSE),0%)</f>
        <v>0</v>
      </c>
      <c r="AKW9" s="5">
        <f>IFERROR(VLOOKUP(AKW$1,'All Weather'!$B$35:$C$55,2,FALSE),0%)</f>
        <v>0</v>
      </c>
      <c r="AKX9" s="5">
        <f>IFERROR(VLOOKUP(AKX$1,'All Weather'!$B$35:$C$55,2,FALSE),0%)</f>
        <v>0</v>
      </c>
      <c r="AKY9" s="5">
        <f>IFERROR(VLOOKUP(AKY$1,'All Weather'!$B$35:$C$55,2,FALSE),0%)</f>
        <v>0</v>
      </c>
      <c r="AKZ9" s="5">
        <f>IFERROR(VLOOKUP(AKZ$1,'All Weather'!$B$35:$C$55,2,FALSE),0%)</f>
        <v>0</v>
      </c>
      <c r="ALA9" s="5">
        <f>IFERROR(VLOOKUP(ALA$1,'All Weather'!$B$35:$C$55,2,FALSE),0%)</f>
        <v>0</v>
      </c>
      <c r="ALB9" s="5">
        <f>IFERROR(VLOOKUP(ALB$1,'All Weather'!$B$35:$C$55,2,FALSE),0%)</f>
        <v>0</v>
      </c>
      <c r="ALC9" s="5">
        <f>IFERROR(VLOOKUP(ALC$1,'All Weather'!$B$35:$C$55,2,FALSE),0%)</f>
        <v>0</v>
      </c>
      <c r="ALD9" s="5">
        <f>IFERROR(VLOOKUP(ALD$1,'All Weather'!$B$35:$C$55,2,FALSE),0%)</f>
        <v>0</v>
      </c>
      <c r="ALE9" s="5">
        <f>IFERROR(VLOOKUP(ALE$1,'All Weather'!$B$35:$C$55,2,FALSE),0%)</f>
        <v>0</v>
      </c>
      <c r="ALF9" s="5">
        <f>IFERROR(VLOOKUP(ALF$1,'All Weather'!$B$35:$C$55,2,FALSE),0%)</f>
        <v>0</v>
      </c>
      <c r="ALG9" s="5">
        <f>IFERROR(VLOOKUP(ALG$1,'All Weather'!$B$35:$C$55,2,FALSE),0%)</f>
        <v>0</v>
      </c>
      <c r="ALH9" s="5">
        <f>IFERROR(VLOOKUP(ALH$1,'All Weather'!$B$35:$C$55,2,FALSE),0%)</f>
        <v>0</v>
      </c>
      <c r="ALI9" s="5">
        <f>IFERROR(VLOOKUP(ALI$1,'All Weather'!$B$35:$C$55,2,FALSE),0%)</f>
        <v>0</v>
      </c>
      <c r="ALJ9" s="5">
        <f>IFERROR(VLOOKUP(ALJ$1,'All Weather'!$B$35:$C$55,2,FALSE),0%)</f>
        <v>0</v>
      </c>
      <c r="ALK9" s="5">
        <f>IFERROR(VLOOKUP(ALK$1,'All Weather'!$B$35:$C$55,2,FALSE),0%)</f>
        <v>0</v>
      </c>
      <c r="ALL9" s="5">
        <f>IFERROR(VLOOKUP(ALL$1,'All Weather'!$B$35:$C$55,2,FALSE),0%)</f>
        <v>0</v>
      </c>
      <c r="ALM9" s="5">
        <f>IFERROR(VLOOKUP(ALM$1,'All Weather'!$B$35:$C$55,2,FALSE),0%)</f>
        <v>0</v>
      </c>
      <c r="ALN9" s="5">
        <f>IFERROR(VLOOKUP(ALN$1,'All Weather'!$B$35:$C$55,2,FALSE),0%)</f>
        <v>0</v>
      </c>
      <c r="ALO9" s="5">
        <f>IFERROR(VLOOKUP(ALO$1,'All Weather'!$B$35:$C$55,2,FALSE),0%)</f>
        <v>0</v>
      </c>
      <c r="ALP9" s="5">
        <f>IFERROR(VLOOKUP(ALP$1,'All Weather'!$B$35:$C$55,2,FALSE),0%)</f>
        <v>0</v>
      </c>
      <c r="ALQ9" s="5">
        <f>IFERROR(VLOOKUP(ALQ$1,'All Weather'!$B$35:$C$55,2,FALSE),0%)</f>
        <v>0</v>
      </c>
      <c r="ALR9" s="5">
        <f>IFERROR(VLOOKUP(ALR$1,'All Weather'!$B$35:$C$55,2,FALSE),0%)</f>
        <v>0</v>
      </c>
      <c r="ALS9" s="5">
        <f>IFERROR(VLOOKUP(ALS$1,'All Weather'!$B$35:$C$55,2,FALSE),0%)</f>
        <v>0</v>
      </c>
      <c r="ALT9" s="5">
        <f>IFERROR(VLOOKUP(ALT$1,'All Weather'!$B$35:$C$55,2,FALSE),0%)</f>
        <v>0</v>
      </c>
      <c r="ALU9" s="5">
        <f>IFERROR(VLOOKUP(ALU$1,'All Weather'!$B$35:$C$55,2,FALSE),0%)</f>
        <v>0</v>
      </c>
      <c r="ALV9" s="5">
        <f>IFERROR(VLOOKUP(ALV$1,'All Weather'!$B$35:$C$55,2,FALSE),0%)</f>
        <v>0</v>
      </c>
      <c r="ALW9" s="5">
        <f>IFERROR(VLOOKUP(ALW$1,'All Weather'!$B$35:$C$55,2,FALSE),0%)</f>
        <v>0</v>
      </c>
      <c r="ALX9" s="5">
        <f>IFERROR(VLOOKUP(ALX$1,'All Weather'!$B$35:$C$55,2,FALSE),0%)</f>
        <v>0</v>
      </c>
      <c r="ALY9" s="5">
        <f>IFERROR(VLOOKUP(ALY$1,'All Weather'!$B$35:$C$55,2,FALSE),0%)</f>
        <v>0</v>
      </c>
      <c r="ALZ9" s="5">
        <f>IFERROR(VLOOKUP(ALZ$1,'All Weather'!$B$35:$C$55,2,FALSE),0%)</f>
        <v>0</v>
      </c>
      <c r="AMA9" s="5">
        <f>IFERROR(VLOOKUP(AMA$1,'All Weather'!$B$35:$C$55,2,FALSE),0%)</f>
        <v>0</v>
      </c>
      <c r="AMB9" s="5">
        <f>IFERROR(VLOOKUP(AMB$1,'All Weather'!$B$35:$C$55,2,FALSE),0%)</f>
        <v>0</v>
      </c>
      <c r="AMC9" s="5">
        <f>IFERROR(VLOOKUP(AMC$1,'All Weather'!$B$35:$C$55,2,FALSE),0%)</f>
        <v>0</v>
      </c>
      <c r="AMD9" s="5">
        <f>IFERROR(VLOOKUP(AMD$1,'All Weather'!$B$35:$C$55,2,FALSE),0%)</f>
        <v>0</v>
      </c>
      <c r="AME9" s="5">
        <f>IFERROR(VLOOKUP(AME$1,'All Weather'!$B$35:$C$55,2,FALSE),0%)</f>
        <v>0</v>
      </c>
      <c r="AMF9" s="5">
        <f>IFERROR(VLOOKUP(AMF$1,'All Weather'!$B$35:$C$55,2,FALSE),0%)</f>
        <v>0</v>
      </c>
      <c r="AMG9" s="5">
        <f>IFERROR(VLOOKUP(AMG$1,'All Weather'!$B$35:$C$55,2,FALSE),0%)</f>
        <v>0</v>
      </c>
      <c r="AMH9" s="5">
        <f>IFERROR(VLOOKUP(AMH$1,'All Weather'!$B$35:$C$55,2,FALSE),0%)</f>
        <v>0</v>
      </c>
      <c r="AMI9" s="5">
        <f>IFERROR(VLOOKUP(AMI$1,'All Weather'!$B$35:$C$55,2,FALSE),0%)</f>
        <v>0</v>
      </c>
      <c r="AMJ9" s="5">
        <f>IFERROR(VLOOKUP(AMJ$1,'All Weather'!$B$35:$C$55,2,FALSE),0%)</f>
        <v>0</v>
      </c>
      <c r="AMK9" s="5">
        <f>IFERROR(VLOOKUP(AMK$1,'All Weather'!$B$35:$C$55,2,FALSE),0%)</f>
        <v>0</v>
      </c>
      <c r="AML9" s="5">
        <f>IFERROR(VLOOKUP(AML$1,'All Weather'!$B$35:$C$55,2,FALSE),0%)</f>
        <v>0</v>
      </c>
      <c r="AMM9" s="5">
        <f>IFERROR(VLOOKUP(AMM$1,'All Weather'!$B$35:$C$55,2,FALSE),0%)</f>
        <v>0</v>
      </c>
      <c r="AMN9" s="5">
        <f>IFERROR(VLOOKUP(AMN$1,'All Weather'!$B$35:$C$55,2,FALSE),0%)</f>
        <v>0</v>
      </c>
      <c r="AMO9" s="5">
        <f>IFERROR(VLOOKUP(AMO$1,'All Weather'!$B$35:$C$55,2,FALSE),0%)</f>
        <v>0</v>
      </c>
      <c r="AMP9" s="5">
        <f>IFERROR(VLOOKUP(AMP$1,'All Weather'!$B$35:$C$55,2,FALSE),0%)</f>
        <v>0</v>
      </c>
      <c r="AMQ9" s="5">
        <f>IFERROR(VLOOKUP(AMQ$1,'All Weather'!$B$35:$C$55,2,FALSE),0%)</f>
        <v>0</v>
      </c>
      <c r="AMR9" s="5">
        <f>IFERROR(VLOOKUP(AMR$1,'All Weather'!$B$35:$C$55,2,FALSE),0%)</f>
        <v>0</v>
      </c>
      <c r="AMS9" s="5">
        <f>IFERROR(VLOOKUP(AMS$1,'All Weather'!$B$35:$C$55,2,FALSE),0%)</f>
        <v>0</v>
      </c>
      <c r="AMT9" s="5">
        <f>IFERROR(VLOOKUP(AMT$1,'All Weather'!$B$35:$C$55,2,FALSE),0%)</f>
        <v>0</v>
      </c>
      <c r="AMU9" s="5">
        <f>IFERROR(VLOOKUP(AMU$1,'All Weather'!$B$35:$C$55,2,FALSE),0%)</f>
        <v>0</v>
      </c>
      <c r="AMV9" s="5">
        <f>IFERROR(VLOOKUP(AMV$1,'All Weather'!$B$35:$C$55,2,FALSE),0%)</f>
        <v>0</v>
      </c>
      <c r="AMW9" s="5">
        <f>IFERROR(VLOOKUP(AMW$1,'All Weather'!$B$35:$C$55,2,FALSE),0%)</f>
        <v>0</v>
      </c>
      <c r="AMX9" s="5">
        <f>IFERROR(VLOOKUP(AMX$1,'All Weather'!$B$35:$C$55,2,FALSE),0%)</f>
        <v>0</v>
      </c>
      <c r="AMY9" s="5">
        <f>IFERROR(VLOOKUP(AMY$1,'All Weather'!$B$35:$C$55,2,FALSE),0%)</f>
        <v>0</v>
      </c>
      <c r="AMZ9" s="5">
        <f>IFERROR(VLOOKUP(AMZ$1,'All Weather'!$B$35:$C$55,2,FALSE),0%)</f>
        <v>0</v>
      </c>
      <c r="ANA9" s="5">
        <f>IFERROR(VLOOKUP(ANA$1,'All Weather'!$B$35:$C$55,2,FALSE),0%)</f>
        <v>0</v>
      </c>
      <c r="ANB9" s="5">
        <f>IFERROR(VLOOKUP(ANB$1,'All Weather'!$B$35:$C$55,2,FALSE),0%)</f>
        <v>0</v>
      </c>
      <c r="ANC9" s="5">
        <f>IFERROR(VLOOKUP(ANC$1,'All Weather'!$B$35:$C$55,2,FALSE),0%)</f>
        <v>0</v>
      </c>
      <c r="AND9" s="5">
        <f>IFERROR(VLOOKUP(AND$1,'All Weather'!$B$35:$C$55,2,FALSE),0%)</f>
        <v>0</v>
      </c>
      <c r="ANE9" s="5">
        <f>IFERROR(VLOOKUP(ANE$1,'All Weather'!$B$35:$C$55,2,FALSE),0%)</f>
        <v>0</v>
      </c>
      <c r="ANF9" s="5">
        <f>IFERROR(VLOOKUP(ANF$1,'All Weather'!$B$35:$C$55,2,FALSE),0%)</f>
        <v>0</v>
      </c>
      <c r="ANG9" s="5">
        <f>IFERROR(VLOOKUP(ANG$1,'All Weather'!$B$35:$C$55,2,FALSE),0%)</f>
        <v>0</v>
      </c>
      <c r="ANH9" s="5">
        <f>IFERROR(VLOOKUP(ANH$1,'All Weather'!$B$35:$C$55,2,FALSE),0%)</f>
        <v>0</v>
      </c>
      <c r="ANI9" s="5">
        <f>IFERROR(VLOOKUP(ANI$1,'All Weather'!$B$35:$C$55,2,FALSE),0%)</f>
        <v>0</v>
      </c>
      <c r="ANJ9" s="5">
        <f>IFERROR(VLOOKUP(ANJ$1,'All Weather'!$B$35:$C$55,2,FALSE),0%)</f>
        <v>0</v>
      </c>
      <c r="ANK9" s="5">
        <f>IFERROR(VLOOKUP(ANK$1,'All Weather'!$B$35:$C$55,2,FALSE),0%)</f>
        <v>0</v>
      </c>
      <c r="ANL9" s="5">
        <f>IFERROR(VLOOKUP(ANL$1,'All Weather'!$B$35:$C$55,2,FALSE),0%)</f>
        <v>0</v>
      </c>
      <c r="ANM9" s="5">
        <f>IFERROR(VLOOKUP(ANM$1,'All Weather'!$B$35:$C$55,2,FALSE),0%)</f>
        <v>0</v>
      </c>
      <c r="ANN9" s="5">
        <f>IFERROR(VLOOKUP(ANN$1,'All Weather'!$B$35:$C$55,2,FALSE),0%)</f>
        <v>0</v>
      </c>
      <c r="ANO9" s="5">
        <f>IFERROR(VLOOKUP(ANO$1,'All Weather'!$B$35:$C$55,2,FALSE),0%)</f>
        <v>0</v>
      </c>
      <c r="ANP9" s="5">
        <f>IFERROR(VLOOKUP(ANP$1,'All Weather'!$B$35:$C$55,2,FALSE),0%)</f>
        <v>0</v>
      </c>
      <c r="ANQ9" s="5">
        <f>IFERROR(VLOOKUP(ANQ$1,'All Weather'!$B$35:$C$55,2,FALSE),0%)</f>
        <v>0</v>
      </c>
      <c r="ANR9" s="5">
        <f>IFERROR(VLOOKUP(ANR$1,'All Weather'!$B$35:$C$55,2,FALSE),0%)</f>
        <v>0</v>
      </c>
      <c r="ANS9" s="5">
        <f>IFERROR(VLOOKUP(ANS$1,'All Weather'!$B$35:$C$55,2,FALSE),0%)</f>
        <v>0</v>
      </c>
      <c r="ANT9" s="5">
        <f>IFERROR(VLOOKUP(ANT$1,'All Weather'!$B$35:$C$55,2,FALSE),0%)</f>
        <v>0</v>
      </c>
      <c r="ANU9" s="5">
        <f>IFERROR(VLOOKUP(ANU$1,'All Weather'!$B$35:$C$55,2,FALSE),0%)</f>
        <v>0</v>
      </c>
      <c r="ANV9" s="5">
        <f>IFERROR(VLOOKUP(ANV$1,'All Weather'!$B$35:$C$55,2,FALSE),0%)</f>
        <v>0</v>
      </c>
      <c r="ANW9" s="5">
        <f>IFERROR(VLOOKUP(ANW$1,'All Weather'!$B$35:$C$55,2,FALSE),0%)</f>
        <v>0</v>
      </c>
      <c r="ANX9" s="5">
        <f>IFERROR(VLOOKUP(ANX$1,'All Weather'!$B$35:$C$55,2,FALSE),0%)</f>
        <v>0</v>
      </c>
      <c r="ANY9" s="5">
        <f>IFERROR(VLOOKUP(ANY$1,'All Weather'!$B$35:$C$55,2,FALSE),0%)</f>
        <v>0</v>
      </c>
      <c r="ANZ9" s="5">
        <f>IFERROR(VLOOKUP(ANZ$1,'All Weather'!$B$35:$C$55,2,FALSE),0%)</f>
        <v>0</v>
      </c>
      <c r="AOA9" s="5">
        <f>IFERROR(VLOOKUP(AOA$1,'All Weather'!$B$35:$C$55,2,FALSE),0%)</f>
        <v>0</v>
      </c>
      <c r="AOB9" s="5">
        <f>IFERROR(VLOOKUP(AOB$1,'All Weather'!$B$35:$C$55,2,FALSE),0%)</f>
        <v>0</v>
      </c>
      <c r="AOC9" s="5">
        <f>IFERROR(VLOOKUP(AOC$1,'All Weather'!$B$35:$C$55,2,FALSE),0%)</f>
        <v>0</v>
      </c>
      <c r="AOD9" s="5">
        <f>IFERROR(VLOOKUP(AOD$1,'All Weather'!$B$35:$C$55,2,FALSE),0%)</f>
        <v>0</v>
      </c>
      <c r="AOE9" s="5">
        <f>IFERROR(VLOOKUP(AOE$1,'All Weather'!$B$35:$C$55,2,FALSE),0%)</f>
        <v>0</v>
      </c>
      <c r="AOF9" s="5">
        <f>IFERROR(VLOOKUP(AOF$1,'All Weather'!$B$35:$C$55,2,FALSE),0%)</f>
        <v>0</v>
      </c>
      <c r="AOG9" s="5">
        <f>IFERROR(VLOOKUP(AOG$1,'All Weather'!$B$35:$C$55,2,FALSE),0%)</f>
        <v>0</v>
      </c>
      <c r="AOH9" s="5">
        <f>IFERROR(VLOOKUP(AOH$1,'All Weather'!$B$35:$C$55,2,FALSE),0%)</f>
        <v>0</v>
      </c>
      <c r="AOI9" s="5">
        <f>IFERROR(VLOOKUP(AOI$1,'All Weather'!$B$35:$C$55,2,FALSE),0%)</f>
        <v>0</v>
      </c>
      <c r="AOJ9" s="5">
        <f>IFERROR(VLOOKUP(AOJ$1,'All Weather'!$B$35:$C$55,2,FALSE),0%)</f>
        <v>0</v>
      </c>
      <c r="AOK9" s="5">
        <f>IFERROR(VLOOKUP(AOK$1,'All Weather'!$B$35:$C$55,2,FALSE),0%)</f>
        <v>0</v>
      </c>
      <c r="AOL9" s="5">
        <f>IFERROR(VLOOKUP(AOL$1,'All Weather'!$B$35:$C$55,2,FALSE),0%)</f>
        <v>0</v>
      </c>
      <c r="AOM9" s="5">
        <f>IFERROR(VLOOKUP(AOM$1,'All Weather'!$B$35:$C$55,2,FALSE),0%)</f>
        <v>0</v>
      </c>
      <c r="AON9" s="5">
        <f>IFERROR(VLOOKUP(AON$1,'All Weather'!$B$35:$C$55,2,FALSE),0%)</f>
        <v>0</v>
      </c>
      <c r="AOO9" s="5">
        <f>IFERROR(VLOOKUP(AOO$1,'All Weather'!$B$35:$C$55,2,FALSE),0%)</f>
        <v>0</v>
      </c>
      <c r="AOP9" s="5">
        <f>IFERROR(VLOOKUP(AOP$1,'All Weather'!$B$35:$C$55,2,FALSE),0%)</f>
        <v>0</v>
      </c>
      <c r="AOQ9" s="5">
        <f>IFERROR(VLOOKUP(AOQ$1,'All Weather'!$B$35:$C$55,2,FALSE),0%)</f>
        <v>0</v>
      </c>
      <c r="AOR9" s="5">
        <f>IFERROR(VLOOKUP(AOR$1,'All Weather'!$B$35:$C$55,2,FALSE),0%)</f>
        <v>0</v>
      </c>
      <c r="AOS9" s="5">
        <f>IFERROR(VLOOKUP(AOS$1,'All Weather'!$B$35:$C$55,2,FALSE),0%)</f>
        <v>0</v>
      </c>
      <c r="AOT9" s="5">
        <f>IFERROR(VLOOKUP(AOT$1,'All Weather'!$B$35:$C$55,2,FALSE),0%)</f>
        <v>0</v>
      </c>
      <c r="AOU9" s="5">
        <f>IFERROR(VLOOKUP(AOU$1,'All Weather'!$B$35:$C$55,2,FALSE),0%)</f>
        <v>0</v>
      </c>
      <c r="AOV9" s="5">
        <f>IFERROR(VLOOKUP(AOV$1,'All Weather'!$B$35:$C$55,2,FALSE),0%)</f>
        <v>0</v>
      </c>
      <c r="AOW9" s="5">
        <f>IFERROR(VLOOKUP(AOW$1,'All Weather'!$B$35:$C$55,2,FALSE),0%)</f>
        <v>0</v>
      </c>
      <c r="AOX9" s="5">
        <f>IFERROR(VLOOKUP(AOX$1,'All Weather'!$B$35:$C$55,2,FALSE),0%)</f>
        <v>0</v>
      </c>
      <c r="AOY9" s="5">
        <f>IFERROR(VLOOKUP(AOY$1,'All Weather'!$B$35:$C$55,2,FALSE),0%)</f>
        <v>0</v>
      </c>
      <c r="AOZ9" s="5">
        <f>IFERROR(VLOOKUP(AOZ$1,'All Weather'!$B$35:$C$55,2,FALSE),0%)</f>
        <v>0</v>
      </c>
      <c r="APA9" s="5">
        <f>IFERROR(VLOOKUP(APA$1,'All Weather'!$B$35:$C$55,2,FALSE),0%)</f>
        <v>0</v>
      </c>
      <c r="APB9" s="5">
        <f>IFERROR(VLOOKUP(APB$1,'All Weather'!$B$35:$C$55,2,FALSE),0%)</f>
        <v>0</v>
      </c>
      <c r="APC9" s="5">
        <f>IFERROR(VLOOKUP(APC$1,'All Weather'!$B$35:$C$55,2,FALSE),0%)</f>
        <v>0</v>
      </c>
      <c r="APD9" s="5">
        <f>IFERROR(VLOOKUP(APD$1,'All Weather'!$B$35:$C$55,2,FALSE),0%)</f>
        <v>0</v>
      </c>
      <c r="APE9" s="5">
        <f>IFERROR(VLOOKUP(APE$1,'All Weather'!$B$35:$C$55,2,FALSE),0%)</f>
        <v>0</v>
      </c>
      <c r="APF9" s="5">
        <f>IFERROR(VLOOKUP(APF$1,'All Weather'!$B$35:$C$55,2,FALSE),0%)</f>
        <v>0</v>
      </c>
      <c r="APG9" s="5">
        <f>IFERROR(VLOOKUP(APG$1,'All Weather'!$B$35:$C$55,2,FALSE),0%)</f>
        <v>0</v>
      </c>
      <c r="APH9" s="5">
        <f>IFERROR(VLOOKUP(APH$1,'All Weather'!$B$35:$C$55,2,FALSE),0%)</f>
        <v>0</v>
      </c>
      <c r="API9" s="5">
        <f>IFERROR(VLOOKUP(API$1,'All Weather'!$B$35:$C$55,2,FALSE),0%)</f>
        <v>0</v>
      </c>
      <c r="APJ9" s="5">
        <f>IFERROR(VLOOKUP(APJ$1,'All Weather'!$B$35:$C$55,2,FALSE),0%)</f>
        <v>0</v>
      </c>
      <c r="APK9" s="5">
        <f>IFERROR(VLOOKUP(APK$1,'All Weather'!$B$35:$C$55,2,FALSE),0%)</f>
        <v>0</v>
      </c>
      <c r="APL9" s="5">
        <f>IFERROR(VLOOKUP(APL$1,'All Weather'!$B$35:$C$55,2,FALSE),0%)</f>
        <v>0</v>
      </c>
      <c r="APM9" s="5">
        <f>IFERROR(VLOOKUP(APM$1,'All Weather'!$B$35:$C$55,2,FALSE),0%)</f>
        <v>0</v>
      </c>
      <c r="APN9" s="5">
        <f>IFERROR(VLOOKUP(APN$1,'All Weather'!$B$35:$C$55,2,FALSE),0%)</f>
        <v>0</v>
      </c>
      <c r="APO9" s="5">
        <f>IFERROR(VLOOKUP(APO$1,'All Weather'!$B$35:$C$55,2,FALSE),0%)</f>
        <v>0</v>
      </c>
      <c r="APP9" s="5">
        <f>IFERROR(VLOOKUP(APP$1,'All Weather'!$B$35:$C$55,2,FALSE),0%)</f>
        <v>0</v>
      </c>
      <c r="APQ9" s="5">
        <f>IFERROR(VLOOKUP(APQ$1,'All Weather'!$B$35:$C$55,2,FALSE),0%)</f>
        <v>0</v>
      </c>
      <c r="APR9" s="5">
        <f>IFERROR(VLOOKUP(APR$1,'All Weather'!$B$35:$C$55,2,FALSE),0%)</f>
        <v>0</v>
      </c>
      <c r="APS9" s="5">
        <f>IFERROR(VLOOKUP(APS$1,'All Weather'!$B$35:$C$55,2,FALSE),0%)</f>
        <v>0</v>
      </c>
      <c r="APT9" s="5">
        <f>IFERROR(VLOOKUP(APT$1,'All Weather'!$B$35:$C$55,2,FALSE),0%)</f>
        <v>0</v>
      </c>
      <c r="APU9" s="5">
        <f>IFERROR(VLOOKUP(APU$1,'All Weather'!$B$35:$C$55,2,FALSE),0%)</f>
        <v>0</v>
      </c>
      <c r="APV9" s="5">
        <f>IFERROR(VLOOKUP(APV$1,'All Weather'!$B$35:$C$55,2,FALSE),0%)</f>
        <v>0</v>
      </c>
      <c r="APW9" s="5">
        <f>IFERROR(VLOOKUP(APW$1,'All Weather'!$B$35:$C$55,2,FALSE),0%)</f>
        <v>0</v>
      </c>
      <c r="APX9" s="5">
        <f>IFERROR(VLOOKUP(APX$1,'All Weather'!$B$35:$C$55,2,FALSE),0%)</f>
        <v>0</v>
      </c>
      <c r="APY9" s="5">
        <f>IFERROR(VLOOKUP(APY$1,'All Weather'!$B$35:$C$55,2,FALSE),0%)</f>
        <v>0</v>
      </c>
      <c r="APZ9" s="5">
        <f>IFERROR(VLOOKUP(APZ$1,'All Weather'!$B$35:$C$55,2,FALSE),0%)</f>
        <v>0</v>
      </c>
      <c r="AQA9" s="5">
        <f>IFERROR(VLOOKUP(AQA$1,'All Weather'!$B$35:$C$55,2,FALSE),0%)</f>
        <v>0</v>
      </c>
      <c r="AQB9" s="5">
        <f>IFERROR(VLOOKUP(AQB$1,'All Weather'!$B$35:$C$55,2,FALSE),0%)</f>
        <v>0</v>
      </c>
      <c r="AQC9" s="5">
        <f>IFERROR(VLOOKUP(AQC$1,'All Weather'!$B$35:$C$55,2,FALSE),0%)</f>
        <v>0</v>
      </c>
      <c r="AQD9" s="5">
        <f>IFERROR(VLOOKUP(AQD$1,'All Weather'!$B$35:$C$55,2,FALSE),0%)</f>
        <v>0</v>
      </c>
      <c r="AQE9" s="5">
        <f>IFERROR(VLOOKUP(AQE$1,'All Weather'!$B$35:$C$55,2,FALSE),0%)</f>
        <v>0</v>
      </c>
      <c r="AQF9" s="5">
        <f>IFERROR(VLOOKUP(AQF$1,'All Weather'!$B$35:$C$55,2,FALSE),0%)</f>
        <v>0</v>
      </c>
      <c r="AQG9" s="5">
        <f>IFERROR(VLOOKUP(AQG$1,'All Weather'!$B$35:$C$55,2,FALSE),0%)</f>
        <v>0</v>
      </c>
      <c r="AQH9" s="5">
        <f>IFERROR(VLOOKUP(AQH$1,'All Weather'!$B$35:$C$55,2,FALSE),0%)</f>
        <v>0</v>
      </c>
      <c r="AQI9" s="5">
        <f>IFERROR(VLOOKUP(AQI$1,'All Weather'!$B$35:$C$55,2,FALSE),0%)</f>
        <v>0</v>
      </c>
      <c r="AQJ9" s="5">
        <f>IFERROR(VLOOKUP(AQJ$1,'All Weather'!$B$35:$C$55,2,FALSE),0%)</f>
        <v>0</v>
      </c>
      <c r="AQK9" s="5">
        <f>IFERROR(VLOOKUP(AQK$1,'All Weather'!$B$35:$C$55,2,FALSE),0%)</f>
        <v>0</v>
      </c>
      <c r="AQL9" s="5">
        <f>IFERROR(VLOOKUP(AQL$1,'All Weather'!$B$35:$C$55,2,FALSE),0%)</f>
        <v>0</v>
      </c>
      <c r="AQM9" s="5">
        <f>IFERROR(VLOOKUP(AQM$1,'All Weather'!$B$35:$C$55,2,FALSE),0%)</f>
        <v>0</v>
      </c>
      <c r="AQN9" s="5">
        <f>IFERROR(VLOOKUP(AQN$1,'All Weather'!$B$35:$C$55,2,FALSE),0%)</f>
        <v>0</v>
      </c>
      <c r="AQO9" s="5">
        <f>IFERROR(VLOOKUP(AQO$1,'All Weather'!$B$35:$C$55,2,FALSE),0%)</f>
        <v>0</v>
      </c>
      <c r="AQP9" s="5">
        <f>IFERROR(VLOOKUP(AQP$1,'All Weather'!$B$35:$C$55,2,FALSE),0%)</f>
        <v>0</v>
      </c>
      <c r="AQQ9" s="5">
        <f>IFERROR(VLOOKUP(AQQ$1,'All Weather'!$B$35:$C$55,2,FALSE),0%)</f>
        <v>0</v>
      </c>
      <c r="AQR9" s="5">
        <f>IFERROR(VLOOKUP(AQR$1,'All Weather'!$B$35:$C$55,2,FALSE),0%)</f>
        <v>0</v>
      </c>
      <c r="AQS9" s="5">
        <f>IFERROR(VLOOKUP(AQS$1,'All Weather'!$B$35:$C$55,2,FALSE),0%)</f>
        <v>0</v>
      </c>
      <c r="AQT9" s="5">
        <f>IFERROR(VLOOKUP(AQT$1,'All Weather'!$B$35:$C$55,2,FALSE),0%)</f>
        <v>0</v>
      </c>
      <c r="AQU9" s="5">
        <f>IFERROR(VLOOKUP(AQU$1,'All Weather'!$B$35:$C$55,2,FALSE),0%)</f>
        <v>0</v>
      </c>
      <c r="AQV9" s="5">
        <f>IFERROR(VLOOKUP(AQV$1,'All Weather'!$B$35:$C$55,2,FALSE),0%)</f>
        <v>0</v>
      </c>
      <c r="AQW9" s="5">
        <f>IFERROR(VLOOKUP(AQW$1,'All Weather'!$B$35:$C$55,2,FALSE),0%)</f>
        <v>0</v>
      </c>
      <c r="AQX9" s="5">
        <f>IFERROR(VLOOKUP(AQX$1,'All Weather'!$B$35:$C$55,2,FALSE),0%)</f>
        <v>0</v>
      </c>
      <c r="AQY9" s="5">
        <f>IFERROR(VLOOKUP(AQY$1,'All Weather'!$B$35:$C$55,2,FALSE),0%)</f>
        <v>0</v>
      </c>
      <c r="AQZ9" s="5">
        <f>IFERROR(VLOOKUP(AQZ$1,'All Weather'!$B$35:$C$55,2,FALSE),0%)</f>
        <v>0</v>
      </c>
      <c r="ARA9" s="5">
        <f>IFERROR(VLOOKUP(ARA$1,'All Weather'!$B$35:$C$55,2,FALSE),0%)</f>
        <v>0</v>
      </c>
      <c r="ARB9" s="5">
        <f>IFERROR(VLOOKUP(ARB$1,'All Weather'!$B$35:$C$55,2,FALSE),0%)</f>
        <v>0</v>
      </c>
      <c r="ARC9" s="5">
        <f>IFERROR(VLOOKUP(ARC$1,'All Weather'!$B$35:$C$55,2,FALSE),0%)</f>
        <v>0</v>
      </c>
      <c r="ARD9" s="5">
        <f>IFERROR(VLOOKUP(ARD$1,'All Weather'!$B$35:$C$55,2,FALSE),0%)</f>
        <v>0</v>
      </c>
      <c r="ARE9" s="5">
        <f>IFERROR(VLOOKUP(ARE$1,'All Weather'!$B$35:$C$55,2,FALSE),0%)</f>
        <v>0</v>
      </c>
      <c r="ARF9" s="5">
        <f>IFERROR(VLOOKUP(ARF$1,'All Weather'!$B$35:$C$55,2,FALSE),0%)</f>
        <v>0</v>
      </c>
      <c r="ARG9" s="5">
        <f>IFERROR(VLOOKUP(ARG$1,'All Weather'!$B$35:$C$55,2,FALSE),0%)</f>
        <v>0</v>
      </c>
      <c r="ARH9" s="5">
        <f>IFERROR(VLOOKUP(ARH$1,'All Weather'!$B$35:$C$55,2,FALSE),0%)</f>
        <v>0</v>
      </c>
      <c r="ARI9" s="5">
        <f>IFERROR(VLOOKUP(ARI$1,'All Weather'!$B$35:$C$55,2,FALSE),0%)</f>
        <v>0</v>
      </c>
      <c r="ARJ9" s="5">
        <f>IFERROR(VLOOKUP(ARJ$1,'All Weather'!$B$35:$C$55,2,FALSE),0%)</f>
        <v>0</v>
      </c>
      <c r="ARK9" s="5">
        <f>IFERROR(VLOOKUP(ARK$1,'All Weather'!$B$35:$C$55,2,FALSE),0%)</f>
        <v>0</v>
      </c>
      <c r="ARL9" s="5">
        <f>IFERROR(VLOOKUP(ARL$1,'All Weather'!$B$35:$C$55,2,FALSE),0%)</f>
        <v>0</v>
      </c>
      <c r="ARM9" s="5">
        <f>IFERROR(VLOOKUP(ARM$1,'All Weather'!$B$35:$C$55,2,FALSE),0%)</f>
        <v>0</v>
      </c>
      <c r="ARN9" s="5">
        <f>IFERROR(VLOOKUP(ARN$1,'All Weather'!$B$35:$C$55,2,FALSE),0%)</f>
        <v>0</v>
      </c>
      <c r="ARO9" s="5">
        <f>IFERROR(VLOOKUP(ARO$1,'All Weather'!$B$35:$C$55,2,FALSE),0%)</f>
        <v>0</v>
      </c>
      <c r="ARP9" s="5">
        <f>IFERROR(VLOOKUP(ARP$1,'All Weather'!$B$35:$C$55,2,FALSE),0%)</f>
        <v>0</v>
      </c>
      <c r="ARQ9" s="5">
        <f>IFERROR(VLOOKUP(ARQ$1,'All Weather'!$B$35:$C$55,2,FALSE),0%)</f>
        <v>0</v>
      </c>
      <c r="ARR9" s="5">
        <f>IFERROR(VLOOKUP(ARR$1,'All Weather'!$B$35:$C$55,2,FALSE),0%)</f>
        <v>0</v>
      </c>
      <c r="ARS9" s="5">
        <f>IFERROR(VLOOKUP(ARS$1,'All Weather'!$B$35:$C$55,2,FALSE),0%)</f>
        <v>0</v>
      </c>
      <c r="ART9" s="5">
        <f>IFERROR(VLOOKUP(ART$1,'All Weather'!$B$35:$C$55,2,FALSE),0%)</f>
        <v>0</v>
      </c>
      <c r="ARU9" s="5">
        <f>IFERROR(VLOOKUP(ARU$1,'All Weather'!$B$35:$C$55,2,FALSE),0%)</f>
        <v>0</v>
      </c>
      <c r="ARV9" s="5">
        <f>IFERROR(VLOOKUP(ARV$1,'All Weather'!$B$35:$C$55,2,FALSE),0%)</f>
        <v>0</v>
      </c>
      <c r="ARW9" s="5">
        <f>IFERROR(VLOOKUP(ARW$1,'All Weather'!$B$35:$C$55,2,FALSE),0%)</f>
        <v>0</v>
      </c>
      <c r="ARX9" s="5">
        <f>IFERROR(VLOOKUP(ARX$1,'All Weather'!$B$35:$C$55,2,FALSE),0%)</f>
        <v>0</v>
      </c>
      <c r="ARY9" s="5">
        <f>IFERROR(VLOOKUP(ARY$1,'All Weather'!$B$35:$C$55,2,FALSE),0%)</f>
        <v>0</v>
      </c>
      <c r="ARZ9" s="5">
        <f>IFERROR(VLOOKUP(ARZ$1,'All Weather'!$B$35:$C$55,2,FALSE),0%)</f>
        <v>0</v>
      </c>
      <c r="ASA9" s="5">
        <f>IFERROR(VLOOKUP(ASA$1,'All Weather'!$B$35:$C$55,2,FALSE),0%)</f>
        <v>0</v>
      </c>
      <c r="ASB9" s="5">
        <f>IFERROR(VLOOKUP(ASB$1,'All Weather'!$B$35:$C$55,2,FALSE),0%)</f>
        <v>0</v>
      </c>
      <c r="ASC9" s="5">
        <f>IFERROR(VLOOKUP(ASC$1,'All Weather'!$B$35:$C$55,2,FALSE),0%)</f>
        <v>0</v>
      </c>
      <c r="ASD9" s="5">
        <f>IFERROR(VLOOKUP(ASD$1,'All Weather'!$B$35:$C$55,2,FALSE),0%)</f>
        <v>0</v>
      </c>
      <c r="ASE9" s="5">
        <f>IFERROR(VLOOKUP(ASE$1,'All Weather'!$B$35:$C$55,2,FALSE),0%)</f>
        <v>0</v>
      </c>
      <c r="ASF9" s="5">
        <f>IFERROR(VLOOKUP(ASF$1,'All Weather'!$B$35:$C$55,2,FALSE),0%)</f>
        <v>0</v>
      </c>
      <c r="ASG9" s="5">
        <f>IFERROR(VLOOKUP(ASG$1,'All Weather'!$B$35:$C$55,2,FALSE),0%)</f>
        <v>0</v>
      </c>
      <c r="ASH9" s="5">
        <f>IFERROR(VLOOKUP(ASH$1,'All Weather'!$B$35:$C$55,2,FALSE),0%)</f>
        <v>0</v>
      </c>
      <c r="ASI9" s="5">
        <f>IFERROR(VLOOKUP(ASI$1,'All Weather'!$B$35:$C$55,2,FALSE),0%)</f>
        <v>0</v>
      </c>
      <c r="ASJ9" s="5">
        <f>IFERROR(VLOOKUP(ASJ$1,'All Weather'!$B$35:$C$55,2,FALSE),0%)</f>
        <v>0</v>
      </c>
      <c r="ASK9" s="5">
        <f>IFERROR(VLOOKUP(ASK$1,'All Weather'!$B$35:$C$55,2,FALSE),0%)</f>
        <v>0</v>
      </c>
      <c r="ASL9" s="5">
        <f>IFERROR(VLOOKUP(ASL$1,'All Weather'!$B$35:$C$55,2,FALSE),0%)</f>
        <v>0</v>
      </c>
      <c r="ASM9" s="5">
        <f>IFERROR(VLOOKUP(ASM$1,'All Weather'!$B$35:$C$55,2,FALSE),0%)</f>
        <v>0</v>
      </c>
      <c r="ASN9" s="5">
        <f>IFERROR(VLOOKUP(ASN$1,'All Weather'!$B$35:$C$55,2,FALSE),0%)</f>
        <v>0</v>
      </c>
      <c r="ASO9" s="5">
        <f>IFERROR(VLOOKUP(ASO$1,'All Weather'!$B$35:$C$55,2,FALSE),0%)</f>
        <v>0</v>
      </c>
      <c r="ASP9" s="5">
        <f>IFERROR(VLOOKUP(ASP$1,'All Weather'!$B$35:$C$55,2,FALSE),0%)</f>
        <v>0</v>
      </c>
      <c r="ASQ9" s="5">
        <f>IFERROR(VLOOKUP(ASQ$1,'All Weather'!$B$35:$C$55,2,FALSE),0%)</f>
        <v>0</v>
      </c>
      <c r="ASR9" s="5">
        <f>IFERROR(VLOOKUP(ASR$1,'All Weather'!$B$35:$C$55,2,FALSE),0%)</f>
        <v>0</v>
      </c>
      <c r="ASS9" s="5">
        <f>IFERROR(VLOOKUP(ASS$1,'All Weather'!$B$35:$C$55,2,FALSE),0%)</f>
        <v>0</v>
      </c>
      <c r="AST9" s="5">
        <f>IFERROR(VLOOKUP(AST$1,'All Weather'!$B$35:$C$55,2,FALSE),0%)</f>
        <v>0</v>
      </c>
      <c r="ASU9" s="5">
        <f>IFERROR(VLOOKUP(ASU$1,'All Weather'!$B$35:$C$55,2,FALSE),0%)</f>
        <v>0</v>
      </c>
      <c r="ASV9" s="5">
        <f>IFERROR(VLOOKUP(ASV$1,'All Weather'!$B$35:$C$55,2,FALSE),0%)</f>
        <v>0</v>
      </c>
      <c r="ASW9" s="5">
        <f>IFERROR(VLOOKUP(ASW$1,'All Weather'!$B$35:$C$55,2,FALSE),0%)</f>
        <v>0</v>
      </c>
      <c r="ASX9" s="5">
        <f>IFERROR(VLOOKUP(ASX$1,'All Weather'!$B$35:$C$55,2,FALSE),0%)</f>
        <v>0</v>
      </c>
      <c r="ASY9" s="5">
        <f>IFERROR(VLOOKUP(ASY$1,'All Weather'!$B$35:$C$55,2,FALSE),0%)</f>
        <v>0</v>
      </c>
      <c r="ASZ9" s="5">
        <f>IFERROR(VLOOKUP(ASZ$1,'All Weather'!$B$35:$C$55,2,FALSE),0%)</f>
        <v>0</v>
      </c>
      <c r="ATA9" s="5">
        <f>IFERROR(VLOOKUP(ATA$1,'All Weather'!$B$35:$C$55,2,FALSE),0%)</f>
        <v>0</v>
      </c>
      <c r="ATB9" s="5">
        <f>IFERROR(VLOOKUP(ATB$1,'All Weather'!$B$35:$C$55,2,FALSE),0%)</f>
        <v>0</v>
      </c>
      <c r="ATC9" s="5">
        <f>IFERROR(VLOOKUP(ATC$1,'All Weather'!$B$35:$C$55,2,FALSE),0%)</f>
        <v>0</v>
      </c>
      <c r="ATD9" s="5">
        <f>IFERROR(VLOOKUP(ATD$1,'All Weather'!$B$35:$C$55,2,FALSE),0%)</f>
        <v>0</v>
      </c>
      <c r="ATE9" s="5">
        <f>IFERROR(VLOOKUP(ATE$1,'All Weather'!$B$35:$C$55,2,FALSE),0%)</f>
        <v>0</v>
      </c>
      <c r="ATF9" s="5">
        <f>IFERROR(VLOOKUP(ATF$1,'All Weather'!$B$35:$C$55,2,FALSE),0%)</f>
        <v>0</v>
      </c>
      <c r="ATG9" s="5">
        <f>IFERROR(VLOOKUP(ATG$1,'All Weather'!$B$35:$C$55,2,FALSE),0%)</f>
        <v>0</v>
      </c>
      <c r="ATH9" s="5">
        <f>IFERROR(VLOOKUP(ATH$1,'All Weather'!$B$35:$C$55,2,FALSE),0%)</f>
        <v>0</v>
      </c>
      <c r="ATI9" s="5">
        <f>IFERROR(VLOOKUP(ATI$1,'All Weather'!$B$35:$C$55,2,FALSE),0%)</f>
        <v>0</v>
      </c>
      <c r="ATJ9" s="5">
        <f>IFERROR(VLOOKUP(ATJ$1,'All Weather'!$B$35:$C$55,2,FALSE),0%)</f>
        <v>0</v>
      </c>
      <c r="ATK9" s="5">
        <f>IFERROR(VLOOKUP(ATK$1,'All Weather'!$B$35:$C$55,2,FALSE),0%)</f>
        <v>0</v>
      </c>
      <c r="ATL9" s="5">
        <f>IFERROR(VLOOKUP(ATL$1,'All Weather'!$B$35:$C$55,2,FALSE),0%)</f>
        <v>0</v>
      </c>
      <c r="ATM9" s="5">
        <f>IFERROR(VLOOKUP(ATM$1,'All Weather'!$B$35:$C$55,2,FALSE),0%)</f>
        <v>0</v>
      </c>
      <c r="ATN9" s="5">
        <f>IFERROR(VLOOKUP(ATN$1,'All Weather'!$B$35:$C$55,2,FALSE),0%)</f>
        <v>0</v>
      </c>
      <c r="ATO9" s="5">
        <f>IFERROR(VLOOKUP(ATO$1,'All Weather'!$B$35:$C$55,2,FALSE),0%)</f>
        <v>0</v>
      </c>
      <c r="ATP9" s="5">
        <f>IFERROR(VLOOKUP(ATP$1,'All Weather'!$B$35:$C$55,2,FALSE),0%)</f>
        <v>0</v>
      </c>
      <c r="ATQ9" s="5">
        <f>IFERROR(VLOOKUP(ATQ$1,'All Weather'!$B$35:$C$55,2,FALSE),0%)</f>
        <v>0</v>
      </c>
      <c r="ATR9" s="5">
        <f>IFERROR(VLOOKUP(ATR$1,'All Weather'!$B$35:$C$55,2,FALSE),0%)</f>
        <v>0</v>
      </c>
      <c r="ATS9" s="5">
        <f>IFERROR(VLOOKUP(ATS$1,'All Weather'!$B$35:$C$55,2,FALSE),0%)</f>
        <v>0</v>
      </c>
      <c r="ATT9" s="5">
        <f>IFERROR(VLOOKUP(ATT$1,'All Weather'!$B$35:$C$55,2,FALSE),0%)</f>
        <v>0</v>
      </c>
      <c r="ATU9" s="5">
        <f>IFERROR(VLOOKUP(ATU$1,'All Weather'!$B$35:$C$55,2,FALSE),0%)</f>
        <v>0</v>
      </c>
      <c r="ATV9" s="5">
        <f>IFERROR(VLOOKUP(ATV$1,'All Weather'!$B$35:$C$55,2,FALSE),0%)</f>
        <v>0</v>
      </c>
      <c r="ATW9" s="5">
        <f>IFERROR(VLOOKUP(ATW$1,'All Weather'!$B$35:$C$55,2,FALSE),0%)</f>
        <v>0</v>
      </c>
      <c r="ATX9" s="5">
        <f>IFERROR(VLOOKUP(ATX$1,'All Weather'!$B$35:$C$55,2,FALSE),0%)</f>
        <v>0</v>
      </c>
      <c r="ATY9" s="5">
        <f>IFERROR(VLOOKUP(ATY$1,'All Weather'!$B$35:$C$55,2,FALSE),0%)</f>
        <v>0</v>
      </c>
      <c r="ATZ9" s="5">
        <f>IFERROR(VLOOKUP(ATZ$1,'All Weather'!$B$35:$C$55,2,FALSE),0%)</f>
        <v>0</v>
      </c>
      <c r="AUA9" s="5">
        <f>IFERROR(VLOOKUP(AUA$1,'All Weather'!$B$35:$C$55,2,FALSE),0%)</f>
        <v>0</v>
      </c>
      <c r="AUB9" s="5">
        <f>IFERROR(VLOOKUP(AUB$1,'All Weather'!$B$35:$C$55,2,FALSE),0%)</f>
        <v>0</v>
      </c>
      <c r="AUC9" s="5">
        <f>IFERROR(VLOOKUP(AUC$1,'All Weather'!$B$35:$C$55,2,FALSE),0%)</f>
        <v>0</v>
      </c>
      <c r="AUD9" s="5">
        <f>IFERROR(VLOOKUP(AUD$1,'All Weather'!$B$35:$C$55,2,FALSE),0%)</f>
        <v>0</v>
      </c>
      <c r="AUE9" s="5">
        <f>IFERROR(VLOOKUP(AUE$1,'All Weather'!$B$35:$C$55,2,FALSE),0%)</f>
        <v>0</v>
      </c>
      <c r="AUF9" s="5">
        <f>IFERROR(VLOOKUP(AUF$1,'All Weather'!$B$35:$C$55,2,FALSE),0%)</f>
        <v>0</v>
      </c>
      <c r="AUG9" s="5">
        <f>IFERROR(VLOOKUP(AUG$1,'All Weather'!$B$35:$C$55,2,FALSE),0%)</f>
        <v>0</v>
      </c>
      <c r="AUH9" s="5">
        <f>IFERROR(VLOOKUP(AUH$1,'All Weather'!$B$35:$C$55,2,FALSE),0%)</f>
        <v>0</v>
      </c>
      <c r="AUI9" s="5">
        <f>IFERROR(VLOOKUP(AUI$1,'All Weather'!$B$35:$C$55,2,FALSE),0%)</f>
        <v>0</v>
      </c>
      <c r="AUJ9" s="5">
        <f>IFERROR(VLOOKUP(AUJ$1,'All Weather'!$B$35:$C$55,2,FALSE),0%)</f>
        <v>0</v>
      </c>
      <c r="AUK9" s="5">
        <f>IFERROR(VLOOKUP(AUK$1,'All Weather'!$B$35:$C$55,2,FALSE),0%)</f>
        <v>0</v>
      </c>
      <c r="AUL9" s="5">
        <f>IFERROR(VLOOKUP(AUL$1,'All Weather'!$B$35:$C$55,2,FALSE),0%)</f>
        <v>0</v>
      </c>
      <c r="AUM9" s="5">
        <f>IFERROR(VLOOKUP(AUM$1,'All Weather'!$B$35:$C$55,2,FALSE),0%)</f>
        <v>0</v>
      </c>
      <c r="AUN9" s="5">
        <f>IFERROR(VLOOKUP(AUN$1,'All Weather'!$B$35:$C$55,2,FALSE),0%)</f>
        <v>0</v>
      </c>
      <c r="AUO9" s="5">
        <f>IFERROR(VLOOKUP(AUO$1,'All Weather'!$B$35:$C$55,2,FALSE),0%)</f>
        <v>0</v>
      </c>
      <c r="AUP9" s="5">
        <f>IFERROR(VLOOKUP(AUP$1,'All Weather'!$B$35:$C$55,2,FALSE),0%)</f>
        <v>0</v>
      </c>
      <c r="AUQ9" s="5">
        <f>IFERROR(VLOOKUP(AUQ$1,'All Weather'!$B$35:$C$55,2,FALSE),0%)</f>
        <v>0</v>
      </c>
      <c r="AUR9" s="5">
        <f>IFERROR(VLOOKUP(AUR$1,'All Weather'!$B$35:$C$55,2,FALSE),0%)</f>
        <v>0</v>
      </c>
      <c r="AUS9" s="5">
        <f>IFERROR(VLOOKUP(AUS$1,'All Weather'!$B$35:$C$55,2,FALSE),0%)</f>
        <v>0</v>
      </c>
      <c r="AUT9" s="5">
        <f>IFERROR(VLOOKUP(AUT$1,'All Weather'!$B$35:$C$55,2,FALSE),0%)</f>
        <v>0</v>
      </c>
      <c r="AUU9" s="5">
        <f>IFERROR(VLOOKUP(AUU$1,'All Weather'!$B$35:$C$55,2,FALSE),0%)</f>
        <v>0</v>
      </c>
      <c r="AUV9" s="5">
        <f>IFERROR(VLOOKUP(AUV$1,'All Weather'!$B$35:$C$55,2,FALSE),0%)</f>
        <v>0</v>
      </c>
      <c r="AUW9" s="5">
        <f>IFERROR(VLOOKUP(AUW$1,'All Weather'!$B$35:$C$55,2,FALSE),0%)</f>
        <v>0</v>
      </c>
      <c r="AUX9" s="5">
        <f>IFERROR(VLOOKUP(AUX$1,'All Weather'!$B$35:$C$55,2,FALSE),0%)</f>
        <v>0</v>
      </c>
      <c r="AUY9" s="5">
        <f>IFERROR(VLOOKUP(AUY$1,'All Weather'!$B$35:$C$55,2,FALSE),0%)</f>
        <v>0</v>
      </c>
      <c r="AUZ9" s="5">
        <f>IFERROR(VLOOKUP(AUZ$1,'All Weather'!$B$35:$C$55,2,FALSE),0%)</f>
        <v>0</v>
      </c>
      <c r="AVA9" s="5">
        <f>IFERROR(VLOOKUP(AVA$1,'All Weather'!$B$35:$C$55,2,FALSE),0%)</f>
        <v>0</v>
      </c>
      <c r="AVB9" s="5">
        <f>IFERROR(VLOOKUP(AVB$1,'All Weather'!$B$35:$C$55,2,FALSE),0%)</f>
        <v>0</v>
      </c>
      <c r="AVC9" s="5">
        <f>IFERROR(VLOOKUP(AVC$1,'All Weather'!$B$35:$C$55,2,FALSE),0%)</f>
        <v>0</v>
      </c>
      <c r="AVD9" s="5">
        <f>IFERROR(VLOOKUP(AVD$1,'All Weather'!$B$35:$C$55,2,FALSE),0%)</f>
        <v>0</v>
      </c>
      <c r="AVE9" s="5">
        <f>IFERROR(VLOOKUP(AVE$1,'All Weather'!$B$35:$C$55,2,FALSE),0%)</f>
        <v>0</v>
      </c>
      <c r="AVF9" s="5">
        <f>IFERROR(VLOOKUP(AVF$1,'All Weather'!$B$35:$C$55,2,FALSE),0%)</f>
        <v>0</v>
      </c>
      <c r="AVG9" s="5">
        <f>IFERROR(VLOOKUP(AVG$1,'All Weather'!$B$35:$C$55,2,FALSE),0%)</f>
        <v>0</v>
      </c>
      <c r="AVH9" s="5">
        <f>IFERROR(VLOOKUP(AVH$1,'All Weather'!$B$35:$C$55,2,FALSE),0%)</f>
        <v>0</v>
      </c>
      <c r="AVI9" s="5">
        <f>IFERROR(VLOOKUP(AVI$1,'All Weather'!$B$35:$C$55,2,FALSE),0%)</f>
        <v>0</v>
      </c>
      <c r="AVJ9" s="5">
        <f>IFERROR(VLOOKUP(AVJ$1,'All Weather'!$B$35:$C$55,2,FALSE),0%)</f>
        <v>0</v>
      </c>
      <c r="AVK9" s="5">
        <f>IFERROR(VLOOKUP(AVK$1,'All Weather'!$B$35:$C$55,2,FALSE),0%)</f>
        <v>0</v>
      </c>
      <c r="AVL9" s="5">
        <f>IFERROR(VLOOKUP(AVL$1,'All Weather'!$B$35:$C$55,2,FALSE),0%)</f>
        <v>0</v>
      </c>
      <c r="AVM9" s="5">
        <f>IFERROR(VLOOKUP(AVM$1,'All Weather'!$B$35:$C$55,2,FALSE),0%)</f>
        <v>0</v>
      </c>
      <c r="AVN9" s="5">
        <f>IFERROR(VLOOKUP(AVN$1,'All Weather'!$B$35:$C$55,2,FALSE),0%)</f>
        <v>0</v>
      </c>
      <c r="AVO9" s="5">
        <f>IFERROR(VLOOKUP(AVO$1,'All Weather'!$B$35:$C$55,2,FALSE),0%)</f>
        <v>0</v>
      </c>
      <c r="AVP9" s="5">
        <f>IFERROR(VLOOKUP(AVP$1,'All Weather'!$B$35:$C$55,2,FALSE),0%)</f>
        <v>0</v>
      </c>
      <c r="AVQ9" s="5">
        <f>IFERROR(VLOOKUP(AVQ$1,'All Weather'!$B$35:$C$55,2,FALSE),0%)</f>
        <v>0</v>
      </c>
      <c r="AVR9" s="5">
        <f>IFERROR(VLOOKUP(AVR$1,'All Weather'!$B$35:$C$55,2,FALSE),0%)</f>
        <v>0</v>
      </c>
      <c r="AVS9" s="5">
        <f>IFERROR(VLOOKUP(AVS$1,'All Weather'!$B$35:$C$55,2,FALSE),0%)</f>
        <v>0</v>
      </c>
      <c r="AVT9" s="5">
        <f>IFERROR(VLOOKUP(AVT$1,'All Weather'!$B$35:$C$55,2,FALSE),0%)</f>
        <v>0</v>
      </c>
      <c r="AVU9" s="5">
        <f>IFERROR(VLOOKUP(AVU$1,'All Weather'!$B$35:$C$55,2,FALSE),0%)</f>
        <v>0</v>
      </c>
      <c r="AVV9" s="5">
        <f>IFERROR(VLOOKUP(AVV$1,'All Weather'!$B$35:$C$55,2,FALSE),0%)</f>
        <v>0</v>
      </c>
      <c r="AVW9" s="5">
        <f>IFERROR(VLOOKUP(AVW$1,'All Weather'!$B$35:$C$55,2,FALSE),0%)</f>
        <v>0</v>
      </c>
      <c r="AVX9" s="5">
        <f>IFERROR(VLOOKUP(AVX$1,'All Weather'!$B$35:$C$55,2,FALSE),0%)</f>
        <v>0</v>
      </c>
      <c r="AVY9" s="5">
        <f>IFERROR(VLOOKUP(AVY$1,'All Weather'!$B$35:$C$55,2,FALSE),0%)</f>
        <v>0</v>
      </c>
      <c r="AVZ9" s="5">
        <f>IFERROR(VLOOKUP(AVZ$1,'All Weather'!$B$35:$C$55,2,FALSE),0%)</f>
        <v>0</v>
      </c>
      <c r="AWA9" s="5">
        <f>IFERROR(VLOOKUP(AWA$1,'All Weather'!$B$35:$C$55,2,FALSE),0%)</f>
        <v>0</v>
      </c>
      <c r="AWB9" s="5">
        <f>IFERROR(VLOOKUP(AWB$1,'All Weather'!$B$35:$C$55,2,FALSE),0%)</f>
        <v>0</v>
      </c>
      <c r="AWC9" s="5">
        <f>IFERROR(VLOOKUP(AWC$1,'All Weather'!$B$35:$C$55,2,FALSE),0%)</f>
        <v>0</v>
      </c>
      <c r="AWD9" s="5">
        <f>IFERROR(VLOOKUP(AWD$1,'All Weather'!$B$35:$C$55,2,FALSE),0%)</f>
        <v>0</v>
      </c>
      <c r="AWE9" s="5">
        <f>IFERROR(VLOOKUP(AWE$1,'All Weather'!$B$35:$C$55,2,FALSE),0%)</f>
        <v>0</v>
      </c>
      <c r="AWF9" s="5">
        <f>IFERROR(VLOOKUP(AWF$1,'All Weather'!$B$35:$C$55,2,FALSE),0%)</f>
        <v>0</v>
      </c>
      <c r="AWG9" s="5">
        <f>IFERROR(VLOOKUP(AWG$1,'All Weather'!$B$35:$C$55,2,FALSE),0%)</f>
        <v>0</v>
      </c>
      <c r="AWH9" s="5">
        <f>IFERROR(VLOOKUP(AWH$1,'All Weather'!$B$35:$C$55,2,FALSE),0%)</f>
        <v>0</v>
      </c>
      <c r="AWI9" s="5">
        <f>IFERROR(VLOOKUP(AWI$1,'All Weather'!$B$35:$C$55,2,FALSE),0%)</f>
        <v>0</v>
      </c>
      <c r="AWJ9" s="5">
        <f>IFERROR(VLOOKUP(AWJ$1,'All Weather'!$B$35:$C$55,2,FALSE),0%)</f>
        <v>0</v>
      </c>
      <c r="AWK9" s="5">
        <f>IFERROR(VLOOKUP(AWK$1,'All Weather'!$B$35:$C$55,2,FALSE),0%)</f>
        <v>0</v>
      </c>
      <c r="AWL9" s="5">
        <f>IFERROR(VLOOKUP(AWL$1,'All Weather'!$B$35:$C$55,2,FALSE),0%)</f>
        <v>0</v>
      </c>
      <c r="AWM9" s="5">
        <f>IFERROR(VLOOKUP(AWM$1,'All Weather'!$B$35:$C$55,2,FALSE),0%)</f>
        <v>0</v>
      </c>
      <c r="AWN9" s="5">
        <f>IFERROR(VLOOKUP(AWN$1,'All Weather'!$B$35:$C$55,2,FALSE),0%)</f>
        <v>0</v>
      </c>
      <c r="AWO9" s="5">
        <f>IFERROR(VLOOKUP(AWO$1,'All Weather'!$B$35:$C$55,2,FALSE),0%)</f>
        <v>0</v>
      </c>
      <c r="AWP9" s="5">
        <f>IFERROR(VLOOKUP(AWP$1,'All Weather'!$B$35:$C$55,2,FALSE),0%)</f>
        <v>0</v>
      </c>
      <c r="AWQ9" s="5">
        <f>IFERROR(VLOOKUP(AWQ$1,'All Weather'!$B$35:$C$55,2,FALSE),0%)</f>
        <v>0</v>
      </c>
      <c r="AWR9" s="5">
        <f>IFERROR(VLOOKUP(AWR$1,'All Weather'!$B$35:$C$55,2,FALSE),0%)</f>
        <v>0</v>
      </c>
      <c r="AWS9" s="5">
        <f>IFERROR(VLOOKUP(AWS$1,'All Weather'!$B$35:$C$55,2,FALSE),0%)</f>
        <v>0</v>
      </c>
      <c r="AWT9" s="5">
        <f>IFERROR(VLOOKUP(AWT$1,'All Weather'!$B$35:$C$55,2,FALSE),0%)</f>
        <v>0</v>
      </c>
      <c r="AWU9" s="5">
        <f>IFERROR(VLOOKUP(AWU$1,'All Weather'!$B$35:$C$55,2,FALSE),0%)</f>
        <v>0</v>
      </c>
      <c r="AWV9" s="5">
        <f>IFERROR(VLOOKUP(AWV$1,'All Weather'!$B$35:$C$55,2,FALSE),0%)</f>
        <v>0</v>
      </c>
      <c r="AWW9" s="5">
        <f>IFERROR(VLOOKUP(AWW$1,'All Weather'!$B$35:$C$55,2,FALSE),0%)</f>
        <v>0</v>
      </c>
      <c r="AWX9" s="5">
        <f>IFERROR(VLOOKUP(AWX$1,'All Weather'!$B$35:$C$55,2,FALSE),0%)</f>
        <v>0</v>
      </c>
      <c r="AWY9" s="5">
        <f>IFERROR(VLOOKUP(AWY$1,'All Weather'!$B$35:$C$55,2,FALSE),0%)</f>
        <v>0</v>
      </c>
      <c r="AWZ9" s="5">
        <f>IFERROR(VLOOKUP(AWZ$1,'All Weather'!$B$35:$C$55,2,FALSE),0%)</f>
        <v>0</v>
      </c>
      <c r="AXA9" s="5">
        <f>IFERROR(VLOOKUP(AXA$1,'All Weather'!$B$35:$C$55,2,FALSE),0%)</f>
        <v>0</v>
      </c>
      <c r="AXB9" s="5">
        <f>IFERROR(VLOOKUP(AXB$1,'All Weather'!$B$35:$C$55,2,FALSE),0%)</f>
        <v>0</v>
      </c>
      <c r="AXC9" s="5">
        <f>IFERROR(VLOOKUP(AXC$1,'All Weather'!$B$35:$C$55,2,FALSE),0%)</f>
        <v>0</v>
      </c>
      <c r="AXD9" s="5">
        <f>IFERROR(VLOOKUP(AXD$1,'All Weather'!$B$35:$C$55,2,FALSE),0%)</f>
        <v>0</v>
      </c>
      <c r="AXE9" s="5">
        <f>IFERROR(VLOOKUP(AXE$1,'All Weather'!$B$35:$C$55,2,FALSE),0%)</f>
        <v>0</v>
      </c>
      <c r="AXF9" s="5">
        <f>IFERROR(VLOOKUP(AXF$1,'All Weather'!$B$35:$C$55,2,FALSE),0%)</f>
        <v>0</v>
      </c>
      <c r="AXG9" s="5">
        <f>IFERROR(VLOOKUP(AXG$1,'All Weather'!$B$35:$C$55,2,FALSE),0%)</f>
        <v>0</v>
      </c>
      <c r="AXH9" s="5">
        <f>IFERROR(VLOOKUP(AXH$1,'All Weather'!$B$35:$C$55,2,FALSE),0%)</f>
        <v>0</v>
      </c>
      <c r="AXI9" s="5">
        <f>IFERROR(VLOOKUP(AXI$1,'All Weather'!$B$35:$C$55,2,FALSE),0%)</f>
        <v>0</v>
      </c>
      <c r="AXJ9" s="5">
        <f>IFERROR(VLOOKUP(AXJ$1,'All Weather'!$B$35:$C$55,2,FALSE),0%)</f>
        <v>0</v>
      </c>
      <c r="AXK9" s="5">
        <f>IFERROR(VLOOKUP(AXK$1,'All Weather'!$B$35:$C$55,2,FALSE),0%)</f>
        <v>0</v>
      </c>
      <c r="AXL9" s="5">
        <f>IFERROR(VLOOKUP(AXL$1,'All Weather'!$B$35:$C$55,2,FALSE),0%)</f>
        <v>0</v>
      </c>
      <c r="AXM9" s="5">
        <f>IFERROR(VLOOKUP(AXM$1,'All Weather'!$B$35:$C$55,2,FALSE),0%)</f>
        <v>0</v>
      </c>
      <c r="AXN9" s="5">
        <f>IFERROR(VLOOKUP(AXN$1,'All Weather'!$B$35:$C$55,2,FALSE),0%)</f>
        <v>0</v>
      </c>
      <c r="AXO9" s="5">
        <f>IFERROR(VLOOKUP(AXO$1,'All Weather'!$B$35:$C$55,2,FALSE),0%)</f>
        <v>0</v>
      </c>
      <c r="AXP9" s="5">
        <f>IFERROR(VLOOKUP(AXP$1,'All Weather'!$B$35:$C$55,2,FALSE),0%)</f>
        <v>0</v>
      </c>
      <c r="AXQ9" s="5">
        <f>IFERROR(VLOOKUP(AXQ$1,'All Weather'!$B$35:$C$55,2,FALSE),0%)</f>
        <v>0</v>
      </c>
      <c r="AXR9" s="5">
        <f>IFERROR(VLOOKUP(AXR$1,'All Weather'!$B$35:$C$55,2,FALSE),0%)</f>
        <v>0</v>
      </c>
      <c r="AXS9" s="5">
        <f>IFERROR(VLOOKUP(AXS$1,'All Weather'!$B$35:$C$55,2,FALSE),0%)</f>
        <v>0</v>
      </c>
      <c r="AXT9" s="5">
        <f>IFERROR(VLOOKUP(AXT$1,'All Weather'!$B$35:$C$55,2,FALSE),0%)</f>
        <v>0</v>
      </c>
      <c r="AXU9" s="5">
        <f>IFERROR(VLOOKUP(AXU$1,'All Weather'!$B$35:$C$55,2,FALSE),0%)</f>
        <v>0</v>
      </c>
      <c r="AXV9" s="5">
        <f>IFERROR(VLOOKUP(AXV$1,'All Weather'!$B$35:$C$55,2,FALSE),0%)</f>
        <v>0</v>
      </c>
      <c r="AXW9" s="5">
        <f>IFERROR(VLOOKUP(AXW$1,'All Weather'!$B$35:$C$55,2,FALSE),0%)</f>
        <v>0</v>
      </c>
      <c r="AXX9" s="5">
        <f>IFERROR(VLOOKUP(AXX$1,'All Weather'!$B$35:$C$55,2,FALSE),0%)</f>
        <v>0</v>
      </c>
      <c r="AXY9" s="5">
        <f>IFERROR(VLOOKUP(AXY$1,'All Weather'!$B$35:$C$55,2,FALSE),0%)</f>
        <v>0</v>
      </c>
      <c r="AXZ9" s="5">
        <f>IFERROR(VLOOKUP(AXZ$1,'All Weather'!$B$35:$C$55,2,FALSE),0%)</f>
        <v>0</v>
      </c>
      <c r="AYA9" s="5">
        <f>IFERROR(VLOOKUP(AYA$1,'All Weather'!$B$35:$C$55,2,FALSE),0%)</f>
        <v>0</v>
      </c>
      <c r="AYB9" s="5">
        <f>IFERROR(VLOOKUP(AYB$1,'All Weather'!$B$35:$C$55,2,FALSE),0%)</f>
        <v>0</v>
      </c>
      <c r="AYC9" s="5">
        <f>IFERROR(VLOOKUP(AYC$1,'All Weather'!$B$35:$C$55,2,FALSE),0%)</f>
        <v>0</v>
      </c>
      <c r="AYD9" s="5">
        <f>IFERROR(VLOOKUP(AYD$1,'All Weather'!$B$35:$C$55,2,FALSE),0%)</f>
        <v>0</v>
      </c>
      <c r="AYE9" s="5">
        <f>IFERROR(VLOOKUP(AYE$1,'All Weather'!$B$35:$C$55,2,FALSE),0%)</f>
        <v>0</v>
      </c>
      <c r="AYF9" s="5">
        <f>IFERROR(VLOOKUP(AYF$1,'All Weather'!$B$35:$C$55,2,FALSE),0%)</f>
        <v>0</v>
      </c>
      <c r="AYG9" s="5">
        <f>IFERROR(VLOOKUP(AYG$1,'All Weather'!$B$35:$C$55,2,FALSE),0%)</f>
        <v>0</v>
      </c>
      <c r="AYH9" s="5">
        <f>IFERROR(VLOOKUP(AYH$1,'All Weather'!$B$35:$C$55,2,FALSE),0%)</f>
        <v>0</v>
      </c>
      <c r="AYI9" s="5">
        <f>IFERROR(VLOOKUP(AYI$1,'All Weather'!$B$35:$C$55,2,FALSE),0%)</f>
        <v>0</v>
      </c>
      <c r="AYJ9" s="5">
        <f>IFERROR(VLOOKUP(AYJ$1,'All Weather'!$B$35:$C$55,2,FALSE),0%)</f>
        <v>0</v>
      </c>
      <c r="AYK9" s="5">
        <f>IFERROR(VLOOKUP(AYK$1,'All Weather'!$B$35:$C$55,2,FALSE),0%)</f>
        <v>0</v>
      </c>
      <c r="AYL9" s="5">
        <f>IFERROR(VLOOKUP(AYL$1,'All Weather'!$B$35:$C$55,2,FALSE),0%)</f>
        <v>0</v>
      </c>
      <c r="AYM9" s="5">
        <f>IFERROR(VLOOKUP(AYM$1,'All Weather'!$B$35:$C$55,2,FALSE),0%)</f>
        <v>0</v>
      </c>
      <c r="AYN9" s="5">
        <f>IFERROR(VLOOKUP(AYN$1,'All Weather'!$B$35:$C$55,2,FALSE),0%)</f>
        <v>0</v>
      </c>
      <c r="AYO9" s="5">
        <f>IFERROR(VLOOKUP(AYO$1,'All Weather'!$B$35:$C$55,2,FALSE),0%)</f>
        <v>0</v>
      </c>
      <c r="AYP9" s="5">
        <f>IFERROR(VLOOKUP(AYP$1,'All Weather'!$B$35:$C$55,2,FALSE),0%)</f>
        <v>0</v>
      </c>
      <c r="AYQ9" s="5">
        <f>IFERROR(VLOOKUP(AYQ$1,'All Weather'!$B$35:$C$55,2,FALSE),0%)</f>
        <v>0</v>
      </c>
      <c r="AYR9" s="5">
        <f>IFERROR(VLOOKUP(AYR$1,'All Weather'!$B$35:$C$55,2,FALSE),0%)</f>
        <v>0</v>
      </c>
      <c r="AYS9" s="5">
        <f>IFERROR(VLOOKUP(AYS$1,'All Weather'!$B$35:$C$55,2,FALSE),0%)</f>
        <v>0</v>
      </c>
      <c r="AYT9" s="5">
        <f>IFERROR(VLOOKUP(AYT$1,'All Weather'!$B$35:$C$55,2,FALSE),0%)</f>
        <v>0</v>
      </c>
      <c r="AYU9" s="5">
        <f>IFERROR(VLOOKUP(AYU$1,'All Weather'!$B$35:$C$55,2,FALSE),0%)</f>
        <v>0</v>
      </c>
      <c r="AYV9" s="5">
        <f>IFERROR(VLOOKUP(AYV$1,'All Weather'!$B$35:$C$55,2,FALSE),0%)</f>
        <v>0</v>
      </c>
      <c r="AYW9" s="5">
        <f>IFERROR(VLOOKUP(AYW$1,'All Weather'!$B$35:$C$55,2,FALSE),0%)</f>
        <v>0</v>
      </c>
      <c r="AYX9" s="5">
        <f>IFERROR(VLOOKUP(AYX$1,'All Weather'!$B$35:$C$55,2,FALSE),0%)</f>
        <v>0</v>
      </c>
      <c r="AYY9" s="5">
        <f>IFERROR(VLOOKUP(AYY$1,'All Weather'!$B$35:$C$55,2,FALSE),0%)</f>
        <v>0</v>
      </c>
      <c r="AYZ9" s="5">
        <f>IFERROR(VLOOKUP(AYZ$1,'All Weather'!$B$35:$C$55,2,FALSE),0%)</f>
        <v>0</v>
      </c>
      <c r="AZA9" s="5">
        <f>IFERROR(VLOOKUP(AZA$1,'All Weather'!$B$35:$C$55,2,FALSE),0%)</f>
        <v>0</v>
      </c>
      <c r="AZB9" s="5">
        <f>IFERROR(VLOOKUP(AZB$1,'All Weather'!$B$35:$C$55,2,FALSE),0%)</f>
        <v>0</v>
      </c>
      <c r="AZC9" s="5">
        <f>IFERROR(VLOOKUP(AZC$1,'All Weather'!$B$35:$C$55,2,FALSE),0%)</f>
        <v>0</v>
      </c>
      <c r="AZD9" s="5">
        <f>IFERROR(VLOOKUP(AZD$1,'All Weather'!$B$35:$C$55,2,FALSE),0%)</f>
        <v>0</v>
      </c>
      <c r="AZE9" s="5">
        <f>IFERROR(VLOOKUP(AZE$1,'All Weather'!$B$35:$C$55,2,FALSE),0%)</f>
        <v>0</v>
      </c>
      <c r="AZF9" s="5">
        <f>IFERROR(VLOOKUP(AZF$1,'All Weather'!$B$35:$C$55,2,FALSE),0%)</f>
        <v>0</v>
      </c>
      <c r="AZG9" s="5">
        <f>IFERROR(VLOOKUP(AZG$1,'All Weather'!$B$35:$C$55,2,FALSE),0%)</f>
        <v>0</v>
      </c>
      <c r="AZH9" s="5">
        <f>IFERROR(VLOOKUP(AZH$1,'All Weather'!$B$35:$C$55,2,FALSE),0%)</f>
        <v>0</v>
      </c>
      <c r="AZI9" s="5">
        <f>IFERROR(VLOOKUP(AZI$1,'All Weather'!$B$35:$C$55,2,FALSE),0%)</f>
        <v>0</v>
      </c>
      <c r="AZJ9" s="5">
        <f>IFERROR(VLOOKUP(AZJ$1,'All Weather'!$B$35:$C$55,2,FALSE),0%)</f>
        <v>0</v>
      </c>
      <c r="AZK9" s="5">
        <f>IFERROR(VLOOKUP(AZK$1,'All Weather'!$B$35:$C$55,2,FALSE),0%)</f>
        <v>0</v>
      </c>
      <c r="AZL9" s="5">
        <f>IFERROR(VLOOKUP(AZL$1,'All Weather'!$B$35:$C$55,2,FALSE),0%)</f>
        <v>0</v>
      </c>
      <c r="AZM9" s="5">
        <f>IFERROR(VLOOKUP(AZM$1,'All Weather'!$B$35:$C$55,2,FALSE),0%)</f>
        <v>0</v>
      </c>
      <c r="AZN9" s="5">
        <f>IFERROR(VLOOKUP(AZN$1,'All Weather'!$B$35:$C$55,2,FALSE),0%)</f>
        <v>0</v>
      </c>
      <c r="AZO9" s="5">
        <f>IFERROR(VLOOKUP(AZO$1,'All Weather'!$B$35:$C$55,2,FALSE),0%)</f>
        <v>0</v>
      </c>
      <c r="AZP9" s="5">
        <f>IFERROR(VLOOKUP(AZP$1,'All Weather'!$B$35:$C$55,2,FALSE),0%)</f>
        <v>0</v>
      </c>
      <c r="AZQ9" s="5">
        <f>IFERROR(VLOOKUP(AZQ$1,'All Weather'!$B$35:$C$55,2,FALSE),0%)</f>
        <v>0</v>
      </c>
      <c r="AZR9" s="5">
        <f>IFERROR(VLOOKUP(AZR$1,'All Weather'!$B$35:$C$55,2,FALSE),0%)</f>
        <v>0</v>
      </c>
      <c r="AZS9" s="5">
        <f>IFERROR(VLOOKUP(AZS$1,'All Weather'!$B$35:$C$55,2,FALSE),0%)</f>
        <v>0</v>
      </c>
      <c r="AZT9" s="5">
        <f>IFERROR(VLOOKUP(AZT$1,'All Weather'!$B$35:$C$55,2,FALSE),0%)</f>
        <v>0</v>
      </c>
      <c r="AZU9" s="5">
        <f>IFERROR(VLOOKUP(AZU$1,'All Weather'!$B$35:$C$55,2,FALSE),0%)</f>
        <v>0</v>
      </c>
      <c r="AZV9" s="5">
        <f>IFERROR(VLOOKUP(AZV$1,'All Weather'!$B$35:$C$55,2,FALSE),0%)</f>
        <v>0</v>
      </c>
      <c r="AZW9" s="5">
        <f>IFERROR(VLOOKUP(AZW$1,'All Weather'!$B$35:$C$55,2,FALSE),0%)</f>
        <v>0</v>
      </c>
      <c r="AZX9" s="5">
        <f>IFERROR(VLOOKUP(AZX$1,'All Weather'!$B$35:$C$55,2,FALSE),0%)</f>
        <v>0</v>
      </c>
      <c r="AZY9" s="5">
        <f>IFERROR(VLOOKUP(AZY$1,'All Weather'!$B$35:$C$55,2,FALSE),0%)</f>
        <v>0</v>
      </c>
      <c r="AZZ9" s="5">
        <f>IFERROR(VLOOKUP(AZZ$1,'All Weather'!$B$35:$C$55,2,FALSE),0%)</f>
        <v>0.01382897205</v>
      </c>
      <c r="BAA9" s="5">
        <f>IFERROR(VLOOKUP(BAA$1,'All Weather'!$B$35:$C$55,2,FALSE),0%)</f>
        <v>0</v>
      </c>
      <c r="BAB9" s="5">
        <f>IFERROR(VLOOKUP(BAB$1,'All Weather'!$B$35:$C$55,2,FALSE),0%)</f>
        <v>0</v>
      </c>
      <c r="BAC9" s="5">
        <f>IFERROR(VLOOKUP(BAC$1,'All Weather'!$B$35:$C$55,2,FALSE),0%)</f>
        <v>0</v>
      </c>
      <c r="BAD9" s="5">
        <f>IFERROR(VLOOKUP(BAD$1,'All Weather'!$B$35:$C$55,2,FALSE),0%)</f>
        <v>0</v>
      </c>
      <c r="BAE9" s="5">
        <f>IFERROR(VLOOKUP(BAE$1,'All Weather'!$B$35:$C$55,2,FALSE),0%)</f>
        <v>0</v>
      </c>
      <c r="BAF9" s="5">
        <f>IFERROR(VLOOKUP(BAF$1,'All Weather'!$B$35:$C$55,2,FALSE),0%)</f>
        <v>0</v>
      </c>
      <c r="BAG9" s="5">
        <f>IFERROR(VLOOKUP(BAG$1,'All Weather'!$B$35:$C$55,2,FALSE),0%)</f>
        <v>0</v>
      </c>
      <c r="BAH9" s="5">
        <f>IFERROR(VLOOKUP(BAH$1,'All Weather'!$B$35:$C$55,2,FALSE),0%)</f>
        <v>0</v>
      </c>
      <c r="BAI9" s="5">
        <f>IFERROR(VLOOKUP(BAI$1,'All Weather'!$B$35:$C$55,2,FALSE),0%)</f>
        <v>0</v>
      </c>
      <c r="BAJ9" s="5">
        <f>IFERROR(VLOOKUP(BAJ$1,'All Weather'!$B$35:$C$55,2,FALSE),0%)</f>
        <v>0</v>
      </c>
      <c r="BAK9" s="5">
        <f>IFERROR(VLOOKUP(BAK$1,'All Weather'!$B$35:$C$55,2,FALSE),0%)</f>
        <v>0</v>
      </c>
      <c r="BAL9" s="5">
        <f>IFERROR(VLOOKUP(BAL$1,'All Weather'!$B$35:$C$55,2,FALSE),0%)</f>
        <v>0</v>
      </c>
      <c r="BAM9" s="5">
        <f>IFERROR(VLOOKUP(BAM$1,'All Weather'!$B$35:$C$55,2,FALSE),0%)</f>
        <v>0</v>
      </c>
      <c r="BAN9" s="5">
        <f>IFERROR(VLOOKUP(BAN$1,'All Weather'!$B$35:$C$55,2,FALSE),0%)</f>
        <v>0</v>
      </c>
      <c r="BAO9" s="5">
        <f>IFERROR(VLOOKUP(BAO$1,'All Weather'!$B$35:$C$55,2,FALSE),0%)</f>
        <v>0</v>
      </c>
      <c r="BAP9" s="5">
        <f>IFERROR(VLOOKUP(BAP$1,'All Weather'!$B$35:$C$55,2,FALSE),0%)</f>
        <v>0</v>
      </c>
      <c r="BAQ9" s="5">
        <f>IFERROR(VLOOKUP(BAQ$1,'All Weather'!$B$35:$C$55,2,FALSE),0%)</f>
        <v>0</v>
      </c>
      <c r="BAR9" s="5">
        <f>IFERROR(VLOOKUP(BAR$1,'All Weather'!$B$35:$C$55,2,FALSE),0%)</f>
        <v>0</v>
      </c>
      <c r="BAS9" s="5">
        <f>IFERROR(VLOOKUP(BAS$1,'All Weather'!$B$35:$C$55,2,FALSE),0%)</f>
        <v>0</v>
      </c>
      <c r="BAT9" s="5">
        <f>IFERROR(VLOOKUP(BAT$1,'All Weather'!$B$35:$C$55,2,FALSE),0%)</f>
        <v>0</v>
      </c>
      <c r="BAU9" s="5">
        <f>IFERROR(VLOOKUP(BAU$1,'All Weather'!$B$35:$C$55,2,FALSE),0%)</f>
        <v>0</v>
      </c>
      <c r="BAV9" s="5">
        <f>IFERROR(VLOOKUP(BAV$1,'All Weather'!$B$35:$C$55,2,FALSE),0%)</f>
        <v>0</v>
      </c>
      <c r="BAW9" s="5">
        <f>IFERROR(VLOOKUP(BAW$1,'All Weather'!$B$35:$C$55,2,FALSE),0%)</f>
        <v>0</v>
      </c>
      <c r="BAX9" s="5">
        <f>IFERROR(VLOOKUP(BAX$1,'All Weather'!$B$35:$C$55,2,FALSE),0%)</f>
        <v>0</v>
      </c>
      <c r="BAY9" s="5">
        <f>IFERROR(VLOOKUP(BAY$1,'All Weather'!$B$35:$C$55,2,FALSE),0%)</f>
        <v>0</v>
      </c>
      <c r="BAZ9" s="5">
        <f>IFERROR(VLOOKUP(BAZ$1,'All Weather'!$B$35:$C$55,2,FALSE),0%)</f>
        <v>0</v>
      </c>
      <c r="BBA9" s="5">
        <f>IFERROR(VLOOKUP(BBA$1,'All Weather'!$B$35:$C$55,2,FALSE),0%)</f>
        <v>0</v>
      </c>
      <c r="BBB9" s="5">
        <f>IFERROR(VLOOKUP(BBB$1,'All Weather'!$B$35:$C$55,2,FALSE),0%)</f>
        <v>0</v>
      </c>
      <c r="BBC9" s="5">
        <f>IFERROR(VLOOKUP(BBC$1,'All Weather'!$B$35:$C$55,2,FALSE),0%)</f>
        <v>0</v>
      </c>
      <c r="BBD9" s="5">
        <f>IFERROR(VLOOKUP(BBD$1,'All Weather'!$B$35:$C$55,2,FALSE),0%)</f>
        <v>0</v>
      </c>
      <c r="BBE9" s="5">
        <f>IFERROR(VLOOKUP(BBE$1,'All Weather'!$B$35:$C$55,2,FALSE),0%)</f>
        <v>0</v>
      </c>
      <c r="BBF9" s="5">
        <f>IFERROR(VLOOKUP(BBF$1,'All Weather'!$B$35:$C$55,2,FALSE),0%)</f>
        <v>0</v>
      </c>
      <c r="BBG9" s="5">
        <f>IFERROR(VLOOKUP(BBG$1,'All Weather'!$B$35:$C$55,2,FALSE),0%)</f>
        <v>0</v>
      </c>
      <c r="BBH9" s="5">
        <f>IFERROR(VLOOKUP(BBH$1,'All Weather'!$B$35:$C$55,2,FALSE),0%)</f>
        <v>0</v>
      </c>
      <c r="BBI9" s="5">
        <f>IFERROR(VLOOKUP(BBI$1,'All Weather'!$B$35:$C$55,2,FALSE),0%)</f>
        <v>0</v>
      </c>
      <c r="BBJ9" s="5">
        <f>IFERROR(VLOOKUP(BBJ$1,'All Weather'!$B$35:$C$55,2,FALSE),0%)</f>
        <v>0</v>
      </c>
      <c r="BBK9" s="5">
        <f>IFERROR(VLOOKUP(BBK$1,'All Weather'!$B$35:$C$55,2,FALSE),0%)</f>
        <v>0</v>
      </c>
      <c r="BBL9" s="5">
        <f>IFERROR(VLOOKUP(BBL$1,'All Weather'!$B$35:$C$55,2,FALSE),0%)</f>
        <v>0</v>
      </c>
      <c r="BBM9" s="5">
        <f>IFERROR(VLOOKUP(BBM$1,'All Weather'!$B$35:$C$55,2,FALSE),0%)</f>
        <v>0</v>
      </c>
      <c r="BBN9" s="5">
        <f>IFERROR(VLOOKUP(BBN$1,'All Weather'!$B$35:$C$55,2,FALSE),0%)</f>
        <v>0</v>
      </c>
      <c r="BBO9" s="5">
        <f>IFERROR(VLOOKUP(BBO$1,'All Weather'!$B$35:$C$55,2,FALSE),0%)</f>
        <v>0</v>
      </c>
      <c r="BBP9" s="5">
        <f>IFERROR(VLOOKUP(BBP$1,'All Weather'!$B$35:$C$55,2,FALSE),0%)</f>
        <v>0</v>
      </c>
      <c r="BBQ9" s="5">
        <f>IFERROR(VLOOKUP(BBQ$1,'All Weather'!$B$35:$C$55,2,FALSE),0%)</f>
        <v>0</v>
      </c>
      <c r="BBR9" s="5">
        <f>IFERROR(VLOOKUP(BBR$1,'All Weather'!$B$35:$C$55,2,FALSE),0%)</f>
        <v>0</v>
      </c>
      <c r="BBS9" s="5">
        <f>IFERROR(VLOOKUP(BBS$1,'All Weather'!$B$35:$C$55,2,FALSE),0%)</f>
        <v>0</v>
      </c>
      <c r="BBT9" s="5">
        <f>IFERROR(VLOOKUP(BBT$1,'All Weather'!$B$35:$C$55,2,FALSE),0%)</f>
        <v>0</v>
      </c>
      <c r="BBU9" s="5">
        <f>IFERROR(VLOOKUP(BBU$1,'All Weather'!$B$35:$C$55,2,FALSE),0%)</f>
        <v>0</v>
      </c>
      <c r="BBV9" s="5">
        <f>IFERROR(VLOOKUP(BBV$1,'All Weather'!$B$35:$C$55,2,FALSE),0%)</f>
        <v>0</v>
      </c>
      <c r="BBW9" s="5">
        <f>IFERROR(VLOOKUP(BBW$1,'All Weather'!$B$35:$C$55,2,FALSE),0%)</f>
        <v>0</v>
      </c>
      <c r="BBX9" s="5">
        <f>IFERROR(VLOOKUP(BBX$1,'All Weather'!$B$35:$C$55,2,FALSE),0%)</f>
        <v>0</v>
      </c>
      <c r="BBY9" s="5">
        <f>IFERROR(VLOOKUP(BBY$1,'All Weather'!$B$35:$C$55,2,FALSE),0%)</f>
        <v>0</v>
      </c>
      <c r="BBZ9" s="5">
        <f>IFERROR(VLOOKUP(BBZ$1,'All Weather'!$B$35:$C$55,2,FALSE),0%)</f>
        <v>0</v>
      </c>
      <c r="BCA9" s="5">
        <f>IFERROR(VLOOKUP(BCA$1,'All Weather'!$B$35:$C$55,2,FALSE),0%)</f>
        <v>0</v>
      </c>
      <c r="BCB9" s="5">
        <f>IFERROR(VLOOKUP(BCB$1,'All Weather'!$B$35:$C$55,2,FALSE),0%)</f>
        <v>0</v>
      </c>
      <c r="BCC9" s="5">
        <f>IFERROR(VLOOKUP(BCC$1,'All Weather'!$B$35:$C$55,2,FALSE),0%)</f>
        <v>0</v>
      </c>
      <c r="BCD9" s="5">
        <f>IFERROR(VLOOKUP(BCD$1,'All Weather'!$B$35:$C$55,2,FALSE),0%)</f>
        <v>0</v>
      </c>
      <c r="BCE9" s="5">
        <f>IFERROR(VLOOKUP(BCE$1,'All Weather'!$B$35:$C$55,2,FALSE),0%)</f>
        <v>0</v>
      </c>
      <c r="BCF9" s="5">
        <f>IFERROR(VLOOKUP(BCF$1,'All Weather'!$B$35:$C$55,2,FALSE),0%)</f>
        <v>0</v>
      </c>
      <c r="BCG9" s="5">
        <f>IFERROR(VLOOKUP(BCG$1,'All Weather'!$B$35:$C$55,2,FALSE),0%)</f>
        <v>0</v>
      </c>
      <c r="BCH9" s="5">
        <f>IFERROR(VLOOKUP(BCH$1,'All Weather'!$B$35:$C$55,2,FALSE),0%)</f>
        <v>0</v>
      </c>
      <c r="BCI9" s="5">
        <f>IFERROR(VLOOKUP(BCI$1,'All Weather'!$B$35:$C$55,2,FALSE),0%)</f>
        <v>0</v>
      </c>
      <c r="BCJ9" s="5">
        <f>IFERROR(VLOOKUP(BCJ$1,'All Weather'!$B$35:$C$55,2,FALSE),0%)</f>
        <v>0</v>
      </c>
      <c r="BCK9" s="5">
        <f>IFERROR(VLOOKUP(BCK$1,'All Weather'!$B$35:$C$55,2,FALSE),0%)</f>
        <v>0</v>
      </c>
      <c r="BCL9" s="5">
        <f>IFERROR(VLOOKUP(BCL$1,'All Weather'!$B$35:$C$55,2,FALSE),0%)</f>
        <v>0</v>
      </c>
      <c r="BCM9" s="5">
        <f>IFERROR(VLOOKUP(BCM$1,'All Weather'!$B$35:$C$55,2,FALSE),0%)</f>
        <v>0.074</v>
      </c>
      <c r="BCN9" s="5">
        <f>IFERROR(VLOOKUP(BCN$1,'All Weather'!$B$35:$C$55,2,FALSE),0%)</f>
        <v>0</v>
      </c>
      <c r="BCO9" s="5">
        <f>IFERROR(VLOOKUP(BCO$1,'All Weather'!$B$35:$C$55,2,FALSE),0%)</f>
        <v>0</v>
      </c>
      <c r="BCP9" s="5">
        <f>IFERROR(VLOOKUP(BCP$1,'All Weather'!$B$35:$C$55,2,FALSE),0%)</f>
        <v>0</v>
      </c>
      <c r="BCQ9" s="5">
        <f>IFERROR(VLOOKUP(BCQ$1,'All Weather'!$B$35:$C$55,2,FALSE),0%)</f>
        <v>0</v>
      </c>
      <c r="BCR9" s="5">
        <f>IFERROR(VLOOKUP(BCR$1,'All Weather'!$B$35:$C$55,2,FALSE),0%)</f>
        <v>0</v>
      </c>
      <c r="BCS9" s="5">
        <f>IFERROR(VLOOKUP(BCS$1,'All Weather'!$B$35:$C$55,2,FALSE),0%)</f>
        <v>0</v>
      </c>
      <c r="BCT9" s="5">
        <f>IFERROR(VLOOKUP(BCT$1,'All Weather'!$B$35:$C$55,2,FALSE),0%)</f>
        <v>0</v>
      </c>
      <c r="BCU9" s="5">
        <f>IFERROR(VLOOKUP(BCU$1,'All Weather'!$B$35:$C$55,2,FALSE),0%)</f>
        <v>0</v>
      </c>
      <c r="BCV9" s="5">
        <f>IFERROR(VLOOKUP(BCV$1,'All Weather'!$B$35:$C$55,2,FALSE),0%)</f>
        <v>0</v>
      </c>
      <c r="BCW9" s="5">
        <f>IFERROR(VLOOKUP(BCW$1,'All Weather'!$B$35:$C$55,2,FALSE),0%)</f>
        <v>0</v>
      </c>
      <c r="BCX9" s="5">
        <f>IFERROR(VLOOKUP(BCX$1,'All Weather'!$B$35:$C$55,2,FALSE),0%)</f>
        <v>0</v>
      </c>
      <c r="BCY9" s="5">
        <f>IFERROR(VLOOKUP(BCY$1,'All Weather'!$B$35:$C$55,2,FALSE),0%)</f>
        <v>0</v>
      </c>
      <c r="BCZ9" s="5">
        <f>IFERROR(VLOOKUP(BCZ$1,'All Weather'!$B$35:$C$55,2,FALSE),0%)</f>
        <v>0</v>
      </c>
      <c r="BDA9" s="5">
        <f>IFERROR(VLOOKUP(BDA$1,'All Weather'!$B$35:$C$55,2,FALSE),0%)</f>
        <v>0</v>
      </c>
      <c r="BDB9" s="5">
        <f>IFERROR(VLOOKUP(BDB$1,'All Weather'!$B$35:$C$55,2,FALSE),0%)</f>
        <v>0</v>
      </c>
      <c r="BDC9" s="5">
        <f>IFERROR(VLOOKUP(BDC$1,'All Weather'!$B$35:$C$55,2,FALSE),0%)</f>
        <v>0</v>
      </c>
      <c r="BDD9" s="5">
        <f>IFERROR(VLOOKUP(BDD$1,'All Weather'!$B$35:$C$55,2,FALSE),0%)</f>
        <v>0</v>
      </c>
      <c r="BDE9" s="5">
        <f>IFERROR(VLOOKUP(BDE$1,'All Weather'!$B$35:$C$55,2,FALSE),0%)</f>
        <v>0</v>
      </c>
      <c r="BDF9" s="5">
        <f>IFERROR(VLOOKUP(BDF$1,'All Weather'!$B$35:$C$55,2,FALSE),0%)</f>
        <v>0</v>
      </c>
      <c r="BDG9" s="5">
        <f>IFERROR(VLOOKUP(BDG$1,'All Weather'!$B$35:$C$55,2,FALSE),0%)</f>
        <v>0</v>
      </c>
      <c r="BDH9" s="5">
        <f>IFERROR(VLOOKUP(BDH$1,'All Weather'!$B$35:$C$55,2,FALSE),0%)</f>
        <v>0</v>
      </c>
      <c r="BDI9" s="5">
        <f>IFERROR(VLOOKUP(BDI$1,'All Weather'!$B$35:$C$55,2,FALSE),0%)</f>
        <v>0</v>
      </c>
      <c r="BDJ9" s="5">
        <f>IFERROR(VLOOKUP(BDJ$1,'All Weather'!$B$35:$C$55,2,FALSE),0%)</f>
        <v>0</v>
      </c>
      <c r="BDK9" s="5">
        <f>IFERROR(VLOOKUP(BDK$1,'All Weather'!$B$35:$C$55,2,FALSE),0%)</f>
        <v>0</v>
      </c>
      <c r="BDL9" s="5">
        <f>IFERROR(VLOOKUP(BDL$1,'All Weather'!$B$35:$C$55,2,FALSE),0%)</f>
        <v>0</v>
      </c>
      <c r="BDM9" s="5">
        <f>IFERROR(VLOOKUP(BDM$1,'All Weather'!$B$35:$C$55,2,FALSE),0%)</f>
        <v>0</v>
      </c>
      <c r="BDN9" s="5">
        <f>IFERROR(VLOOKUP(BDN$1,'All Weather'!$B$35:$C$55,2,FALSE),0%)</f>
        <v>0</v>
      </c>
      <c r="BDO9" s="5">
        <f>IFERROR(VLOOKUP(BDO$1,'All Weather'!$B$35:$C$55,2,FALSE),0%)</f>
        <v>0</v>
      </c>
      <c r="BDP9" s="5">
        <f>IFERROR(VLOOKUP(BDP$1,'All Weather'!$B$35:$C$55,2,FALSE),0%)</f>
        <v>0</v>
      </c>
      <c r="BDQ9" s="5">
        <f>IFERROR(VLOOKUP(BDQ$1,'All Weather'!$B$35:$C$55,2,FALSE),0%)</f>
        <v>0</v>
      </c>
      <c r="BDR9" s="5">
        <f>IFERROR(VLOOKUP(BDR$1,'All Weather'!$B$35:$C$55,2,FALSE),0%)</f>
        <v>0</v>
      </c>
      <c r="BDS9" s="5">
        <f>IFERROR(VLOOKUP(BDS$1,'All Weather'!$B$35:$C$55,2,FALSE),0%)</f>
        <v>0</v>
      </c>
      <c r="BDT9" s="5">
        <f>IFERROR(VLOOKUP(BDT$1,'All Weather'!$B$35:$C$55,2,FALSE),0%)</f>
        <v>0</v>
      </c>
      <c r="BDU9" s="5">
        <f>IFERROR(VLOOKUP(BDU$1,'All Weather'!$B$35:$C$55,2,FALSE),0%)</f>
        <v>0</v>
      </c>
      <c r="BDV9" s="5">
        <f>IFERROR(VLOOKUP(BDV$1,'All Weather'!$B$35:$C$55,2,FALSE),0%)</f>
        <v>0</v>
      </c>
      <c r="BDW9" s="5">
        <f>IFERROR(VLOOKUP(BDW$1,'All Weather'!$B$35:$C$55,2,FALSE),0%)</f>
        <v>0</v>
      </c>
      <c r="BDX9" s="5">
        <f>IFERROR(VLOOKUP(BDX$1,'All Weather'!$B$35:$C$55,2,FALSE),0%)</f>
        <v>0</v>
      </c>
      <c r="BDY9" s="5">
        <f>IFERROR(VLOOKUP(BDY$1,'All Weather'!$B$35:$C$55,2,FALSE),0%)</f>
        <v>0</v>
      </c>
      <c r="BDZ9" s="5">
        <f>IFERROR(VLOOKUP(BDZ$1,'All Weather'!$B$35:$C$55,2,FALSE),0%)</f>
        <v>0</v>
      </c>
      <c r="BEA9" s="5">
        <f>IFERROR(VLOOKUP(BEA$1,'All Weather'!$B$35:$C$55,2,FALSE),0%)</f>
        <v>0</v>
      </c>
      <c r="BEB9" s="5">
        <f>IFERROR(VLOOKUP(BEB$1,'All Weather'!$B$35:$C$55,2,FALSE),0%)</f>
        <v>0</v>
      </c>
      <c r="BEC9" s="5">
        <f>IFERROR(VLOOKUP(BEC$1,'All Weather'!$B$35:$C$55,2,FALSE),0%)</f>
        <v>0</v>
      </c>
      <c r="BED9" s="5">
        <f>IFERROR(VLOOKUP(BED$1,'All Weather'!$B$35:$C$55,2,FALSE),0%)</f>
        <v>0</v>
      </c>
      <c r="BEE9" s="5">
        <f>IFERROR(VLOOKUP(BEE$1,'All Weather'!$B$35:$C$55,2,FALSE),0%)</f>
        <v>0</v>
      </c>
      <c r="BEF9" s="5">
        <f>IFERROR(VLOOKUP(BEF$1,'All Weather'!$B$35:$C$55,2,FALSE),0%)</f>
        <v>0</v>
      </c>
      <c r="BEG9" s="5">
        <f>IFERROR(VLOOKUP(BEG$1,'All Weather'!$B$35:$C$55,2,FALSE),0%)</f>
        <v>0</v>
      </c>
      <c r="BEH9" s="5">
        <f>IFERROR(VLOOKUP(BEH$1,'All Weather'!$B$35:$C$55,2,FALSE),0%)</f>
        <v>0</v>
      </c>
      <c r="BEI9" s="5">
        <f>IFERROR(VLOOKUP(BEI$1,'All Weather'!$B$35:$C$55,2,FALSE),0%)</f>
        <v>0</v>
      </c>
      <c r="BEJ9" s="5">
        <f>IFERROR(VLOOKUP(BEJ$1,'All Weather'!$B$35:$C$55,2,FALSE),0%)</f>
        <v>0</v>
      </c>
      <c r="BEK9" s="5">
        <f>IFERROR(VLOOKUP(BEK$1,'All Weather'!$B$35:$C$55,2,FALSE),0%)</f>
        <v>0</v>
      </c>
      <c r="BEL9" s="5">
        <f>IFERROR(VLOOKUP(BEL$1,'All Weather'!$B$35:$C$55,2,FALSE),0%)</f>
        <v>0</v>
      </c>
      <c r="BEM9" s="5">
        <f>IFERROR(VLOOKUP(BEM$1,'All Weather'!$B$35:$C$55,2,FALSE),0%)</f>
        <v>0</v>
      </c>
      <c r="BEN9" s="5">
        <f>IFERROR(VLOOKUP(BEN$1,'All Weather'!$B$35:$C$55,2,FALSE),0%)</f>
        <v>0</v>
      </c>
      <c r="BEO9" s="5">
        <f>IFERROR(VLOOKUP(BEO$1,'All Weather'!$B$35:$C$55,2,FALSE),0%)</f>
        <v>0</v>
      </c>
      <c r="BEP9" s="5">
        <f>IFERROR(VLOOKUP(BEP$1,'All Weather'!$B$35:$C$55,2,FALSE),0%)</f>
        <v>0</v>
      </c>
      <c r="BEQ9" s="5">
        <f>IFERROR(VLOOKUP(BEQ$1,'All Weather'!$B$35:$C$55,2,FALSE),0%)</f>
        <v>0</v>
      </c>
      <c r="BER9" s="5">
        <f>IFERROR(VLOOKUP(BER$1,'All Weather'!$B$35:$C$55,2,FALSE),0%)</f>
        <v>0</v>
      </c>
      <c r="BES9" s="5">
        <f>IFERROR(VLOOKUP(BES$1,'All Weather'!$B$35:$C$55,2,FALSE),0%)</f>
        <v>0</v>
      </c>
      <c r="BET9" s="5">
        <f>IFERROR(VLOOKUP(BET$1,'All Weather'!$B$35:$C$55,2,FALSE),0%)</f>
        <v>0</v>
      </c>
      <c r="BEU9" s="5">
        <f>IFERROR(VLOOKUP(BEU$1,'All Weather'!$B$35:$C$55,2,FALSE),0%)</f>
        <v>0</v>
      </c>
      <c r="BEV9" s="5">
        <f>IFERROR(VLOOKUP(BEV$1,'All Weather'!$B$35:$C$55,2,FALSE),0%)</f>
        <v>0</v>
      </c>
      <c r="BEW9" s="5">
        <f>IFERROR(VLOOKUP(BEW$1,'All Weather'!$B$35:$C$55,2,FALSE),0%)</f>
        <v>0</v>
      </c>
      <c r="BEX9" s="5">
        <f>IFERROR(VLOOKUP(BEX$1,'All Weather'!$B$35:$C$55,2,FALSE),0%)</f>
        <v>0</v>
      </c>
      <c r="BEY9" s="5">
        <f>IFERROR(VLOOKUP(BEY$1,'All Weather'!$B$35:$C$55,2,FALSE),0%)</f>
        <v>0</v>
      </c>
      <c r="BEZ9" s="5">
        <f>IFERROR(VLOOKUP(BEZ$1,'All Weather'!$B$35:$C$55,2,FALSE),0%)</f>
        <v>0</v>
      </c>
      <c r="BFA9" s="5">
        <f>IFERROR(VLOOKUP(BFA$1,'All Weather'!$B$35:$C$55,2,FALSE),0%)</f>
        <v>0</v>
      </c>
      <c r="BFB9" s="5">
        <f>IFERROR(VLOOKUP(BFB$1,'All Weather'!$B$35:$C$55,2,FALSE),0%)</f>
        <v>0</v>
      </c>
      <c r="BFC9" s="5">
        <f>IFERROR(VLOOKUP(BFC$1,'All Weather'!$B$35:$C$55,2,FALSE),0%)</f>
        <v>0</v>
      </c>
      <c r="BFD9" s="5">
        <f>IFERROR(VLOOKUP(BFD$1,'All Weather'!$B$35:$C$55,2,FALSE),0%)</f>
        <v>0</v>
      </c>
      <c r="BFE9" s="5">
        <f>IFERROR(VLOOKUP(BFE$1,'All Weather'!$B$35:$C$55,2,FALSE),0%)</f>
        <v>0</v>
      </c>
      <c r="BFF9" s="5">
        <f>IFERROR(VLOOKUP(BFF$1,'All Weather'!$B$35:$C$55,2,FALSE),0%)</f>
        <v>0</v>
      </c>
      <c r="BFG9" s="5">
        <f>IFERROR(VLOOKUP(BFG$1,'All Weather'!$B$35:$C$55,2,FALSE),0%)</f>
        <v>0</v>
      </c>
      <c r="BFH9" s="5">
        <f>IFERROR(VLOOKUP(BFH$1,'All Weather'!$B$35:$C$55,2,FALSE),0%)</f>
        <v>0</v>
      </c>
      <c r="BFI9" s="5">
        <f>IFERROR(VLOOKUP(BFI$1,'All Weather'!$B$35:$C$55,2,FALSE),0%)</f>
        <v>0</v>
      </c>
      <c r="BFJ9" s="5">
        <f>IFERROR(VLOOKUP(BFJ$1,'All Weather'!$B$35:$C$55,2,FALSE),0%)</f>
        <v>0</v>
      </c>
      <c r="BFK9" s="5">
        <f>IFERROR(VLOOKUP(BFK$1,'All Weather'!$B$35:$C$55,2,FALSE),0%)</f>
        <v>0</v>
      </c>
      <c r="BFL9" s="5">
        <f>IFERROR(VLOOKUP(BFL$1,'All Weather'!$B$35:$C$55,2,FALSE),0%)</f>
        <v>0</v>
      </c>
      <c r="BFM9" s="5">
        <f>IFERROR(VLOOKUP(BFM$1,'All Weather'!$B$35:$C$55,2,FALSE),0%)</f>
        <v>0</v>
      </c>
      <c r="BFN9" s="5">
        <f>IFERROR(VLOOKUP(BFN$1,'All Weather'!$B$35:$C$55,2,FALSE),0%)</f>
        <v>0</v>
      </c>
      <c r="BFO9" s="5">
        <f>IFERROR(VLOOKUP(BFO$1,'All Weather'!$B$35:$C$55,2,FALSE),0%)</f>
        <v>0</v>
      </c>
      <c r="BFP9" s="5">
        <f>IFERROR(VLOOKUP(BFP$1,'All Weather'!$B$35:$C$55,2,FALSE),0%)</f>
        <v>0</v>
      </c>
      <c r="BFQ9" s="5">
        <f>IFERROR(VLOOKUP(BFQ$1,'All Weather'!$B$35:$C$55,2,FALSE),0%)</f>
        <v>0</v>
      </c>
      <c r="BFR9" s="5">
        <f>IFERROR(VLOOKUP(BFR$1,'All Weather'!$B$35:$C$55,2,FALSE),0%)</f>
        <v>0</v>
      </c>
      <c r="BFS9" s="5">
        <f>IFERROR(VLOOKUP(BFS$1,'All Weather'!$B$35:$C$55,2,FALSE),0%)</f>
        <v>0</v>
      </c>
      <c r="BFT9" s="5">
        <f>IFERROR(VLOOKUP(BFT$1,'All Weather'!$B$35:$C$55,2,FALSE),0%)</f>
        <v>0</v>
      </c>
      <c r="BFU9" s="5">
        <f>IFERROR(VLOOKUP(BFU$1,'All Weather'!$B$35:$C$55,2,FALSE),0%)</f>
        <v>0</v>
      </c>
      <c r="BFV9" s="5">
        <f>IFERROR(VLOOKUP(BFV$1,'All Weather'!$B$35:$C$55,2,FALSE),0%)</f>
        <v>0</v>
      </c>
      <c r="BFW9" s="5">
        <f>IFERROR(VLOOKUP(BFW$1,'All Weather'!$B$35:$C$55,2,FALSE),0%)</f>
        <v>0</v>
      </c>
      <c r="BFX9" s="5">
        <f>IFERROR(VLOOKUP(BFX$1,'All Weather'!$B$35:$C$55,2,FALSE),0%)</f>
        <v>0</v>
      </c>
      <c r="BFY9" s="5">
        <f>IFERROR(VLOOKUP(BFY$1,'All Weather'!$B$35:$C$55,2,FALSE),0%)</f>
        <v>0</v>
      </c>
      <c r="BFZ9" s="5">
        <f>IFERROR(VLOOKUP(BFZ$1,'All Weather'!$B$35:$C$55,2,FALSE),0%)</f>
        <v>0</v>
      </c>
      <c r="BGA9" s="5">
        <f>IFERROR(VLOOKUP(BGA$1,'All Weather'!$B$35:$C$55,2,FALSE),0%)</f>
        <v>0</v>
      </c>
      <c r="BGB9" s="5">
        <f>IFERROR(VLOOKUP(BGB$1,'All Weather'!$B$35:$C$55,2,FALSE),0%)</f>
        <v>0</v>
      </c>
      <c r="BGC9" s="5">
        <f>IFERROR(VLOOKUP(BGC$1,'All Weather'!$B$35:$C$55,2,FALSE),0%)</f>
        <v>0</v>
      </c>
      <c r="BGD9" s="5">
        <f>IFERROR(VLOOKUP(BGD$1,'All Weather'!$B$35:$C$55,2,FALSE),0%)</f>
        <v>0</v>
      </c>
      <c r="BGE9" s="5">
        <f>IFERROR(VLOOKUP(BGE$1,'All Weather'!$B$35:$C$55,2,FALSE),0%)</f>
        <v>0</v>
      </c>
      <c r="BGF9" s="5">
        <f>IFERROR(VLOOKUP(BGF$1,'All Weather'!$B$35:$C$55,2,FALSE),0%)</f>
        <v>0</v>
      </c>
      <c r="BGG9" s="5">
        <f>IFERROR(VLOOKUP(BGG$1,'All Weather'!$B$35:$C$55,2,FALSE),0%)</f>
        <v>0</v>
      </c>
      <c r="BGH9" s="5">
        <f>IFERROR(VLOOKUP(BGH$1,'All Weather'!$B$35:$C$55,2,FALSE),0%)</f>
        <v>0</v>
      </c>
      <c r="BGI9" s="5">
        <f>IFERROR(VLOOKUP(BGI$1,'All Weather'!$B$35:$C$55,2,FALSE),0%)</f>
        <v>0</v>
      </c>
      <c r="BGJ9" s="5">
        <f>IFERROR(VLOOKUP(BGJ$1,'All Weather'!$B$35:$C$55,2,FALSE),0%)</f>
        <v>0</v>
      </c>
      <c r="BGK9" s="5">
        <f>IFERROR(VLOOKUP(BGK$1,'All Weather'!$B$35:$C$55,2,FALSE),0%)</f>
        <v>0</v>
      </c>
      <c r="BGL9" s="5">
        <f>IFERROR(VLOOKUP(BGL$1,'All Weather'!$B$35:$C$55,2,FALSE),0%)</f>
        <v>0</v>
      </c>
      <c r="BGM9" s="5">
        <f>IFERROR(VLOOKUP(BGM$1,'All Weather'!$B$35:$C$55,2,FALSE),0%)</f>
        <v>0</v>
      </c>
      <c r="BGN9" s="5">
        <f>IFERROR(VLOOKUP(BGN$1,'All Weather'!$B$35:$C$55,2,FALSE),0%)</f>
        <v>0</v>
      </c>
      <c r="BGO9" s="5">
        <f>IFERROR(VLOOKUP(BGO$1,'All Weather'!$B$35:$C$55,2,FALSE),0%)</f>
        <v>0</v>
      </c>
      <c r="BGP9" s="5">
        <f>IFERROR(VLOOKUP(BGP$1,'All Weather'!$B$35:$C$55,2,FALSE),0%)</f>
        <v>0</v>
      </c>
      <c r="BGQ9" s="5">
        <f>IFERROR(VLOOKUP(BGQ$1,'All Weather'!$B$35:$C$55,2,FALSE),0%)</f>
        <v>0</v>
      </c>
      <c r="BGR9" s="5">
        <f>IFERROR(VLOOKUP(BGR$1,'All Weather'!$B$35:$C$55,2,FALSE),0%)</f>
        <v>0</v>
      </c>
      <c r="BGS9" s="5">
        <f>IFERROR(VLOOKUP(BGS$1,'All Weather'!$B$35:$C$55,2,FALSE),0%)</f>
        <v>0</v>
      </c>
      <c r="BGT9" s="5">
        <f>IFERROR(VLOOKUP(BGT$1,'All Weather'!$B$35:$C$55,2,FALSE),0%)</f>
        <v>0</v>
      </c>
      <c r="BGU9" s="5">
        <f>IFERROR(VLOOKUP(BGU$1,'All Weather'!$B$35:$C$55,2,FALSE),0%)</f>
        <v>0</v>
      </c>
      <c r="BGV9" s="5">
        <f>IFERROR(VLOOKUP(BGV$1,'All Weather'!$B$35:$C$55,2,FALSE),0%)</f>
        <v>0</v>
      </c>
      <c r="BGW9" s="5">
        <f>IFERROR(VLOOKUP(BGW$1,'All Weather'!$B$35:$C$55,2,FALSE),0%)</f>
        <v>0</v>
      </c>
      <c r="BGX9" s="5">
        <f>IFERROR(VLOOKUP(BGX$1,'All Weather'!$B$35:$C$55,2,FALSE),0%)</f>
        <v>0</v>
      </c>
      <c r="BGY9" s="5">
        <f>IFERROR(VLOOKUP(BGY$1,'All Weather'!$B$35:$C$55,2,FALSE),0%)</f>
        <v>0</v>
      </c>
      <c r="BGZ9" s="5">
        <f>IFERROR(VLOOKUP(BGZ$1,'All Weather'!$B$35:$C$55,2,FALSE),0%)</f>
        <v>0</v>
      </c>
      <c r="BHA9" s="5">
        <f>IFERROR(VLOOKUP(BHA$1,'All Weather'!$B$35:$C$55,2,FALSE),0%)</f>
        <v>0</v>
      </c>
      <c r="BHB9" s="5">
        <f>IFERROR(VLOOKUP(BHB$1,'All Weather'!$B$35:$C$55,2,FALSE),0%)</f>
        <v>0</v>
      </c>
      <c r="BHC9" s="5">
        <f>IFERROR(VLOOKUP(BHC$1,'All Weather'!$B$35:$C$55,2,FALSE),0%)</f>
        <v>0</v>
      </c>
      <c r="BHD9" s="5">
        <f>IFERROR(VLOOKUP(BHD$1,'All Weather'!$B$35:$C$55,2,FALSE),0%)</f>
        <v>0</v>
      </c>
      <c r="BHE9" s="5">
        <f>IFERROR(VLOOKUP(BHE$1,'All Weather'!$B$35:$C$55,2,FALSE),0%)</f>
        <v>0</v>
      </c>
      <c r="BHF9" s="5">
        <f>IFERROR(VLOOKUP(BHF$1,'All Weather'!$B$35:$C$55,2,FALSE),0%)</f>
        <v>0</v>
      </c>
      <c r="BHG9" s="5">
        <f>IFERROR(VLOOKUP(BHG$1,'All Weather'!$B$35:$C$55,2,FALSE),0%)</f>
        <v>0</v>
      </c>
      <c r="BHH9" s="5">
        <f>IFERROR(VLOOKUP(BHH$1,'All Weather'!$B$35:$C$55,2,FALSE),0%)</f>
        <v>0</v>
      </c>
      <c r="BHI9" s="5">
        <f>IFERROR(VLOOKUP(BHI$1,'All Weather'!$B$35:$C$55,2,FALSE),0%)</f>
        <v>0</v>
      </c>
      <c r="BHJ9" s="5">
        <f>IFERROR(VLOOKUP(BHJ$1,'All Weather'!$B$35:$C$55,2,FALSE),0%)</f>
        <v>0</v>
      </c>
      <c r="BHK9" s="5">
        <f>IFERROR(VLOOKUP(BHK$1,'All Weather'!$B$35:$C$55,2,FALSE),0%)</f>
        <v>0</v>
      </c>
      <c r="BHL9" s="5">
        <f>IFERROR(VLOOKUP(BHL$1,'All Weather'!$B$35:$C$55,2,FALSE),0%)</f>
        <v>0</v>
      </c>
      <c r="BHM9" s="5">
        <f>IFERROR(VLOOKUP(BHM$1,'All Weather'!$B$35:$C$55,2,FALSE),0%)</f>
        <v>0</v>
      </c>
      <c r="BHN9" s="5">
        <f>IFERROR(VLOOKUP(BHN$1,'All Weather'!$B$35:$C$55,2,FALSE),0%)</f>
        <v>0</v>
      </c>
      <c r="BHO9" s="5">
        <f>IFERROR(VLOOKUP(BHO$1,'All Weather'!$B$35:$C$55,2,FALSE),0%)</f>
        <v>0</v>
      </c>
      <c r="BHP9" s="5">
        <f>IFERROR(VLOOKUP(BHP$1,'All Weather'!$B$35:$C$55,2,FALSE),0%)</f>
        <v>0</v>
      </c>
      <c r="BHQ9" s="5">
        <f>IFERROR(VLOOKUP(BHQ$1,'All Weather'!$B$35:$C$55,2,FALSE),0%)</f>
        <v>0</v>
      </c>
      <c r="BHR9" s="5">
        <f>IFERROR(VLOOKUP(BHR$1,'All Weather'!$B$35:$C$55,2,FALSE),0%)</f>
        <v>0</v>
      </c>
      <c r="BHS9" s="5">
        <f>IFERROR(VLOOKUP(BHS$1,'All Weather'!$B$35:$C$55,2,FALSE),0%)</f>
        <v>0</v>
      </c>
      <c r="BHT9" s="5">
        <f>IFERROR(VLOOKUP(BHT$1,'All Weather'!$B$35:$C$55,2,FALSE),0%)</f>
        <v>0</v>
      </c>
      <c r="BHU9" s="5">
        <f>IFERROR(VLOOKUP(BHU$1,'All Weather'!$B$35:$C$55,2,FALSE),0%)</f>
        <v>0</v>
      </c>
      <c r="BHV9" s="5">
        <f>IFERROR(VLOOKUP(BHV$1,'All Weather'!$B$35:$C$55,2,FALSE),0%)</f>
        <v>0</v>
      </c>
      <c r="BHW9" s="5">
        <f>IFERROR(VLOOKUP(BHW$1,'All Weather'!$B$35:$C$55,2,FALSE),0%)</f>
        <v>0</v>
      </c>
      <c r="BHX9" s="5">
        <f>IFERROR(VLOOKUP(BHX$1,'All Weather'!$B$35:$C$55,2,FALSE),0%)</f>
        <v>0</v>
      </c>
      <c r="BHY9" s="5">
        <f>IFERROR(VLOOKUP(BHY$1,'All Weather'!$B$35:$C$55,2,FALSE),0%)</f>
        <v>0</v>
      </c>
      <c r="BHZ9" s="5">
        <f>IFERROR(VLOOKUP(BHZ$1,'All Weather'!$B$35:$C$55,2,FALSE),0%)</f>
        <v>0</v>
      </c>
      <c r="BIA9" s="5">
        <f>IFERROR(VLOOKUP(BIA$1,'All Weather'!$B$35:$C$55,2,FALSE),0%)</f>
        <v>0</v>
      </c>
      <c r="BIB9" s="5">
        <f>IFERROR(VLOOKUP(BIB$1,'All Weather'!$B$35:$C$55,2,FALSE),0%)</f>
        <v>0</v>
      </c>
      <c r="BIC9" s="5">
        <f>IFERROR(VLOOKUP(BIC$1,'All Weather'!$B$35:$C$55,2,FALSE),0%)</f>
        <v>0</v>
      </c>
      <c r="BID9" s="5">
        <f>IFERROR(VLOOKUP(BID$1,'All Weather'!$B$35:$C$55,2,FALSE),0%)</f>
        <v>0</v>
      </c>
      <c r="BIE9" s="5">
        <f>IFERROR(VLOOKUP(BIE$1,'All Weather'!$B$35:$C$55,2,FALSE),0%)</f>
        <v>0</v>
      </c>
      <c r="BIF9" s="5">
        <f>IFERROR(VLOOKUP(BIF$1,'All Weather'!$B$35:$C$55,2,FALSE),0%)</f>
        <v>0</v>
      </c>
      <c r="BIG9" s="5">
        <f>IFERROR(VLOOKUP(BIG$1,'All Weather'!$B$35:$C$55,2,FALSE),0%)</f>
        <v>0</v>
      </c>
      <c r="BIH9" s="5">
        <f>IFERROR(VLOOKUP(BIH$1,'All Weather'!$B$35:$C$55,2,FALSE),0%)</f>
        <v>0</v>
      </c>
      <c r="BII9" s="5">
        <f>IFERROR(VLOOKUP(BII$1,'All Weather'!$B$35:$C$55,2,FALSE),0%)</f>
        <v>0</v>
      </c>
      <c r="BIJ9" s="5">
        <f>IFERROR(VLOOKUP(BIJ$1,'All Weather'!$B$35:$C$55,2,FALSE),0%)</f>
        <v>0</v>
      </c>
      <c r="BIK9" s="5">
        <f>IFERROR(VLOOKUP(BIK$1,'All Weather'!$B$35:$C$55,2,FALSE),0%)</f>
        <v>0.06346788867</v>
      </c>
      <c r="BIL9" s="5">
        <f>IFERROR(VLOOKUP(BIL$1,'All Weather'!$B$35:$C$55,2,FALSE),0%)</f>
        <v>0</v>
      </c>
      <c r="BIM9" s="5">
        <f>IFERROR(VLOOKUP(BIM$1,'All Weather'!$B$35:$C$55,2,FALSE),0%)</f>
        <v>0</v>
      </c>
      <c r="BIN9" s="5">
        <f>IFERROR(VLOOKUP(BIN$1,'All Weather'!$B$35:$C$55,2,FALSE),0%)</f>
        <v>0</v>
      </c>
      <c r="BIO9" s="5">
        <f>IFERROR(VLOOKUP(BIO$1,'All Weather'!$B$35:$C$55,2,FALSE),0%)</f>
        <v>0</v>
      </c>
      <c r="BIP9" s="5">
        <f>IFERROR(VLOOKUP(BIP$1,'All Weather'!$B$35:$C$55,2,FALSE),0%)</f>
        <v>0</v>
      </c>
      <c r="BIQ9" s="5">
        <f>IFERROR(VLOOKUP(BIQ$1,'All Weather'!$B$35:$C$55,2,FALSE),0%)</f>
        <v>0</v>
      </c>
      <c r="BIR9" s="5">
        <f>IFERROR(VLOOKUP(BIR$1,'All Weather'!$B$35:$C$55,2,FALSE),0%)</f>
        <v>0</v>
      </c>
      <c r="BIS9" s="5">
        <f>IFERROR(VLOOKUP(BIS$1,'All Weather'!$B$35:$C$55,2,FALSE),0%)</f>
        <v>0</v>
      </c>
      <c r="BIT9" s="5">
        <f>IFERROR(VLOOKUP(BIT$1,'All Weather'!$B$35:$C$55,2,FALSE),0%)</f>
        <v>0</v>
      </c>
      <c r="BIU9" s="5">
        <f>IFERROR(VLOOKUP(BIU$1,'All Weather'!$B$35:$C$55,2,FALSE),0%)</f>
        <v>0</v>
      </c>
      <c r="BIV9" s="5">
        <f>IFERROR(VLOOKUP(BIV$1,'All Weather'!$B$35:$C$55,2,FALSE),0%)</f>
        <v>0</v>
      </c>
      <c r="BIW9" s="5">
        <f>IFERROR(VLOOKUP(BIW$1,'All Weather'!$B$35:$C$55,2,FALSE),0%)</f>
        <v>0</v>
      </c>
      <c r="BIX9" s="5">
        <f>IFERROR(VLOOKUP(BIX$1,'All Weather'!$B$35:$C$55,2,FALSE),0%)</f>
        <v>0</v>
      </c>
      <c r="BIY9" s="5">
        <f>IFERROR(VLOOKUP(BIY$1,'All Weather'!$B$35:$C$55,2,FALSE),0%)</f>
        <v>0</v>
      </c>
      <c r="BIZ9" s="5">
        <f>IFERROR(VLOOKUP(BIZ$1,'All Weather'!$B$35:$C$55,2,FALSE),0%)</f>
        <v>0</v>
      </c>
      <c r="BJA9" s="5">
        <f>IFERROR(VLOOKUP(BJA$1,'All Weather'!$B$35:$C$55,2,FALSE),0%)</f>
        <v>0</v>
      </c>
      <c r="BJB9" s="5">
        <f>IFERROR(VLOOKUP(BJB$1,'All Weather'!$B$35:$C$55,2,FALSE),0%)</f>
        <v>0</v>
      </c>
      <c r="BJC9" s="5">
        <f>IFERROR(VLOOKUP(BJC$1,'All Weather'!$B$35:$C$55,2,FALSE),0%)</f>
        <v>0</v>
      </c>
      <c r="BJD9" s="5">
        <f>IFERROR(VLOOKUP(BJD$1,'All Weather'!$B$35:$C$55,2,FALSE),0%)</f>
        <v>0</v>
      </c>
      <c r="BJE9" s="5">
        <f>IFERROR(VLOOKUP(BJE$1,'All Weather'!$B$35:$C$55,2,FALSE),0%)</f>
        <v>0</v>
      </c>
      <c r="BJF9" s="5">
        <f>IFERROR(VLOOKUP(BJF$1,'All Weather'!$B$35:$C$55,2,FALSE),0%)</f>
        <v>0</v>
      </c>
      <c r="BJG9" s="5">
        <f>IFERROR(VLOOKUP(BJG$1,'All Weather'!$B$35:$C$55,2,FALSE),0%)</f>
        <v>0</v>
      </c>
      <c r="BJH9" s="5">
        <f>IFERROR(VLOOKUP(BJH$1,'All Weather'!$B$35:$C$55,2,FALSE),0%)</f>
        <v>0</v>
      </c>
      <c r="BJI9" s="5">
        <f>IFERROR(VLOOKUP(BJI$1,'All Weather'!$B$35:$C$55,2,FALSE),0%)</f>
        <v>0</v>
      </c>
      <c r="BJJ9" s="5">
        <f>IFERROR(VLOOKUP(BJJ$1,'All Weather'!$B$35:$C$55,2,FALSE),0%)</f>
        <v>0</v>
      </c>
      <c r="BJK9" s="5">
        <f>IFERROR(VLOOKUP(BJK$1,'All Weather'!$B$35:$C$55,2,FALSE),0%)</f>
        <v>0</v>
      </c>
      <c r="BJL9" s="5">
        <f>IFERROR(VLOOKUP(BJL$1,'All Weather'!$B$35:$C$55,2,FALSE),0%)</f>
        <v>0</v>
      </c>
      <c r="BJM9" s="5">
        <f>IFERROR(VLOOKUP(BJM$1,'All Weather'!$B$35:$C$55,2,FALSE),0%)</f>
        <v>0</v>
      </c>
      <c r="BJN9" s="5">
        <f>IFERROR(VLOOKUP(BJN$1,'All Weather'!$B$35:$C$55,2,FALSE),0%)</f>
        <v>0</v>
      </c>
      <c r="BJO9" s="5">
        <f>IFERROR(VLOOKUP(BJO$1,'All Weather'!$B$35:$C$55,2,FALSE),0%)</f>
        <v>0</v>
      </c>
      <c r="BJP9" s="5">
        <f>IFERROR(VLOOKUP(BJP$1,'All Weather'!$B$35:$C$55,2,FALSE),0%)</f>
        <v>0</v>
      </c>
      <c r="BJQ9" s="5">
        <f>IFERROR(VLOOKUP(BJQ$1,'All Weather'!$B$35:$C$55,2,FALSE),0%)</f>
        <v>0</v>
      </c>
      <c r="BJR9" s="5">
        <f>IFERROR(VLOOKUP(BJR$1,'All Weather'!$B$35:$C$55,2,FALSE),0%)</f>
        <v>0</v>
      </c>
      <c r="BJS9" s="5">
        <f>IFERROR(VLOOKUP(BJS$1,'All Weather'!$B$35:$C$55,2,FALSE),0%)</f>
        <v>0</v>
      </c>
      <c r="BJT9" s="5">
        <f>IFERROR(VLOOKUP(BJT$1,'All Weather'!$B$35:$C$55,2,FALSE),0%)</f>
        <v>0</v>
      </c>
      <c r="BJU9" s="5">
        <f>IFERROR(VLOOKUP(BJU$1,'All Weather'!$B$35:$C$55,2,FALSE),0%)</f>
        <v>0</v>
      </c>
      <c r="BJV9" s="5">
        <f>IFERROR(VLOOKUP(BJV$1,'All Weather'!$B$35:$C$55,2,FALSE),0%)</f>
        <v>0</v>
      </c>
      <c r="BJW9" s="5">
        <f>IFERROR(VLOOKUP(BJW$1,'All Weather'!$B$35:$C$55,2,FALSE),0%)</f>
        <v>0</v>
      </c>
      <c r="BJX9" s="5">
        <f>IFERROR(VLOOKUP(BJX$1,'All Weather'!$B$35:$C$55,2,FALSE),0%)</f>
        <v>0</v>
      </c>
      <c r="BJY9" s="5">
        <f>IFERROR(VLOOKUP(BJY$1,'All Weather'!$B$35:$C$55,2,FALSE),0%)</f>
        <v>0</v>
      </c>
      <c r="BJZ9" s="5">
        <f>IFERROR(VLOOKUP(BJZ$1,'All Weather'!$B$35:$C$55,2,FALSE),0%)</f>
        <v>0</v>
      </c>
      <c r="BKA9" s="5">
        <f>IFERROR(VLOOKUP(BKA$1,'All Weather'!$B$35:$C$55,2,FALSE),0%)</f>
        <v>0</v>
      </c>
      <c r="BKB9" s="5">
        <f>IFERROR(VLOOKUP(BKB$1,'All Weather'!$B$35:$C$55,2,FALSE),0%)</f>
        <v>0</v>
      </c>
      <c r="BKC9" s="5">
        <f>IFERROR(VLOOKUP(BKC$1,'All Weather'!$B$35:$C$55,2,FALSE),0%)</f>
        <v>0</v>
      </c>
      <c r="BKD9" s="5">
        <f>IFERROR(VLOOKUP(BKD$1,'All Weather'!$B$35:$C$55,2,FALSE),0%)</f>
        <v>0</v>
      </c>
      <c r="BKE9" s="5">
        <f>IFERROR(VLOOKUP(BKE$1,'All Weather'!$B$35:$C$55,2,FALSE),0%)</f>
        <v>0</v>
      </c>
      <c r="BKF9" s="5">
        <f>IFERROR(VLOOKUP(BKF$1,'All Weather'!$B$35:$C$55,2,FALSE),0%)</f>
        <v>0</v>
      </c>
      <c r="BKG9" s="5">
        <f>IFERROR(VLOOKUP(BKG$1,'All Weather'!$B$35:$C$55,2,FALSE),0%)</f>
        <v>0</v>
      </c>
      <c r="BKH9" s="5">
        <f>IFERROR(VLOOKUP(BKH$1,'All Weather'!$B$35:$C$55,2,FALSE),0%)</f>
        <v>0</v>
      </c>
      <c r="BKI9" s="5">
        <f>IFERROR(VLOOKUP(BKI$1,'All Weather'!$B$35:$C$55,2,FALSE),0%)</f>
        <v>0</v>
      </c>
      <c r="BKJ9" s="5">
        <f>IFERROR(VLOOKUP(BKJ$1,'All Weather'!$B$35:$C$55,2,FALSE),0%)</f>
        <v>0</v>
      </c>
      <c r="BKK9" s="5">
        <f>IFERROR(VLOOKUP(BKK$1,'All Weather'!$B$35:$C$55,2,FALSE),0%)</f>
        <v>0</v>
      </c>
      <c r="BKL9" s="5">
        <f>IFERROR(VLOOKUP(BKL$1,'All Weather'!$B$35:$C$55,2,FALSE),0%)</f>
        <v>0</v>
      </c>
      <c r="BKM9" s="5">
        <f>IFERROR(VLOOKUP(BKM$1,'All Weather'!$B$35:$C$55,2,FALSE),0%)</f>
        <v>0</v>
      </c>
      <c r="BKN9" s="5">
        <f>IFERROR(VLOOKUP(BKN$1,'All Weather'!$B$35:$C$55,2,FALSE),0%)</f>
        <v>0</v>
      </c>
      <c r="BKO9" s="5">
        <f>IFERROR(VLOOKUP(BKO$1,'All Weather'!$B$35:$C$55,2,FALSE),0%)</f>
        <v>0</v>
      </c>
      <c r="BKP9" s="5">
        <f>IFERROR(VLOOKUP(BKP$1,'All Weather'!$B$35:$C$55,2,FALSE),0%)</f>
        <v>0</v>
      </c>
      <c r="BKQ9" s="5">
        <f>IFERROR(VLOOKUP(BKQ$1,'All Weather'!$B$35:$C$55,2,FALSE),0%)</f>
        <v>0</v>
      </c>
      <c r="BKR9" s="5">
        <f>IFERROR(VLOOKUP(BKR$1,'All Weather'!$B$35:$C$55,2,FALSE),0%)</f>
        <v>0</v>
      </c>
      <c r="BKS9" s="5">
        <f>IFERROR(VLOOKUP(BKS$1,'All Weather'!$B$35:$C$55,2,FALSE),0%)</f>
        <v>0</v>
      </c>
      <c r="BKT9" s="5">
        <f>IFERROR(VLOOKUP(BKT$1,'All Weather'!$B$35:$C$55,2,FALSE),0%)</f>
        <v>0</v>
      </c>
      <c r="BKU9" s="5">
        <f>IFERROR(VLOOKUP(BKU$1,'All Weather'!$B$35:$C$55,2,FALSE),0%)</f>
        <v>0</v>
      </c>
      <c r="BKV9" s="5">
        <f>IFERROR(VLOOKUP(BKV$1,'All Weather'!$B$35:$C$55,2,FALSE),0%)</f>
        <v>0</v>
      </c>
      <c r="BKW9" s="5">
        <f>IFERROR(VLOOKUP(BKW$1,'All Weather'!$B$35:$C$55,2,FALSE),0%)</f>
        <v>0</v>
      </c>
      <c r="BKX9" s="5">
        <f>IFERROR(VLOOKUP(BKX$1,'All Weather'!$B$35:$C$55,2,FALSE),0%)</f>
        <v>0</v>
      </c>
      <c r="BKY9" s="5">
        <f>IFERROR(VLOOKUP(BKY$1,'All Weather'!$B$35:$C$55,2,FALSE),0%)</f>
        <v>0</v>
      </c>
      <c r="BKZ9" s="5">
        <f>IFERROR(VLOOKUP(BKZ$1,'All Weather'!$B$35:$C$55,2,FALSE),0%)</f>
        <v>0</v>
      </c>
      <c r="BLA9" s="5">
        <f>IFERROR(VLOOKUP(BLA$1,'All Weather'!$B$35:$C$55,2,FALSE),0%)</f>
        <v>0</v>
      </c>
      <c r="BLB9" s="5">
        <f>IFERROR(VLOOKUP(BLB$1,'All Weather'!$B$35:$C$55,2,FALSE),0%)</f>
        <v>0</v>
      </c>
      <c r="BLC9" s="5">
        <f>IFERROR(VLOOKUP(BLC$1,'All Weather'!$B$35:$C$55,2,FALSE),0%)</f>
        <v>0</v>
      </c>
      <c r="BLD9" s="5">
        <f>IFERROR(VLOOKUP(BLD$1,'All Weather'!$B$35:$C$55,2,FALSE),0%)</f>
        <v>0</v>
      </c>
      <c r="BLE9" s="5">
        <f>IFERROR(VLOOKUP(BLE$1,'All Weather'!$B$35:$C$55,2,FALSE),0%)</f>
        <v>0</v>
      </c>
      <c r="BLF9" s="5">
        <f>IFERROR(VLOOKUP(BLF$1,'All Weather'!$B$35:$C$55,2,FALSE),0%)</f>
        <v>0</v>
      </c>
      <c r="BLG9" s="5">
        <f>IFERROR(VLOOKUP(BLG$1,'All Weather'!$B$35:$C$55,2,FALSE),0%)</f>
        <v>0</v>
      </c>
      <c r="BLH9" s="5">
        <f>IFERROR(VLOOKUP(BLH$1,'All Weather'!$B$35:$C$55,2,FALSE),0%)</f>
        <v>0</v>
      </c>
      <c r="BLI9" s="5">
        <f>IFERROR(VLOOKUP(BLI$1,'All Weather'!$B$35:$C$55,2,FALSE),0%)</f>
        <v>0</v>
      </c>
      <c r="BLJ9" s="5">
        <f>IFERROR(VLOOKUP(BLJ$1,'All Weather'!$B$35:$C$55,2,FALSE),0%)</f>
        <v>0</v>
      </c>
      <c r="BLK9" s="5">
        <f>IFERROR(VLOOKUP(BLK$1,'All Weather'!$B$35:$C$55,2,FALSE),0%)</f>
        <v>0</v>
      </c>
      <c r="BLL9" s="5">
        <f>IFERROR(VLOOKUP(BLL$1,'All Weather'!$B$35:$C$55,2,FALSE),0%)</f>
        <v>0</v>
      </c>
      <c r="BLM9" s="5">
        <f>IFERROR(VLOOKUP(BLM$1,'All Weather'!$B$35:$C$55,2,FALSE),0%)</f>
        <v>0</v>
      </c>
      <c r="BLN9" s="5">
        <f>IFERROR(VLOOKUP(BLN$1,'All Weather'!$B$35:$C$55,2,FALSE),0%)</f>
        <v>0</v>
      </c>
      <c r="BLO9" s="5">
        <f>IFERROR(VLOOKUP(BLO$1,'All Weather'!$B$35:$C$55,2,FALSE),0%)</f>
        <v>0</v>
      </c>
      <c r="BLP9" s="5">
        <f>IFERROR(VLOOKUP(BLP$1,'All Weather'!$B$35:$C$55,2,FALSE),0%)</f>
        <v>0</v>
      </c>
      <c r="BLQ9" s="5">
        <f>IFERROR(VLOOKUP(BLQ$1,'All Weather'!$B$35:$C$55,2,FALSE),0%)</f>
        <v>0</v>
      </c>
      <c r="BLR9" s="5">
        <f>IFERROR(VLOOKUP(BLR$1,'All Weather'!$B$35:$C$55,2,FALSE),0%)</f>
        <v>0</v>
      </c>
      <c r="BLS9" s="5">
        <f>IFERROR(VLOOKUP(BLS$1,'All Weather'!$B$35:$C$55,2,FALSE),0%)</f>
        <v>0</v>
      </c>
      <c r="BLT9" s="5">
        <f>IFERROR(VLOOKUP(BLT$1,'All Weather'!$B$35:$C$55,2,FALSE),0%)</f>
        <v>0</v>
      </c>
      <c r="BLU9" s="5">
        <f>IFERROR(VLOOKUP(BLU$1,'All Weather'!$B$35:$C$55,2,FALSE),0%)</f>
        <v>0</v>
      </c>
      <c r="BLV9" s="5">
        <f>IFERROR(VLOOKUP(BLV$1,'All Weather'!$B$35:$C$55,2,FALSE),0%)</f>
        <v>0</v>
      </c>
      <c r="BLW9" s="5">
        <f>IFERROR(VLOOKUP(BLW$1,'All Weather'!$B$35:$C$55,2,FALSE),0%)</f>
        <v>0</v>
      </c>
      <c r="BLX9" s="5">
        <f>IFERROR(VLOOKUP(BLX$1,'All Weather'!$B$35:$C$55,2,FALSE),0%)</f>
        <v>0</v>
      </c>
      <c r="BLY9" s="5">
        <f>IFERROR(VLOOKUP(BLY$1,'All Weather'!$B$35:$C$55,2,FALSE),0%)</f>
        <v>0</v>
      </c>
      <c r="BLZ9" s="5">
        <f>IFERROR(VLOOKUP(BLZ$1,'All Weather'!$B$35:$C$55,2,FALSE),0%)</f>
        <v>0</v>
      </c>
      <c r="BMA9" s="5">
        <f>IFERROR(VLOOKUP(BMA$1,'All Weather'!$B$35:$C$55,2,FALSE),0%)</f>
        <v>0</v>
      </c>
      <c r="BMB9" s="5">
        <f>IFERROR(VLOOKUP(BMB$1,'All Weather'!$B$35:$C$55,2,FALSE),0%)</f>
        <v>0</v>
      </c>
      <c r="BMC9" s="5">
        <f>IFERROR(VLOOKUP(BMC$1,'All Weather'!$B$35:$C$55,2,FALSE),0%)</f>
        <v>0</v>
      </c>
      <c r="BMD9" s="5">
        <f>IFERROR(VLOOKUP(BMD$1,'All Weather'!$B$35:$C$55,2,FALSE),0%)</f>
        <v>0</v>
      </c>
      <c r="BME9" s="5">
        <f>IFERROR(VLOOKUP(BME$1,'All Weather'!$B$35:$C$55,2,FALSE),0%)</f>
        <v>0</v>
      </c>
      <c r="BMF9" s="5">
        <f>IFERROR(VLOOKUP(BMF$1,'All Weather'!$B$35:$C$55,2,FALSE),0%)</f>
        <v>0</v>
      </c>
      <c r="BMG9" s="5">
        <f>IFERROR(VLOOKUP(BMG$1,'All Weather'!$B$35:$C$55,2,FALSE),0%)</f>
        <v>0</v>
      </c>
      <c r="BMH9" s="5">
        <f>IFERROR(VLOOKUP(BMH$1,'All Weather'!$B$35:$C$55,2,FALSE),0%)</f>
        <v>0</v>
      </c>
      <c r="BMI9" s="5">
        <f>IFERROR(VLOOKUP(BMI$1,'All Weather'!$B$35:$C$55,2,FALSE),0%)</f>
        <v>0</v>
      </c>
      <c r="BMJ9" s="5">
        <f>IFERROR(VLOOKUP(BMJ$1,'All Weather'!$B$35:$C$55,2,FALSE),0%)</f>
        <v>0</v>
      </c>
      <c r="BMK9" s="5">
        <f>IFERROR(VLOOKUP(BMK$1,'All Weather'!$B$35:$C$55,2,FALSE),0%)</f>
        <v>0</v>
      </c>
      <c r="BML9" s="5">
        <f>IFERROR(VLOOKUP(BML$1,'All Weather'!$B$35:$C$55,2,FALSE),0%)</f>
        <v>0</v>
      </c>
      <c r="BMM9" s="5">
        <f>IFERROR(VLOOKUP(BMM$1,'All Weather'!$B$35:$C$55,2,FALSE),0%)</f>
        <v>0</v>
      </c>
      <c r="BMN9" s="5">
        <f>IFERROR(VLOOKUP(BMN$1,'All Weather'!$B$35:$C$55,2,FALSE),0%)</f>
        <v>0</v>
      </c>
      <c r="BMO9" s="5">
        <f>IFERROR(VLOOKUP(BMO$1,'All Weather'!$B$35:$C$55,2,FALSE),0%)</f>
        <v>0</v>
      </c>
      <c r="BMP9" s="5">
        <f>IFERROR(VLOOKUP(BMP$1,'All Weather'!$B$35:$C$55,2,FALSE),0%)</f>
        <v>0</v>
      </c>
      <c r="BMQ9" s="5">
        <f>IFERROR(VLOOKUP(BMQ$1,'All Weather'!$B$35:$C$55,2,FALSE),0%)</f>
        <v>0</v>
      </c>
      <c r="BMR9" s="5">
        <f>IFERROR(VLOOKUP(BMR$1,'All Weather'!$B$35:$C$55,2,FALSE),0%)</f>
        <v>0</v>
      </c>
      <c r="BMS9" s="5">
        <f>IFERROR(VLOOKUP(BMS$1,'All Weather'!$B$35:$C$55,2,FALSE),0%)</f>
        <v>0</v>
      </c>
      <c r="BMT9" s="5">
        <f>IFERROR(VLOOKUP(BMT$1,'All Weather'!$B$35:$C$55,2,FALSE),0%)</f>
        <v>0</v>
      </c>
      <c r="BMU9" s="5">
        <f>IFERROR(VLOOKUP(BMU$1,'All Weather'!$B$35:$C$55,2,FALSE),0%)</f>
        <v>0</v>
      </c>
      <c r="BMV9" s="5">
        <f>IFERROR(VLOOKUP(BMV$1,'All Weather'!$B$35:$C$55,2,FALSE),0%)</f>
        <v>0</v>
      </c>
      <c r="BMW9" s="5">
        <f>IFERROR(VLOOKUP(BMW$1,'All Weather'!$B$35:$C$55,2,FALSE),0%)</f>
        <v>0</v>
      </c>
      <c r="BMX9" s="5">
        <f>IFERROR(VLOOKUP(BMX$1,'All Weather'!$B$35:$C$55,2,FALSE),0%)</f>
        <v>0</v>
      </c>
      <c r="BMY9" s="5">
        <f>IFERROR(VLOOKUP(BMY$1,'All Weather'!$B$35:$C$55,2,FALSE),0%)</f>
        <v>0</v>
      </c>
      <c r="BMZ9" s="5">
        <f>IFERROR(VLOOKUP(BMZ$1,'All Weather'!$B$35:$C$55,2,FALSE),0%)</f>
        <v>0</v>
      </c>
      <c r="BNA9" s="5">
        <f>IFERROR(VLOOKUP(BNA$1,'All Weather'!$B$35:$C$55,2,FALSE),0%)</f>
        <v>0</v>
      </c>
      <c r="BNB9" s="5">
        <f>IFERROR(VLOOKUP(BNB$1,'All Weather'!$B$35:$C$55,2,FALSE),0%)</f>
        <v>0</v>
      </c>
      <c r="BNC9" s="5">
        <f>IFERROR(VLOOKUP(BNC$1,'All Weather'!$B$35:$C$55,2,FALSE),0%)</f>
        <v>0</v>
      </c>
      <c r="BND9" s="5">
        <f>IFERROR(VLOOKUP(BND$1,'All Weather'!$B$35:$C$55,2,FALSE),0%)</f>
        <v>0</v>
      </c>
      <c r="BNE9" s="5">
        <f>IFERROR(VLOOKUP(BNE$1,'All Weather'!$B$35:$C$55,2,FALSE),0%)</f>
        <v>0</v>
      </c>
      <c r="BNF9" s="5">
        <f>IFERROR(VLOOKUP(BNF$1,'All Weather'!$B$35:$C$55,2,FALSE),0%)</f>
        <v>0</v>
      </c>
      <c r="BNG9" s="5">
        <f>IFERROR(VLOOKUP(BNG$1,'All Weather'!$B$35:$C$55,2,FALSE),0%)</f>
        <v>0</v>
      </c>
      <c r="BNH9" s="5">
        <f>IFERROR(VLOOKUP(BNH$1,'All Weather'!$B$35:$C$55,2,FALSE),0%)</f>
        <v>0</v>
      </c>
      <c r="BNI9" s="5">
        <f>IFERROR(VLOOKUP(BNI$1,'All Weather'!$B$35:$C$55,2,FALSE),0%)</f>
        <v>0</v>
      </c>
      <c r="BNJ9" s="5">
        <f>IFERROR(VLOOKUP(BNJ$1,'All Weather'!$B$35:$C$55,2,FALSE),0%)</f>
        <v>0</v>
      </c>
      <c r="BNK9" s="5">
        <f>IFERROR(VLOOKUP(BNK$1,'All Weather'!$B$35:$C$55,2,FALSE),0%)</f>
        <v>0</v>
      </c>
      <c r="BNL9" s="5">
        <f>IFERROR(VLOOKUP(BNL$1,'All Weather'!$B$35:$C$55,2,FALSE),0%)</f>
        <v>0</v>
      </c>
      <c r="BNM9" s="5">
        <f>IFERROR(VLOOKUP(BNM$1,'All Weather'!$B$35:$C$55,2,FALSE),0%)</f>
        <v>0</v>
      </c>
      <c r="BNN9" s="5">
        <f>IFERROR(VLOOKUP(BNN$1,'All Weather'!$B$35:$C$55,2,FALSE),0%)</f>
        <v>0</v>
      </c>
      <c r="BNO9" s="5">
        <f>IFERROR(VLOOKUP(BNO$1,'All Weather'!$B$35:$C$55,2,FALSE),0%)</f>
        <v>0</v>
      </c>
      <c r="BNP9" s="5">
        <f>IFERROR(VLOOKUP(BNP$1,'All Weather'!$B$35:$C$55,2,FALSE),0%)</f>
        <v>0</v>
      </c>
      <c r="BNQ9" s="5">
        <f>IFERROR(VLOOKUP(BNQ$1,'All Weather'!$B$35:$C$55,2,FALSE),0%)</f>
        <v>0</v>
      </c>
      <c r="BNR9" s="5">
        <f>IFERROR(VLOOKUP(BNR$1,'All Weather'!$B$35:$C$55,2,FALSE),0%)</f>
        <v>0</v>
      </c>
      <c r="BNS9" s="5">
        <f>IFERROR(VLOOKUP(BNS$1,'All Weather'!$B$35:$C$55,2,FALSE),0%)</f>
        <v>0</v>
      </c>
      <c r="BNT9" s="5">
        <f>IFERROR(VLOOKUP(BNT$1,'All Weather'!$B$35:$C$55,2,FALSE),0%)</f>
        <v>0</v>
      </c>
      <c r="BNU9" s="5">
        <f>IFERROR(VLOOKUP(BNU$1,'All Weather'!$B$35:$C$55,2,FALSE),0%)</f>
        <v>0</v>
      </c>
      <c r="BNV9" s="5">
        <f>IFERROR(VLOOKUP(BNV$1,'All Weather'!$B$35:$C$55,2,FALSE),0%)</f>
        <v>0</v>
      </c>
      <c r="BNW9" s="5">
        <f>IFERROR(VLOOKUP(BNW$1,'All Weather'!$B$35:$C$55,2,FALSE),0%)</f>
        <v>0</v>
      </c>
      <c r="BNX9" s="5">
        <f>IFERROR(VLOOKUP(BNX$1,'All Weather'!$B$35:$C$55,2,FALSE),0%)</f>
        <v>0</v>
      </c>
      <c r="BNY9" s="5">
        <f>IFERROR(VLOOKUP(BNY$1,'All Weather'!$B$35:$C$55,2,FALSE),0%)</f>
        <v>0</v>
      </c>
      <c r="BNZ9" s="5">
        <f>IFERROR(VLOOKUP(BNZ$1,'All Weather'!$B$35:$C$55,2,FALSE),0%)</f>
        <v>0</v>
      </c>
      <c r="BOA9" s="5">
        <f>IFERROR(VLOOKUP(BOA$1,'All Weather'!$B$35:$C$55,2,FALSE),0%)</f>
        <v>0</v>
      </c>
      <c r="BOB9" s="5">
        <f>IFERROR(VLOOKUP(BOB$1,'All Weather'!$B$35:$C$55,2,FALSE),0%)</f>
        <v>0</v>
      </c>
      <c r="BOC9" s="5">
        <f>IFERROR(VLOOKUP(BOC$1,'All Weather'!$B$35:$C$55,2,FALSE),0%)</f>
        <v>0</v>
      </c>
      <c r="BOD9" s="5">
        <f>IFERROR(VLOOKUP(BOD$1,'All Weather'!$B$35:$C$55,2,FALSE),0%)</f>
        <v>0</v>
      </c>
      <c r="BOE9" s="5">
        <f>IFERROR(VLOOKUP(BOE$1,'All Weather'!$B$35:$C$55,2,FALSE),0%)</f>
        <v>0</v>
      </c>
      <c r="BOF9" s="5">
        <f>IFERROR(VLOOKUP(BOF$1,'All Weather'!$B$35:$C$55,2,FALSE),0%)</f>
        <v>0</v>
      </c>
      <c r="BOG9" s="5">
        <f>IFERROR(VLOOKUP(BOG$1,'All Weather'!$B$35:$C$55,2,FALSE),0%)</f>
        <v>0</v>
      </c>
      <c r="BOH9" s="5">
        <f>IFERROR(VLOOKUP(BOH$1,'All Weather'!$B$35:$C$55,2,FALSE),0%)</f>
        <v>0</v>
      </c>
      <c r="BOI9" s="5">
        <f>IFERROR(VLOOKUP(BOI$1,'All Weather'!$B$35:$C$55,2,FALSE),0%)</f>
        <v>0</v>
      </c>
      <c r="BOJ9" s="5">
        <f>IFERROR(VLOOKUP(BOJ$1,'All Weather'!$B$35:$C$55,2,FALSE),0%)</f>
        <v>0</v>
      </c>
      <c r="BOK9" s="5">
        <f>IFERROR(VLOOKUP(BOK$1,'All Weather'!$B$35:$C$55,2,FALSE),0%)</f>
        <v>0</v>
      </c>
      <c r="BOL9" s="5">
        <f>IFERROR(VLOOKUP(BOL$1,'All Weather'!$B$35:$C$55,2,FALSE),0%)</f>
        <v>0</v>
      </c>
      <c r="BOM9" s="5">
        <f>IFERROR(VLOOKUP(BOM$1,'All Weather'!$B$35:$C$55,2,FALSE),0%)</f>
        <v>0</v>
      </c>
      <c r="BON9" s="5">
        <f>IFERROR(VLOOKUP(BON$1,'All Weather'!$B$35:$C$55,2,FALSE),0%)</f>
        <v>0</v>
      </c>
      <c r="BOO9" s="5">
        <f>IFERROR(VLOOKUP(BOO$1,'All Weather'!$B$35:$C$55,2,FALSE),0%)</f>
        <v>0</v>
      </c>
      <c r="BOP9" s="5">
        <f>IFERROR(VLOOKUP(BOP$1,'All Weather'!$B$35:$C$55,2,FALSE),0%)</f>
        <v>0</v>
      </c>
      <c r="BOQ9" s="5">
        <f>IFERROR(VLOOKUP(BOQ$1,'All Weather'!$B$35:$C$55,2,FALSE),0%)</f>
        <v>0</v>
      </c>
      <c r="BOR9" s="5">
        <f>IFERROR(VLOOKUP(BOR$1,'All Weather'!$B$35:$C$55,2,FALSE),0%)</f>
        <v>0.113971028</v>
      </c>
      <c r="BOS9" s="5">
        <f>IFERROR(VLOOKUP(BOS$1,'All Weather'!$B$35:$C$55,2,FALSE),0%)</f>
        <v>0</v>
      </c>
      <c r="BOT9" s="5">
        <f>IFERROR(VLOOKUP(BOT$1,'All Weather'!$B$35:$C$55,2,FALSE),0%)</f>
        <v>0</v>
      </c>
      <c r="BOU9" s="5">
        <f>IFERROR(VLOOKUP(BOU$1,'All Weather'!$B$35:$C$55,2,FALSE),0%)</f>
        <v>0</v>
      </c>
      <c r="BOV9" s="5">
        <f>IFERROR(VLOOKUP(BOV$1,'All Weather'!$B$35:$C$55,2,FALSE),0%)</f>
        <v>0</v>
      </c>
      <c r="BOW9" s="5">
        <f>IFERROR(VLOOKUP(BOW$1,'All Weather'!$B$35:$C$55,2,FALSE),0%)</f>
        <v>0</v>
      </c>
      <c r="BOX9" s="5">
        <f>IFERROR(VLOOKUP(BOX$1,'All Weather'!$B$35:$C$55,2,FALSE),0%)</f>
        <v>0</v>
      </c>
      <c r="BOY9" s="5">
        <f>IFERROR(VLOOKUP(BOY$1,'All Weather'!$B$35:$C$55,2,FALSE),0%)</f>
        <v>0</v>
      </c>
      <c r="BOZ9" s="5">
        <f>IFERROR(VLOOKUP(BOZ$1,'All Weather'!$B$35:$C$55,2,FALSE),0%)</f>
        <v>0</v>
      </c>
      <c r="BPA9" s="5">
        <f>IFERROR(VLOOKUP(BPA$1,'All Weather'!$B$35:$C$55,2,FALSE),0%)</f>
        <v>0</v>
      </c>
      <c r="BPB9" s="5">
        <f>IFERROR(VLOOKUP(BPB$1,'All Weather'!$B$35:$C$55,2,FALSE),0%)</f>
        <v>0</v>
      </c>
      <c r="BPC9" s="5">
        <f>IFERROR(VLOOKUP(BPC$1,'All Weather'!$B$35:$C$55,2,FALSE),0%)</f>
        <v>0</v>
      </c>
      <c r="BPD9" s="5">
        <f>IFERROR(VLOOKUP(BPD$1,'All Weather'!$B$35:$C$55,2,FALSE),0%)</f>
        <v>0</v>
      </c>
      <c r="BPE9" s="5">
        <f>IFERROR(VLOOKUP(BPE$1,'All Weather'!$B$35:$C$55,2,FALSE),0%)</f>
        <v>0</v>
      </c>
      <c r="BPF9" s="5">
        <f>IFERROR(VLOOKUP(BPF$1,'All Weather'!$B$35:$C$55,2,FALSE),0%)</f>
        <v>0</v>
      </c>
      <c r="BPG9" s="5">
        <f>IFERROR(VLOOKUP(BPG$1,'All Weather'!$B$35:$C$55,2,FALSE),0%)</f>
        <v>0</v>
      </c>
      <c r="BPH9" s="5">
        <f>IFERROR(VLOOKUP(BPH$1,'All Weather'!$B$35:$C$55,2,FALSE),0%)</f>
        <v>0</v>
      </c>
      <c r="BPI9" s="5">
        <f>IFERROR(VLOOKUP(BPI$1,'All Weather'!$B$35:$C$55,2,FALSE),0%)</f>
        <v>0</v>
      </c>
      <c r="BPJ9" s="5">
        <f>IFERROR(VLOOKUP(BPJ$1,'All Weather'!$B$35:$C$55,2,FALSE),0%)</f>
        <v>0</v>
      </c>
      <c r="BPK9" s="5">
        <f>IFERROR(VLOOKUP(BPK$1,'All Weather'!$B$35:$C$55,2,FALSE),0%)</f>
        <v>0</v>
      </c>
      <c r="BPL9" s="5">
        <f>IFERROR(VLOOKUP(BPL$1,'All Weather'!$B$35:$C$55,2,FALSE),0%)</f>
        <v>0</v>
      </c>
      <c r="BPM9" s="5">
        <f>IFERROR(VLOOKUP(BPM$1,'All Weather'!$B$35:$C$55,2,FALSE),0%)</f>
        <v>0</v>
      </c>
      <c r="BPN9" s="5">
        <f>IFERROR(VLOOKUP(BPN$1,'All Weather'!$B$35:$C$55,2,FALSE),0%)</f>
        <v>0</v>
      </c>
      <c r="BPO9" s="5">
        <f>IFERROR(VLOOKUP(BPO$1,'All Weather'!$B$35:$C$55,2,FALSE),0%)</f>
        <v>0</v>
      </c>
      <c r="BPP9" s="5">
        <f>IFERROR(VLOOKUP(BPP$1,'All Weather'!$B$35:$C$55,2,FALSE),0%)</f>
        <v>0</v>
      </c>
      <c r="BPQ9" s="5">
        <f>IFERROR(VLOOKUP(BPQ$1,'All Weather'!$B$35:$C$55,2,FALSE),0%)</f>
        <v>0</v>
      </c>
      <c r="BPR9" s="5">
        <f>IFERROR(VLOOKUP(BPR$1,'All Weather'!$B$35:$C$55,2,FALSE),0%)</f>
        <v>0</v>
      </c>
      <c r="BPS9" s="5">
        <f>IFERROR(VLOOKUP(BPS$1,'All Weather'!$B$35:$C$55,2,FALSE),0%)</f>
        <v>0</v>
      </c>
      <c r="BPT9" s="5">
        <f>IFERROR(VLOOKUP(BPT$1,'All Weather'!$B$35:$C$55,2,FALSE),0%)</f>
        <v>0</v>
      </c>
      <c r="BPU9" s="5">
        <f>IFERROR(VLOOKUP(BPU$1,'All Weather'!$B$35:$C$55,2,FALSE),0%)</f>
        <v>0</v>
      </c>
      <c r="BPV9" s="5">
        <f>IFERROR(VLOOKUP(BPV$1,'All Weather'!$B$35:$C$55,2,FALSE),0%)</f>
        <v>0</v>
      </c>
      <c r="BPW9" s="5">
        <f>IFERROR(VLOOKUP(BPW$1,'All Weather'!$B$35:$C$55,2,FALSE),0%)</f>
        <v>0</v>
      </c>
      <c r="BPX9" s="5">
        <f>IFERROR(VLOOKUP(BPX$1,'All Weather'!$B$35:$C$55,2,FALSE),0%)</f>
        <v>0</v>
      </c>
      <c r="BPY9" s="5">
        <f>IFERROR(VLOOKUP(BPY$1,'All Weather'!$B$35:$C$55,2,FALSE),0%)</f>
        <v>0</v>
      </c>
      <c r="BPZ9" s="5">
        <f>IFERROR(VLOOKUP(BPZ$1,'All Weather'!$B$35:$C$55,2,FALSE),0%)</f>
        <v>0</v>
      </c>
      <c r="BQA9" s="5">
        <f>IFERROR(VLOOKUP(BQA$1,'All Weather'!$B$35:$C$55,2,FALSE),0%)</f>
        <v>0</v>
      </c>
      <c r="BQB9" s="5">
        <f>IFERROR(VLOOKUP(BQB$1,'All Weather'!$B$35:$C$55,2,FALSE),0%)</f>
        <v>0</v>
      </c>
      <c r="BQC9" s="5">
        <f>IFERROR(VLOOKUP(BQC$1,'All Weather'!$B$35:$C$55,2,FALSE),0%)</f>
        <v>0</v>
      </c>
      <c r="BQD9" s="5">
        <f>IFERROR(VLOOKUP(BQD$1,'All Weather'!$B$35:$C$55,2,FALSE),0%)</f>
        <v>0</v>
      </c>
      <c r="BQE9" s="5">
        <f>IFERROR(VLOOKUP(BQE$1,'All Weather'!$B$35:$C$55,2,FALSE),0%)</f>
        <v>0</v>
      </c>
      <c r="BQF9" s="5">
        <f>IFERROR(VLOOKUP(BQF$1,'All Weather'!$B$35:$C$55,2,FALSE),0%)</f>
        <v>0</v>
      </c>
      <c r="BQG9" s="5">
        <f>IFERROR(VLOOKUP(BQG$1,'All Weather'!$B$35:$C$55,2,FALSE),0%)</f>
        <v>0.06526266341</v>
      </c>
      <c r="BQH9" s="5">
        <f>IFERROR(VLOOKUP(BQH$1,'All Weather'!$B$35:$C$55,2,FALSE),0%)</f>
        <v>0</v>
      </c>
      <c r="BQI9" s="5">
        <f>IFERROR(VLOOKUP(BQI$1,'All Weather'!$B$35:$C$55,2,FALSE),0%)</f>
        <v>0</v>
      </c>
      <c r="BQJ9" s="5">
        <f>IFERROR(VLOOKUP(BQJ$1,'All Weather'!$B$35:$C$55,2,FALSE),0%)</f>
        <v>0</v>
      </c>
      <c r="BQK9" s="5">
        <f>IFERROR(VLOOKUP(BQK$1,'All Weather'!$B$35:$C$55,2,FALSE),0%)</f>
        <v>0</v>
      </c>
      <c r="BQL9" s="5">
        <f>IFERROR(VLOOKUP(BQL$1,'All Weather'!$B$35:$C$55,2,FALSE),0%)</f>
        <v>0</v>
      </c>
      <c r="BQM9" s="5">
        <f>IFERROR(VLOOKUP(BQM$1,'All Weather'!$B$35:$C$55,2,FALSE),0%)</f>
        <v>0</v>
      </c>
      <c r="BQN9" s="5">
        <f>IFERROR(VLOOKUP(BQN$1,'All Weather'!$B$35:$C$55,2,FALSE),0%)</f>
        <v>0</v>
      </c>
      <c r="BQO9" s="5">
        <f>IFERROR(VLOOKUP(BQO$1,'All Weather'!$B$35:$C$55,2,FALSE),0%)</f>
        <v>0</v>
      </c>
      <c r="BQP9" s="5">
        <f>IFERROR(VLOOKUP(BQP$1,'All Weather'!$B$35:$C$55,2,FALSE),0%)</f>
        <v>0</v>
      </c>
      <c r="BQQ9" s="5">
        <f>IFERROR(VLOOKUP(BQQ$1,'All Weather'!$B$35:$C$55,2,FALSE),0%)</f>
        <v>0</v>
      </c>
      <c r="BQR9" s="5">
        <f>IFERROR(VLOOKUP(BQR$1,'All Weather'!$B$35:$C$55,2,FALSE),0%)</f>
        <v>0</v>
      </c>
      <c r="BQS9" s="5">
        <f>IFERROR(VLOOKUP(BQS$1,'All Weather'!$B$35:$C$55,2,FALSE),0%)</f>
        <v>0</v>
      </c>
      <c r="BQT9" s="5">
        <f>IFERROR(VLOOKUP(BQT$1,'All Weather'!$B$35:$C$55,2,FALSE),0%)</f>
        <v>0</v>
      </c>
      <c r="BQU9" s="5">
        <f>IFERROR(VLOOKUP(BQU$1,'All Weather'!$B$35:$C$55,2,FALSE),0%)</f>
        <v>0</v>
      </c>
      <c r="BQV9" s="5">
        <f>IFERROR(VLOOKUP(BQV$1,'All Weather'!$B$35:$C$55,2,FALSE),0%)</f>
        <v>0</v>
      </c>
      <c r="BQW9" s="5">
        <f>IFERROR(VLOOKUP(BQW$1,'All Weather'!$B$35:$C$55,2,FALSE),0%)</f>
        <v>0</v>
      </c>
      <c r="BQX9" s="5">
        <f>IFERROR(VLOOKUP(BQX$1,'All Weather'!$B$35:$C$55,2,FALSE),0%)</f>
        <v>0</v>
      </c>
      <c r="BQY9" s="5">
        <f>IFERROR(VLOOKUP(BQY$1,'All Weather'!$B$35:$C$55,2,FALSE),0%)</f>
        <v>0</v>
      </c>
      <c r="BQZ9" s="5">
        <f>IFERROR(VLOOKUP(BQZ$1,'All Weather'!$B$35:$C$55,2,FALSE),0%)</f>
        <v>0</v>
      </c>
      <c r="BRA9" s="5">
        <f>IFERROR(VLOOKUP(BRA$1,'All Weather'!$B$35:$C$55,2,FALSE),0%)</f>
        <v>0</v>
      </c>
      <c r="BRB9" s="5">
        <f>IFERROR(VLOOKUP(BRB$1,'All Weather'!$B$35:$C$55,2,FALSE),0%)</f>
        <v>0</v>
      </c>
      <c r="BRC9" s="5">
        <f>IFERROR(VLOOKUP(BRC$1,'All Weather'!$B$35:$C$55,2,FALSE),0%)</f>
        <v>0</v>
      </c>
      <c r="BRD9" s="5">
        <f>IFERROR(VLOOKUP(BRD$1,'All Weather'!$B$35:$C$55,2,FALSE),0%)</f>
        <v>0</v>
      </c>
      <c r="BRE9" s="5">
        <f>IFERROR(VLOOKUP(BRE$1,'All Weather'!$B$35:$C$55,2,FALSE),0%)</f>
        <v>0</v>
      </c>
      <c r="BRF9" s="5">
        <f>IFERROR(VLOOKUP(BRF$1,'All Weather'!$B$35:$C$55,2,FALSE),0%)</f>
        <v>0</v>
      </c>
      <c r="BRG9" s="5">
        <f>IFERROR(VLOOKUP(BRG$1,'All Weather'!$B$35:$C$55,2,FALSE),0%)</f>
        <v>0</v>
      </c>
      <c r="BRH9" s="5">
        <f>IFERROR(VLOOKUP(BRH$1,'All Weather'!$B$35:$C$55,2,FALSE),0%)</f>
        <v>0</v>
      </c>
      <c r="BRI9" s="5">
        <f>IFERROR(VLOOKUP(BRI$1,'All Weather'!$B$35:$C$55,2,FALSE),0%)</f>
        <v>0</v>
      </c>
      <c r="BRJ9" s="5">
        <f>IFERROR(VLOOKUP(BRJ$1,'All Weather'!$B$35:$C$55,2,FALSE),0%)</f>
        <v>0</v>
      </c>
      <c r="BRK9" s="5">
        <f>IFERROR(VLOOKUP(BRK$1,'All Weather'!$B$35:$C$55,2,FALSE),0%)</f>
        <v>0</v>
      </c>
      <c r="BRL9" s="5">
        <f>IFERROR(VLOOKUP(BRL$1,'All Weather'!$B$35:$C$55,2,FALSE),0%)</f>
        <v>0</v>
      </c>
      <c r="BRM9" s="5">
        <f>IFERROR(VLOOKUP(BRM$1,'All Weather'!$B$35:$C$55,2,FALSE),0%)</f>
        <v>0</v>
      </c>
      <c r="BRN9" s="5">
        <f>IFERROR(VLOOKUP(BRN$1,'All Weather'!$B$35:$C$55,2,FALSE),0%)</f>
        <v>0</v>
      </c>
      <c r="BRO9" s="5">
        <f>IFERROR(VLOOKUP(BRO$1,'All Weather'!$B$35:$C$55,2,FALSE),0%)</f>
        <v>0</v>
      </c>
      <c r="BRP9" s="5">
        <f>IFERROR(VLOOKUP(BRP$1,'All Weather'!$B$35:$C$55,2,FALSE),0%)</f>
        <v>0</v>
      </c>
      <c r="BRQ9" s="5">
        <f>IFERROR(VLOOKUP(BRQ$1,'All Weather'!$B$35:$C$55,2,FALSE),0%)</f>
        <v>0</v>
      </c>
      <c r="BRR9" s="5">
        <f>IFERROR(VLOOKUP(BRR$1,'All Weather'!$B$35:$C$55,2,FALSE),0%)</f>
        <v>0</v>
      </c>
      <c r="BRS9" s="5">
        <f>IFERROR(VLOOKUP(BRS$1,'All Weather'!$B$35:$C$55,2,FALSE),0%)</f>
        <v>0</v>
      </c>
      <c r="BRT9" s="5">
        <f>IFERROR(VLOOKUP(BRT$1,'All Weather'!$B$35:$C$55,2,FALSE),0%)</f>
        <v>0</v>
      </c>
      <c r="BRU9" s="5">
        <f>IFERROR(VLOOKUP(BRU$1,'All Weather'!$B$35:$C$55,2,FALSE),0%)</f>
        <v>0</v>
      </c>
      <c r="BRV9" s="5">
        <f>IFERROR(VLOOKUP(BRV$1,'All Weather'!$B$35:$C$55,2,FALSE),0%)</f>
        <v>0</v>
      </c>
      <c r="BRW9" s="5">
        <f>IFERROR(VLOOKUP(BRW$1,'All Weather'!$B$35:$C$55,2,FALSE),0%)</f>
        <v>0</v>
      </c>
      <c r="BRX9" s="5">
        <f>IFERROR(VLOOKUP(BRX$1,'All Weather'!$B$35:$C$55,2,FALSE),0%)</f>
        <v>0</v>
      </c>
      <c r="BRY9" s="5">
        <f>IFERROR(VLOOKUP(BRY$1,'All Weather'!$B$35:$C$55,2,FALSE),0%)</f>
        <v>0</v>
      </c>
      <c r="BRZ9" s="5">
        <f>IFERROR(VLOOKUP(BRZ$1,'All Weather'!$B$35:$C$55,2,FALSE),0%)</f>
        <v>0</v>
      </c>
      <c r="BSA9" s="5">
        <f>IFERROR(VLOOKUP(BSA$1,'All Weather'!$B$35:$C$55,2,FALSE),0%)</f>
        <v>0</v>
      </c>
      <c r="BSB9" s="5">
        <f>IFERROR(VLOOKUP(BSB$1,'All Weather'!$B$35:$C$55,2,FALSE),0%)</f>
        <v>0</v>
      </c>
      <c r="BSC9" s="5">
        <f>IFERROR(VLOOKUP(BSC$1,'All Weather'!$B$35:$C$55,2,FALSE),0%)</f>
        <v>0</v>
      </c>
      <c r="BSD9" s="5">
        <f>IFERROR(VLOOKUP(BSD$1,'All Weather'!$B$35:$C$55,2,FALSE),0%)</f>
        <v>0</v>
      </c>
      <c r="BSE9" s="5">
        <f>IFERROR(VLOOKUP(BSE$1,'All Weather'!$B$35:$C$55,2,FALSE),0%)</f>
        <v>0</v>
      </c>
      <c r="BSF9" s="5">
        <f>IFERROR(VLOOKUP(BSF$1,'All Weather'!$B$35:$C$55,2,FALSE),0%)</f>
        <v>0</v>
      </c>
      <c r="BSG9" s="5">
        <f>IFERROR(VLOOKUP(BSG$1,'All Weather'!$B$35:$C$55,2,FALSE),0%)</f>
        <v>0</v>
      </c>
      <c r="BSH9" s="5">
        <f>IFERROR(VLOOKUP(BSH$1,'All Weather'!$B$35:$C$55,2,FALSE),0%)</f>
        <v>0</v>
      </c>
      <c r="BSI9" s="5">
        <f>IFERROR(VLOOKUP(BSI$1,'All Weather'!$B$35:$C$55,2,FALSE),0%)</f>
        <v>0</v>
      </c>
      <c r="BSJ9" s="5">
        <f>IFERROR(VLOOKUP(BSJ$1,'All Weather'!$B$35:$C$55,2,FALSE),0%)</f>
        <v>0</v>
      </c>
      <c r="BSK9" s="5">
        <f>IFERROR(VLOOKUP(BSK$1,'All Weather'!$B$35:$C$55,2,FALSE),0%)</f>
        <v>0</v>
      </c>
      <c r="BSL9" s="5">
        <f>IFERROR(VLOOKUP(BSL$1,'All Weather'!$B$35:$C$55,2,FALSE),0%)</f>
        <v>0</v>
      </c>
      <c r="BSM9" s="5">
        <f>IFERROR(VLOOKUP(BSM$1,'All Weather'!$B$35:$C$55,2,FALSE),0%)</f>
        <v>0</v>
      </c>
      <c r="BSN9" s="5">
        <f>IFERROR(VLOOKUP(BSN$1,'All Weather'!$B$35:$C$55,2,FALSE),0%)</f>
        <v>0</v>
      </c>
      <c r="BSO9" s="5">
        <f>IFERROR(VLOOKUP(BSO$1,'All Weather'!$B$35:$C$55,2,FALSE),0%)</f>
        <v>0</v>
      </c>
      <c r="BSP9" s="5">
        <f>IFERROR(VLOOKUP(BSP$1,'All Weather'!$B$35:$C$55,2,FALSE),0%)</f>
        <v>0</v>
      </c>
      <c r="BSQ9" s="5">
        <f>IFERROR(VLOOKUP(BSQ$1,'All Weather'!$B$35:$C$55,2,FALSE),0%)</f>
        <v>0</v>
      </c>
      <c r="BSR9" s="5">
        <f>IFERROR(VLOOKUP(BSR$1,'All Weather'!$B$35:$C$55,2,FALSE),0%)</f>
        <v>0</v>
      </c>
      <c r="BSS9" s="5">
        <f>IFERROR(VLOOKUP(BSS$1,'All Weather'!$B$35:$C$55,2,FALSE),0%)</f>
        <v>0</v>
      </c>
      <c r="BST9" s="5">
        <f>IFERROR(VLOOKUP(BST$1,'All Weather'!$B$35:$C$55,2,FALSE),0%)</f>
        <v>0</v>
      </c>
      <c r="BSU9" s="5">
        <f>IFERROR(VLOOKUP(BSU$1,'All Weather'!$B$35:$C$55,2,FALSE),0%)</f>
        <v>0</v>
      </c>
      <c r="BSV9" s="5">
        <f>IFERROR(VLOOKUP(BSV$1,'All Weather'!$B$35:$C$55,2,FALSE),0%)</f>
        <v>0</v>
      </c>
      <c r="BSW9" s="5">
        <f>IFERROR(VLOOKUP(BSW$1,'All Weather'!$B$35:$C$55,2,FALSE),0%)</f>
        <v>0</v>
      </c>
      <c r="BSX9" s="5">
        <f>IFERROR(VLOOKUP(BSX$1,'All Weather'!$B$35:$C$55,2,FALSE),0%)</f>
        <v>0</v>
      </c>
      <c r="BSY9" s="5">
        <f>IFERROR(VLOOKUP(BSY$1,'All Weather'!$B$35:$C$55,2,FALSE),0%)</f>
        <v>0</v>
      </c>
      <c r="BSZ9" s="5">
        <f>IFERROR(VLOOKUP(BSZ$1,'All Weather'!$B$35:$C$55,2,FALSE),0%)</f>
        <v>0</v>
      </c>
      <c r="BTA9" s="5">
        <f>IFERROR(VLOOKUP(BTA$1,'All Weather'!$B$35:$C$55,2,FALSE),0%)</f>
        <v>0</v>
      </c>
      <c r="BTB9" s="5">
        <f>IFERROR(VLOOKUP(BTB$1,'All Weather'!$B$35:$C$55,2,FALSE),0%)</f>
        <v>0</v>
      </c>
      <c r="BTC9" s="5">
        <f>IFERROR(VLOOKUP(BTC$1,'All Weather'!$B$35:$C$55,2,FALSE),0%)</f>
        <v>0</v>
      </c>
      <c r="BTD9" s="5">
        <f>IFERROR(VLOOKUP(BTD$1,'All Weather'!$B$35:$C$55,2,FALSE),0%)</f>
        <v>0</v>
      </c>
      <c r="BTE9" s="5">
        <f>IFERROR(VLOOKUP(BTE$1,'All Weather'!$B$35:$C$55,2,FALSE),0%)</f>
        <v>0</v>
      </c>
      <c r="BTF9" s="5">
        <f>IFERROR(VLOOKUP(BTF$1,'All Weather'!$B$35:$C$55,2,FALSE),0%)</f>
        <v>0</v>
      </c>
      <c r="BTG9" s="5">
        <f>IFERROR(VLOOKUP(BTG$1,'All Weather'!$B$35:$C$55,2,FALSE),0%)</f>
        <v>0</v>
      </c>
      <c r="BTH9" s="5">
        <f>IFERROR(VLOOKUP(BTH$1,'All Weather'!$B$35:$C$55,2,FALSE),0%)</f>
        <v>0</v>
      </c>
      <c r="BTI9" s="5">
        <f>IFERROR(VLOOKUP(BTI$1,'All Weather'!$B$35:$C$55,2,FALSE),0%)</f>
        <v>0</v>
      </c>
      <c r="BTJ9" s="5">
        <f>IFERROR(VLOOKUP(BTJ$1,'All Weather'!$B$35:$C$55,2,FALSE),0%)</f>
        <v>0</v>
      </c>
      <c r="BTK9" s="5">
        <f>IFERROR(VLOOKUP(BTK$1,'All Weather'!$B$35:$C$55,2,FALSE),0%)</f>
        <v>0</v>
      </c>
      <c r="BTL9" s="5">
        <f>IFERROR(VLOOKUP(BTL$1,'All Weather'!$B$35:$C$55,2,FALSE),0%)</f>
        <v>0</v>
      </c>
      <c r="BTM9" s="5">
        <f>IFERROR(VLOOKUP(BTM$1,'All Weather'!$B$35:$C$55,2,FALSE),0%)</f>
        <v>0</v>
      </c>
      <c r="BTN9" s="5">
        <f>IFERROR(VLOOKUP(BTN$1,'All Weather'!$B$35:$C$55,2,FALSE),0%)</f>
        <v>0</v>
      </c>
      <c r="BTO9" s="5">
        <f>IFERROR(VLOOKUP(BTO$1,'All Weather'!$B$35:$C$55,2,FALSE),0%)</f>
        <v>0</v>
      </c>
      <c r="BTP9" s="5">
        <f>IFERROR(VLOOKUP(BTP$1,'All Weather'!$B$35:$C$55,2,FALSE),0%)</f>
        <v>0</v>
      </c>
      <c r="BTQ9" s="5">
        <f>IFERROR(VLOOKUP(BTQ$1,'All Weather'!$B$35:$C$55,2,FALSE),0%)</f>
        <v>0</v>
      </c>
      <c r="BTR9" s="5">
        <f>IFERROR(VLOOKUP(BTR$1,'All Weather'!$B$35:$C$55,2,FALSE),0%)</f>
        <v>0</v>
      </c>
      <c r="BTS9" s="5">
        <f>IFERROR(VLOOKUP(BTS$1,'All Weather'!$B$35:$C$55,2,FALSE),0%)</f>
        <v>0</v>
      </c>
      <c r="BTT9" s="5">
        <f>IFERROR(VLOOKUP(BTT$1,'All Weather'!$B$35:$C$55,2,FALSE),0%)</f>
        <v>0</v>
      </c>
      <c r="BTU9" s="5">
        <f>IFERROR(VLOOKUP(BTU$1,'All Weather'!$B$35:$C$55,2,FALSE),0%)</f>
        <v>0</v>
      </c>
      <c r="BTV9" s="5">
        <f>IFERROR(VLOOKUP(BTV$1,'All Weather'!$B$35:$C$55,2,FALSE),0%)</f>
        <v>0</v>
      </c>
      <c r="BTW9" s="5">
        <f>IFERROR(VLOOKUP(BTW$1,'All Weather'!$B$35:$C$55,2,FALSE),0%)</f>
        <v>0</v>
      </c>
      <c r="BTX9" s="5">
        <f>IFERROR(VLOOKUP(BTX$1,'All Weather'!$B$35:$C$55,2,FALSE),0%)</f>
        <v>0</v>
      </c>
      <c r="BTY9" s="5">
        <f>IFERROR(VLOOKUP(BTY$1,'All Weather'!$B$35:$C$55,2,FALSE),0%)</f>
        <v>0</v>
      </c>
      <c r="BTZ9" s="5">
        <f>IFERROR(VLOOKUP(BTZ$1,'All Weather'!$B$35:$C$55,2,FALSE),0%)</f>
        <v>0.098</v>
      </c>
      <c r="BUA9" s="5">
        <f>IFERROR(VLOOKUP(BUA$1,'All Weather'!$B$35:$C$55,2,FALSE),0%)</f>
        <v>0</v>
      </c>
      <c r="BUB9" s="5">
        <f>IFERROR(VLOOKUP(BUB$1,'All Weather'!$B$35:$C$55,2,FALSE),0%)</f>
        <v>0</v>
      </c>
      <c r="BUC9" s="5">
        <f>IFERROR(VLOOKUP(BUC$1,'All Weather'!$B$35:$C$55,2,FALSE),0%)</f>
        <v>0</v>
      </c>
      <c r="BUD9" s="5">
        <f>IFERROR(VLOOKUP(BUD$1,'All Weather'!$B$35:$C$55,2,FALSE),0%)</f>
        <v>0</v>
      </c>
      <c r="BUE9" s="5">
        <f>IFERROR(VLOOKUP(BUE$1,'All Weather'!$B$35:$C$55,2,FALSE),0%)</f>
        <v>0</v>
      </c>
      <c r="BUF9" s="5">
        <f>IFERROR(VLOOKUP(BUF$1,'All Weather'!$B$35:$C$55,2,FALSE),0%)</f>
        <v>0</v>
      </c>
      <c r="BUG9" s="5">
        <f>IFERROR(VLOOKUP(BUG$1,'All Weather'!$B$35:$C$55,2,FALSE),0%)</f>
        <v>0</v>
      </c>
      <c r="BUH9" s="5">
        <f>IFERROR(VLOOKUP(BUH$1,'All Weather'!$B$35:$C$55,2,FALSE),0%)</f>
        <v>0</v>
      </c>
      <c r="BUI9" s="5">
        <f>IFERROR(VLOOKUP(BUI$1,'All Weather'!$B$35:$C$55,2,FALSE),0%)</f>
        <v>0</v>
      </c>
      <c r="BUJ9" s="5">
        <f>IFERROR(VLOOKUP(BUJ$1,'All Weather'!$B$35:$C$55,2,FALSE),0%)</f>
        <v>0</v>
      </c>
      <c r="BUK9" s="5">
        <f>IFERROR(VLOOKUP(BUK$1,'All Weather'!$B$35:$C$55,2,FALSE),0%)</f>
        <v>0</v>
      </c>
      <c r="BUL9" s="5">
        <f>IFERROR(VLOOKUP(BUL$1,'All Weather'!$B$35:$C$55,2,FALSE),0%)</f>
        <v>0</v>
      </c>
      <c r="BUM9" s="5">
        <f>IFERROR(VLOOKUP(BUM$1,'All Weather'!$B$35:$C$55,2,FALSE),0%)</f>
        <v>0</v>
      </c>
      <c r="BUN9" s="5">
        <f>IFERROR(VLOOKUP(BUN$1,'All Weather'!$B$35:$C$55,2,FALSE),0%)</f>
        <v>0</v>
      </c>
      <c r="BUO9" s="5">
        <f>IFERROR(VLOOKUP(BUO$1,'All Weather'!$B$35:$C$55,2,FALSE),0%)</f>
        <v>0</v>
      </c>
      <c r="BUP9" s="5">
        <f>IFERROR(VLOOKUP(BUP$1,'All Weather'!$B$35:$C$55,2,FALSE),0%)</f>
        <v>0</v>
      </c>
      <c r="BUQ9" s="5">
        <f>IFERROR(VLOOKUP(BUQ$1,'All Weather'!$B$35:$C$55,2,FALSE),0%)</f>
        <v>0</v>
      </c>
      <c r="BUR9" s="5">
        <f>IFERROR(VLOOKUP(BUR$1,'All Weather'!$B$35:$C$55,2,FALSE),0%)</f>
        <v>0</v>
      </c>
      <c r="BUS9" s="5">
        <f>IFERROR(VLOOKUP(BUS$1,'All Weather'!$B$35:$C$55,2,FALSE),0%)</f>
        <v>0</v>
      </c>
      <c r="BUT9" s="5">
        <f>IFERROR(VLOOKUP(BUT$1,'All Weather'!$B$35:$C$55,2,FALSE),0%)</f>
        <v>0</v>
      </c>
      <c r="BUU9" s="5">
        <f>IFERROR(VLOOKUP(BUU$1,'All Weather'!$B$35:$C$55,2,FALSE),0%)</f>
        <v>0</v>
      </c>
      <c r="BUV9" s="5">
        <f>IFERROR(VLOOKUP(BUV$1,'All Weather'!$B$35:$C$55,2,FALSE),0%)</f>
        <v>0</v>
      </c>
      <c r="BUW9" s="5">
        <f>IFERROR(VLOOKUP(BUW$1,'All Weather'!$B$35:$C$55,2,FALSE),0%)</f>
        <v>0</v>
      </c>
      <c r="BUX9" s="5">
        <f>IFERROR(VLOOKUP(BUX$1,'All Weather'!$B$35:$C$55,2,FALSE),0%)</f>
        <v>0</v>
      </c>
      <c r="BUY9" s="5">
        <f>IFERROR(VLOOKUP(BUY$1,'All Weather'!$B$35:$C$55,2,FALSE),0%)</f>
        <v>0</v>
      </c>
      <c r="BUZ9" s="5">
        <f>IFERROR(VLOOKUP(BUZ$1,'All Weather'!$B$35:$C$55,2,FALSE),0%)</f>
        <v>0</v>
      </c>
      <c r="BVA9" s="5">
        <f>IFERROR(VLOOKUP(BVA$1,'All Weather'!$B$35:$C$55,2,FALSE),0%)</f>
        <v>0</v>
      </c>
      <c r="BVB9" s="5">
        <f>IFERROR(VLOOKUP(BVB$1,'All Weather'!$B$35:$C$55,2,FALSE),0%)</f>
        <v>0</v>
      </c>
      <c r="BVC9" s="5">
        <f>IFERROR(VLOOKUP(BVC$1,'All Weather'!$B$35:$C$55,2,FALSE),0%)</f>
        <v>0</v>
      </c>
      <c r="BVD9" s="5">
        <f>IFERROR(VLOOKUP(BVD$1,'All Weather'!$B$35:$C$55,2,FALSE),0%)</f>
        <v>0</v>
      </c>
      <c r="BVE9" s="5">
        <f>IFERROR(VLOOKUP(BVE$1,'All Weather'!$B$35:$C$55,2,FALSE),0%)</f>
        <v>0</v>
      </c>
      <c r="BVF9" s="5">
        <f>IFERROR(VLOOKUP(BVF$1,'All Weather'!$B$35:$C$55,2,FALSE),0%)</f>
        <v>0</v>
      </c>
      <c r="BVG9" s="5">
        <f>IFERROR(VLOOKUP(BVG$1,'All Weather'!$B$35:$C$55,2,FALSE),0%)</f>
        <v>0</v>
      </c>
      <c r="BVH9" s="5">
        <f>IFERROR(VLOOKUP(BVH$1,'All Weather'!$B$35:$C$55,2,FALSE),0%)</f>
        <v>0</v>
      </c>
      <c r="BVI9" s="5">
        <f>IFERROR(VLOOKUP(BVI$1,'All Weather'!$B$35:$C$55,2,FALSE),0%)</f>
        <v>0</v>
      </c>
      <c r="BVJ9" s="5">
        <f>IFERROR(VLOOKUP(BVJ$1,'All Weather'!$B$35:$C$55,2,FALSE),0%)</f>
        <v>0</v>
      </c>
      <c r="BVK9" s="5">
        <f>IFERROR(VLOOKUP(BVK$1,'All Weather'!$B$35:$C$55,2,FALSE),0%)</f>
        <v>0</v>
      </c>
      <c r="BVL9" s="5">
        <f>IFERROR(VLOOKUP(BVL$1,'All Weather'!$B$35:$C$55,2,FALSE),0%)</f>
        <v>0</v>
      </c>
      <c r="BVM9" s="5">
        <f>IFERROR(VLOOKUP(BVM$1,'All Weather'!$B$35:$C$55,2,FALSE),0%)</f>
        <v>0</v>
      </c>
      <c r="BVN9" s="5">
        <f>IFERROR(VLOOKUP(BVN$1,'All Weather'!$B$35:$C$55,2,FALSE),0%)</f>
        <v>0</v>
      </c>
      <c r="BVO9" s="5">
        <f>IFERROR(VLOOKUP(BVO$1,'All Weather'!$B$35:$C$55,2,FALSE),0%)</f>
        <v>0</v>
      </c>
      <c r="BVP9" s="5">
        <f>IFERROR(VLOOKUP(BVP$1,'All Weather'!$B$35:$C$55,2,FALSE),0%)</f>
        <v>0</v>
      </c>
      <c r="BVQ9" s="5">
        <f>IFERROR(VLOOKUP(BVQ$1,'All Weather'!$B$35:$C$55,2,FALSE),0%)</f>
        <v>0</v>
      </c>
      <c r="BVR9" s="5">
        <f>IFERROR(VLOOKUP(BVR$1,'All Weather'!$B$35:$C$55,2,FALSE),0%)</f>
        <v>0</v>
      </c>
      <c r="BVS9" s="5">
        <f>IFERROR(VLOOKUP(BVS$1,'All Weather'!$B$35:$C$55,2,FALSE),0%)</f>
        <v>0</v>
      </c>
      <c r="BVT9" s="5">
        <f>IFERROR(VLOOKUP(BVT$1,'All Weather'!$B$35:$C$55,2,FALSE),0%)</f>
        <v>0</v>
      </c>
      <c r="BVU9" s="5">
        <f>IFERROR(VLOOKUP(BVU$1,'All Weather'!$B$35:$C$55,2,FALSE),0%)</f>
        <v>0</v>
      </c>
      <c r="BVV9" s="5">
        <f>IFERROR(VLOOKUP(BVV$1,'All Weather'!$B$35:$C$55,2,FALSE),0%)</f>
        <v>0</v>
      </c>
      <c r="BVW9" s="5">
        <f>IFERROR(VLOOKUP(BVW$1,'All Weather'!$B$35:$C$55,2,FALSE),0%)</f>
        <v>0</v>
      </c>
      <c r="BVX9" s="5">
        <f>IFERROR(VLOOKUP(BVX$1,'All Weather'!$B$35:$C$55,2,FALSE),0%)</f>
        <v>0</v>
      </c>
      <c r="BVY9" s="5">
        <f>IFERROR(VLOOKUP(BVY$1,'All Weather'!$B$35:$C$55,2,FALSE),0%)</f>
        <v>0</v>
      </c>
      <c r="BVZ9" s="5">
        <f>IFERROR(VLOOKUP(BVZ$1,'All Weather'!$B$35:$C$55,2,FALSE),0%)</f>
        <v>0</v>
      </c>
      <c r="BWA9" s="5">
        <f>IFERROR(VLOOKUP(BWA$1,'All Weather'!$B$35:$C$55,2,FALSE),0%)</f>
        <v>0</v>
      </c>
      <c r="BWB9" s="5">
        <f>IFERROR(VLOOKUP(BWB$1,'All Weather'!$B$35:$C$55,2,FALSE),0%)</f>
        <v>0</v>
      </c>
      <c r="BWC9" s="5">
        <f>IFERROR(VLOOKUP(BWC$1,'All Weather'!$B$35:$C$55,2,FALSE),0%)</f>
        <v>0</v>
      </c>
      <c r="BWD9" s="5">
        <f>IFERROR(VLOOKUP(BWD$1,'All Weather'!$B$35:$C$55,2,FALSE),0%)</f>
        <v>0</v>
      </c>
      <c r="BWE9" s="5">
        <f>IFERROR(VLOOKUP(BWE$1,'All Weather'!$B$35:$C$55,2,FALSE),0%)</f>
        <v>0</v>
      </c>
      <c r="BWF9" s="5">
        <f>IFERROR(VLOOKUP(BWF$1,'All Weather'!$B$35:$C$55,2,FALSE),0%)</f>
        <v>0</v>
      </c>
      <c r="BWG9" s="5">
        <f>IFERROR(VLOOKUP(BWG$1,'All Weather'!$B$35:$C$55,2,FALSE),0%)</f>
        <v>0</v>
      </c>
      <c r="BWH9" s="5">
        <f>IFERROR(VLOOKUP(BWH$1,'All Weather'!$B$35:$C$55,2,FALSE),0%)</f>
        <v>0</v>
      </c>
      <c r="BWI9" s="5">
        <f>IFERROR(VLOOKUP(BWI$1,'All Weather'!$B$35:$C$55,2,FALSE),0%)</f>
        <v>0</v>
      </c>
      <c r="BWJ9" s="5">
        <f>IFERROR(VLOOKUP(BWJ$1,'All Weather'!$B$35:$C$55,2,FALSE),0%)</f>
        <v>0</v>
      </c>
      <c r="BWK9" s="5">
        <f>IFERROR(VLOOKUP(BWK$1,'All Weather'!$B$35:$C$55,2,FALSE),0%)</f>
        <v>0</v>
      </c>
      <c r="BWL9" s="5">
        <f>IFERROR(VLOOKUP(BWL$1,'All Weather'!$B$35:$C$55,2,FALSE),0%)</f>
        <v>0</v>
      </c>
      <c r="BWM9" s="5">
        <f>IFERROR(VLOOKUP(BWM$1,'All Weather'!$B$35:$C$55,2,FALSE),0%)</f>
        <v>0</v>
      </c>
      <c r="BWN9" s="5">
        <f>IFERROR(VLOOKUP(BWN$1,'All Weather'!$B$35:$C$55,2,FALSE),0%)</f>
        <v>0</v>
      </c>
      <c r="BWO9" s="5">
        <f>IFERROR(VLOOKUP(BWO$1,'All Weather'!$B$35:$C$55,2,FALSE),0%)</f>
        <v>0</v>
      </c>
      <c r="BWP9" s="5">
        <f>IFERROR(VLOOKUP(BWP$1,'All Weather'!$B$35:$C$55,2,FALSE),0%)</f>
        <v>0</v>
      </c>
      <c r="BWQ9" s="5">
        <f>IFERROR(VLOOKUP(BWQ$1,'All Weather'!$B$35:$C$55,2,FALSE),0%)</f>
        <v>0</v>
      </c>
      <c r="BWR9" s="5">
        <f>IFERROR(VLOOKUP(BWR$1,'All Weather'!$B$35:$C$55,2,FALSE),0%)</f>
        <v>0</v>
      </c>
      <c r="BWS9" s="5">
        <f>IFERROR(VLOOKUP(BWS$1,'All Weather'!$B$35:$C$55,2,FALSE),0%)</f>
        <v>0</v>
      </c>
      <c r="BWT9" s="5">
        <f>IFERROR(VLOOKUP(BWT$1,'All Weather'!$B$35:$C$55,2,FALSE),0%)</f>
        <v>0</v>
      </c>
      <c r="BWU9" s="5">
        <f>IFERROR(VLOOKUP(BWU$1,'All Weather'!$B$35:$C$55,2,FALSE),0%)</f>
        <v>0</v>
      </c>
      <c r="BWV9" s="5">
        <f>IFERROR(VLOOKUP(BWV$1,'All Weather'!$B$35:$C$55,2,FALSE),0%)</f>
        <v>0</v>
      </c>
      <c r="BWW9" s="5">
        <f>IFERROR(VLOOKUP(BWW$1,'All Weather'!$B$35:$C$55,2,FALSE),0%)</f>
        <v>0</v>
      </c>
      <c r="BWX9" s="5">
        <f>IFERROR(VLOOKUP(BWX$1,'All Weather'!$B$35:$C$55,2,FALSE),0%)</f>
        <v>0</v>
      </c>
      <c r="BWY9" s="5">
        <f>IFERROR(VLOOKUP(BWY$1,'All Weather'!$B$35:$C$55,2,FALSE),0%)</f>
        <v>0</v>
      </c>
      <c r="BWZ9" s="5">
        <f>IFERROR(VLOOKUP(BWZ$1,'All Weather'!$B$35:$C$55,2,FALSE),0%)</f>
        <v>0</v>
      </c>
      <c r="BXA9" s="5">
        <f>IFERROR(VLOOKUP(BXA$1,'All Weather'!$B$35:$C$55,2,FALSE),0%)</f>
        <v>0</v>
      </c>
      <c r="BXB9" s="5">
        <f>IFERROR(VLOOKUP(BXB$1,'All Weather'!$B$35:$C$55,2,FALSE),0%)</f>
        <v>0</v>
      </c>
      <c r="BXC9" s="5">
        <f>IFERROR(VLOOKUP(BXC$1,'All Weather'!$B$35:$C$55,2,FALSE),0%)</f>
        <v>0</v>
      </c>
      <c r="BXD9" s="5">
        <f>IFERROR(VLOOKUP(BXD$1,'All Weather'!$B$35:$C$55,2,FALSE),0%)</f>
        <v>0</v>
      </c>
      <c r="BXE9" s="5">
        <f>IFERROR(VLOOKUP(BXE$1,'All Weather'!$B$35:$C$55,2,FALSE),0%)</f>
        <v>0</v>
      </c>
      <c r="BXF9" s="5">
        <f>IFERROR(VLOOKUP(BXF$1,'All Weather'!$B$35:$C$55,2,FALSE),0%)</f>
        <v>0</v>
      </c>
      <c r="BXG9" s="5">
        <f>IFERROR(VLOOKUP(BXG$1,'All Weather'!$B$35:$C$55,2,FALSE),0%)</f>
        <v>0</v>
      </c>
      <c r="BXH9" s="5">
        <f>IFERROR(VLOOKUP(BXH$1,'All Weather'!$B$35:$C$55,2,FALSE),0%)</f>
        <v>0</v>
      </c>
      <c r="BXI9" s="5">
        <f>IFERROR(VLOOKUP(BXI$1,'All Weather'!$B$35:$C$55,2,FALSE),0%)</f>
        <v>0</v>
      </c>
      <c r="BXJ9" s="5">
        <f>IFERROR(VLOOKUP(BXJ$1,'All Weather'!$B$35:$C$55,2,FALSE),0%)</f>
        <v>0</v>
      </c>
      <c r="BXK9" s="5">
        <f>IFERROR(VLOOKUP(BXK$1,'All Weather'!$B$35:$C$55,2,FALSE),0%)</f>
        <v>0</v>
      </c>
      <c r="BXL9" s="5">
        <f>IFERROR(VLOOKUP(BXL$1,'All Weather'!$B$35:$C$55,2,FALSE),0%)</f>
        <v>0</v>
      </c>
      <c r="BXM9" s="5">
        <f>IFERROR(VLOOKUP(BXM$1,'All Weather'!$B$35:$C$55,2,FALSE),0%)</f>
        <v>0</v>
      </c>
      <c r="BXN9" s="5">
        <f>IFERROR(VLOOKUP(BXN$1,'All Weather'!$B$35:$C$55,2,FALSE),0%)</f>
        <v>0</v>
      </c>
      <c r="BXO9" s="5">
        <f>IFERROR(VLOOKUP(BXO$1,'All Weather'!$B$35:$C$55,2,FALSE),0%)</f>
        <v>0</v>
      </c>
      <c r="BXP9" s="5">
        <f>IFERROR(VLOOKUP(BXP$1,'All Weather'!$B$35:$C$55,2,FALSE),0%)</f>
        <v>0</v>
      </c>
      <c r="BXQ9" s="5">
        <f>IFERROR(VLOOKUP(BXQ$1,'All Weather'!$B$35:$C$55,2,FALSE),0%)</f>
        <v>0</v>
      </c>
      <c r="BXR9" s="5">
        <f>IFERROR(VLOOKUP(BXR$1,'All Weather'!$B$35:$C$55,2,FALSE),0%)</f>
        <v>0</v>
      </c>
      <c r="BXS9" s="5">
        <f>IFERROR(VLOOKUP(BXS$1,'All Weather'!$B$35:$C$55,2,FALSE),0%)</f>
        <v>0</v>
      </c>
      <c r="BXT9" s="5">
        <f>IFERROR(VLOOKUP(BXT$1,'All Weather'!$B$35:$C$55,2,FALSE),0%)</f>
        <v>0</v>
      </c>
      <c r="BXU9" s="5">
        <f>IFERROR(VLOOKUP(BXU$1,'All Weather'!$B$35:$C$55,2,FALSE),0%)</f>
        <v>0</v>
      </c>
      <c r="BXV9" s="5">
        <f>IFERROR(VLOOKUP(BXV$1,'All Weather'!$B$35:$C$55,2,FALSE),0%)</f>
        <v>0</v>
      </c>
      <c r="BXW9" s="5">
        <f>IFERROR(VLOOKUP(BXW$1,'All Weather'!$B$35:$C$55,2,FALSE),0%)</f>
        <v>0</v>
      </c>
      <c r="BXX9" s="5">
        <f>IFERROR(VLOOKUP(BXX$1,'All Weather'!$B$35:$C$55,2,FALSE),0%)</f>
        <v>0</v>
      </c>
      <c r="BXY9" s="5">
        <f>IFERROR(VLOOKUP(BXY$1,'All Weather'!$B$35:$C$55,2,FALSE),0%)</f>
        <v>0</v>
      </c>
      <c r="BXZ9" s="5">
        <f>IFERROR(VLOOKUP(BXZ$1,'All Weather'!$B$35:$C$55,2,FALSE),0%)</f>
        <v>0</v>
      </c>
      <c r="BYA9" s="5">
        <f>IFERROR(VLOOKUP(BYA$1,'All Weather'!$B$35:$C$55,2,FALSE),0%)</f>
        <v>0</v>
      </c>
      <c r="BYB9" s="5">
        <f>IFERROR(VLOOKUP(BYB$1,'All Weather'!$B$35:$C$55,2,FALSE),0%)</f>
        <v>0.0488</v>
      </c>
      <c r="BYC9" s="5">
        <f>IFERROR(VLOOKUP(BYC$1,'All Weather'!$B$35:$C$55,2,FALSE),0%)</f>
        <v>0</v>
      </c>
      <c r="BYD9" s="5">
        <f>IFERROR(VLOOKUP(BYD$1,'All Weather'!$B$35:$C$55,2,FALSE),0%)</f>
        <v>0</v>
      </c>
      <c r="BYE9" s="5">
        <f>IFERROR(VLOOKUP(BYE$1,'All Weather'!$B$35:$C$55,2,FALSE),0%)</f>
        <v>0</v>
      </c>
      <c r="BYF9" s="5">
        <f>IFERROR(VLOOKUP(BYF$1,'All Weather'!$B$35:$C$55,2,FALSE),0%)</f>
        <v>0</v>
      </c>
      <c r="BYG9" s="5">
        <f>IFERROR(VLOOKUP(BYG$1,'All Weather'!$B$35:$C$55,2,FALSE),0%)</f>
        <v>0</v>
      </c>
      <c r="BYH9" s="5">
        <f>IFERROR(VLOOKUP(BYH$1,'All Weather'!$B$35:$C$55,2,FALSE),0%)</f>
        <v>0</v>
      </c>
      <c r="BYI9" s="5">
        <f>IFERROR(VLOOKUP(BYI$1,'All Weather'!$B$35:$C$55,2,FALSE),0%)</f>
        <v>0</v>
      </c>
      <c r="BYJ9" s="5">
        <f>IFERROR(VLOOKUP(BYJ$1,'All Weather'!$B$35:$C$55,2,FALSE),0%)</f>
        <v>0</v>
      </c>
      <c r="BYK9" s="5">
        <f>IFERROR(VLOOKUP(BYK$1,'All Weather'!$B$35:$C$55,2,FALSE),0%)</f>
        <v>0</v>
      </c>
      <c r="BYL9" s="5">
        <f>IFERROR(VLOOKUP(BYL$1,'All Weather'!$B$35:$C$55,2,FALSE),0%)</f>
        <v>0</v>
      </c>
    </row>
    <row r="10">
      <c r="A10" s="4" t="s">
        <v>2022</v>
      </c>
      <c r="B10" s="5">
        <f>IFERROR(VLOOKUP(B$1,'Renta Mixta Moderado'!$B$35:$C$62,2,FALSE),0%)</f>
        <v>0</v>
      </c>
      <c r="C10" s="5">
        <f>IFERROR(VLOOKUP(C$1,'Renta Mixta Moderado'!$B$35:$C$62,2,FALSE),0%)</f>
        <v>0</v>
      </c>
      <c r="D10" s="5">
        <f>IFERROR(VLOOKUP(D$1,'Renta Mixta Moderado'!$B$35:$C$62,2,FALSE),0%)</f>
        <v>0</v>
      </c>
      <c r="E10" s="5">
        <f>IFERROR(VLOOKUP(E$1,'Renta Mixta Moderado'!$B$35:$C$62,2,FALSE),0%)</f>
        <v>0</v>
      </c>
      <c r="F10" s="5">
        <f>IFERROR(VLOOKUP(F$1,'Renta Mixta Moderado'!$B$35:$C$62,2,FALSE),0%)</f>
        <v>0</v>
      </c>
      <c r="G10" s="5">
        <f>IFERROR(VLOOKUP(G$1,'Renta Mixta Moderado'!$B$35:$C$62,2,FALSE),0%)</f>
        <v>0</v>
      </c>
      <c r="H10" s="5">
        <f>IFERROR(VLOOKUP(H$1,'Renta Mixta Moderado'!$B$35:$C$62,2,FALSE),0%)</f>
        <v>0</v>
      </c>
      <c r="I10" s="5">
        <f>IFERROR(VLOOKUP(I$1,'Renta Mixta Moderado'!$B$35:$C$62,2,FALSE),0%)</f>
        <v>0</v>
      </c>
      <c r="J10" s="5">
        <f>IFERROR(VLOOKUP(J$1,'Renta Mixta Moderado'!$B$35:$C$62,2,FALSE),0%)</f>
        <v>0</v>
      </c>
      <c r="K10" s="5">
        <f>IFERROR(VLOOKUP(K$1,'Renta Mixta Moderado'!$B$35:$C$62,2,FALSE),0%)</f>
        <v>0</v>
      </c>
      <c r="L10" s="5">
        <f>IFERROR(VLOOKUP(L$1,'Renta Mixta Moderado'!$B$35:$C$62,2,FALSE),0%)</f>
        <v>0</v>
      </c>
      <c r="M10" s="5">
        <f>IFERROR(VLOOKUP(M$1,'Renta Mixta Moderado'!$B$35:$C$62,2,FALSE),0%)</f>
        <v>0</v>
      </c>
      <c r="N10" s="5">
        <f>IFERROR(VLOOKUP(N$1,'Renta Mixta Moderado'!$B$35:$C$62,2,FALSE),0%)</f>
        <v>0</v>
      </c>
      <c r="O10" s="5">
        <f>IFERROR(VLOOKUP(O$1,'Renta Mixta Moderado'!$B$35:$C$62,2,FALSE),0%)</f>
        <v>0</v>
      </c>
      <c r="P10" s="5">
        <f>IFERROR(VLOOKUP(P$1,'Renta Mixta Moderado'!$B$35:$C$62,2,FALSE),0%)</f>
        <v>0</v>
      </c>
      <c r="Q10" s="5">
        <f>IFERROR(VLOOKUP(Q$1,'Renta Mixta Moderado'!$B$35:$C$62,2,FALSE),0%)</f>
        <v>0</v>
      </c>
      <c r="R10" s="5">
        <f>IFERROR(VLOOKUP(R$1,'Renta Mixta Moderado'!$B$35:$C$62,2,FALSE),0%)</f>
        <v>0</v>
      </c>
      <c r="S10" s="5">
        <f>IFERROR(VLOOKUP(S$1,'Renta Mixta Moderado'!$B$35:$C$62,2,FALSE),0%)</f>
        <v>0</v>
      </c>
      <c r="T10" s="5">
        <f>IFERROR(VLOOKUP(T$1,'Renta Mixta Moderado'!$B$35:$C$62,2,FALSE),0%)</f>
        <v>0</v>
      </c>
      <c r="U10" s="5">
        <f>IFERROR(VLOOKUP(U$1,'Renta Mixta Moderado'!$B$35:$C$62,2,FALSE),0%)</f>
        <v>0</v>
      </c>
      <c r="V10" s="5">
        <f>IFERROR(VLOOKUP(V$1,'Renta Mixta Moderado'!$B$35:$C$62,2,FALSE),0%)</f>
        <v>0</v>
      </c>
      <c r="W10" s="5">
        <f>IFERROR(VLOOKUP(W$1,'Renta Mixta Moderado'!$B$35:$C$62,2,FALSE),0%)</f>
        <v>0</v>
      </c>
      <c r="X10" s="5">
        <f>IFERROR(VLOOKUP(X$1,'Renta Mixta Moderado'!$B$35:$C$62,2,FALSE),0%)</f>
        <v>0</v>
      </c>
      <c r="Y10" s="5">
        <f>IFERROR(VLOOKUP(Y$1,'Renta Mixta Moderado'!$B$35:$C$62,2,FALSE),0%)</f>
        <v>0</v>
      </c>
      <c r="Z10" s="5">
        <f>IFERROR(VLOOKUP(Z$1,'Renta Mixta Moderado'!$B$35:$C$62,2,FALSE),0%)</f>
        <v>0</v>
      </c>
      <c r="AA10" s="5">
        <f>IFERROR(VLOOKUP(AA$1,'Renta Mixta Moderado'!$B$35:$C$62,2,FALSE),0%)</f>
        <v>0</v>
      </c>
      <c r="AB10" s="5">
        <f>IFERROR(VLOOKUP(AB$1,'Renta Mixta Moderado'!$B$35:$C$62,2,FALSE),0%)</f>
        <v>0</v>
      </c>
      <c r="AC10" s="5">
        <f>IFERROR(VLOOKUP(AC$1,'Renta Mixta Moderado'!$B$35:$C$62,2,FALSE),0%)</f>
        <v>0</v>
      </c>
      <c r="AD10" s="5">
        <f>IFERROR(VLOOKUP(AD$1,'Renta Mixta Moderado'!$B$35:$C$62,2,FALSE),0%)</f>
        <v>0</v>
      </c>
      <c r="AE10" s="5">
        <f>IFERROR(VLOOKUP(AE$1,'Renta Mixta Moderado'!$B$35:$C$62,2,FALSE),0%)</f>
        <v>0</v>
      </c>
      <c r="AF10" s="5">
        <f>IFERROR(VLOOKUP(AF$1,'Renta Mixta Moderado'!$B$35:$C$62,2,FALSE),0%)</f>
        <v>0</v>
      </c>
      <c r="AG10" s="5">
        <f>IFERROR(VLOOKUP(AG$1,'Renta Mixta Moderado'!$B$35:$C$62,2,FALSE),0%)</f>
        <v>0</v>
      </c>
      <c r="AH10" s="5">
        <f>IFERROR(VLOOKUP(AH$1,'Renta Mixta Moderado'!$B$35:$C$62,2,FALSE),0%)</f>
        <v>0</v>
      </c>
      <c r="AI10" s="5">
        <f>IFERROR(VLOOKUP(AI$1,'Renta Mixta Moderado'!$B$35:$C$62,2,FALSE),0%)</f>
        <v>0</v>
      </c>
      <c r="AJ10" s="5">
        <f>IFERROR(VLOOKUP(AJ$1,'Renta Mixta Moderado'!$B$35:$C$62,2,FALSE),0%)</f>
        <v>0</v>
      </c>
      <c r="AK10" s="5">
        <f>IFERROR(VLOOKUP(AK$1,'Renta Mixta Moderado'!$B$35:$C$62,2,FALSE),0%)</f>
        <v>0.02297793864</v>
      </c>
      <c r="AL10" s="5">
        <f>IFERROR(VLOOKUP(AL$1,'Renta Mixta Moderado'!$B$35:$C$62,2,FALSE),0%)</f>
        <v>0</v>
      </c>
      <c r="AM10" s="5">
        <f>IFERROR(VLOOKUP(AM$1,'Renta Mixta Moderado'!$B$35:$C$62,2,FALSE),0%)</f>
        <v>0</v>
      </c>
      <c r="AN10" s="5">
        <f>IFERROR(VLOOKUP(AN$1,'Renta Mixta Moderado'!$B$35:$C$62,2,FALSE),0%)</f>
        <v>0</v>
      </c>
      <c r="AO10" s="5">
        <f>IFERROR(VLOOKUP(AO$1,'Renta Mixta Moderado'!$B$35:$C$62,2,FALSE),0%)</f>
        <v>0</v>
      </c>
      <c r="AP10" s="5">
        <f>IFERROR(VLOOKUP(AP$1,'Renta Mixta Moderado'!$B$35:$C$62,2,FALSE),0%)</f>
        <v>0</v>
      </c>
      <c r="AQ10" s="5">
        <f>IFERROR(VLOOKUP(AQ$1,'Renta Mixta Moderado'!$B$35:$C$62,2,FALSE),0%)</f>
        <v>0</v>
      </c>
      <c r="AR10" s="5">
        <f>IFERROR(VLOOKUP(AR$1,'Renta Mixta Moderado'!$B$35:$C$62,2,FALSE),0%)</f>
        <v>0</v>
      </c>
      <c r="AS10" s="5">
        <f>IFERROR(VLOOKUP(AS$1,'Renta Mixta Moderado'!$B$35:$C$62,2,FALSE),0%)</f>
        <v>0</v>
      </c>
      <c r="AT10" s="5">
        <f>IFERROR(VLOOKUP(AT$1,'Renta Mixta Moderado'!$B$35:$C$62,2,FALSE),0%)</f>
        <v>0</v>
      </c>
      <c r="AU10" s="5">
        <f>IFERROR(VLOOKUP(AU$1,'Renta Mixta Moderado'!$B$35:$C$62,2,FALSE),0%)</f>
        <v>0</v>
      </c>
      <c r="AV10" s="5">
        <f>IFERROR(VLOOKUP(AV$1,'Renta Mixta Moderado'!$B$35:$C$62,2,FALSE),0%)</f>
        <v>0</v>
      </c>
      <c r="AW10" s="5">
        <f>IFERROR(VLOOKUP(AW$1,'Renta Mixta Moderado'!$B$35:$C$62,2,FALSE),0%)</f>
        <v>0</v>
      </c>
      <c r="AX10" s="5">
        <f>IFERROR(VLOOKUP(AX$1,'Renta Mixta Moderado'!$B$35:$C$62,2,FALSE),0%)</f>
        <v>0</v>
      </c>
      <c r="AY10" s="5">
        <f>IFERROR(VLOOKUP(AY$1,'Renta Mixta Moderado'!$B$35:$C$62,2,FALSE),0%)</f>
        <v>0</v>
      </c>
      <c r="AZ10" s="5">
        <f>IFERROR(VLOOKUP(AZ$1,'Renta Mixta Moderado'!$B$35:$C$62,2,FALSE),0%)</f>
        <v>0</v>
      </c>
      <c r="BA10" s="5">
        <f>IFERROR(VLOOKUP(BA$1,'Renta Mixta Moderado'!$B$35:$C$62,2,FALSE),0%)</f>
        <v>0</v>
      </c>
      <c r="BB10" s="5">
        <f>IFERROR(VLOOKUP(BB$1,'Renta Mixta Moderado'!$B$35:$C$62,2,FALSE),0%)</f>
        <v>0</v>
      </c>
      <c r="BC10" s="5">
        <f>IFERROR(VLOOKUP(BC$1,'Renta Mixta Moderado'!$B$35:$C$62,2,FALSE),0%)</f>
        <v>0</v>
      </c>
      <c r="BD10" s="5">
        <f>IFERROR(VLOOKUP(BD$1,'Renta Mixta Moderado'!$B$35:$C$62,2,FALSE),0%)</f>
        <v>0</v>
      </c>
      <c r="BE10" s="5">
        <f>IFERROR(VLOOKUP(BE$1,'Renta Mixta Moderado'!$B$35:$C$62,2,FALSE),0%)</f>
        <v>0</v>
      </c>
      <c r="BF10" s="5">
        <f>IFERROR(VLOOKUP(BF$1,'Renta Mixta Moderado'!$B$35:$C$62,2,FALSE),0%)</f>
        <v>0</v>
      </c>
      <c r="BG10" s="5">
        <f>IFERROR(VLOOKUP(BG$1,'Renta Mixta Moderado'!$B$35:$C$62,2,FALSE),0%)</f>
        <v>0</v>
      </c>
      <c r="BH10" s="5">
        <f>IFERROR(VLOOKUP(BH$1,'Renta Mixta Moderado'!$B$35:$C$62,2,FALSE),0%)</f>
        <v>0</v>
      </c>
      <c r="BI10" s="5">
        <f>IFERROR(VLOOKUP(BI$1,'Renta Mixta Moderado'!$B$35:$C$62,2,FALSE),0%)</f>
        <v>0</v>
      </c>
      <c r="BJ10" s="5">
        <f>IFERROR(VLOOKUP(BJ$1,'Renta Mixta Moderado'!$B$35:$C$62,2,FALSE),0%)</f>
        <v>0</v>
      </c>
      <c r="BK10" s="5">
        <f>IFERROR(VLOOKUP(BK$1,'Renta Mixta Moderado'!$B$35:$C$62,2,FALSE),0%)</f>
        <v>0</v>
      </c>
      <c r="BL10" s="5">
        <f>IFERROR(VLOOKUP(BL$1,'Renta Mixta Moderado'!$B$35:$C$62,2,FALSE),0%)</f>
        <v>0</v>
      </c>
      <c r="BM10" s="5">
        <f>IFERROR(VLOOKUP(BM$1,'Renta Mixta Moderado'!$B$35:$C$62,2,FALSE),0%)</f>
        <v>0</v>
      </c>
      <c r="BN10" s="5">
        <f>IFERROR(VLOOKUP(BN$1,'Renta Mixta Moderado'!$B$35:$C$62,2,FALSE),0%)</f>
        <v>0</v>
      </c>
      <c r="BO10" s="5">
        <f>IFERROR(VLOOKUP(BO$1,'Renta Mixta Moderado'!$B$35:$C$62,2,FALSE),0%)</f>
        <v>0</v>
      </c>
      <c r="BP10" s="5">
        <f>IFERROR(VLOOKUP(BP$1,'Renta Mixta Moderado'!$B$35:$C$62,2,FALSE),0%)</f>
        <v>0</v>
      </c>
      <c r="BQ10" s="5">
        <f>IFERROR(VLOOKUP(BQ$1,'Renta Mixta Moderado'!$B$35:$C$62,2,FALSE),0%)</f>
        <v>0</v>
      </c>
      <c r="BR10" s="5">
        <f>IFERROR(VLOOKUP(BR$1,'Renta Mixta Moderado'!$B$35:$C$62,2,FALSE),0%)</f>
        <v>0.04893408557</v>
      </c>
      <c r="BS10" s="5">
        <f>IFERROR(VLOOKUP(BS$1,'Renta Mixta Moderado'!$B$35:$C$62,2,FALSE),0%)</f>
        <v>0</v>
      </c>
      <c r="BT10" s="5">
        <f>IFERROR(VLOOKUP(BT$1,'Renta Mixta Moderado'!$B$35:$C$62,2,FALSE),0%)</f>
        <v>0</v>
      </c>
      <c r="BU10" s="5">
        <f>IFERROR(VLOOKUP(BU$1,'Renta Mixta Moderado'!$B$35:$C$62,2,FALSE),0%)</f>
        <v>0</v>
      </c>
      <c r="BV10" s="5">
        <f>IFERROR(VLOOKUP(BV$1,'Renta Mixta Moderado'!$B$35:$C$62,2,FALSE),0%)</f>
        <v>0</v>
      </c>
      <c r="BW10" s="5">
        <f>IFERROR(VLOOKUP(BW$1,'Renta Mixta Moderado'!$B$35:$C$62,2,FALSE),0%)</f>
        <v>0</v>
      </c>
      <c r="BX10" s="5">
        <f>IFERROR(VLOOKUP(BX$1,'Renta Mixta Moderado'!$B$35:$C$62,2,FALSE),0%)</f>
        <v>0</v>
      </c>
      <c r="BY10" s="5">
        <f>IFERROR(VLOOKUP(BY$1,'Renta Mixta Moderado'!$B$35:$C$62,2,FALSE),0%)</f>
        <v>0</v>
      </c>
      <c r="BZ10" s="5">
        <f>IFERROR(VLOOKUP(BZ$1,'Renta Mixta Moderado'!$B$35:$C$62,2,FALSE),0%)</f>
        <v>0</v>
      </c>
      <c r="CA10" s="5">
        <f>IFERROR(VLOOKUP(CA$1,'Renta Mixta Moderado'!$B$35:$C$62,2,FALSE),0%)</f>
        <v>0</v>
      </c>
      <c r="CB10" s="5">
        <f>IFERROR(VLOOKUP(CB$1,'Renta Mixta Moderado'!$B$35:$C$62,2,FALSE),0%)</f>
        <v>0</v>
      </c>
      <c r="CC10" s="5">
        <f>IFERROR(VLOOKUP(CC$1,'Renta Mixta Moderado'!$B$35:$C$62,2,FALSE),0%)</f>
        <v>0</v>
      </c>
      <c r="CD10" s="5">
        <f>IFERROR(VLOOKUP(CD$1,'Renta Mixta Moderado'!$B$35:$C$62,2,FALSE),0%)</f>
        <v>0</v>
      </c>
      <c r="CE10" s="5">
        <f>IFERROR(VLOOKUP(CE$1,'Renta Mixta Moderado'!$B$35:$C$62,2,FALSE),0%)</f>
        <v>0</v>
      </c>
      <c r="CF10" s="5">
        <f>IFERROR(VLOOKUP(CF$1,'Renta Mixta Moderado'!$B$35:$C$62,2,FALSE),0%)</f>
        <v>0</v>
      </c>
      <c r="CG10" s="5">
        <f>IFERROR(VLOOKUP(CG$1,'Renta Mixta Moderado'!$B$35:$C$62,2,FALSE),0%)</f>
        <v>0</v>
      </c>
      <c r="CH10" s="5">
        <f>IFERROR(VLOOKUP(CH$1,'Renta Mixta Moderado'!$B$35:$C$62,2,FALSE),0%)</f>
        <v>0</v>
      </c>
      <c r="CI10" s="5">
        <f>IFERROR(VLOOKUP(CI$1,'Renta Mixta Moderado'!$B$35:$C$62,2,FALSE),0%)</f>
        <v>0</v>
      </c>
      <c r="CJ10" s="5">
        <f>IFERROR(VLOOKUP(CJ$1,'Renta Mixta Moderado'!$B$35:$C$62,2,FALSE),0%)</f>
        <v>0</v>
      </c>
      <c r="CK10" s="5">
        <f>IFERROR(VLOOKUP(CK$1,'Renta Mixta Moderado'!$B$35:$C$62,2,FALSE),0%)</f>
        <v>0</v>
      </c>
      <c r="CL10" s="5">
        <f>IFERROR(VLOOKUP(CL$1,'Renta Mixta Moderado'!$B$35:$C$62,2,FALSE),0%)</f>
        <v>0</v>
      </c>
      <c r="CM10" s="5">
        <f>IFERROR(VLOOKUP(CM$1,'Renta Mixta Moderado'!$B$35:$C$62,2,FALSE),0%)</f>
        <v>0</v>
      </c>
      <c r="CN10" s="5">
        <f>IFERROR(VLOOKUP(CN$1,'Renta Mixta Moderado'!$B$35:$C$62,2,FALSE),0%)</f>
        <v>0</v>
      </c>
      <c r="CO10" s="5">
        <f>IFERROR(VLOOKUP(CO$1,'Renta Mixta Moderado'!$B$35:$C$62,2,FALSE),0%)</f>
        <v>0</v>
      </c>
      <c r="CP10" s="5">
        <f>IFERROR(VLOOKUP(CP$1,'Renta Mixta Moderado'!$B$35:$C$62,2,FALSE),0%)</f>
        <v>0</v>
      </c>
      <c r="CQ10" s="5">
        <f>IFERROR(VLOOKUP(CQ$1,'Renta Mixta Moderado'!$B$35:$C$62,2,FALSE),0%)</f>
        <v>0</v>
      </c>
      <c r="CR10" s="5">
        <f>IFERROR(VLOOKUP(CR$1,'Renta Mixta Moderado'!$B$35:$C$62,2,FALSE),0%)</f>
        <v>0</v>
      </c>
      <c r="CS10" s="5">
        <f>IFERROR(VLOOKUP(CS$1,'Renta Mixta Moderado'!$B$35:$C$62,2,FALSE),0%)</f>
        <v>0</v>
      </c>
      <c r="CT10" s="5">
        <f>IFERROR(VLOOKUP(CT$1,'Renta Mixta Moderado'!$B$35:$C$62,2,FALSE),0%)</f>
        <v>0</v>
      </c>
      <c r="CU10" s="5">
        <f>IFERROR(VLOOKUP(CU$1,'Renta Mixta Moderado'!$B$35:$C$62,2,FALSE),0%)</f>
        <v>0</v>
      </c>
      <c r="CV10" s="5">
        <f>IFERROR(VLOOKUP(CV$1,'Renta Mixta Moderado'!$B$35:$C$62,2,FALSE),0%)</f>
        <v>0</v>
      </c>
      <c r="CW10" s="5">
        <f>IFERROR(VLOOKUP(CW$1,'Renta Mixta Moderado'!$B$35:$C$62,2,FALSE),0%)</f>
        <v>0</v>
      </c>
      <c r="CX10" s="5">
        <f>IFERROR(VLOOKUP(CX$1,'Renta Mixta Moderado'!$B$35:$C$62,2,FALSE),0%)</f>
        <v>0</v>
      </c>
      <c r="CY10" s="5">
        <f>IFERROR(VLOOKUP(CY$1,'Renta Mixta Moderado'!$B$35:$C$62,2,FALSE),0%)</f>
        <v>0</v>
      </c>
      <c r="CZ10" s="5">
        <f>IFERROR(VLOOKUP(CZ$1,'Renta Mixta Moderado'!$B$35:$C$62,2,FALSE),0%)</f>
        <v>0</v>
      </c>
      <c r="DA10" s="5">
        <f>IFERROR(VLOOKUP(DA$1,'Renta Mixta Moderado'!$B$35:$C$62,2,FALSE),0%)</f>
        <v>0</v>
      </c>
      <c r="DB10" s="5">
        <f>IFERROR(VLOOKUP(DB$1,'Renta Mixta Moderado'!$B$35:$C$62,2,FALSE),0%)</f>
        <v>0</v>
      </c>
      <c r="DC10" s="5">
        <f>IFERROR(VLOOKUP(DC$1,'Renta Mixta Moderado'!$B$35:$C$62,2,FALSE),0%)</f>
        <v>0</v>
      </c>
      <c r="DD10" s="5">
        <f>IFERROR(VLOOKUP(DD$1,'Renta Mixta Moderado'!$B$35:$C$62,2,FALSE),0%)</f>
        <v>0</v>
      </c>
      <c r="DE10" s="5">
        <f>IFERROR(VLOOKUP(DE$1,'Renta Mixta Moderado'!$B$35:$C$62,2,FALSE),0%)</f>
        <v>0</v>
      </c>
      <c r="DF10" s="5">
        <f>IFERROR(VLOOKUP(DF$1,'Renta Mixta Moderado'!$B$35:$C$62,2,FALSE),0%)</f>
        <v>0</v>
      </c>
      <c r="DG10" s="5">
        <f>IFERROR(VLOOKUP(DG$1,'Renta Mixta Moderado'!$B$35:$C$62,2,FALSE),0%)</f>
        <v>0</v>
      </c>
      <c r="DH10" s="5">
        <f>IFERROR(VLOOKUP(DH$1,'Renta Mixta Moderado'!$B$35:$C$62,2,FALSE),0%)</f>
        <v>0</v>
      </c>
      <c r="DI10" s="5">
        <f>IFERROR(VLOOKUP(DI$1,'Renta Mixta Moderado'!$B$35:$C$62,2,FALSE),0%)</f>
        <v>0</v>
      </c>
      <c r="DJ10" s="5">
        <f>IFERROR(VLOOKUP(DJ$1,'Renta Mixta Moderado'!$B$35:$C$62,2,FALSE),0%)</f>
        <v>0</v>
      </c>
      <c r="DK10" s="5">
        <f>IFERROR(VLOOKUP(DK$1,'Renta Mixta Moderado'!$B$35:$C$62,2,FALSE),0%)</f>
        <v>0</v>
      </c>
      <c r="DL10" s="5">
        <f>IFERROR(VLOOKUP(DL$1,'Renta Mixta Moderado'!$B$35:$C$62,2,FALSE),0%)</f>
        <v>0</v>
      </c>
      <c r="DM10" s="5">
        <f>IFERROR(VLOOKUP(DM$1,'Renta Mixta Moderado'!$B$35:$C$62,2,FALSE),0%)</f>
        <v>0</v>
      </c>
      <c r="DN10" s="5">
        <f>IFERROR(VLOOKUP(DN$1,'Renta Mixta Moderado'!$B$35:$C$62,2,FALSE),0%)</f>
        <v>0</v>
      </c>
      <c r="DO10" s="5">
        <f>IFERROR(VLOOKUP(DO$1,'Renta Mixta Moderado'!$B$35:$C$62,2,FALSE),0%)</f>
        <v>0</v>
      </c>
      <c r="DP10" s="5">
        <f>IFERROR(VLOOKUP(DP$1,'Renta Mixta Moderado'!$B$35:$C$62,2,FALSE),0%)</f>
        <v>0</v>
      </c>
      <c r="DQ10" s="5">
        <f>IFERROR(VLOOKUP(DQ$1,'Renta Mixta Moderado'!$B$35:$C$62,2,FALSE),0%)</f>
        <v>0</v>
      </c>
      <c r="DR10" s="5">
        <f>IFERROR(VLOOKUP(DR$1,'Renta Mixta Moderado'!$B$35:$C$62,2,FALSE),0%)</f>
        <v>0</v>
      </c>
      <c r="DS10" s="5">
        <f>IFERROR(VLOOKUP(DS$1,'Renta Mixta Moderado'!$B$35:$C$62,2,FALSE),0%)</f>
        <v>0</v>
      </c>
      <c r="DT10" s="5">
        <f>IFERROR(VLOOKUP(DT$1,'Renta Mixta Moderado'!$B$35:$C$62,2,FALSE),0%)</f>
        <v>0</v>
      </c>
      <c r="DU10" s="5">
        <f>IFERROR(VLOOKUP(DU$1,'Renta Mixta Moderado'!$B$35:$C$62,2,FALSE),0%)</f>
        <v>0</v>
      </c>
      <c r="DV10" s="5">
        <f>IFERROR(VLOOKUP(DV$1,'Renta Mixta Moderado'!$B$35:$C$62,2,FALSE),0%)</f>
        <v>0</v>
      </c>
      <c r="DW10" s="5">
        <f>IFERROR(VLOOKUP(DW$1,'Renta Mixta Moderado'!$B$35:$C$62,2,FALSE),0%)</f>
        <v>0</v>
      </c>
      <c r="DX10" s="5">
        <f>IFERROR(VLOOKUP(DX$1,'Renta Mixta Moderado'!$B$35:$C$62,2,FALSE),0%)</f>
        <v>0</v>
      </c>
      <c r="DY10" s="5">
        <f>IFERROR(VLOOKUP(DY$1,'Renta Mixta Moderado'!$B$35:$C$62,2,FALSE),0%)</f>
        <v>0</v>
      </c>
      <c r="DZ10" s="5">
        <f>IFERROR(VLOOKUP(DZ$1,'Renta Mixta Moderado'!$B$35:$C$62,2,FALSE),0%)</f>
        <v>0</v>
      </c>
      <c r="EA10" s="5">
        <f>IFERROR(VLOOKUP(EA$1,'Renta Mixta Moderado'!$B$35:$C$62,2,FALSE),0%)</f>
        <v>0</v>
      </c>
      <c r="EB10" s="5">
        <f>IFERROR(VLOOKUP(EB$1,'Renta Mixta Moderado'!$B$35:$C$62,2,FALSE),0%)</f>
        <v>0</v>
      </c>
      <c r="EC10" s="5">
        <f>IFERROR(VLOOKUP(EC$1,'Renta Mixta Moderado'!$B$35:$C$62,2,FALSE),0%)</f>
        <v>0</v>
      </c>
      <c r="ED10" s="5">
        <f>IFERROR(VLOOKUP(ED$1,'Renta Mixta Moderado'!$B$35:$C$62,2,FALSE),0%)</f>
        <v>0</v>
      </c>
      <c r="EE10" s="5">
        <f>IFERROR(VLOOKUP(EE$1,'Renta Mixta Moderado'!$B$35:$C$62,2,FALSE),0%)</f>
        <v>0</v>
      </c>
      <c r="EF10" s="5">
        <f>IFERROR(VLOOKUP(EF$1,'Renta Mixta Moderado'!$B$35:$C$62,2,FALSE),0%)</f>
        <v>0</v>
      </c>
      <c r="EG10" s="5">
        <f>IFERROR(VLOOKUP(EG$1,'Renta Mixta Moderado'!$B$35:$C$62,2,FALSE),0%)</f>
        <v>0</v>
      </c>
      <c r="EH10" s="5">
        <f>IFERROR(VLOOKUP(EH$1,'Renta Mixta Moderado'!$B$35:$C$62,2,FALSE),0%)</f>
        <v>0</v>
      </c>
      <c r="EI10" s="5">
        <f>IFERROR(VLOOKUP(EI$1,'Renta Mixta Moderado'!$B$35:$C$62,2,FALSE),0%)</f>
        <v>0</v>
      </c>
      <c r="EJ10" s="5">
        <f>IFERROR(VLOOKUP(EJ$1,'Renta Mixta Moderado'!$B$35:$C$62,2,FALSE),0%)</f>
        <v>0</v>
      </c>
      <c r="EK10" s="5">
        <f>IFERROR(VLOOKUP(EK$1,'Renta Mixta Moderado'!$B$35:$C$62,2,FALSE),0%)</f>
        <v>0</v>
      </c>
      <c r="EL10" s="5">
        <f>IFERROR(VLOOKUP(EL$1,'Renta Mixta Moderado'!$B$35:$C$62,2,FALSE),0%)</f>
        <v>0</v>
      </c>
      <c r="EM10" s="5">
        <f>IFERROR(VLOOKUP(EM$1,'Renta Mixta Moderado'!$B$35:$C$62,2,FALSE),0%)</f>
        <v>0</v>
      </c>
      <c r="EN10" s="5">
        <f>IFERROR(VLOOKUP(EN$1,'Renta Mixta Moderado'!$B$35:$C$62,2,FALSE),0%)</f>
        <v>0</v>
      </c>
      <c r="EO10" s="5">
        <f>IFERROR(VLOOKUP(EO$1,'Renta Mixta Moderado'!$B$35:$C$62,2,FALSE),0%)</f>
        <v>0</v>
      </c>
      <c r="EP10" s="5">
        <f>IFERROR(VLOOKUP(EP$1,'Renta Mixta Moderado'!$B$35:$C$62,2,FALSE),0%)</f>
        <v>0</v>
      </c>
      <c r="EQ10" s="5">
        <f>IFERROR(VLOOKUP(EQ$1,'Renta Mixta Moderado'!$B$35:$C$62,2,FALSE),0%)</f>
        <v>0</v>
      </c>
      <c r="ER10" s="5">
        <f>IFERROR(VLOOKUP(ER$1,'Renta Mixta Moderado'!$B$35:$C$62,2,FALSE),0%)</f>
        <v>0</v>
      </c>
      <c r="ES10" s="5">
        <f>IFERROR(VLOOKUP(ES$1,'Renta Mixta Moderado'!$B$35:$C$62,2,FALSE),0%)</f>
        <v>0</v>
      </c>
      <c r="ET10" s="5">
        <f>IFERROR(VLOOKUP(ET$1,'Renta Mixta Moderado'!$B$35:$C$62,2,FALSE),0%)</f>
        <v>0</v>
      </c>
      <c r="EU10" s="5">
        <f>IFERROR(VLOOKUP(EU$1,'Renta Mixta Moderado'!$B$35:$C$62,2,FALSE),0%)</f>
        <v>0.1704979109</v>
      </c>
      <c r="EV10" s="5">
        <f>IFERROR(VLOOKUP(EV$1,'Renta Mixta Moderado'!$B$35:$C$62,2,FALSE),0%)</f>
        <v>0</v>
      </c>
      <c r="EW10" s="5">
        <f>IFERROR(VLOOKUP(EW$1,'Renta Mixta Moderado'!$B$35:$C$62,2,FALSE),0%)</f>
        <v>0</v>
      </c>
      <c r="EX10" s="5">
        <f>IFERROR(VLOOKUP(EX$1,'Renta Mixta Moderado'!$B$35:$C$62,2,FALSE),0%)</f>
        <v>0</v>
      </c>
      <c r="EY10" s="5">
        <f>IFERROR(VLOOKUP(EY$1,'Renta Mixta Moderado'!$B$35:$C$62,2,FALSE),0%)</f>
        <v>0</v>
      </c>
      <c r="EZ10" s="5">
        <f>IFERROR(VLOOKUP(EZ$1,'Renta Mixta Moderado'!$B$35:$C$62,2,FALSE),0%)</f>
        <v>0</v>
      </c>
      <c r="FA10" s="5">
        <f>IFERROR(VLOOKUP(FA$1,'Renta Mixta Moderado'!$B$35:$C$62,2,FALSE),0%)</f>
        <v>0</v>
      </c>
      <c r="FB10" s="5">
        <f>IFERROR(VLOOKUP(FB$1,'Renta Mixta Moderado'!$B$35:$C$62,2,FALSE),0%)</f>
        <v>0</v>
      </c>
      <c r="FC10" s="5">
        <f>IFERROR(VLOOKUP(FC$1,'Renta Mixta Moderado'!$B$35:$C$62,2,FALSE),0%)</f>
        <v>0</v>
      </c>
      <c r="FD10" s="5">
        <f>IFERROR(VLOOKUP(FD$1,'Renta Mixta Moderado'!$B$35:$C$62,2,FALSE),0%)</f>
        <v>0</v>
      </c>
      <c r="FE10" s="5">
        <f>IFERROR(VLOOKUP(FE$1,'Renta Mixta Moderado'!$B$35:$C$62,2,FALSE),0%)</f>
        <v>0</v>
      </c>
      <c r="FF10" s="5">
        <f>IFERROR(VLOOKUP(FF$1,'Renta Mixta Moderado'!$B$35:$C$62,2,FALSE),0%)</f>
        <v>0</v>
      </c>
      <c r="FG10" s="5">
        <f>IFERROR(VLOOKUP(FG$1,'Renta Mixta Moderado'!$B$35:$C$62,2,FALSE),0%)</f>
        <v>0</v>
      </c>
      <c r="FH10" s="5">
        <f>IFERROR(VLOOKUP(FH$1,'Renta Mixta Moderado'!$B$35:$C$62,2,FALSE),0%)</f>
        <v>0</v>
      </c>
      <c r="FI10" s="5">
        <f>IFERROR(VLOOKUP(FI$1,'Renta Mixta Moderado'!$B$35:$C$62,2,FALSE),0%)</f>
        <v>0</v>
      </c>
      <c r="FJ10" s="5">
        <f>IFERROR(VLOOKUP(FJ$1,'Renta Mixta Moderado'!$B$35:$C$62,2,FALSE),0%)</f>
        <v>0</v>
      </c>
      <c r="FK10" s="5">
        <f>IFERROR(VLOOKUP(FK$1,'Renta Mixta Moderado'!$B$35:$C$62,2,FALSE),0%)</f>
        <v>0</v>
      </c>
      <c r="FL10" s="5">
        <f>IFERROR(VLOOKUP(FL$1,'Renta Mixta Moderado'!$B$35:$C$62,2,FALSE),0%)</f>
        <v>0</v>
      </c>
      <c r="FM10" s="5">
        <f>IFERROR(VLOOKUP(FM$1,'Renta Mixta Moderado'!$B$35:$C$62,2,FALSE),0%)</f>
        <v>0</v>
      </c>
      <c r="FN10" s="5">
        <f>IFERROR(VLOOKUP(FN$1,'Renta Mixta Moderado'!$B$35:$C$62,2,FALSE),0%)</f>
        <v>0</v>
      </c>
      <c r="FO10" s="5">
        <f>IFERROR(VLOOKUP(FO$1,'Renta Mixta Moderado'!$B$35:$C$62,2,FALSE),0%)</f>
        <v>0</v>
      </c>
      <c r="FP10" s="5">
        <f>IFERROR(VLOOKUP(FP$1,'Renta Mixta Moderado'!$B$35:$C$62,2,FALSE),0%)</f>
        <v>0</v>
      </c>
      <c r="FQ10" s="5">
        <f>IFERROR(VLOOKUP(FQ$1,'Renta Mixta Moderado'!$B$35:$C$62,2,FALSE),0%)</f>
        <v>0</v>
      </c>
      <c r="FR10" s="5">
        <f>IFERROR(VLOOKUP(FR$1,'Renta Mixta Moderado'!$B$35:$C$62,2,FALSE),0%)</f>
        <v>0</v>
      </c>
      <c r="FS10" s="5">
        <f>IFERROR(VLOOKUP(FS$1,'Renta Mixta Moderado'!$B$35:$C$62,2,FALSE),0%)</f>
        <v>0</v>
      </c>
      <c r="FT10" s="5">
        <f>IFERROR(VLOOKUP(FT$1,'Renta Mixta Moderado'!$B$35:$C$62,2,FALSE),0%)</f>
        <v>0</v>
      </c>
      <c r="FU10" s="5">
        <f>IFERROR(VLOOKUP(FU$1,'Renta Mixta Moderado'!$B$35:$C$62,2,FALSE),0%)</f>
        <v>0</v>
      </c>
      <c r="FV10" s="5">
        <f>IFERROR(VLOOKUP(FV$1,'Renta Mixta Moderado'!$B$35:$C$62,2,FALSE),0%)</f>
        <v>0</v>
      </c>
      <c r="FW10" s="5">
        <f>IFERROR(VLOOKUP(FW$1,'Renta Mixta Moderado'!$B$35:$C$62,2,FALSE),0%)</f>
        <v>0</v>
      </c>
      <c r="FX10" s="5">
        <f>IFERROR(VLOOKUP(FX$1,'Renta Mixta Moderado'!$B$35:$C$62,2,FALSE),0%)</f>
        <v>0</v>
      </c>
      <c r="FY10" s="5">
        <f>IFERROR(VLOOKUP(FY$1,'Renta Mixta Moderado'!$B$35:$C$62,2,FALSE),0%)</f>
        <v>0</v>
      </c>
      <c r="FZ10" s="5">
        <f>IFERROR(VLOOKUP(FZ$1,'Renta Mixta Moderado'!$B$35:$C$62,2,FALSE),0%)</f>
        <v>0</v>
      </c>
      <c r="GA10" s="5">
        <f>IFERROR(VLOOKUP(GA$1,'Renta Mixta Moderado'!$B$35:$C$62,2,FALSE),0%)</f>
        <v>0</v>
      </c>
      <c r="GB10" s="5">
        <f>IFERROR(VLOOKUP(GB$1,'Renta Mixta Moderado'!$B$35:$C$62,2,FALSE),0%)</f>
        <v>0</v>
      </c>
      <c r="GC10" s="5">
        <f>IFERROR(VLOOKUP(GC$1,'Renta Mixta Moderado'!$B$35:$C$62,2,FALSE),0%)</f>
        <v>0</v>
      </c>
      <c r="GD10" s="5">
        <f>IFERROR(VLOOKUP(GD$1,'Renta Mixta Moderado'!$B$35:$C$62,2,FALSE),0%)</f>
        <v>0</v>
      </c>
      <c r="GE10" s="5">
        <f>IFERROR(VLOOKUP(GE$1,'Renta Mixta Moderado'!$B$35:$C$62,2,FALSE),0%)</f>
        <v>0</v>
      </c>
      <c r="GF10" s="5">
        <f>IFERROR(VLOOKUP(GF$1,'Renta Mixta Moderado'!$B$35:$C$62,2,FALSE),0%)</f>
        <v>0</v>
      </c>
      <c r="GG10" s="5">
        <f>IFERROR(VLOOKUP(GG$1,'Renta Mixta Moderado'!$B$35:$C$62,2,FALSE),0%)</f>
        <v>0</v>
      </c>
      <c r="GH10" s="5">
        <f>IFERROR(VLOOKUP(GH$1,'Renta Mixta Moderado'!$B$35:$C$62,2,FALSE),0%)</f>
        <v>0</v>
      </c>
      <c r="GI10" s="5">
        <f>IFERROR(VLOOKUP(GI$1,'Renta Mixta Moderado'!$B$35:$C$62,2,FALSE),0%)</f>
        <v>0</v>
      </c>
      <c r="GJ10" s="5">
        <f>IFERROR(VLOOKUP(GJ$1,'Renta Mixta Moderado'!$B$35:$C$62,2,FALSE),0%)</f>
        <v>0</v>
      </c>
      <c r="GK10" s="5">
        <f>IFERROR(VLOOKUP(GK$1,'Renta Mixta Moderado'!$B$35:$C$62,2,FALSE),0%)</f>
        <v>0</v>
      </c>
      <c r="GL10" s="5">
        <f>IFERROR(VLOOKUP(GL$1,'Renta Mixta Moderado'!$B$35:$C$62,2,FALSE),0%)</f>
        <v>0</v>
      </c>
      <c r="GM10" s="5">
        <f>IFERROR(VLOOKUP(GM$1,'Renta Mixta Moderado'!$B$35:$C$62,2,FALSE),0%)</f>
        <v>0</v>
      </c>
      <c r="GN10" s="5">
        <f>IFERROR(VLOOKUP(GN$1,'Renta Mixta Moderado'!$B$35:$C$62,2,FALSE),0%)</f>
        <v>0</v>
      </c>
      <c r="GO10" s="5">
        <f>IFERROR(VLOOKUP(GO$1,'Renta Mixta Moderado'!$B$35:$C$62,2,FALSE),0%)</f>
        <v>0</v>
      </c>
      <c r="GP10" s="5">
        <f>IFERROR(VLOOKUP(GP$1,'Renta Mixta Moderado'!$B$35:$C$62,2,FALSE),0%)</f>
        <v>0</v>
      </c>
      <c r="GQ10" s="5">
        <f>IFERROR(VLOOKUP(GQ$1,'Renta Mixta Moderado'!$B$35:$C$62,2,FALSE),0%)</f>
        <v>0</v>
      </c>
      <c r="GR10" s="5">
        <f>IFERROR(VLOOKUP(GR$1,'Renta Mixta Moderado'!$B$35:$C$62,2,FALSE),0%)</f>
        <v>0</v>
      </c>
      <c r="GS10" s="5">
        <f>IFERROR(VLOOKUP(GS$1,'Renta Mixta Moderado'!$B$35:$C$62,2,FALSE),0%)</f>
        <v>0</v>
      </c>
      <c r="GT10" s="5">
        <f>IFERROR(VLOOKUP(GT$1,'Renta Mixta Moderado'!$B$35:$C$62,2,FALSE),0%)</f>
        <v>0</v>
      </c>
      <c r="GU10" s="5">
        <f>IFERROR(VLOOKUP(GU$1,'Renta Mixta Moderado'!$B$35:$C$62,2,FALSE),0%)</f>
        <v>0</v>
      </c>
      <c r="GV10" s="5">
        <f>IFERROR(VLOOKUP(GV$1,'Renta Mixta Moderado'!$B$35:$C$62,2,FALSE),0%)</f>
        <v>0</v>
      </c>
      <c r="GW10" s="5">
        <f>IFERROR(VLOOKUP(GW$1,'Renta Mixta Moderado'!$B$35:$C$62,2,FALSE),0%)</f>
        <v>0</v>
      </c>
      <c r="GX10" s="5">
        <f>IFERROR(VLOOKUP(GX$1,'Renta Mixta Moderado'!$B$35:$C$62,2,FALSE),0%)</f>
        <v>0</v>
      </c>
      <c r="GY10" s="5">
        <f>IFERROR(VLOOKUP(GY$1,'Renta Mixta Moderado'!$B$35:$C$62,2,FALSE),0%)</f>
        <v>0</v>
      </c>
      <c r="GZ10" s="5">
        <f>IFERROR(VLOOKUP(GZ$1,'Renta Mixta Moderado'!$B$35:$C$62,2,FALSE),0%)</f>
        <v>0</v>
      </c>
      <c r="HA10" s="5">
        <f>IFERROR(VLOOKUP(HA$1,'Renta Mixta Moderado'!$B$35:$C$62,2,FALSE),0%)</f>
        <v>0</v>
      </c>
      <c r="HB10" s="5">
        <f>IFERROR(VLOOKUP(HB$1,'Renta Mixta Moderado'!$B$35:$C$62,2,FALSE),0%)</f>
        <v>0</v>
      </c>
      <c r="HC10" s="5">
        <f>IFERROR(VLOOKUP(HC$1,'Renta Mixta Moderado'!$B$35:$C$62,2,FALSE),0%)</f>
        <v>0</v>
      </c>
      <c r="HD10" s="5">
        <f>IFERROR(VLOOKUP(HD$1,'Renta Mixta Moderado'!$B$35:$C$62,2,FALSE),0%)</f>
        <v>0.01320201574</v>
      </c>
      <c r="HE10" s="5">
        <f>IFERROR(VLOOKUP(HE$1,'Renta Mixta Moderado'!$B$35:$C$62,2,FALSE),0%)</f>
        <v>0</v>
      </c>
      <c r="HF10" s="5">
        <f>IFERROR(VLOOKUP(HF$1,'Renta Mixta Moderado'!$B$35:$C$62,2,FALSE),0%)</f>
        <v>0</v>
      </c>
      <c r="HG10" s="5">
        <f>IFERROR(VLOOKUP(HG$1,'Renta Mixta Moderado'!$B$35:$C$62,2,FALSE),0%)</f>
        <v>0</v>
      </c>
      <c r="HH10" s="5">
        <f>IFERROR(VLOOKUP(HH$1,'Renta Mixta Moderado'!$B$35:$C$62,2,FALSE),0%)</f>
        <v>0</v>
      </c>
      <c r="HI10" s="5">
        <f>IFERROR(VLOOKUP(HI$1,'Renta Mixta Moderado'!$B$35:$C$62,2,FALSE),0%)</f>
        <v>0</v>
      </c>
      <c r="HJ10" s="5">
        <f>IFERROR(VLOOKUP(HJ$1,'Renta Mixta Moderado'!$B$35:$C$62,2,FALSE),0%)</f>
        <v>0</v>
      </c>
      <c r="HK10" s="5">
        <f>IFERROR(VLOOKUP(HK$1,'Renta Mixta Moderado'!$B$35:$C$62,2,FALSE),0%)</f>
        <v>0</v>
      </c>
      <c r="HL10" s="5">
        <f>IFERROR(VLOOKUP(HL$1,'Renta Mixta Moderado'!$B$35:$C$62,2,FALSE),0%)</f>
        <v>0</v>
      </c>
      <c r="HM10" s="5">
        <f>IFERROR(VLOOKUP(HM$1,'Renta Mixta Moderado'!$B$35:$C$62,2,FALSE),0%)</f>
        <v>0</v>
      </c>
      <c r="HN10" s="5">
        <f>IFERROR(VLOOKUP(HN$1,'Renta Mixta Moderado'!$B$35:$C$62,2,FALSE),0%)</f>
        <v>0</v>
      </c>
      <c r="HO10" s="5">
        <f>IFERROR(VLOOKUP(HO$1,'Renta Mixta Moderado'!$B$35:$C$62,2,FALSE),0%)</f>
        <v>0</v>
      </c>
      <c r="HP10" s="5">
        <f>IFERROR(VLOOKUP(HP$1,'Renta Mixta Moderado'!$B$35:$C$62,2,FALSE),0%)</f>
        <v>0</v>
      </c>
      <c r="HQ10" s="5">
        <f>IFERROR(VLOOKUP(HQ$1,'Renta Mixta Moderado'!$B$35:$C$62,2,FALSE),0%)</f>
        <v>0</v>
      </c>
      <c r="HR10" s="5">
        <f>IFERROR(VLOOKUP(HR$1,'Renta Mixta Moderado'!$B$35:$C$62,2,FALSE),0%)</f>
        <v>0</v>
      </c>
      <c r="HS10" s="5">
        <f>IFERROR(VLOOKUP(HS$1,'Renta Mixta Moderado'!$B$35:$C$62,2,FALSE),0%)</f>
        <v>0</v>
      </c>
      <c r="HT10" s="5">
        <f>IFERROR(VLOOKUP(HT$1,'Renta Mixta Moderado'!$B$35:$C$62,2,FALSE),0%)</f>
        <v>0</v>
      </c>
      <c r="HU10" s="5">
        <f>IFERROR(VLOOKUP(HU$1,'Renta Mixta Moderado'!$B$35:$C$62,2,FALSE),0%)</f>
        <v>0</v>
      </c>
      <c r="HV10" s="5">
        <f>IFERROR(VLOOKUP(HV$1,'Renta Mixta Moderado'!$B$35:$C$62,2,FALSE),0%)</f>
        <v>0</v>
      </c>
      <c r="HW10" s="5">
        <f>IFERROR(VLOOKUP(HW$1,'Renta Mixta Moderado'!$B$35:$C$62,2,FALSE),0%)</f>
        <v>0</v>
      </c>
      <c r="HX10" s="5">
        <f>IFERROR(VLOOKUP(HX$1,'Renta Mixta Moderado'!$B$35:$C$62,2,FALSE),0%)</f>
        <v>0</v>
      </c>
      <c r="HY10" s="5">
        <f>IFERROR(VLOOKUP(HY$1,'Renta Mixta Moderado'!$B$35:$C$62,2,FALSE),0%)</f>
        <v>0</v>
      </c>
      <c r="HZ10" s="5">
        <f>IFERROR(VLOOKUP(HZ$1,'Renta Mixta Moderado'!$B$35:$C$62,2,FALSE),0%)</f>
        <v>0</v>
      </c>
      <c r="IA10" s="5">
        <f>IFERROR(VLOOKUP(IA$1,'Renta Mixta Moderado'!$B$35:$C$62,2,FALSE),0%)</f>
        <v>0</v>
      </c>
      <c r="IB10" s="5">
        <f>IFERROR(VLOOKUP(IB$1,'Renta Mixta Moderado'!$B$35:$C$62,2,FALSE),0%)</f>
        <v>0</v>
      </c>
      <c r="IC10" s="5">
        <f>IFERROR(VLOOKUP(IC$1,'Renta Mixta Moderado'!$B$35:$C$62,2,FALSE),0%)</f>
        <v>0</v>
      </c>
      <c r="ID10" s="5">
        <f>IFERROR(VLOOKUP(ID$1,'Renta Mixta Moderado'!$B$35:$C$62,2,FALSE),0%)</f>
        <v>0</v>
      </c>
      <c r="IE10" s="5">
        <f>IFERROR(VLOOKUP(IE$1,'Renta Mixta Moderado'!$B$35:$C$62,2,FALSE),0%)</f>
        <v>0</v>
      </c>
      <c r="IF10" s="5">
        <f>IFERROR(VLOOKUP(IF$1,'Renta Mixta Moderado'!$B$35:$C$62,2,FALSE),0%)</f>
        <v>0</v>
      </c>
      <c r="IG10" s="5">
        <f>IFERROR(VLOOKUP(IG$1,'Renta Mixta Moderado'!$B$35:$C$62,2,FALSE),0%)</f>
        <v>0</v>
      </c>
      <c r="IH10" s="5">
        <f>IFERROR(VLOOKUP(IH$1,'Renta Mixta Moderado'!$B$35:$C$62,2,FALSE),0%)</f>
        <v>0</v>
      </c>
      <c r="II10" s="5">
        <f>IFERROR(VLOOKUP(II$1,'Renta Mixta Moderado'!$B$35:$C$62,2,FALSE),0%)</f>
        <v>0</v>
      </c>
      <c r="IJ10" s="5">
        <f>IFERROR(VLOOKUP(IJ$1,'Renta Mixta Moderado'!$B$35:$C$62,2,FALSE),0%)</f>
        <v>0</v>
      </c>
      <c r="IK10" s="5">
        <f>IFERROR(VLOOKUP(IK$1,'Renta Mixta Moderado'!$B$35:$C$62,2,FALSE),0%)</f>
        <v>0</v>
      </c>
      <c r="IL10" s="5">
        <f>IFERROR(VLOOKUP(IL$1,'Renta Mixta Moderado'!$B$35:$C$62,2,FALSE),0%)</f>
        <v>0</v>
      </c>
      <c r="IM10" s="5">
        <f>IFERROR(VLOOKUP(IM$1,'Renta Mixta Moderado'!$B$35:$C$62,2,FALSE),0%)</f>
        <v>0</v>
      </c>
      <c r="IN10" s="5">
        <f>IFERROR(VLOOKUP(IN$1,'Renta Mixta Moderado'!$B$35:$C$62,2,FALSE),0%)</f>
        <v>0</v>
      </c>
      <c r="IO10" s="5">
        <f>IFERROR(VLOOKUP(IO$1,'Renta Mixta Moderado'!$B$35:$C$62,2,FALSE),0%)</f>
        <v>0</v>
      </c>
      <c r="IP10" s="5">
        <f>IFERROR(VLOOKUP(IP$1,'Renta Mixta Moderado'!$B$35:$C$62,2,FALSE),0%)</f>
        <v>0</v>
      </c>
      <c r="IQ10" s="5">
        <f>IFERROR(VLOOKUP(IQ$1,'Renta Mixta Moderado'!$B$35:$C$62,2,FALSE),0%)</f>
        <v>0</v>
      </c>
      <c r="IR10" s="5">
        <f>IFERROR(VLOOKUP(IR$1,'Renta Mixta Moderado'!$B$35:$C$62,2,FALSE),0%)</f>
        <v>0</v>
      </c>
      <c r="IS10" s="5">
        <f>IFERROR(VLOOKUP(IS$1,'Renta Mixta Moderado'!$B$35:$C$62,2,FALSE),0%)</f>
        <v>0</v>
      </c>
      <c r="IT10" s="5">
        <f>IFERROR(VLOOKUP(IT$1,'Renta Mixta Moderado'!$B$35:$C$62,2,FALSE),0%)</f>
        <v>0</v>
      </c>
      <c r="IU10" s="5">
        <f>IFERROR(VLOOKUP(IU$1,'Renta Mixta Moderado'!$B$35:$C$62,2,FALSE),0%)</f>
        <v>0</v>
      </c>
      <c r="IV10" s="5">
        <f>IFERROR(VLOOKUP(IV$1,'Renta Mixta Moderado'!$B$35:$C$62,2,FALSE),0%)</f>
        <v>0</v>
      </c>
      <c r="IW10" s="5">
        <f>IFERROR(VLOOKUP(IW$1,'Renta Mixta Moderado'!$B$35:$C$62,2,FALSE),0%)</f>
        <v>0</v>
      </c>
      <c r="IX10" s="5">
        <f>IFERROR(VLOOKUP(IX$1,'Renta Mixta Moderado'!$B$35:$C$62,2,FALSE),0%)</f>
        <v>0</v>
      </c>
      <c r="IY10" s="5">
        <f>IFERROR(VLOOKUP(IY$1,'Renta Mixta Moderado'!$B$35:$C$62,2,FALSE),0%)</f>
        <v>0</v>
      </c>
      <c r="IZ10" s="5">
        <f>IFERROR(VLOOKUP(IZ$1,'Renta Mixta Moderado'!$B$35:$C$62,2,FALSE),0%)</f>
        <v>0</v>
      </c>
      <c r="JA10" s="5">
        <f>IFERROR(VLOOKUP(JA$1,'Renta Mixta Moderado'!$B$35:$C$62,2,FALSE),0%)</f>
        <v>0</v>
      </c>
      <c r="JB10" s="5">
        <f>IFERROR(VLOOKUP(JB$1,'Renta Mixta Moderado'!$B$35:$C$62,2,FALSE),0%)</f>
        <v>0</v>
      </c>
      <c r="JC10" s="5">
        <f>IFERROR(VLOOKUP(JC$1,'Renta Mixta Moderado'!$B$35:$C$62,2,FALSE),0%)</f>
        <v>0</v>
      </c>
      <c r="JD10" s="5">
        <f>IFERROR(VLOOKUP(JD$1,'Renta Mixta Moderado'!$B$35:$C$62,2,FALSE),0%)</f>
        <v>0</v>
      </c>
      <c r="JE10" s="5">
        <f>IFERROR(VLOOKUP(JE$1,'Renta Mixta Moderado'!$B$35:$C$62,2,FALSE),0%)</f>
        <v>0</v>
      </c>
      <c r="JF10" s="5">
        <f>IFERROR(VLOOKUP(JF$1,'Renta Mixta Moderado'!$B$35:$C$62,2,FALSE),0%)</f>
        <v>0</v>
      </c>
      <c r="JG10" s="5">
        <f>IFERROR(VLOOKUP(JG$1,'Renta Mixta Moderado'!$B$35:$C$62,2,FALSE),0%)</f>
        <v>0</v>
      </c>
      <c r="JH10" s="5">
        <f>IFERROR(VLOOKUP(JH$1,'Renta Mixta Moderado'!$B$35:$C$62,2,FALSE),0%)</f>
        <v>0.03858797579</v>
      </c>
      <c r="JI10" s="5">
        <f>IFERROR(VLOOKUP(JI$1,'Renta Mixta Moderado'!$B$35:$C$62,2,FALSE),0%)</f>
        <v>0</v>
      </c>
      <c r="JJ10" s="5">
        <f>IFERROR(VLOOKUP(JJ$1,'Renta Mixta Moderado'!$B$35:$C$62,2,FALSE),0%)</f>
        <v>0</v>
      </c>
      <c r="JK10" s="5">
        <f>IFERROR(VLOOKUP(JK$1,'Renta Mixta Moderado'!$B$35:$C$62,2,FALSE),0%)</f>
        <v>0</v>
      </c>
      <c r="JL10" s="5">
        <f>IFERROR(VLOOKUP(JL$1,'Renta Mixta Moderado'!$B$35:$C$62,2,FALSE),0%)</f>
        <v>0</v>
      </c>
      <c r="JM10" s="5">
        <f>IFERROR(VLOOKUP(JM$1,'Renta Mixta Moderado'!$B$35:$C$62,2,FALSE),0%)</f>
        <v>0</v>
      </c>
      <c r="JN10" s="5">
        <f>IFERROR(VLOOKUP(JN$1,'Renta Mixta Moderado'!$B$35:$C$62,2,FALSE),0%)</f>
        <v>0</v>
      </c>
      <c r="JO10" s="5">
        <f>IFERROR(VLOOKUP(JO$1,'Renta Mixta Moderado'!$B$35:$C$62,2,FALSE),0%)</f>
        <v>0</v>
      </c>
      <c r="JP10" s="5">
        <f>IFERROR(VLOOKUP(JP$1,'Renta Mixta Moderado'!$B$35:$C$62,2,FALSE),0%)</f>
        <v>0</v>
      </c>
      <c r="JQ10" s="5">
        <f>IFERROR(VLOOKUP(JQ$1,'Renta Mixta Moderado'!$B$35:$C$62,2,FALSE),0%)</f>
        <v>0</v>
      </c>
      <c r="JR10" s="5">
        <f>IFERROR(VLOOKUP(JR$1,'Renta Mixta Moderado'!$B$35:$C$62,2,FALSE),0%)</f>
        <v>0</v>
      </c>
      <c r="JS10" s="5">
        <f>IFERROR(VLOOKUP(JS$1,'Renta Mixta Moderado'!$B$35:$C$62,2,FALSE),0%)</f>
        <v>0</v>
      </c>
      <c r="JT10" s="5">
        <f>IFERROR(VLOOKUP(JT$1,'Renta Mixta Moderado'!$B$35:$C$62,2,FALSE),0%)</f>
        <v>0</v>
      </c>
      <c r="JU10" s="5">
        <f>IFERROR(VLOOKUP(JU$1,'Renta Mixta Moderado'!$B$35:$C$62,2,FALSE),0%)</f>
        <v>0</v>
      </c>
      <c r="JV10" s="5">
        <f>IFERROR(VLOOKUP(JV$1,'Renta Mixta Moderado'!$B$35:$C$62,2,FALSE),0%)</f>
        <v>0</v>
      </c>
      <c r="JW10" s="5">
        <f>IFERROR(VLOOKUP(JW$1,'Renta Mixta Moderado'!$B$35:$C$62,2,FALSE),0%)</f>
        <v>0</v>
      </c>
      <c r="JX10" s="5">
        <f>IFERROR(VLOOKUP(JX$1,'Renta Mixta Moderado'!$B$35:$C$62,2,FALSE),0%)</f>
        <v>0</v>
      </c>
      <c r="JY10" s="5">
        <f>IFERROR(VLOOKUP(JY$1,'Renta Mixta Moderado'!$B$35:$C$62,2,FALSE),0%)</f>
        <v>0</v>
      </c>
      <c r="JZ10" s="5">
        <f>IFERROR(VLOOKUP(JZ$1,'Renta Mixta Moderado'!$B$35:$C$62,2,FALSE),0%)</f>
        <v>0</v>
      </c>
      <c r="KA10" s="5">
        <f>IFERROR(VLOOKUP(KA$1,'Renta Mixta Moderado'!$B$35:$C$62,2,FALSE),0%)</f>
        <v>0</v>
      </c>
      <c r="KB10" s="5">
        <f>IFERROR(VLOOKUP(KB$1,'Renta Mixta Moderado'!$B$35:$C$62,2,FALSE),0%)</f>
        <v>0</v>
      </c>
      <c r="KC10" s="5">
        <f>IFERROR(VLOOKUP(KC$1,'Renta Mixta Moderado'!$B$35:$C$62,2,FALSE),0%)</f>
        <v>0</v>
      </c>
      <c r="KD10" s="5">
        <f>IFERROR(VLOOKUP(KD$1,'Renta Mixta Moderado'!$B$35:$C$62,2,FALSE),0%)</f>
        <v>0</v>
      </c>
      <c r="KE10" s="5">
        <f>IFERROR(VLOOKUP(KE$1,'Renta Mixta Moderado'!$B$35:$C$62,2,FALSE),0%)</f>
        <v>0</v>
      </c>
      <c r="KF10" s="5">
        <f>IFERROR(VLOOKUP(KF$1,'Renta Mixta Moderado'!$B$35:$C$62,2,FALSE),0%)</f>
        <v>0</v>
      </c>
      <c r="KG10" s="5">
        <f>IFERROR(VLOOKUP(KG$1,'Renta Mixta Moderado'!$B$35:$C$62,2,FALSE),0%)</f>
        <v>0</v>
      </c>
      <c r="KH10" s="5">
        <f>IFERROR(VLOOKUP(KH$1,'Renta Mixta Moderado'!$B$35:$C$62,2,FALSE),0%)</f>
        <v>0</v>
      </c>
      <c r="KI10" s="5">
        <f>IFERROR(VLOOKUP(KI$1,'Renta Mixta Moderado'!$B$35:$C$62,2,FALSE),0%)</f>
        <v>0</v>
      </c>
      <c r="KJ10" s="5">
        <f>IFERROR(VLOOKUP(KJ$1,'Renta Mixta Moderado'!$B$35:$C$62,2,FALSE),0%)</f>
        <v>0</v>
      </c>
      <c r="KK10" s="5">
        <f>IFERROR(VLOOKUP(KK$1,'Renta Mixta Moderado'!$B$35:$C$62,2,FALSE),0%)</f>
        <v>0</v>
      </c>
      <c r="KL10" s="5">
        <f>IFERROR(VLOOKUP(KL$1,'Renta Mixta Moderado'!$B$35:$C$62,2,FALSE),0%)</f>
        <v>0</v>
      </c>
      <c r="KM10" s="5">
        <f>IFERROR(VLOOKUP(KM$1,'Renta Mixta Moderado'!$B$35:$C$62,2,FALSE),0%)</f>
        <v>0</v>
      </c>
      <c r="KN10" s="5">
        <f>IFERROR(VLOOKUP(KN$1,'Renta Mixta Moderado'!$B$35:$C$62,2,FALSE),0%)</f>
        <v>0</v>
      </c>
      <c r="KO10" s="5">
        <f>IFERROR(VLOOKUP(KO$1,'Renta Mixta Moderado'!$B$35:$C$62,2,FALSE),0%)</f>
        <v>0</v>
      </c>
      <c r="KP10" s="5">
        <f>IFERROR(VLOOKUP(KP$1,'Renta Mixta Moderado'!$B$35:$C$62,2,FALSE),0%)</f>
        <v>0</v>
      </c>
      <c r="KQ10" s="5">
        <f>IFERROR(VLOOKUP(KQ$1,'Renta Mixta Moderado'!$B$35:$C$62,2,FALSE),0%)</f>
        <v>0</v>
      </c>
      <c r="KR10" s="5">
        <f>IFERROR(VLOOKUP(KR$1,'Renta Mixta Moderado'!$B$35:$C$62,2,FALSE),0%)</f>
        <v>0</v>
      </c>
      <c r="KS10" s="5">
        <f>IFERROR(VLOOKUP(KS$1,'Renta Mixta Moderado'!$B$35:$C$62,2,FALSE),0%)</f>
        <v>0</v>
      </c>
      <c r="KT10" s="5">
        <f>IFERROR(VLOOKUP(KT$1,'Renta Mixta Moderado'!$B$35:$C$62,2,FALSE),0%)</f>
        <v>0.003311325259</v>
      </c>
      <c r="KU10" s="5">
        <f>IFERROR(VLOOKUP(KU$1,'Renta Mixta Moderado'!$B$35:$C$62,2,FALSE),0%)</f>
        <v>0</v>
      </c>
      <c r="KV10" s="5">
        <f>IFERROR(VLOOKUP(KV$1,'Renta Mixta Moderado'!$B$35:$C$62,2,FALSE),0%)</f>
        <v>0</v>
      </c>
      <c r="KW10" s="5">
        <f>IFERROR(VLOOKUP(KW$1,'Renta Mixta Moderado'!$B$35:$C$62,2,FALSE),0%)</f>
        <v>0</v>
      </c>
      <c r="KX10" s="5">
        <f>IFERROR(VLOOKUP(KX$1,'Renta Mixta Moderado'!$B$35:$C$62,2,FALSE),0%)</f>
        <v>0</v>
      </c>
      <c r="KY10" s="5">
        <f>IFERROR(VLOOKUP(KY$1,'Renta Mixta Moderado'!$B$35:$C$62,2,FALSE),0%)</f>
        <v>0</v>
      </c>
      <c r="KZ10" s="5">
        <f>IFERROR(VLOOKUP(KZ$1,'Renta Mixta Moderado'!$B$35:$C$62,2,FALSE),0%)</f>
        <v>0</v>
      </c>
      <c r="LA10" s="5">
        <f>IFERROR(VLOOKUP(LA$1,'Renta Mixta Moderado'!$B$35:$C$62,2,FALSE),0%)</f>
        <v>0</v>
      </c>
      <c r="LB10" s="5">
        <f>IFERROR(VLOOKUP(LB$1,'Renta Mixta Moderado'!$B$35:$C$62,2,FALSE),0%)</f>
        <v>0</v>
      </c>
      <c r="LC10" s="5">
        <f>IFERROR(VLOOKUP(LC$1,'Renta Mixta Moderado'!$B$35:$C$62,2,FALSE),0%)</f>
        <v>0</v>
      </c>
      <c r="LD10" s="5">
        <f>IFERROR(VLOOKUP(LD$1,'Renta Mixta Moderado'!$B$35:$C$62,2,FALSE),0%)</f>
        <v>0</v>
      </c>
      <c r="LE10" s="5">
        <f>IFERROR(VLOOKUP(LE$1,'Renta Mixta Moderado'!$B$35:$C$62,2,FALSE),0%)</f>
        <v>0</v>
      </c>
      <c r="LF10" s="5">
        <f>IFERROR(VLOOKUP(LF$1,'Renta Mixta Moderado'!$B$35:$C$62,2,FALSE),0%)</f>
        <v>0</v>
      </c>
      <c r="LG10" s="5">
        <f>IFERROR(VLOOKUP(LG$1,'Renta Mixta Moderado'!$B$35:$C$62,2,FALSE),0%)</f>
        <v>0</v>
      </c>
      <c r="LH10" s="5">
        <f>IFERROR(VLOOKUP(LH$1,'Renta Mixta Moderado'!$B$35:$C$62,2,FALSE),0%)</f>
        <v>0</v>
      </c>
      <c r="LI10" s="5">
        <f>IFERROR(VLOOKUP(LI$1,'Renta Mixta Moderado'!$B$35:$C$62,2,FALSE),0%)</f>
        <v>0</v>
      </c>
      <c r="LJ10" s="5">
        <f>IFERROR(VLOOKUP(LJ$1,'Renta Mixta Moderado'!$B$35:$C$62,2,FALSE),0%)</f>
        <v>0</v>
      </c>
      <c r="LK10" s="5">
        <f>IFERROR(VLOOKUP(LK$1,'Renta Mixta Moderado'!$B$35:$C$62,2,FALSE),0%)</f>
        <v>0</v>
      </c>
      <c r="LL10" s="5">
        <f>IFERROR(VLOOKUP(LL$1,'Renta Mixta Moderado'!$B$35:$C$62,2,FALSE),0%)</f>
        <v>0</v>
      </c>
      <c r="LM10" s="5">
        <f>IFERROR(VLOOKUP(LM$1,'Renta Mixta Moderado'!$B$35:$C$62,2,FALSE),0%)</f>
        <v>0</v>
      </c>
      <c r="LN10" s="5">
        <f>IFERROR(VLOOKUP(LN$1,'Renta Mixta Moderado'!$B$35:$C$62,2,FALSE),0%)</f>
        <v>0</v>
      </c>
      <c r="LO10" s="5">
        <f>IFERROR(VLOOKUP(LO$1,'Renta Mixta Moderado'!$B$35:$C$62,2,FALSE),0%)</f>
        <v>0</v>
      </c>
      <c r="LP10" s="5">
        <f>IFERROR(VLOOKUP(LP$1,'Renta Mixta Moderado'!$B$35:$C$62,2,FALSE),0%)</f>
        <v>0</v>
      </c>
      <c r="LQ10" s="5">
        <f>IFERROR(VLOOKUP(LQ$1,'Renta Mixta Moderado'!$B$35:$C$62,2,FALSE),0%)</f>
        <v>0</v>
      </c>
      <c r="LR10" s="5">
        <f>IFERROR(VLOOKUP(LR$1,'Renta Mixta Moderado'!$B$35:$C$62,2,FALSE),0%)</f>
        <v>0</v>
      </c>
      <c r="LS10" s="5">
        <f>IFERROR(VLOOKUP(LS$1,'Renta Mixta Moderado'!$B$35:$C$62,2,FALSE),0%)</f>
        <v>0</v>
      </c>
      <c r="LT10" s="5">
        <f>IFERROR(VLOOKUP(LT$1,'Renta Mixta Moderado'!$B$35:$C$62,2,FALSE),0%)</f>
        <v>0</v>
      </c>
      <c r="LU10" s="5">
        <f>IFERROR(VLOOKUP(LU$1,'Renta Mixta Moderado'!$B$35:$C$62,2,FALSE),0%)</f>
        <v>0</v>
      </c>
      <c r="LV10" s="5">
        <f>IFERROR(VLOOKUP(LV$1,'Renta Mixta Moderado'!$B$35:$C$62,2,FALSE),0%)</f>
        <v>0</v>
      </c>
      <c r="LW10" s="5">
        <f>IFERROR(VLOOKUP(LW$1,'Renta Mixta Moderado'!$B$35:$C$62,2,FALSE),0%)</f>
        <v>0</v>
      </c>
      <c r="LX10" s="5">
        <f>IFERROR(VLOOKUP(LX$1,'Renta Mixta Moderado'!$B$35:$C$62,2,FALSE),0%)</f>
        <v>0</v>
      </c>
      <c r="LY10" s="5">
        <f>IFERROR(VLOOKUP(LY$1,'Renta Mixta Moderado'!$B$35:$C$62,2,FALSE),0%)</f>
        <v>0</v>
      </c>
      <c r="LZ10" s="5">
        <f>IFERROR(VLOOKUP(LZ$1,'Renta Mixta Moderado'!$B$35:$C$62,2,FALSE),0%)</f>
        <v>0</v>
      </c>
      <c r="MA10" s="5">
        <f>IFERROR(VLOOKUP(MA$1,'Renta Mixta Moderado'!$B$35:$C$62,2,FALSE),0%)</f>
        <v>0</v>
      </c>
      <c r="MB10" s="5">
        <f>IFERROR(VLOOKUP(MB$1,'Renta Mixta Moderado'!$B$35:$C$62,2,FALSE),0%)</f>
        <v>0</v>
      </c>
      <c r="MC10" s="5">
        <f>IFERROR(VLOOKUP(MC$1,'Renta Mixta Moderado'!$B$35:$C$62,2,FALSE),0%)</f>
        <v>0</v>
      </c>
      <c r="MD10" s="5">
        <f>IFERROR(VLOOKUP(MD$1,'Renta Mixta Moderado'!$B$35:$C$62,2,FALSE),0%)</f>
        <v>0</v>
      </c>
      <c r="ME10" s="5">
        <f>IFERROR(VLOOKUP(ME$1,'Renta Mixta Moderado'!$B$35:$C$62,2,FALSE),0%)</f>
        <v>0</v>
      </c>
      <c r="MF10" s="5">
        <f>IFERROR(VLOOKUP(MF$1,'Renta Mixta Moderado'!$B$35:$C$62,2,FALSE),0%)</f>
        <v>0</v>
      </c>
      <c r="MG10" s="5">
        <f>IFERROR(VLOOKUP(MG$1,'Renta Mixta Moderado'!$B$35:$C$62,2,FALSE),0%)</f>
        <v>0</v>
      </c>
      <c r="MH10" s="5">
        <f>IFERROR(VLOOKUP(MH$1,'Renta Mixta Moderado'!$B$35:$C$62,2,FALSE),0%)</f>
        <v>0</v>
      </c>
      <c r="MI10" s="5">
        <f>IFERROR(VLOOKUP(MI$1,'Renta Mixta Moderado'!$B$35:$C$62,2,FALSE),0%)</f>
        <v>0.004693749447</v>
      </c>
      <c r="MJ10" s="5">
        <f>IFERROR(VLOOKUP(MJ$1,'Renta Mixta Moderado'!$B$35:$C$62,2,FALSE),0%)</f>
        <v>0</v>
      </c>
      <c r="MK10" s="5">
        <f>IFERROR(VLOOKUP(MK$1,'Renta Mixta Moderado'!$B$35:$C$62,2,FALSE),0%)</f>
        <v>0</v>
      </c>
      <c r="ML10" s="5">
        <f>IFERROR(VLOOKUP(ML$1,'Renta Mixta Moderado'!$B$35:$C$62,2,FALSE),0%)</f>
        <v>0</v>
      </c>
      <c r="MM10" s="5">
        <f>IFERROR(VLOOKUP(MM$1,'Renta Mixta Moderado'!$B$35:$C$62,2,FALSE),0%)</f>
        <v>0</v>
      </c>
      <c r="MN10" s="5">
        <f>IFERROR(VLOOKUP(MN$1,'Renta Mixta Moderado'!$B$35:$C$62,2,FALSE),0%)</f>
        <v>0</v>
      </c>
      <c r="MO10" s="5">
        <f>IFERROR(VLOOKUP(MO$1,'Renta Mixta Moderado'!$B$35:$C$62,2,FALSE),0%)</f>
        <v>0</v>
      </c>
      <c r="MP10" s="5">
        <f>IFERROR(VLOOKUP(MP$1,'Renta Mixta Moderado'!$B$35:$C$62,2,FALSE),0%)</f>
        <v>0</v>
      </c>
      <c r="MQ10" s="5">
        <f>IFERROR(VLOOKUP(MQ$1,'Renta Mixta Moderado'!$B$35:$C$62,2,FALSE),0%)</f>
        <v>0</v>
      </c>
      <c r="MR10" s="5">
        <f>IFERROR(VLOOKUP(MR$1,'Renta Mixta Moderado'!$B$35:$C$62,2,FALSE),0%)</f>
        <v>0</v>
      </c>
      <c r="MS10" s="5">
        <f>IFERROR(VLOOKUP(MS$1,'Renta Mixta Moderado'!$B$35:$C$62,2,FALSE),0%)</f>
        <v>0</v>
      </c>
      <c r="MT10" s="5">
        <f>IFERROR(VLOOKUP(MT$1,'Renta Mixta Moderado'!$B$35:$C$62,2,FALSE),0%)</f>
        <v>0</v>
      </c>
      <c r="MU10" s="5">
        <f>IFERROR(VLOOKUP(MU$1,'Renta Mixta Moderado'!$B$35:$C$62,2,FALSE),0%)</f>
        <v>0</v>
      </c>
      <c r="MV10" s="5">
        <f>IFERROR(VLOOKUP(MV$1,'Renta Mixta Moderado'!$B$35:$C$62,2,FALSE),0%)</f>
        <v>0</v>
      </c>
      <c r="MW10" s="5">
        <f>IFERROR(VLOOKUP(MW$1,'Renta Mixta Moderado'!$B$35:$C$62,2,FALSE),0%)</f>
        <v>0</v>
      </c>
      <c r="MX10" s="5">
        <f>IFERROR(VLOOKUP(MX$1,'Renta Mixta Moderado'!$B$35:$C$62,2,FALSE),0%)</f>
        <v>0</v>
      </c>
      <c r="MY10" s="5">
        <f>IFERROR(VLOOKUP(MY$1,'Renta Mixta Moderado'!$B$35:$C$62,2,FALSE),0%)</f>
        <v>0</v>
      </c>
      <c r="MZ10" s="5">
        <f>IFERROR(VLOOKUP(MZ$1,'Renta Mixta Moderado'!$B$35:$C$62,2,FALSE),0%)</f>
        <v>0</v>
      </c>
      <c r="NA10" s="5">
        <f>IFERROR(VLOOKUP(NA$1,'Renta Mixta Moderado'!$B$35:$C$62,2,FALSE),0%)</f>
        <v>0</v>
      </c>
      <c r="NB10" s="5">
        <f>IFERROR(VLOOKUP(NB$1,'Renta Mixta Moderado'!$B$35:$C$62,2,FALSE),0%)</f>
        <v>0</v>
      </c>
      <c r="NC10" s="5">
        <f>IFERROR(VLOOKUP(NC$1,'Renta Mixta Moderado'!$B$35:$C$62,2,FALSE),0%)</f>
        <v>0</v>
      </c>
      <c r="ND10" s="5">
        <f>IFERROR(VLOOKUP(ND$1,'Renta Mixta Moderado'!$B$35:$C$62,2,FALSE),0%)</f>
        <v>0</v>
      </c>
      <c r="NE10" s="5">
        <f>IFERROR(VLOOKUP(NE$1,'Renta Mixta Moderado'!$B$35:$C$62,2,FALSE),0%)</f>
        <v>0</v>
      </c>
      <c r="NF10" s="5">
        <f>IFERROR(VLOOKUP(NF$1,'Renta Mixta Moderado'!$B$35:$C$62,2,FALSE),0%)</f>
        <v>0</v>
      </c>
      <c r="NG10" s="5">
        <f>IFERROR(VLOOKUP(NG$1,'Renta Mixta Moderado'!$B$35:$C$62,2,FALSE),0%)</f>
        <v>0</v>
      </c>
      <c r="NH10" s="5">
        <f>IFERROR(VLOOKUP(NH$1,'Renta Mixta Moderado'!$B$35:$C$62,2,FALSE),0%)</f>
        <v>0</v>
      </c>
      <c r="NI10" s="5">
        <f>IFERROR(VLOOKUP(NI$1,'Renta Mixta Moderado'!$B$35:$C$62,2,FALSE),0%)</f>
        <v>0</v>
      </c>
      <c r="NJ10" s="5">
        <f>IFERROR(VLOOKUP(NJ$1,'Renta Mixta Moderado'!$B$35:$C$62,2,FALSE),0%)</f>
        <v>0</v>
      </c>
      <c r="NK10" s="5">
        <f>IFERROR(VLOOKUP(NK$1,'Renta Mixta Moderado'!$B$35:$C$62,2,FALSE),0%)</f>
        <v>0</v>
      </c>
      <c r="NL10" s="5">
        <f>IFERROR(VLOOKUP(NL$1,'Renta Mixta Moderado'!$B$35:$C$62,2,FALSE),0%)</f>
        <v>0</v>
      </c>
      <c r="NM10" s="5">
        <f>IFERROR(VLOOKUP(NM$1,'Renta Mixta Moderado'!$B$35:$C$62,2,FALSE),0%)</f>
        <v>0</v>
      </c>
      <c r="NN10" s="5">
        <f>IFERROR(VLOOKUP(NN$1,'Renta Mixta Moderado'!$B$35:$C$62,2,FALSE),0%)</f>
        <v>0</v>
      </c>
      <c r="NO10" s="5">
        <f>IFERROR(VLOOKUP(NO$1,'Renta Mixta Moderado'!$B$35:$C$62,2,FALSE),0%)</f>
        <v>0</v>
      </c>
      <c r="NP10" s="5">
        <f>IFERROR(VLOOKUP(NP$1,'Renta Mixta Moderado'!$B$35:$C$62,2,FALSE),0%)</f>
        <v>0</v>
      </c>
      <c r="NQ10" s="5">
        <f>IFERROR(VLOOKUP(NQ$1,'Renta Mixta Moderado'!$B$35:$C$62,2,FALSE),0%)</f>
        <v>0</v>
      </c>
      <c r="NR10" s="5">
        <f>IFERROR(VLOOKUP(NR$1,'Renta Mixta Moderado'!$B$35:$C$62,2,FALSE),0%)</f>
        <v>0</v>
      </c>
      <c r="NS10" s="5">
        <f>IFERROR(VLOOKUP(NS$1,'Renta Mixta Moderado'!$B$35:$C$62,2,FALSE),0%)</f>
        <v>0</v>
      </c>
      <c r="NT10" s="5">
        <f>IFERROR(VLOOKUP(NT$1,'Renta Mixta Moderado'!$B$35:$C$62,2,FALSE),0%)</f>
        <v>0</v>
      </c>
      <c r="NU10" s="5">
        <f>IFERROR(VLOOKUP(NU$1,'Renta Mixta Moderado'!$B$35:$C$62,2,FALSE),0%)</f>
        <v>0</v>
      </c>
      <c r="NV10" s="5">
        <f>IFERROR(VLOOKUP(NV$1,'Renta Mixta Moderado'!$B$35:$C$62,2,FALSE),0%)</f>
        <v>0</v>
      </c>
      <c r="NW10" s="5">
        <f>IFERROR(VLOOKUP(NW$1,'Renta Mixta Moderado'!$B$35:$C$62,2,FALSE),0%)</f>
        <v>0</v>
      </c>
      <c r="NX10" s="5">
        <f>IFERROR(VLOOKUP(NX$1,'Renta Mixta Moderado'!$B$35:$C$62,2,FALSE),0%)</f>
        <v>0</v>
      </c>
      <c r="NY10" s="5">
        <f>IFERROR(VLOOKUP(NY$1,'Renta Mixta Moderado'!$B$35:$C$62,2,FALSE),0%)</f>
        <v>0</v>
      </c>
      <c r="NZ10" s="5">
        <f>IFERROR(VLOOKUP(NZ$1,'Renta Mixta Moderado'!$B$35:$C$62,2,FALSE),0%)</f>
        <v>0</v>
      </c>
      <c r="OA10" s="5">
        <f>IFERROR(VLOOKUP(OA$1,'Renta Mixta Moderado'!$B$35:$C$62,2,FALSE),0%)</f>
        <v>0</v>
      </c>
      <c r="OB10" s="5">
        <f>IFERROR(VLOOKUP(OB$1,'Renta Mixta Moderado'!$B$35:$C$62,2,FALSE),0%)</f>
        <v>0</v>
      </c>
      <c r="OC10" s="5">
        <f>IFERROR(VLOOKUP(OC$1,'Renta Mixta Moderado'!$B$35:$C$62,2,FALSE),0%)</f>
        <v>0</v>
      </c>
      <c r="OD10" s="5">
        <f>IFERROR(VLOOKUP(OD$1,'Renta Mixta Moderado'!$B$35:$C$62,2,FALSE),0%)</f>
        <v>0</v>
      </c>
      <c r="OE10" s="5">
        <f>IFERROR(VLOOKUP(OE$1,'Renta Mixta Moderado'!$B$35:$C$62,2,FALSE),0%)</f>
        <v>0</v>
      </c>
      <c r="OF10" s="5">
        <f>IFERROR(VLOOKUP(OF$1,'Renta Mixta Moderado'!$B$35:$C$62,2,FALSE),0%)</f>
        <v>0</v>
      </c>
      <c r="OG10" s="5">
        <f>IFERROR(VLOOKUP(OG$1,'Renta Mixta Moderado'!$B$35:$C$62,2,FALSE),0%)</f>
        <v>0</v>
      </c>
      <c r="OH10" s="5">
        <f>IFERROR(VLOOKUP(OH$1,'Renta Mixta Moderado'!$B$35:$C$62,2,FALSE),0%)</f>
        <v>0</v>
      </c>
      <c r="OI10" s="5">
        <f>IFERROR(VLOOKUP(OI$1,'Renta Mixta Moderado'!$B$35:$C$62,2,FALSE),0%)</f>
        <v>0</v>
      </c>
      <c r="OJ10" s="5">
        <f>IFERROR(VLOOKUP(OJ$1,'Renta Mixta Moderado'!$B$35:$C$62,2,FALSE),0%)</f>
        <v>0</v>
      </c>
      <c r="OK10" s="5">
        <f>IFERROR(VLOOKUP(OK$1,'Renta Mixta Moderado'!$B$35:$C$62,2,FALSE),0%)</f>
        <v>0</v>
      </c>
      <c r="OL10" s="5">
        <f>IFERROR(VLOOKUP(OL$1,'Renta Mixta Moderado'!$B$35:$C$62,2,FALSE),0%)</f>
        <v>0</v>
      </c>
      <c r="OM10" s="5">
        <f>IFERROR(VLOOKUP(OM$1,'Renta Mixta Moderado'!$B$35:$C$62,2,FALSE),0%)</f>
        <v>0</v>
      </c>
      <c r="ON10" s="5">
        <f>IFERROR(VLOOKUP(ON$1,'Renta Mixta Moderado'!$B$35:$C$62,2,FALSE),0%)</f>
        <v>0</v>
      </c>
      <c r="OO10" s="5">
        <f>IFERROR(VLOOKUP(OO$1,'Renta Mixta Moderado'!$B$35:$C$62,2,FALSE),0%)</f>
        <v>0</v>
      </c>
      <c r="OP10" s="5">
        <f>IFERROR(VLOOKUP(OP$1,'Renta Mixta Moderado'!$B$35:$C$62,2,FALSE),0%)</f>
        <v>0</v>
      </c>
      <c r="OQ10" s="5">
        <f>IFERROR(VLOOKUP(OQ$1,'Renta Mixta Moderado'!$B$35:$C$62,2,FALSE),0%)</f>
        <v>0</v>
      </c>
      <c r="OR10" s="5">
        <f>IFERROR(VLOOKUP(OR$1,'Renta Mixta Moderado'!$B$35:$C$62,2,FALSE),0%)</f>
        <v>0</v>
      </c>
      <c r="OS10" s="5">
        <f>IFERROR(VLOOKUP(OS$1,'Renta Mixta Moderado'!$B$35:$C$62,2,FALSE),0%)</f>
        <v>0</v>
      </c>
      <c r="OT10" s="5">
        <f>IFERROR(VLOOKUP(OT$1,'Renta Mixta Moderado'!$B$35:$C$62,2,FALSE),0%)</f>
        <v>0</v>
      </c>
      <c r="OU10" s="5">
        <f>IFERROR(VLOOKUP(OU$1,'Renta Mixta Moderado'!$B$35:$C$62,2,FALSE),0%)</f>
        <v>0</v>
      </c>
      <c r="OV10" s="5">
        <f>IFERROR(VLOOKUP(OV$1,'Renta Mixta Moderado'!$B$35:$C$62,2,FALSE),0%)</f>
        <v>0</v>
      </c>
      <c r="OW10" s="5">
        <f>IFERROR(VLOOKUP(OW$1,'Renta Mixta Moderado'!$B$35:$C$62,2,FALSE),0%)</f>
        <v>0</v>
      </c>
      <c r="OX10" s="5">
        <f>IFERROR(VLOOKUP(OX$1,'Renta Mixta Moderado'!$B$35:$C$62,2,FALSE),0%)</f>
        <v>0</v>
      </c>
      <c r="OY10" s="5">
        <f>IFERROR(VLOOKUP(OY$1,'Renta Mixta Moderado'!$B$35:$C$62,2,FALSE),0%)</f>
        <v>0</v>
      </c>
      <c r="OZ10" s="5">
        <f>IFERROR(VLOOKUP(OZ$1,'Renta Mixta Moderado'!$B$35:$C$62,2,FALSE),0%)</f>
        <v>0</v>
      </c>
      <c r="PA10" s="5">
        <f>IFERROR(VLOOKUP(PA$1,'Renta Mixta Moderado'!$B$35:$C$62,2,FALSE),0%)</f>
        <v>0</v>
      </c>
      <c r="PB10" s="5">
        <f>IFERROR(VLOOKUP(PB$1,'Renta Mixta Moderado'!$B$35:$C$62,2,FALSE),0%)</f>
        <v>0</v>
      </c>
      <c r="PC10" s="5">
        <f>IFERROR(VLOOKUP(PC$1,'Renta Mixta Moderado'!$B$35:$C$62,2,FALSE),0%)</f>
        <v>0</v>
      </c>
      <c r="PD10" s="5">
        <f>IFERROR(VLOOKUP(PD$1,'Renta Mixta Moderado'!$B$35:$C$62,2,FALSE),0%)</f>
        <v>0</v>
      </c>
      <c r="PE10" s="5">
        <f>IFERROR(VLOOKUP(PE$1,'Renta Mixta Moderado'!$B$35:$C$62,2,FALSE),0%)</f>
        <v>0</v>
      </c>
      <c r="PF10" s="5">
        <f>IFERROR(VLOOKUP(PF$1,'Renta Mixta Moderado'!$B$35:$C$62,2,FALSE),0%)</f>
        <v>0</v>
      </c>
      <c r="PG10" s="5">
        <f>IFERROR(VLOOKUP(PG$1,'Renta Mixta Moderado'!$B$35:$C$62,2,FALSE),0%)</f>
        <v>0</v>
      </c>
      <c r="PH10" s="5">
        <f>IFERROR(VLOOKUP(PH$1,'Renta Mixta Moderado'!$B$35:$C$62,2,FALSE),0%)</f>
        <v>0</v>
      </c>
      <c r="PI10" s="5">
        <f>IFERROR(VLOOKUP(PI$1,'Renta Mixta Moderado'!$B$35:$C$62,2,FALSE),0%)</f>
        <v>0</v>
      </c>
      <c r="PJ10" s="5">
        <f>IFERROR(VLOOKUP(PJ$1,'Renta Mixta Moderado'!$B$35:$C$62,2,FALSE),0%)</f>
        <v>0</v>
      </c>
      <c r="PK10" s="5">
        <f>IFERROR(VLOOKUP(PK$1,'Renta Mixta Moderado'!$B$35:$C$62,2,FALSE),0%)</f>
        <v>0</v>
      </c>
      <c r="PL10" s="5">
        <f>IFERROR(VLOOKUP(PL$1,'Renta Mixta Moderado'!$B$35:$C$62,2,FALSE),0%)</f>
        <v>0</v>
      </c>
      <c r="PM10" s="5">
        <f>IFERROR(VLOOKUP(PM$1,'Renta Mixta Moderado'!$B$35:$C$62,2,FALSE),0%)</f>
        <v>0</v>
      </c>
      <c r="PN10" s="5">
        <f>IFERROR(VLOOKUP(PN$1,'Renta Mixta Moderado'!$B$35:$C$62,2,FALSE),0%)</f>
        <v>0</v>
      </c>
      <c r="PO10" s="5">
        <f>IFERROR(VLOOKUP(PO$1,'Renta Mixta Moderado'!$B$35:$C$62,2,FALSE),0%)</f>
        <v>0</v>
      </c>
      <c r="PP10" s="5">
        <f>IFERROR(VLOOKUP(PP$1,'Renta Mixta Moderado'!$B$35:$C$62,2,FALSE),0%)</f>
        <v>0</v>
      </c>
      <c r="PQ10" s="5">
        <f>IFERROR(VLOOKUP(PQ$1,'Renta Mixta Moderado'!$B$35:$C$62,2,FALSE),0%)</f>
        <v>0</v>
      </c>
      <c r="PR10" s="5">
        <f>IFERROR(VLOOKUP(PR$1,'Renta Mixta Moderado'!$B$35:$C$62,2,FALSE),0%)</f>
        <v>0</v>
      </c>
      <c r="PS10" s="5">
        <f>IFERROR(VLOOKUP(PS$1,'Renta Mixta Moderado'!$B$35:$C$62,2,FALSE),0%)</f>
        <v>0</v>
      </c>
      <c r="PT10" s="5">
        <f>IFERROR(VLOOKUP(PT$1,'Renta Mixta Moderado'!$B$35:$C$62,2,FALSE),0%)</f>
        <v>0</v>
      </c>
      <c r="PU10" s="5">
        <f>IFERROR(VLOOKUP(PU$1,'Renta Mixta Moderado'!$B$35:$C$62,2,FALSE),0%)</f>
        <v>0</v>
      </c>
      <c r="PV10" s="5">
        <f>IFERROR(VLOOKUP(PV$1,'Renta Mixta Moderado'!$B$35:$C$62,2,FALSE),0%)</f>
        <v>0</v>
      </c>
      <c r="PW10" s="5">
        <f>IFERROR(VLOOKUP(PW$1,'Renta Mixta Moderado'!$B$35:$C$62,2,FALSE),0%)</f>
        <v>0</v>
      </c>
      <c r="PX10" s="5">
        <f>IFERROR(VLOOKUP(PX$1,'Renta Mixta Moderado'!$B$35:$C$62,2,FALSE),0%)</f>
        <v>0</v>
      </c>
      <c r="PY10" s="5">
        <f>IFERROR(VLOOKUP(PY$1,'Renta Mixta Moderado'!$B$35:$C$62,2,FALSE),0%)</f>
        <v>0</v>
      </c>
      <c r="PZ10" s="5">
        <f>IFERROR(VLOOKUP(PZ$1,'Renta Mixta Moderado'!$B$35:$C$62,2,FALSE),0%)</f>
        <v>0</v>
      </c>
      <c r="QA10" s="5">
        <f>IFERROR(VLOOKUP(QA$1,'Renta Mixta Moderado'!$B$35:$C$62,2,FALSE),0%)</f>
        <v>0</v>
      </c>
      <c r="QB10" s="5">
        <f>IFERROR(VLOOKUP(QB$1,'Renta Mixta Moderado'!$B$35:$C$62,2,FALSE),0%)</f>
        <v>0</v>
      </c>
      <c r="QC10" s="5">
        <f>IFERROR(VLOOKUP(QC$1,'Renta Mixta Moderado'!$B$35:$C$62,2,FALSE),0%)</f>
        <v>0</v>
      </c>
      <c r="QD10" s="5">
        <f>IFERROR(VLOOKUP(QD$1,'Renta Mixta Moderado'!$B$35:$C$62,2,FALSE),0%)</f>
        <v>0</v>
      </c>
      <c r="QE10" s="5">
        <f>IFERROR(VLOOKUP(QE$1,'Renta Mixta Moderado'!$B$35:$C$62,2,FALSE),0%)</f>
        <v>0</v>
      </c>
      <c r="QF10" s="5">
        <f>IFERROR(VLOOKUP(QF$1,'Renta Mixta Moderado'!$B$35:$C$62,2,FALSE),0%)</f>
        <v>0</v>
      </c>
      <c r="QG10" s="5">
        <f>IFERROR(VLOOKUP(QG$1,'Renta Mixta Moderado'!$B$35:$C$62,2,FALSE),0%)</f>
        <v>0</v>
      </c>
      <c r="QH10" s="5">
        <f>IFERROR(VLOOKUP(QH$1,'Renta Mixta Moderado'!$B$35:$C$62,2,FALSE),0%)</f>
        <v>0</v>
      </c>
      <c r="QI10" s="5">
        <f>IFERROR(VLOOKUP(QI$1,'Renta Mixta Moderado'!$B$35:$C$62,2,FALSE),0%)</f>
        <v>0</v>
      </c>
      <c r="QJ10" s="5">
        <f>IFERROR(VLOOKUP(QJ$1,'Renta Mixta Moderado'!$B$35:$C$62,2,FALSE),0%)</f>
        <v>0</v>
      </c>
      <c r="QK10" s="5">
        <f>IFERROR(VLOOKUP(QK$1,'Renta Mixta Moderado'!$B$35:$C$62,2,FALSE),0%)</f>
        <v>0</v>
      </c>
      <c r="QL10" s="5">
        <f>IFERROR(VLOOKUP(QL$1,'Renta Mixta Moderado'!$B$35:$C$62,2,FALSE),0%)</f>
        <v>0</v>
      </c>
      <c r="QM10" s="5">
        <f>IFERROR(VLOOKUP(QM$1,'Renta Mixta Moderado'!$B$35:$C$62,2,FALSE),0%)</f>
        <v>0</v>
      </c>
      <c r="QN10" s="5">
        <f>IFERROR(VLOOKUP(QN$1,'Renta Mixta Moderado'!$B$35:$C$62,2,FALSE),0%)</f>
        <v>0</v>
      </c>
      <c r="QO10" s="5">
        <f>IFERROR(VLOOKUP(QO$1,'Renta Mixta Moderado'!$B$35:$C$62,2,FALSE),0%)</f>
        <v>0</v>
      </c>
      <c r="QP10" s="5">
        <f>IFERROR(VLOOKUP(QP$1,'Renta Mixta Moderado'!$B$35:$C$62,2,FALSE),0%)</f>
        <v>0</v>
      </c>
      <c r="QQ10" s="5">
        <f>IFERROR(VLOOKUP(QQ$1,'Renta Mixta Moderado'!$B$35:$C$62,2,FALSE),0%)</f>
        <v>0</v>
      </c>
      <c r="QR10" s="5">
        <f>IFERROR(VLOOKUP(QR$1,'Renta Mixta Moderado'!$B$35:$C$62,2,FALSE),0%)</f>
        <v>0</v>
      </c>
      <c r="QS10" s="5">
        <f>IFERROR(VLOOKUP(QS$1,'Renta Mixta Moderado'!$B$35:$C$62,2,FALSE),0%)</f>
        <v>0</v>
      </c>
      <c r="QT10" s="5">
        <f>IFERROR(VLOOKUP(QT$1,'Renta Mixta Moderado'!$B$35:$C$62,2,FALSE),0%)</f>
        <v>0</v>
      </c>
      <c r="QU10" s="5">
        <f>IFERROR(VLOOKUP(QU$1,'Renta Mixta Moderado'!$B$35:$C$62,2,FALSE),0%)</f>
        <v>0</v>
      </c>
      <c r="QV10" s="5">
        <f>IFERROR(VLOOKUP(QV$1,'Renta Mixta Moderado'!$B$35:$C$62,2,FALSE),0%)</f>
        <v>0</v>
      </c>
      <c r="QW10" s="5">
        <f>IFERROR(VLOOKUP(QW$1,'Renta Mixta Moderado'!$B$35:$C$62,2,FALSE),0%)</f>
        <v>0</v>
      </c>
      <c r="QX10" s="5">
        <f>IFERROR(VLOOKUP(QX$1,'Renta Mixta Moderado'!$B$35:$C$62,2,FALSE),0%)</f>
        <v>0</v>
      </c>
      <c r="QY10" s="5">
        <f>IFERROR(VLOOKUP(QY$1,'Renta Mixta Moderado'!$B$35:$C$62,2,FALSE),0%)</f>
        <v>0</v>
      </c>
      <c r="QZ10" s="5">
        <f>IFERROR(VLOOKUP(QZ$1,'Renta Mixta Moderado'!$B$35:$C$62,2,FALSE),0%)</f>
        <v>0</v>
      </c>
      <c r="RA10" s="5">
        <f>IFERROR(VLOOKUP(RA$1,'Renta Mixta Moderado'!$B$35:$C$62,2,FALSE),0%)</f>
        <v>0</v>
      </c>
      <c r="RB10" s="5">
        <f>IFERROR(VLOOKUP(RB$1,'Renta Mixta Moderado'!$B$35:$C$62,2,FALSE),0%)</f>
        <v>0</v>
      </c>
      <c r="RC10" s="5">
        <f>IFERROR(VLOOKUP(RC$1,'Renta Mixta Moderado'!$B$35:$C$62,2,FALSE),0%)</f>
        <v>0</v>
      </c>
      <c r="RD10" s="5">
        <f>IFERROR(VLOOKUP(RD$1,'Renta Mixta Moderado'!$B$35:$C$62,2,FALSE),0%)</f>
        <v>0</v>
      </c>
      <c r="RE10" s="5">
        <f>IFERROR(VLOOKUP(RE$1,'Renta Mixta Moderado'!$B$35:$C$62,2,FALSE),0%)</f>
        <v>0</v>
      </c>
      <c r="RF10" s="5">
        <f>IFERROR(VLOOKUP(RF$1,'Renta Mixta Moderado'!$B$35:$C$62,2,FALSE),0%)</f>
        <v>0</v>
      </c>
      <c r="RG10" s="5">
        <f>IFERROR(VLOOKUP(RG$1,'Renta Mixta Moderado'!$B$35:$C$62,2,FALSE),0%)</f>
        <v>0</v>
      </c>
      <c r="RH10" s="5">
        <f>IFERROR(VLOOKUP(RH$1,'Renta Mixta Moderado'!$B$35:$C$62,2,FALSE),0%)</f>
        <v>0</v>
      </c>
      <c r="RI10" s="5">
        <f>IFERROR(VLOOKUP(RI$1,'Renta Mixta Moderado'!$B$35:$C$62,2,FALSE),0%)</f>
        <v>0</v>
      </c>
      <c r="RJ10" s="5">
        <f>IFERROR(VLOOKUP(RJ$1,'Renta Mixta Moderado'!$B$35:$C$62,2,FALSE),0%)</f>
        <v>0</v>
      </c>
      <c r="RK10" s="5">
        <f>IFERROR(VLOOKUP(RK$1,'Renta Mixta Moderado'!$B$35:$C$62,2,FALSE),0%)</f>
        <v>0</v>
      </c>
      <c r="RL10" s="5">
        <f>IFERROR(VLOOKUP(RL$1,'Renta Mixta Moderado'!$B$35:$C$62,2,FALSE),0%)</f>
        <v>0</v>
      </c>
      <c r="RM10" s="5">
        <f>IFERROR(VLOOKUP(RM$1,'Renta Mixta Moderado'!$B$35:$C$62,2,FALSE),0%)</f>
        <v>0</v>
      </c>
      <c r="RN10" s="5">
        <f>IFERROR(VLOOKUP(RN$1,'Renta Mixta Moderado'!$B$35:$C$62,2,FALSE),0%)</f>
        <v>0</v>
      </c>
      <c r="RO10" s="5">
        <f>IFERROR(VLOOKUP(RO$1,'Renta Mixta Moderado'!$B$35:$C$62,2,FALSE),0%)</f>
        <v>0</v>
      </c>
      <c r="RP10" s="5">
        <f>IFERROR(VLOOKUP(RP$1,'Renta Mixta Moderado'!$B$35:$C$62,2,FALSE),0%)</f>
        <v>0</v>
      </c>
      <c r="RQ10" s="5">
        <f>IFERROR(VLOOKUP(RQ$1,'Renta Mixta Moderado'!$B$35:$C$62,2,FALSE),0%)</f>
        <v>0</v>
      </c>
      <c r="RR10" s="5">
        <f>IFERROR(VLOOKUP(RR$1,'Renta Mixta Moderado'!$B$35:$C$62,2,FALSE),0%)</f>
        <v>0</v>
      </c>
      <c r="RS10" s="5">
        <f>IFERROR(VLOOKUP(RS$1,'Renta Mixta Moderado'!$B$35:$C$62,2,FALSE),0%)</f>
        <v>0</v>
      </c>
      <c r="RT10" s="5">
        <f>IFERROR(VLOOKUP(RT$1,'Renta Mixta Moderado'!$B$35:$C$62,2,FALSE),0%)</f>
        <v>0</v>
      </c>
      <c r="RU10" s="5">
        <f>IFERROR(VLOOKUP(RU$1,'Renta Mixta Moderado'!$B$35:$C$62,2,FALSE),0%)</f>
        <v>0</v>
      </c>
      <c r="RV10" s="5">
        <f>IFERROR(VLOOKUP(RV$1,'Renta Mixta Moderado'!$B$35:$C$62,2,FALSE),0%)</f>
        <v>0</v>
      </c>
      <c r="RW10" s="5">
        <f>IFERROR(VLOOKUP(RW$1,'Renta Mixta Moderado'!$B$35:$C$62,2,FALSE),0%)</f>
        <v>0</v>
      </c>
      <c r="RX10" s="5">
        <f>IFERROR(VLOOKUP(RX$1,'Renta Mixta Moderado'!$B$35:$C$62,2,FALSE),0%)</f>
        <v>0</v>
      </c>
      <c r="RY10" s="5">
        <f>IFERROR(VLOOKUP(RY$1,'Renta Mixta Moderado'!$B$35:$C$62,2,FALSE),0%)</f>
        <v>0</v>
      </c>
      <c r="RZ10" s="5">
        <f>IFERROR(VLOOKUP(RZ$1,'Renta Mixta Moderado'!$B$35:$C$62,2,FALSE),0%)</f>
        <v>0</v>
      </c>
      <c r="SA10" s="5">
        <f>IFERROR(VLOOKUP(SA$1,'Renta Mixta Moderado'!$B$35:$C$62,2,FALSE),0%)</f>
        <v>0</v>
      </c>
      <c r="SB10" s="5">
        <f>IFERROR(VLOOKUP(SB$1,'Renta Mixta Moderado'!$B$35:$C$62,2,FALSE),0%)</f>
        <v>0</v>
      </c>
      <c r="SC10" s="5">
        <f>IFERROR(VLOOKUP(SC$1,'Renta Mixta Moderado'!$B$35:$C$62,2,FALSE),0%)</f>
        <v>0</v>
      </c>
      <c r="SD10" s="5">
        <f>IFERROR(VLOOKUP(SD$1,'Renta Mixta Moderado'!$B$35:$C$62,2,FALSE),0%)</f>
        <v>0</v>
      </c>
      <c r="SE10" s="5">
        <f>IFERROR(VLOOKUP(SE$1,'Renta Mixta Moderado'!$B$35:$C$62,2,FALSE),0%)</f>
        <v>0</v>
      </c>
      <c r="SF10" s="5">
        <f>IFERROR(VLOOKUP(SF$1,'Renta Mixta Moderado'!$B$35:$C$62,2,FALSE),0%)</f>
        <v>0</v>
      </c>
      <c r="SG10" s="5">
        <f>IFERROR(VLOOKUP(SG$1,'Renta Mixta Moderado'!$B$35:$C$62,2,FALSE),0%)</f>
        <v>0</v>
      </c>
      <c r="SH10" s="5">
        <f>IFERROR(VLOOKUP(SH$1,'Renta Mixta Moderado'!$B$35:$C$62,2,FALSE),0%)</f>
        <v>0</v>
      </c>
      <c r="SI10" s="5">
        <f>IFERROR(VLOOKUP(SI$1,'Renta Mixta Moderado'!$B$35:$C$62,2,FALSE),0%)</f>
        <v>0</v>
      </c>
      <c r="SJ10" s="5">
        <f>IFERROR(VLOOKUP(SJ$1,'Renta Mixta Moderado'!$B$35:$C$62,2,FALSE),0%)</f>
        <v>0</v>
      </c>
      <c r="SK10" s="5">
        <f>IFERROR(VLOOKUP(SK$1,'Renta Mixta Moderado'!$B$35:$C$62,2,FALSE),0%)</f>
        <v>0</v>
      </c>
      <c r="SL10" s="5">
        <f>IFERROR(VLOOKUP(SL$1,'Renta Mixta Moderado'!$B$35:$C$62,2,FALSE),0%)</f>
        <v>0</v>
      </c>
      <c r="SM10" s="5">
        <f>IFERROR(VLOOKUP(SM$1,'Renta Mixta Moderado'!$B$35:$C$62,2,FALSE),0%)</f>
        <v>0</v>
      </c>
      <c r="SN10" s="5">
        <f>IFERROR(VLOOKUP(SN$1,'Renta Mixta Moderado'!$B$35:$C$62,2,FALSE),0%)</f>
        <v>0</v>
      </c>
      <c r="SO10" s="5">
        <f>IFERROR(VLOOKUP(SO$1,'Renta Mixta Moderado'!$B$35:$C$62,2,FALSE),0%)</f>
        <v>0</v>
      </c>
      <c r="SP10" s="5">
        <f>IFERROR(VLOOKUP(SP$1,'Renta Mixta Moderado'!$B$35:$C$62,2,FALSE),0%)</f>
        <v>0</v>
      </c>
      <c r="SQ10" s="5">
        <f>IFERROR(VLOOKUP(SQ$1,'Renta Mixta Moderado'!$B$35:$C$62,2,FALSE),0%)</f>
        <v>0</v>
      </c>
      <c r="SR10" s="5">
        <f>IFERROR(VLOOKUP(SR$1,'Renta Mixta Moderado'!$B$35:$C$62,2,FALSE),0%)</f>
        <v>0</v>
      </c>
      <c r="SS10" s="5">
        <f>IFERROR(VLOOKUP(SS$1,'Renta Mixta Moderado'!$B$35:$C$62,2,FALSE),0%)</f>
        <v>0</v>
      </c>
      <c r="ST10" s="5">
        <f>IFERROR(VLOOKUP(ST$1,'Renta Mixta Moderado'!$B$35:$C$62,2,FALSE),0%)</f>
        <v>0</v>
      </c>
      <c r="SU10" s="5">
        <f>IFERROR(VLOOKUP(SU$1,'Renta Mixta Moderado'!$B$35:$C$62,2,FALSE),0%)</f>
        <v>0</v>
      </c>
      <c r="SV10" s="5">
        <f>IFERROR(VLOOKUP(SV$1,'Renta Mixta Moderado'!$B$35:$C$62,2,FALSE),0%)</f>
        <v>0</v>
      </c>
      <c r="SW10" s="5">
        <f>IFERROR(VLOOKUP(SW$1,'Renta Mixta Moderado'!$B$35:$C$62,2,FALSE),0%)</f>
        <v>0</v>
      </c>
      <c r="SX10" s="5">
        <f>IFERROR(VLOOKUP(SX$1,'Renta Mixta Moderado'!$B$35:$C$62,2,FALSE),0%)</f>
        <v>0</v>
      </c>
      <c r="SY10" s="5">
        <f>IFERROR(VLOOKUP(SY$1,'Renta Mixta Moderado'!$B$35:$C$62,2,FALSE),0%)</f>
        <v>0</v>
      </c>
      <c r="SZ10" s="5">
        <f>IFERROR(VLOOKUP(SZ$1,'Renta Mixta Moderado'!$B$35:$C$62,2,FALSE),0%)</f>
        <v>0</v>
      </c>
      <c r="TA10" s="5">
        <f>IFERROR(VLOOKUP(TA$1,'Renta Mixta Moderado'!$B$35:$C$62,2,FALSE),0%)</f>
        <v>0</v>
      </c>
      <c r="TB10" s="5">
        <f>IFERROR(VLOOKUP(TB$1,'Renta Mixta Moderado'!$B$35:$C$62,2,FALSE),0%)</f>
        <v>0</v>
      </c>
      <c r="TC10" s="5">
        <f>IFERROR(VLOOKUP(TC$1,'Renta Mixta Moderado'!$B$35:$C$62,2,FALSE),0%)</f>
        <v>0</v>
      </c>
      <c r="TD10" s="5">
        <f>IFERROR(VLOOKUP(TD$1,'Renta Mixta Moderado'!$B$35:$C$62,2,FALSE),0%)</f>
        <v>0</v>
      </c>
      <c r="TE10" s="5">
        <f>IFERROR(VLOOKUP(TE$1,'Renta Mixta Moderado'!$B$35:$C$62,2,FALSE),0%)</f>
        <v>0</v>
      </c>
      <c r="TF10" s="5">
        <f>IFERROR(VLOOKUP(TF$1,'Renta Mixta Moderado'!$B$35:$C$62,2,FALSE),0%)</f>
        <v>0</v>
      </c>
      <c r="TG10" s="5">
        <f>IFERROR(VLOOKUP(TG$1,'Renta Mixta Moderado'!$B$35:$C$62,2,FALSE),0%)</f>
        <v>0</v>
      </c>
      <c r="TH10" s="5">
        <f>IFERROR(VLOOKUP(TH$1,'Renta Mixta Moderado'!$B$35:$C$62,2,FALSE),0%)</f>
        <v>0</v>
      </c>
      <c r="TI10" s="5">
        <f>IFERROR(VLOOKUP(TI$1,'Renta Mixta Moderado'!$B$35:$C$62,2,FALSE),0%)</f>
        <v>0</v>
      </c>
      <c r="TJ10" s="5">
        <f>IFERROR(VLOOKUP(TJ$1,'Renta Mixta Moderado'!$B$35:$C$62,2,FALSE),0%)</f>
        <v>0</v>
      </c>
      <c r="TK10" s="5">
        <f>IFERROR(VLOOKUP(TK$1,'Renta Mixta Moderado'!$B$35:$C$62,2,FALSE),0%)</f>
        <v>0</v>
      </c>
      <c r="TL10" s="5">
        <f>IFERROR(VLOOKUP(TL$1,'Renta Mixta Moderado'!$B$35:$C$62,2,FALSE),0%)</f>
        <v>0</v>
      </c>
      <c r="TM10" s="5">
        <f>IFERROR(VLOOKUP(TM$1,'Renta Mixta Moderado'!$B$35:$C$62,2,FALSE),0%)</f>
        <v>0</v>
      </c>
      <c r="TN10" s="5">
        <f>IFERROR(VLOOKUP(TN$1,'Renta Mixta Moderado'!$B$35:$C$62,2,FALSE),0%)</f>
        <v>0</v>
      </c>
      <c r="TO10" s="5">
        <f>IFERROR(VLOOKUP(TO$1,'Renta Mixta Moderado'!$B$35:$C$62,2,FALSE),0%)</f>
        <v>0</v>
      </c>
      <c r="TP10" s="5">
        <f>IFERROR(VLOOKUP(TP$1,'Renta Mixta Moderado'!$B$35:$C$62,2,FALSE),0%)</f>
        <v>0</v>
      </c>
      <c r="TQ10" s="5">
        <f>IFERROR(VLOOKUP(TQ$1,'Renta Mixta Moderado'!$B$35:$C$62,2,FALSE),0%)</f>
        <v>0</v>
      </c>
      <c r="TR10" s="5">
        <f>IFERROR(VLOOKUP(TR$1,'Renta Mixta Moderado'!$B$35:$C$62,2,FALSE),0%)</f>
        <v>0</v>
      </c>
      <c r="TS10" s="5">
        <f>IFERROR(VLOOKUP(TS$1,'Renta Mixta Moderado'!$B$35:$C$62,2,FALSE),0%)</f>
        <v>0</v>
      </c>
      <c r="TT10" s="5">
        <f>IFERROR(VLOOKUP(TT$1,'Renta Mixta Moderado'!$B$35:$C$62,2,FALSE),0%)</f>
        <v>0</v>
      </c>
      <c r="TU10" s="5">
        <f>IFERROR(VLOOKUP(TU$1,'Renta Mixta Moderado'!$B$35:$C$62,2,FALSE),0%)</f>
        <v>0</v>
      </c>
      <c r="TV10" s="5">
        <f>IFERROR(VLOOKUP(TV$1,'Renta Mixta Moderado'!$B$35:$C$62,2,FALSE),0%)</f>
        <v>0</v>
      </c>
      <c r="TW10" s="5">
        <f>IFERROR(VLOOKUP(TW$1,'Renta Mixta Moderado'!$B$35:$C$62,2,FALSE),0%)</f>
        <v>0</v>
      </c>
      <c r="TX10" s="5">
        <f>IFERROR(VLOOKUP(TX$1,'Renta Mixta Moderado'!$B$35:$C$62,2,FALSE),0%)</f>
        <v>0</v>
      </c>
      <c r="TY10" s="5">
        <f>IFERROR(VLOOKUP(TY$1,'Renta Mixta Moderado'!$B$35:$C$62,2,FALSE),0%)</f>
        <v>0</v>
      </c>
      <c r="TZ10" s="5">
        <f>IFERROR(VLOOKUP(TZ$1,'Renta Mixta Moderado'!$B$35:$C$62,2,FALSE),0%)</f>
        <v>0.0663</v>
      </c>
      <c r="UA10" s="5">
        <f>IFERROR(VLOOKUP(UA$1,'Renta Mixta Moderado'!$B$35:$C$62,2,FALSE),0%)</f>
        <v>0</v>
      </c>
      <c r="UB10" s="5">
        <f>IFERROR(VLOOKUP(UB$1,'Renta Mixta Moderado'!$B$35:$C$62,2,FALSE),0%)</f>
        <v>0</v>
      </c>
      <c r="UC10" s="5">
        <f>IFERROR(VLOOKUP(UC$1,'Renta Mixta Moderado'!$B$35:$C$62,2,FALSE),0%)</f>
        <v>0</v>
      </c>
      <c r="UD10" s="5">
        <f>IFERROR(VLOOKUP(UD$1,'Renta Mixta Moderado'!$B$35:$C$62,2,FALSE),0%)</f>
        <v>0</v>
      </c>
      <c r="UE10" s="5">
        <f>IFERROR(VLOOKUP(UE$1,'Renta Mixta Moderado'!$B$35:$C$62,2,FALSE),0%)</f>
        <v>0</v>
      </c>
      <c r="UF10" s="5">
        <f>IFERROR(VLOOKUP(UF$1,'Renta Mixta Moderado'!$B$35:$C$62,2,FALSE),0%)</f>
        <v>0</v>
      </c>
      <c r="UG10" s="5">
        <f>IFERROR(VLOOKUP(UG$1,'Renta Mixta Moderado'!$B$35:$C$62,2,FALSE),0%)</f>
        <v>0</v>
      </c>
      <c r="UH10" s="5">
        <f>IFERROR(VLOOKUP(UH$1,'Renta Mixta Moderado'!$B$35:$C$62,2,FALSE),0%)</f>
        <v>0</v>
      </c>
      <c r="UI10" s="5">
        <f>IFERROR(VLOOKUP(UI$1,'Renta Mixta Moderado'!$B$35:$C$62,2,FALSE),0%)</f>
        <v>0</v>
      </c>
      <c r="UJ10" s="5">
        <f>IFERROR(VLOOKUP(UJ$1,'Renta Mixta Moderado'!$B$35:$C$62,2,FALSE),0%)</f>
        <v>0</v>
      </c>
      <c r="UK10" s="5">
        <f>IFERROR(VLOOKUP(UK$1,'Renta Mixta Moderado'!$B$35:$C$62,2,FALSE),0%)</f>
        <v>0</v>
      </c>
      <c r="UL10" s="5">
        <f>IFERROR(VLOOKUP(UL$1,'Renta Mixta Moderado'!$B$35:$C$62,2,FALSE),0%)</f>
        <v>0</v>
      </c>
      <c r="UM10" s="5">
        <f>IFERROR(VLOOKUP(UM$1,'Renta Mixta Moderado'!$B$35:$C$62,2,FALSE),0%)</f>
        <v>0</v>
      </c>
      <c r="UN10" s="5">
        <f>IFERROR(VLOOKUP(UN$1,'Renta Mixta Moderado'!$B$35:$C$62,2,FALSE),0%)</f>
        <v>0</v>
      </c>
      <c r="UO10" s="5">
        <f>IFERROR(VLOOKUP(UO$1,'Renta Mixta Moderado'!$B$35:$C$62,2,FALSE),0%)</f>
        <v>0</v>
      </c>
      <c r="UP10" s="5">
        <f>IFERROR(VLOOKUP(UP$1,'Renta Mixta Moderado'!$B$35:$C$62,2,FALSE),0%)</f>
        <v>0</v>
      </c>
      <c r="UQ10" s="5">
        <f>IFERROR(VLOOKUP(UQ$1,'Renta Mixta Moderado'!$B$35:$C$62,2,FALSE),0%)</f>
        <v>0</v>
      </c>
      <c r="UR10" s="5">
        <f>IFERROR(VLOOKUP(UR$1,'Renta Mixta Moderado'!$B$35:$C$62,2,FALSE),0%)</f>
        <v>0</v>
      </c>
      <c r="US10" s="5">
        <f>IFERROR(VLOOKUP(US$1,'Renta Mixta Moderado'!$B$35:$C$62,2,FALSE),0%)</f>
        <v>0</v>
      </c>
      <c r="UT10" s="5">
        <f>IFERROR(VLOOKUP(UT$1,'Renta Mixta Moderado'!$B$35:$C$62,2,FALSE),0%)</f>
        <v>0</v>
      </c>
      <c r="UU10" s="5">
        <f>IFERROR(VLOOKUP(UU$1,'Renta Mixta Moderado'!$B$35:$C$62,2,FALSE),0%)</f>
        <v>0</v>
      </c>
      <c r="UV10" s="5">
        <f>IFERROR(VLOOKUP(UV$1,'Renta Mixta Moderado'!$B$35:$C$62,2,FALSE),0%)</f>
        <v>0</v>
      </c>
      <c r="UW10" s="5">
        <f>IFERROR(VLOOKUP(UW$1,'Renta Mixta Moderado'!$B$35:$C$62,2,FALSE),0%)</f>
        <v>0</v>
      </c>
      <c r="UX10" s="5">
        <f>IFERROR(VLOOKUP(UX$1,'Renta Mixta Moderado'!$B$35:$C$62,2,FALSE),0%)</f>
        <v>0</v>
      </c>
      <c r="UY10" s="5">
        <f>IFERROR(VLOOKUP(UY$1,'Renta Mixta Moderado'!$B$35:$C$62,2,FALSE),0%)</f>
        <v>0</v>
      </c>
      <c r="UZ10" s="5">
        <f>IFERROR(VLOOKUP(UZ$1,'Renta Mixta Moderado'!$B$35:$C$62,2,FALSE),0%)</f>
        <v>0</v>
      </c>
      <c r="VA10" s="5">
        <f>IFERROR(VLOOKUP(VA$1,'Renta Mixta Moderado'!$B$35:$C$62,2,FALSE),0%)</f>
        <v>0</v>
      </c>
      <c r="VB10" s="5">
        <f>IFERROR(VLOOKUP(VB$1,'Renta Mixta Moderado'!$B$35:$C$62,2,FALSE),0%)</f>
        <v>0</v>
      </c>
      <c r="VC10" s="5">
        <f>IFERROR(VLOOKUP(VC$1,'Renta Mixta Moderado'!$B$35:$C$62,2,FALSE),0%)</f>
        <v>0</v>
      </c>
      <c r="VD10" s="5">
        <f>IFERROR(VLOOKUP(VD$1,'Renta Mixta Moderado'!$B$35:$C$62,2,FALSE),0%)</f>
        <v>0</v>
      </c>
      <c r="VE10" s="5">
        <f>IFERROR(VLOOKUP(VE$1,'Renta Mixta Moderado'!$B$35:$C$62,2,FALSE),0%)</f>
        <v>0</v>
      </c>
      <c r="VF10" s="5">
        <f>IFERROR(VLOOKUP(VF$1,'Renta Mixta Moderado'!$B$35:$C$62,2,FALSE),0%)</f>
        <v>0</v>
      </c>
      <c r="VG10" s="5">
        <f>IFERROR(VLOOKUP(VG$1,'Renta Mixta Moderado'!$B$35:$C$62,2,FALSE),0%)</f>
        <v>0</v>
      </c>
      <c r="VH10" s="5">
        <f>IFERROR(VLOOKUP(VH$1,'Renta Mixta Moderado'!$B$35:$C$62,2,FALSE),0%)</f>
        <v>0</v>
      </c>
      <c r="VI10" s="5">
        <f>IFERROR(VLOOKUP(VI$1,'Renta Mixta Moderado'!$B$35:$C$62,2,FALSE),0%)</f>
        <v>0</v>
      </c>
      <c r="VJ10" s="5">
        <f>IFERROR(VLOOKUP(VJ$1,'Renta Mixta Moderado'!$B$35:$C$62,2,FALSE),0%)</f>
        <v>0</v>
      </c>
      <c r="VK10" s="5">
        <f>IFERROR(VLOOKUP(VK$1,'Renta Mixta Moderado'!$B$35:$C$62,2,FALSE),0%)</f>
        <v>0</v>
      </c>
      <c r="VL10" s="5">
        <f>IFERROR(VLOOKUP(VL$1,'Renta Mixta Moderado'!$B$35:$C$62,2,FALSE),0%)</f>
        <v>0</v>
      </c>
      <c r="VM10" s="5">
        <f>IFERROR(VLOOKUP(VM$1,'Renta Mixta Moderado'!$B$35:$C$62,2,FALSE),0%)</f>
        <v>0</v>
      </c>
      <c r="VN10" s="5">
        <f>IFERROR(VLOOKUP(VN$1,'Renta Mixta Moderado'!$B$35:$C$62,2,FALSE),0%)</f>
        <v>0</v>
      </c>
      <c r="VO10" s="5">
        <f>IFERROR(VLOOKUP(VO$1,'Renta Mixta Moderado'!$B$35:$C$62,2,FALSE),0%)</f>
        <v>0</v>
      </c>
      <c r="VP10" s="5">
        <f>IFERROR(VLOOKUP(VP$1,'Renta Mixta Moderado'!$B$35:$C$62,2,FALSE),0%)</f>
        <v>0</v>
      </c>
      <c r="VQ10" s="5">
        <f>IFERROR(VLOOKUP(VQ$1,'Renta Mixta Moderado'!$B$35:$C$62,2,FALSE),0%)</f>
        <v>0</v>
      </c>
      <c r="VR10" s="5">
        <f>IFERROR(VLOOKUP(VR$1,'Renta Mixta Moderado'!$B$35:$C$62,2,FALSE),0%)</f>
        <v>0</v>
      </c>
      <c r="VS10" s="5">
        <f>IFERROR(VLOOKUP(VS$1,'Renta Mixta Moderado'!$B$35:$C$62,2,FALSE),0%)</f>
        <v>0</v>
      </c>
      <c r="VT10" s="5">
        <f>IFERROR(VLOOKUP(VT$1,'Renta Mixta Moderado'!$B$35:$C$62,2,FALSE),0%)</f>
        <v>0</v>
      </c>
      <c r="VU10" s="5">
        <f>IFERROR(VLOOKUP(VU$1,'Renta Mixta Moderado'!$B$35:$C$62,2,FALSE),0%)</f>
        <v>0</v>
      </c>
      <c r="VV10" s="5">
        <f>IFERROR(VLOOKUP(VV$1,'Renta Mixta Moderado'!$B$35:$C$62,2,FALSE),0%)</f>
        <v>0</v>
      </c>
      <c r="VW10" s="5">
        <f>IFERROR(VLOOKUP(VW$1,'Renta Mixta Moderado'!$B$35:$C$62,2,FALSE),0%)</f>
        <v>0</v>
      </c>
      <c r="VX10" s="5">
        <f>IFERROR(VLOOKUP(VX$1,'Renta Mixta Moderado'!$B$35:$C$62,2,FALSE),0%)</f>
        <v>0</v>
      </c>
      <c r="VY10" s="5">
        <f>IFERROR(VLOOKUP(VY$1,'Renta Mixta Moderado'!$B$35:$C$62,2,FALSE),0%)</f>
        <v>0</v>
      </c>
      <c r="VZ10" s="5">
        <f>IFERROR(VLOOKUP(VZ$1,'Renta Mixta Moderado'!$B$35:$C$62,2,FALSE),0%)</f>
        <v>0</v>
      </c>
      <c r="WA10" s="5">
        <f>IFERROR(VLOOKUP(WA$1,'Renta Mixta Moderado'!$B$35:$C$62,2,FALSE),0%)</f>
        <v>0</v>
      </c>
      <c r="WB10" s="5">
        <f>IFERROR(VLOOKUP(WB$1,'Renta Mixta Moderado'!$B$35:$C$62,2,FALSE),0%)</f>
        <v>0</v>
      </c>
      <c r="WC10" s="5">
        <f>IFERROR(VLOOKUP(WC$1,'Renta Mixta Moderado'!$B$35:$C$62,2,FALSE),0%)</f>
        <v>0</v>
      </c>
      <c r="WD10" s="5">
        <f>IFERROR(VLOOKUP(WD$1,'Renta Mixta Moderado'!$B$35:$C$62,2,FALSE),0%)</f>
        <v>0</v>
      </c>
      <c r="WE10" s="5">
        <f>IFERROR(VLOOKUP(WE$1,'Renta Mixta Moderado'!$B$35:$C$62,2,FALSE),0%)</f>
        <v>0</v>
      </c>
      <c r="WF10" s="5">
        <f>IFERROR(VLOOKUP(WF$1,'Renta Mixta Moderado'!$B$35:$C$62,2,FALSE),0%)</f>
        <v>0</v>
      </c>
      <c r="WG10" s="5">
        <f>IFERROR(VLOOKUP(WG$1,'Renta Mixta Moderado'!$B$35:$C$62,2,FALSE),0%)</f>
        <v>0</v>
      </c>
      <c r="WH10" s="5">
        <f>IFERROR(VLOOKUP(WH$1,'Renta Mixta Moderado'!$B$35:$C$62,2,FALSE),0%)</f>
        <v>0</v>
      </c>
      <c r="WI10" s="5">
        <f>IFERROR(VLOOKUP(WI$1,'Renta Mixta Moderado'!$B$35:$C$62,2,FALSE),0%)</f>
        <v>0</v>
      </c>
      <c r="WJ10" s="5">
        <f>IFERROR(VLOOKUP(WJ$1,'Renta Mixta Moderado'!$B$35:$C$62,2,FALSE),0%)</f>
        <v>0</v>
      </c>
      <c r="WK10" s="5">
        <f>IFERROR(VLOOKUP(WK$1,'Renta Mixta Moderado'!$B$35:$C$62,2,FALSE),0%)</f>
        <v>0</v>
      </c>
      <c r="WL10" s="5">
        <f>IFERROR(VLOOKUP(WL$1,'Renta Mixta Moderado'!$B$35:$C$62,2,FALSE),0%)</f>
        <v>0</v>
      </c>
      <c r="WM10" s="5">
        <f>IFERROR(VLOOKUP(WM$1,'Renta Mixta Moderado'!$B$35:$C$62,2,FALSE),0%)</f>
        <v>0</v>
      </c>
      <c r="WN10" s="5">
        <f>IFERROR(VLOOKUP(WN$1,'Renta Mixta Moderado'!$B$35:$C$62,2,FALSE),0%)</f>
        <v>0</v>
      </c>
      <c r="WO10" s="5">
        <f>IFERROR(VLOOKUP(WO$1,'Renta Mixta Moderado'!$B$35:$C$62,2,FALSE),0%)</f>
        <v>0</v>
      </c>
      <c r="WP10" s="5">
        <f>IFERROR(VLOOKUP(WP$1,'Renta Mixta Moderado'!$B$35:$C$62,2,FALSE),0%)</f>
        <v>0</v>
      </c>
      <c r="WQ10" s="5">
        <f>IFERROR(VLOOKUP(WQ$1,'Renta Mixta Moderado'!$B$35:$C$62,2,FALSE),0%)</f>
        <v>0</v>
      </c>
      <c r="WR10" s="5">
        <f>IFERROR(VLOOKUP(WR$1,'Renta Mixta Moderado'!$B$35:$C$62,2,FALSE),0%)</f>
        <v>0</v>
      </c>
      <c r="WS10" s="5">
        <f>IFERROR(VLOOKUP(WS$1,'Renta Mixta Moderado'!$B$35:$C$62,2,FALSE),0%)</f>
        <v>0</v>
      </c>
      <c r="WT10" s="5">
        <f>IFERROR(VLOOKUP(WT$1,'Renta Mixta Moderado'!$B$35:$C$62,2,FALSE),0%)</f>
        <v>0</v>
      </c>
      <c r="WU10" s="5">
        <f>IFERROR(VLOOKUP(WU$1,'Renta Mixta Moderado'!$B$35:$C$62,2,FALSE),0%)</f>
        <v>0</v>
      </c>
      <c r="WV10" s="5">
        <f>IFERROR(VLOOKUP(WV$1,'Renta Mixta Moderado'!$B$35:$C$62,2,FALSE),0%)</f>
        <v>0</v>
      </c>
      <c r="WW10" s="5">
        <f>IFERROR(VLOOKUP(WW$1,'Renta Mixta Moderado'!$B$35:$C$62,2,FALSE),0%)</f>
        <v>0</v>
      </c>
      <c r="WX10" s="5">
        <f>IFERROR(VLOOKUP(WX$1,'Renta Mixta Moderado'!$B$35:$C$62,2,FALSE),0%)</f>
        <v>0</v>
      </c>
      <c r="WY10" s="5">
        <f>IFERROR(VLOOKUP(WY$1,'Renta Mixta Moderado'!$B$35:$C$62,2,FALSE),0%)</f>
        <v>0</v>
      </c>
      <c r="WZ10" s="5">
        <f>IFERROR(VLOOKUP(WZ$1,'Renta Mixta Moderado'!$B$35:$C$62,2,FALSE),0%)</f>
        <v>0</v>
      </c>
      <c r="XA10" s="5">
        <f>IFERROR(VLOOKUP(XA$1,'Renta Mixta Moderado'!$B$35:$C$62,2,FALSE),0%)</f>
        <v>0</v>
      </c>
      <c r="XB10" s="5">
        <f>IFERROR(VLOOKUP(XB$1,'Renta Mixta Moderado'!$B$35:$C$62,2,FALSE),0%)</f>
        <v>0</v>
      </c>
      <c r="XC10" s="5">
        <f>IFERROR(VLOOKUP(XC$1,'Renta Mixta Moderado'!$B$35:$C$62,2,FALSE),0%)</f>
        <v>0</v>
      </c>
      <c r="XD10" s="5">
        <f>IFERROR(VLOOKUP(XD$1,'Renta Mixta Moderado'!$B$35:$C$62,2,FALSE),0%)</f>
        <v>0</v>
      </c>
      <c r="XE10" s="5">
        <f>IFERROR(VLOOKUP(XE$1,'Renta Mixta Moderado'!$B$35:$C$62,2,FALSE),0%)</f>
        <v>0</v>
      </c>
      <c r="XF10" s="5">
        <f>IFERROR(VLOOKUP(XF$1,'Renta Mixta Moderado'!$B$35:$C$62,2,FALSE),0%)</f>
        <v>0</v>
      </c>
      <c r="XG10" s="5">
        <f>IFERROR(VLOOKUP(XG$1,'Renta Mixta Moderado'!$B$35:$C$62,2,FALSE),0%)</f>
        <v>0</v>
      </c>
      <c r="XH10" s="5">
        <f>IFERROR(VLOOKUP(XH$1,'Renta Mixta Moderado'!$B$35:$C$62,2,FALSE),0%)</f>
        <v>0</v>
      </c>
      <c r="XI10" s="5">
        <f>IFERROR(VLOOKUP(XI$1,'Renta Mixta Moderado'!$B$35:$C$62,2,FALSE),0%)</f>
        <v>0</v>
      </c>
      <c r="XJ10" s="5">
        <f>IFERROR(VLOOKUP(XJ$1,'Renta Mixta Moderado'!$B$35:$C$62,2,FALSE),0%)</f>
        <v>0</v>
      </c>
      <c r="XK10" s="5">
        <f>IFERROR(VLOOKUP(XK$1,'Renta Mixta Moderado'!$B$35:$C$62,2,FALSE),0%)</f>
        <v>0</v>
      </c>
      <c r="XL10" s="5">
        <f>IFERROR(VLOOKUP(XL$1,'Renta Mixta Moderado'!$B$35:$C$62,2,FALSE),0%)</f>
        <v>0</v>
      </c>
      <c r="XM10" s="5">
        <f>IFERROR(VLOOKUP(XM$1,'Renta Mixta Moderado'!$B$35:$C$62,2,FALSE),0%)</f>
        <v>0</v>
      </c>
      <c r="XN10" s="5">
        <f>IFERROR(VLOOKUP(XN$1,'Renta Mixta Moderado'!$B$35:$C$62,2,FALSE),0%)</f>
        <v>0</v>
      </c>
      <c r="XO10" s="5">
        <f>IFERROR(VLOOKUP(XO$1,'Renta Mixta Moderado'!$B$35:$C$62,2,FALSE),0%)</f>
        <v>0</v>
      </c>
      <c r="XP10" s="5">
        <f>IFERROR(VLOOKUP(XP$1,'Renta Mixta Moderado'!$B$35:$C$62,2,FALSE),0%)</f>
        <v>0</v>
      </c>
      <c r="XQ10" s="5">
        <f>IFERROR(VLOOKUP(XQ$1,'Renta Mixta Moderado'!$B$35:$C$62,2,FALSE),0%)</f>
        <v>0</v>
      </c>
      <c r="XR10" s="5">
        <f>IFERROR(VLOOKUP(XR$1,'Renta Mixta Moderado'!$B$35:$C$62,2,FALSE),0%)</f>
        <v>0.02208902838</v>
      </c>
      <c r="XS10" s="5">
        <f>IFERROR(VLOOKUP(XS$1,'Renta Mixta Moderado'!$B$35:$C$62,2,FALSE),0%)</f>
        <v>0</v>
      </c>
      <c r="XT10" s="5">
        <f>IFERROR(VLOOKUP(XT$1,'Renta Mixta Moderado'!$B$35:$C$62,2,FALSE),0%)</f>
        <v>0</v>
      </c>
      <c r="XU10" s="5">
        <f>IFERROR(VLOOKUP(XU$1,'Renta Mixta Moderado'!$B$35:$C$62,2,FALSE),0%)</f>
        <v>0</v>
      </c>
      <c r="XV10" s="5">
        <f>IFERROR(VLOOKUP(XV$1,'Renta Mixta Moderado'!$B$35:$C$62,2,FALSE),0%)</f>
        <v>0</v>
      </c>
      <c r="XW10" s="5">
        <f>IFERROR(VLOOKUP(XW$1,'Renta Mixta Moderado'!$B$35:$C$62,2,FALSE),0%)</f>
        <v>0</v>
      </c>
      <c r="XX10" s="5">
        <f>IFERROR(VLOOKUP(XX$1,'Renta Mixta Moderado'!$B$35:$C$62,2,FALSE),0%)</f>
        <v>0</v>
      </c>
      <c r="XY10" s="5">
        <f>IFERROR(VLOOKUP(XY$1,'Renta Mixta Moderado'!$B$35:$C$62,2,FALSE),0%)</f>
        <v>0</v>
      </c>
      <c r="XZ10" s="5">
        <f>IFERROR(VLOOKUP(XZ$1,'Renta Mixta Moderado'!$B$35:$C$62,2,FALSE),0%)</f>
        <v>0</v>
      </c>
      <c r="YA10" s="5">
        <f>IFERROR(VLOOKUP(YA$1,'Renta Mixta Moderado'!$B$35:$C$62,2,FALSE),0%)</f>
        <v>0</v>
      </c>
      <c r="YB10" s="5">
        <f>IFERROR(VLOOKUP(YB$1,'Renta Mixta Moderado'!$B$35:$C$62,2,FALSE),0%)</f>
        <v>0</v>
      </c>
      <c r="YC10" s="5">
        <f>IFERROR(VLOOKUP(YC$1,'Renta Mixta Moderado'!$B$35:$C$62,2,FALSE),0%)</f>
        <v>0</v>
      </c>
      <c r="YD10" s="5">
        <f>IFERROR(VLOOKUP(YD$1,'Renta Mixta Moderado'!$B$35:$C$62,2,FALSE),0%)</f>
        <v>0</v>
      </c>
      <c r="YE10" s="5">
        <f>IFERROR(VLOOKUP(YE$1,'Renta Mixta Moderado'!$B$35:$C$62,2,FALSE),0%)</f>
        <v>0.0603</v>
      </c>
      <c r="YF10" s="5">
        <f>IFERROR(VLOOKUP(YF$1,'Renta Mixta Moderado'!$B$35:$C$62,2,FALSE),0%)</f>
        <v>0</v>
      </c>
      <c r="YG10" s="5">
        <f>IFERROR(VLOOKUP(YG$1,'Renta Mixta Moderado'!$B$35:$C$62,2,FALSE),0%)</f>
        <v>0</v>
      </c>
      <c r="YH10" s="5">
        <f>IFERROR(VLOOKUP(YH$1,'Renta Mixta Moderado'!$B$35:$C$62,2,FALSE),0%)</f>
        <v>0</v>
      </c>
      <c r="YI10" s="5">
        <f>IFERROR(VLOOKUP(YI$1,'Renta Mixta Moderado'!$B$35:$C$62,2,FALSE),0%)</f>
        <v>0</v>
      </c>
      <c r="YJ10" s="5">
        <f>IFERROR(VLOOKUP(YJ$1,'Renta Mixta Moderado'!$B$35:$C$62,2,FALSE),0%)</f>
        <v>0</v>
      </c>
      <c r="YK10" s="5">
        <f>IFERROR(VLOOKUP(YK$1,'Renta Mixta Moderado'!$B$35:$C$62,2,FALSE),0%)</f>
        <v>0</v>
      </c>
      <c r="YL10" s="5">
        <f>IFERROR(VLOOKUP(YL$1,'Renta Mixta Moderado'!$B$35:$C$62,2,FALSE),0%)</f>
        <v>0</v>
      </c>
      <c r="YM10" s="5">
        <f>IFERROR(VLOOKUP(YM$1,'Renta Mixta Moderado'!$B$35:$C$62,2,FALSE),0%)</f>
        <v>0</v>
      </c>
      <c r="YN10" s="5">
        <f>IFERROR(VLOOKUP(YN$1,'Renta Mixta Moderado'!$B$35:$C$62,2,FALSE),0%)</f>
        <v>0</v>
      </c>
      <c r="YO10" s="5">
        <f>IFERROR(VLOOKUP(YO$1,'Renta Mixta Moderado'!$B$35:$C$62,2,FALSE),0%)</f>
        <v>0</v>
      </c>
      <c r="YP10" s="5">
        <f>IFERROR(VLOOKUP(YP$1,'Renta Mixta Moderado'!$B$35:$C$62,2,FALSE),0%)</f>
        <v>0</v>
      </c>
      <c r="YQ10" s="5">
        <f>IFERROR(VLOOKUP(YQ$1,'Renta Mixta Moderado'!$B$35:$C$62,2,FALSE),0%)</f>
        <v>0</v>
      </c>
      <c r="YR10" s="5">
        <f>IFERROR(VLOOKUP(YR$1,'Renta Mixta Moderado'!$B$35:$C$62,2,FALSE),0%)</f>
        <v>0</v>
      </c>
      <c r="YS10" s="5">
        <f>IFERROR(VLOOKUP(YS$1,'Renta Mixta Moderado'!$B$35:$C$62,2,FALSE),0%)</f>
        <v>0</v>
      </c>
      <c r="YT10" s="5">
        <f>IFERROR(VLOOKUP(YT$1,'Renta Mixta Moderado'!$B$35:$C$62,2,FALSE),0%)</f>
        <v>0</v>
      </c>
      <c r="YU10" s="5">
        <f>IFERROR(VLOOKUP(YU$1,'Renta Mixta Moderado'!$B$35:$C$62,2,FALSE),0%)</f>
        <v>0</v>
      </c>
      <c r="YV10" s="5">
        <f>IFERROR(VLOOKUP(YV$1,'Renta Mixta Moderado'!$B$35:$C$62,2,FALSE),0%)</f>
        <v>0</v>
      </c>
      <c r="YW10" s="5">
        <f>IFERROR(VLOOKUP(YW$1,'Renta Mixta Moderado'!$B$35:$C$62,2,FALSE),0%)</f>
        <v>0</v>
      </c>
      <c r="YX10" s="5">
        <f>IFERROR(VLOOKUP(YX$1,'Renta Mixta Moderado'!$B$35:$C$62,2,FALSE),0%)</f>
        <v>0</v>
      </c>
      <c r="YY10" s="5">
        <f>IFERROR(VLOOKUP(YY$1,'Renta Mixta Moderado'!$B$35:$C$62,2,FALSE),0%)</f>
        <v>0</v>
      </c>
      <c r="YZ10" s="5">
        <f>IFERROR(VLOOKUP(YZ$1,'Renta Mixta Moderado'!$B$35:$C$62,2,FALSE),0%)</f>
        <v>0</v>
      </c>
      <c r="ZA10" s="5">
        <f>IFERROR(VLOOKUP(ZA$1,'Renta Mixta Moderado'!$B$35:$C$62,2,FALSE),0%)</f>
        <v>0</v>
      </c>
      <c r="ZB10" s="5">
        <f>IFERROR(VLOOKUP(ZB$1,'Renta Mixta Moderado'!$B$35:$C$62,2,FALSE),0%)</f>
        <v>0</v>
      </c>
      <c r="ZC10" s="5">
        <f>IFERROR(VLOOKUP(ZC$1,'Renta Mixta Moderado'!$B$35:$C$62,2,FALSE),0%)</f>
        <v>0</v>
      </c>
      <c r="ZD10" s="5">
        <f>IFERROR(VLOOKUP(ZD$1,'Renta Mixta Moderado'!$B$35:$C$62,2,FALSE),0%)</f>
        <v>0</v>
      </c>
      <c r="ZE10" s="5">
        <f>IFERROR(VLOOKUP(ZE$1,'Renta Mixta Moderado'!$B$35:$C$62,2,FALSE),0%)</f>
        <v>0</v>
      </c>
      <c r="ZF10" s="5">
        <f>IFERROR(VLOOKUP(ZF$1,'Renta Mixta Moderado'!$B$35:$C$62,2,FALSE),0%)</f>
        <v>0</v>
      </c>
      <c r="ZG10" s="5">
        <f>IFERROR(VLOOKUP(ZG$1,'Renta Mixta Moderado'!$B$35:$C$62,2,FALSE),0%)</f>
        <v>0</v>
      </c>
      <c r="ZH10" s="5">
        <f>IFERROR(VLOOKUP(ZH$1,'Renta Mixta Moderado'!$B$35:$C$62,2,FALSE),0%)</f>
        <v>0</v>
      </c>
      <c r="ZI10" s="5">
        <f>IFERROR(VLOOKUP(ZI$1,'Renta Mixta Moderado'!$B$35:$C$62,2,FALSE),0%)</f>
        <v>0</v>
      </c>
      <c r="ZJ10" s="5">
        <f>IFERROR(VLOOKUP(ZJ$1,'Renta Mixta Moderado'!$B$35:$C$62,2,FALSE),0%)</f>
        <v>0</v>
      </c>
      <c r="ZK10" s="5">
        <f>IFERROR(VLOOKUP(ZK$1,'Renta Mixta Moderado'!$B$35:$C$62,2,FALSE),0%)</f>
        <v>0</v>
      </c>
      <c r="ZL10" s="5">
        <f>IFERROR(VLOOKUP(ZL$1,'Renta Mixta Moderado'!$B$35:$C$62,2,FALSE),0%)</f>
        <v>0</v>
      </c>
      <c r="ZM10" s="5">
        <f>IFERROR(VLOOKUP(ZM$1,'Renta Mixta Moderado'!$B$35:$C$62,2,FALSE),0%)</f>
        <v>0</v>
      </c>
      <c r="ZN10" s="5">
        <f>IFERROR(VLOOKUP(ZN$1,'Renta Mixta Moderado'!$B$35:$C$62,2,FALSE),0%)</f>
        <v>0</v>
      </c>
      <c r="ZO10" s="5">
        <f>IFERROR(VLOOKUP(ZO$1,'Renta Mixta Moderado'!$B$35:$C$62,2,FALSE),0%)</f>
        <v>0</v>
      </c>
      <c r="ZP10" s="5">
        <f>IFERROR(VLOOKUP(ZP$1,'Renta Mixta Moderado'!$B$35:$C$62,2,FALSE),0%)</f>
        <v>0</v>
      </c>
      <c r="ZQ10" s="5">
        <f>IFERROR(VLOOKUP(ZQ$1,'Renta Mixta Moderado'!$B$35:$C$62,2,FALSE),0%)</f>
        <v>0</v>
      </c>
      <c r="ZR10" s="5">
        <f>IFERROR(VLOOKUP(ZR$1,'Renta Mixta Moderado'!$B$35:$C$62,2,FALSE),0%)</f>
        <v>0</v>
      </c>
      <c r="ZS10" s="5">
        <f>IFERROR(VLOOKUP(ZS$1,'Renta Mixta Moderado'!$B$35:$C$62,2,FALSE),0%)</f>
        <v>0</v>
      </c>
      <c r="ZT10" s="5">
        <f>IFERROR(VLOOKUP(ZT$1,'Renta Mixta Moderado'!$B$35:$C$62,2,FALSE),0%)</f>
        <v>0</v>
      </c>
      <c r="ZU10" s="5">
        <f>IFERROR(VLOOKUP(ZU$1,'Renta Mixta Moderado'!$B$35:$C$62,2,FALSE),0%)</f>
        <v>0</v>
      </c>
      <c r="ZV10" s="5">
        <f>IFERROR(VLOOKUP(ZV$1,'Renta Mixta Moderado'!$B$35:$C$62,2,FALSE),0%)</f>
        <v>0</v>
      </c>
      <c r="ZW10" s="5">
        <f>IFERROR(VLOOKUP(ZW$1,'Renta Mixta Moderado'!$B$35:$C$62,2,FALSE),0%)</f>
        <v>0</v>
      </c>
      <c r="ZX10" s="5">
        <f>IFERROR(VLOOKUP(ZX$1,'Renta Mixta Moderado'!$B$35:$C$62,2,FALSE),0%)</f>
        <v>0</v>
      </c>
      <c r="ZY10" s="5">
        <f>IFERROR(VLOOKUP(ZY$1,'Renta Mixta Moderado'!$B$35:$C$62,2,FALSE),0%)</f>
        <v>0</v>
      </c>
      <c r="ZZ10" s="5">
        <f>IFERROR(VLOOKUP(ZZ$1,'Renta Mixta Moderado'!$B$35:$C$62,2,FALSE),0%)</f>
        <v>0</v>
      </c>
      <c r="AAA10" s="5">
        <f>IFERROR(VLOOKUP(AAA$1,'Renta Mixta Moderado'!$B$35:$C$62,2,FALSE),0%)</f>
        <v>0</v>
      </c>
      <c r="AAB10" s="5">
        <f>IFERROR(VLOOKUP(AAB$1,'Renta Mixta Moderado'!$B$35:$C$62,2,FALSE),0%)</f>
        <v>0</v>
      </c>
      <c r="AAC10" s="5">
        <f>IFERROR(VLOOKUP(AAC$1,'Renta Mixta Moderado'!$B$35:$C$62,2,FALSE),0%)</f>
        <v>0</v>
      </c>
      <c r="AAD10" s="5">
        <f>IFERROR(VLOOKUP(AAD$1,'Renta Mixta Moderado'!$B$35:$C$62,2,FALSE),0%)</f>
        <v>0</v>
      </c>
      <c r="AAE10" s="5">
        <f>IFERROR(VLOOKUP(AAE$1,'Renta Mixta Moderado'!$B$35:$C$62,2,FALSE),0%)</f>
        <v>0</v>
      </c>
      <c r="AAF10" s="5">
        <f>IFERROR(VLOOKUP(AAF$1,'Renta Mixta Moderado'!$B$35:$C$62,2,FALSE),0%)</f>
        <v>0</v>
      </c>
      <c r="AAG10" s="5">
        <f>IFERROR(VLOOKUP(AAG$1,'Renta Mixta Moderado'!$B$35:$C$62,2,FALSE),0%)</f>
        <v>0</v>
      </c>
      <c r="AAH10" s="5">
        <f>IFERROR(VLOOKUP(AAH$1,'Renta Mixta Moderado'!$B$35:$C$62,2,FALSE),0%)</f>
        <v>0</v>
      </c>
      <c r="AAI10" s="5">
        <f>IFERROR(VLOOKUP(AAI$1,'Renta Mixta Moderado'!$B$35:$C$62,2,FALSE),0%)</f>
        <v>0</v>
      </c>
      <c r="AAJ10" s="5">
        <f>IFERROR(VLOOKUP(AAJ$1,'Renta Mixta Moderado'!$B$35:$C$62,2,FALSE),0%)</f>
        <v>0</v>
      </c>
      <c r="AAK10" s="5">
        <f>IFERROR(VLOOKUP(AAK$1,'Renta Mixta Moderado'!$B$35:$C$62,2,FALSE),0%)</f>
        <v>0</v>
      </c>
      <c r="AAL10" s="5">
        <f>IFERROR(VLOOKUP(AAL$1,'Renta Mixta Moderado'!$B$35:$C$62,2,FALSE),0%)</f>
        <v>0</v>
      </c>
      <c r="AAM10" s="5">
        <f>IFERROR(VLOOKUP(AAM$1,'Renta Mixta Moderado'!$B$35:$C$62,2,FALSE),0%)</f>
        <v>0</v>
      </c>
      <c r="AAN10" s="5">
        <f>IFERROR(VLOOKUP(AAN$1,'Renta Mixta Moderado'!$B$35:$C$62,2,FALSE),0%)</f>
        <v>0</v>
      </c>
      <c r="AAO10" s="5">
        <f>IFERROR(VLOOKUP(AAO$1,'Renta Mixta Moderado'!$B$35:$C$62,2,FALSE),0%)</f>
        <v>0</v>
      </c>
      <c r="AAP10" s="5">
        <f>IFERROR(VLOOKUP(AAP$1,'Renta Mixta Moderado'!$B$35:$C$62,2,FALSE),0%)</f>
        <v>0</v>
      </c>
      <c r="AAQ10" s="5">
        <f>IFERROR(VLOOKUP(AAQ$1,'Renta Mixta Moderado'!$B$35:$C$62,2,FALSE),0%)</f>
        <v>0</v>
      </c>
      <c r="AAR10" s="5">
        <f>IFERROR(VLOOKUP(AAR$1,'Renta Mixta Moderado'!$B$35:$C$62,2,FALSE),0%)</f>
        <v>0</v>
      </c>
      <c r="AAS10" s="5">
        <f>IFERROR(VLOOKUP(AAS$1,'Renta Mixta Moderado'!$B$35:$C$62,2,FALSE),0%)</f>
        <v>0</v>
      </c>
      <c r="AAT10" s="5">
        <f>IFERROR(VLOOKUP(AAT$1,'Renta Mixta Moderado'!$B$35:$C$62,2,FALSE),0%)</f>
        <v>0</v>
      </c>
      <c r="AAU10" s="5">
        <f>IFERROR(VLOOKUP(AAU$1,'Renta Mixta Moderado'!$B$35:$C$62,2,FALSE),0%)</f>
        <v>0</v>
      </c>
      <c r="AAV10" s="5">
        <f>IFERROR(VLOOKUP(AAV$1,'Renta Mixta Moderado'!$B$35:$C$62,2,FALSE),0%)</f>
        <v>0</v>
      </c>
      <c r="AAW10" s="5">
        <f>IFERROR(VLOOKUP(AAW$1,'Renta Mixta Moderado'!$B$35:$C$62,2,FALSE),0%)</f>
        <v>0</v>
      </c>
      <c r="AAX10" s="5">
        <f>IFERROR(VLOOKUP(AAX$1,'Renta Mixta Moderado'!$B$35:$C$62,2,FALSE),0%)</f>
        <v>0</v>
      </c>
      <c r="AAY10" s="5">
        <f>IFERROR(VLOOKUP(AAY$1,'Renta Mixta Moderado'!$B$35:$C$62,2,FALSE),0%)</f>
        <v>0</v>
      </c>
      <c r="AAZ10" s="5">
        <f>IFERROR(VLOOKUP(AAZ$1,'Renta Mixta Moderado'!$B$35:$C$62,2,FALSE),0%)</f>
        <v>0</v>
      </c>
      <c r="ABA10" s="5">
        <f>IFERROR(VLOOKUP(ABA$1,'Renta Mixta Moderado'!$B$35:$C$62,2,FALSE),0%)</f>
        <v>0</v>
      </c>
      <c r="ABB10" s="5">
        <f>IFERROR(VLOOKUP(ABB$1,'Renta Mixta Moderado'!$B$35:$C$62,2,FALSE),0%)</f>
        <v>0</v>
      </c>
      <c r="ABC10" s="5">
        <f>IFERROR(VLOOKUP(ABC$1,'Renta Mixta Moderado'!$B$35:$C$62,2,FALSE),0%)</f>
        <v>0</v>
      </c>
      <c r="ABD10" s="5">
        <f>IFERROR(VLOOKUP(ABD$1,'Renta Mixta Moderado'!$B$35:$C$62,2,FALSE),0%)</f>
        <v>0</v>
      </c>
      <c r="ABE10" s="5">
        <f>IFERROR(VLOOKUP(ABE$1,'Renta Mixta Moderado'!$B$35:$C$62,2,FALSE),0%)</f>
        <v>0</v>
      </c>
      <c r="ABF10" s="5">
        <f>IFERROR(VLOOKUP(ABF$1,'Renta Mixta Moderado'!$B$35:$C$62,2,FALSE),0%)</f>
        <v>0</v>
      </c>
      <c r="ABG10" s="5">
        <f>IFERROR(VLOOKUP(ABG$1,'Renta Mixta Moderado'!$B$35:$C$62,2,FALSE),0%)</f>
        <v>0</v>
      </c>
      <c r="ABH10" s="5">
        <f>IFERROR(VLOOKUP(ABH$1,'Renta Mixta Moderado'!$B$35:$C$62,2,FALSE),0%)</f>
        <v>0</v>
      </c>
      <c r="ABI10" s="5">
        <f>IFERROR(VLOOKUP(ABI$1,'Renta Mixta Moderado'!$B$35:$C$62,2,FALSE),0%)</f>
        <v>0</v>
      </c>
      <c r="ABJ10" s="5">
        <f>IFERROR(VLOOKUP(ABJ$1,'Renta Mixta Moderado'!$B$35:$C$62,2,FALSE),0%)</f>
        <v>0</v>
      </c>
      <c r="ABK10" s="5">
        <f>IFERROR(VLOOKUP(ABK$1,'Renta Mixta Moderado'!$B$35:$C$62,2,FALSE),0%)</f>
        <v>0</v>
      </c>
      <c r="ABL10" s="5">
        <f>IFERROR(VLOOKUP(ABL$1,'Renta Mixta Moderado'!$B$35:$C$62,2,FALSE),0%)</f>
        <v>0</v>
      </c>
      <c r="ABM10" s="5">
        <f>IFERROR(VLOOKUP(ABM$1,'Renta Mixta Moderado'!$B$35:$C$62,2,FALSE),0%)</f>
        <v>0</v>
      </c>
      <c r="ABN10" s="5">
        <f>IFERROR(VLOOKUP(ABN$1,'Renta Mixta Moderado'!$B$35:$C$62,2,FALSE),0%)</f>
        <v>0</v>
      </c>
      <c r="ABO10" s="5">
        <f>IFERROR(VLOOKUP(ABO$1,'Renta Mixta Moderado'!$B$35:$C$62,2,FALSE),0%)</f>
        <v>0</v>
      </c>
      <c r="ABP10" s="5">
        <f>IFERROR(VLOOKUP(ABP$1,'Renta Mixta Moderado'!$B$35:$C$62,2,FALSE),0%)</f>
        <v>0</v>
      </c>
      <c r="ABQ10" s="5">
        <f>IFERROR(VLOOKUP(ABQ$1,'Renta Mixta Moderado'!$B$35:$C$62,2,FALSE),0%)</f>
        <v>0</v>
      </c>
      <c r="ABR10" s="5">
        <f>IFERROR(VLOOKUP(ABR$1,'Renta Mixta Moderado'!$B$35:$C$62,2,FALSE),0%)</f>
        <v>0</v>
      </c>
      <c r="ABS10" s="5">
        <f>IFERROR(VLOOKUP(ABS$1,'Renta Mixta Moderado'!$B$35:$C$62,2,FALSE),0%)</f>
        <v>0</v>
      </c>
      <c r="ABT10" s="5">
        <f>IFERROR(VLOOKUP(ABT$1,'Renta Mixta Moderado'!$B$35:$C$62,2,FALSE),0%)</f>
        <v>0</v>
      </c>
      <c r="ABU10" s="5">
        <f>IFERROR(VLOOKUP(ABU$1,'Renta Mixta Moderado'!$B$35:$C$62,2,FALSE),0%)</f>
        <v>0</v>
      </c>
      <c r="ABV10" s="5">
        <f>IFERROR(VLOOKUP(ABV$1,'Renta Mixta Moderado'!$B$35:$C$62,2,FALSE),0%)</f>
        <v>0</v>
      </c>
      <c r="ABW10" s="5">
        <f>IFERROR(VLOOKUP(ABW$1,'Renta Mixta Moderado'!$B$35:$C$62,2,FALSE),0%)</f>
        <v>0</v>
      </c>
      <c r="ABX10" s="5">
        <f>IFERROR(VLOOKUP(ABX$1,'Renta Mixta Moderado'!$B$35:$C$62,2,FALSE),0%)</f>
        <v>0</v>
      </c>
      <c r="ABY10" s="5">
        <f>IFERROR(VLOOKUP(ABY$1,'Renta Mixta Moderado'!$B$35:$C$62,2,FALSE),0%)</f>
        <v>0</v>
      </c>
      <c r="ABZ10" s="5">
        <f>IFERROR(VLOOKUP(ABZ$1,'Renta Mixta Moderado'!$B$35:$C$62,2,FALSE),0%)</f>
        <v>0</v>
      </c>
      <c r="ACA10" s="5">
        <f>IFERROR(VLOOKUP(ACA$1,'Renta Mixta Moderado'!$B$35:$C$62,2,FALSE),0%)</f>
        <v>0</v>
      </c>
      <c r="ACB10" s="5">
        <f>IFERROR(VLOOKUP(ACB$1,'Renta Mixta Moderado'!$B$35:$C$62,2,FALSE),0%)</f>
        <v>0</v>
      </c>
      <c r="ACC10" s="5">
        <f>IFERROR(VLOOKUP(ACC$1,'Renta Mixta Moderado'!$B$35:$C$62,2,FALSE),0%)</f>
        <v>0</v>
      </c>
      <c r="ACD10" s="5">
        <f>IFERROR(VLOOKUP(ACD$1,'Renta Mixta Moderado'!$B$35:$C$62,2,FALSE),0%)</f>
        <v>0</v>
      </c>
      <c r="ACE10" s="5">
        <f>IFERROR(VLOOKUP(ACE$1,'Renta Mixta Moderado'!$B$35:$C$62,2,FALSE),0%)</f>
        <v>0</v>
      </c>
      <c r="ACF10" s="5">
        <f>IFERROR(VLOOKUP(ACF$1,'Renta Mixta Moderado'!$B$35:$C$62,2,FALSE),0%)</f>
        <v>0</v>
      </c>
      <c r="ACG10" s="5">
        <f>IFERROR(VLOOKUP(ACG$1,'Renta Mixta Moderado'!$B$35:$C$62,2,FALSE),0%)</f>
        <v>0</v>
      </c>
      <c r="ACH10" s="5">
        <f>IFERROR(VLOOKUP(ACH$1,'Renta Mixta Moderado'!$B$35:$C$62,2,FALSE),0%)</f>
        <v>0</v>
      </c>
      <c r="ACI10" s="5">
        <f>IFERROR(VLOOKUP(ACI$1,'Renta Mixta Moderado'!$B$35:$C$62,2,FALSE),0%)</f>
        <v>0</v>
      </c>
      <c r="ACJ10" s="5">
        <f>IFERROR(VLOOKUP(ACJ$1,'Renta Mixta Moderado'!$B$35:$C$62,2,FALSE),0%)</f>
        <v>0</v>
      </c>
      <c r="ACK10" s="5">
        <f>IFERROR(VLOOKUP(ACK$1,'Renta Mixta Moderado'!$B$35:$C$62,2,FALSE),0%)</f>
        <v>0</v>
      </c>
      <c r="ACL10" s="5">
        <f>IFERROR(VLOOKUP(ACL$1,'Renta Mixta Moderado'!$B$35:$C$62,2,FALSE),0%)</f>
        <v>0</v>
      </c>
      <c r="ACM10" s="5">
        <f>IFERROR(VLOOKUP(ACM$1,'Renta Mixta Moderado'!$B$35:$C$62,2,FALSE),0%)</f>
        <v>0.03317878047</v>
      </c>
      <c r="ACN10" s="5">
        <f>IFERROR(VLOOKUP(ACN$1,'Renta Mixta Moderado'!$B$35:$C$62,2,FALSE),0%)</f>
        <v>0</v>
      </c>
      <c r="ACO10" s="5">
        <f>IFERROR(VLOOKUP(ACO$1,'Renta Mixta Moderado'!$B$35:$C$62,2,FALSE),0%)</f>
        <v>0</v>
      </c>
      <c r="ACP10" s="5">
        <f>IFERROR(VLOOKUP(ACP$1,'Renta Mixta Moderado'!$B$35:$C$62,2,FALSE),0%)</f>
        <v>0</v>
      </c>
      <c r="ACQ10" s="5">
        <f>IFERROR(VLOOKUP(ACQ$1,'Renta Mixta Moderado'!$B$35:$C$62,2,FALSE),0%)</f>
        <v>0</v>
      </c>
      <c r="ACR10" s="5">
        <f>IFERROR(VLOOKUP(ACR$1,'Renta Mixta Moderado'!$B$35:$C$62,2,FALSE),0%)</f>
        <v>0</v>
      </c>
      <c r="ACS10" s="5">
        <f>IFERROR(VLOOKUP(ACS$1,'Renta Mixta Moderado'!$B$35:$C$62,2,FALSE),0%)</f>
        <v>0</v>
      </c>
      <c r="ACT10" s="5">
        <f>IFERROR(VLOOKUP(ACT$1,'Renta Mixta Moderado'!$B$35:$C$62,2,FALSE),0%)</f>
        <v>0</v>
      </c>
      <c r="ACU10" s="5">
        <f>IFERROR(VLOOKUP(ACU$1,'Renta Mixta Moderado'!$B$35:$C$62,2,FALSE),0%)</f>
        <v>0</v>
      </c>
      <c r="ACV10" s="5">
        <f>IFERROR(VLOOKUP(ACV$1,'Renta Mixta Moderado'!$B$35:$C$62,2,FALSE),0%)</f>
        <v>0</v>
      </c>
      <c r="ACW10" s="5">
        <f>IFERROR(VLOOKUP(ACW$1,'Renta Mixta Moderado'!$B$35:$C$62,2,FALSE),0%)</f>
        <v>0</v>
      </c>
      <c r="ACX10" s="5">
        <f>IFERROR(VLOOKUP(ACX$1,'Renta Mixta Moderado'!$B$35:$C$62,2,FALSE),0%)</f>
        <v>0</v>
      </c>
      <c r="ACY10" s="5">
        <f>IFERROR(VLOOKUP(ACY$1,'Renta Mixta Moderado'!$B$35:$C$62,2,FALSE),0%)</f>
        <v>0</v>
      </c>
      <c r="ACZ10" s="5">
        <f>IFERROR(VLOOKUP(ACZ$1,'Renta Mixta Moderado'!$B$35:$C$62,2,FALSE),0%)</f>
        <v>0</v>
      </c>
      <c r="ADA10" s="5">
        <f>IFERROR(VLOOKUP(ADA$1,'Renta Mixta Moderado'!$B$35:$C$62,2,FALSE),0%)</f>
        <v>0</v>
      </c>
      <c r="ADB10" s="5">
        <f>IFERROR(VLOOKUP(ADB$1,'Renta Mixta Moderado'!$B$35:$C$62,2,FALSE),0%)</f>
        <v>0</v>
      </c>
      <c r="ADC10" s="5">
        <f>IFERROR(VLOOKUP(ADC$1,'Renta Mixta Moderado'!$B$35:$C$62,2,FALSE),0%)</f>
        <v>0</v>
      </c>
      <c r="ADD10" s="5">
        <f>IFERROR(VLOOKUP(ADD$1,'Renta Mixta Moderado'!$B$35:$C$62,2,FALSE),0%)</f>
        <v>0</v>
      </c>
      <c r="ADE10" s="5">
        <f>IFERROR(VLOOKUP(ADE$1,'Renta Mixta Moderado'!$B$35:$C$62,2,FALSE),0%)</f>
        <v>0</v>
      </c>
      <c r="ADF10" s="5">
        <f>IFERROR(VLOOKUP(ADF$1,'Renta Mixta Moderado'!$B$35:$C$62,2,FALSE),0%)</f>
        <v>0</v>
      </c>
      <c r="ADG10" s="5">
        <f>IFERROR(VLOOKUP(ADG$1,'Renta Mixta Moderado'!$B$35:$C$62,2,FALSE),0%)</f>
        <v>0</v>
      </c>
      <c r="ADH10" s="5">
        <f>IFERROR(VLOOKUP(ADH$1,'Renta Mixta Moderado'!$B$35:$C$62,2,FALSE),0%)</f>
        <v>0</v>
      </c>
      <c r="ADI10" s="5">
        <f>IFERROR(VLOOKUP(ADI$1,'Renta Mixta Moderado'!$B$35:$C$62,2,FALSE),0%)</f>
        <v>0</v>
      </c>
      <c r="ADJ10" s="5">
        <f>IFERROR(VLOOKUP(ADJ$1,'Renta Mixta Moderado'!$B$35:$C$62,2,FALSE),0%)</f>
        <v>0</v>
      </c>
      <c r="ADK10" s="5">
        <f>IFERROR(VLOOKUP(ADK$1,'Renta Mixta Moderado'!$B$35:$C$62,2,FALSE),0%)</f>
        <v>0</v>
      </c>
      <c r="ADL10" s="5">
        <f>IFERROR(VLOOKUP(ADL$1,'Renta Mixta Moderado'!$B$35:$C$62,2,FALSE),0%)</f>
        <v>0</v>
      </c>
      <c r="ADM10" s="5">
        <f>IFERROR(VLOOKUP(ADM$1,'Renta Mixta Moderado'!$B$35:$C$62,2,FALSE),0%)</f>
        <v>0</v>
      </c>
      <c r="ADN10" s="5">
        <f>IFERROR(VLOOKUP(ADN$1,'Renta Mixta Moderado'!$B$35:$C$62,2,FALSE),0%)</f>
        <v>0</v>
      </c>
      <c r="ADO10" s="5">
        <f>IFERROR(VLOOKUP(ADO$1,'Renta Mixta Moderado'!$B$35:$C$62,2,FALSE),0%)</f>
        <v>0</v>
      </c>
      <c r="ADP10" s="5">
        <f>IFERROR(VLOOKUP(ADP$1,'Renta Mixta Moderado'!$B$35:$C$62,2,FALSE),0%)</f>
        <v>0</v>
      </c>
      <c r="ADQ10" s="5">
        <f>IFERROR(VLOOKUP(ADQ$1,'Renta Mixta Moderado'!$B$35:$C$62,2,FALSE),0%)</f>
        <v>0</v>
      </c>
      <c r="ADR10" s="5">
        <f>IFERROR(VLOOKUP(ADR$1,'Renta Mixta Moderado'!$B$35:$C$62,2,FALSE),0%)</f>
        <v>0</v>
      </c>
      <c r="ADS10" s="5">
        <f>IFERROR(VLOOKUP(ADS$1,'Renta Mixta Moderado'!$B$35:$C$62,2,FALSE),0%)</f>
        <v>0</v>
      </c>
      <c r="ADT10" s="5">
        <f>IFERROR(VLOOKUP(ADT$1,'Renta Mixta Moderado'!$B$35:$C$62,2,FALSE),0%)</f>
        <v>0</v>
      </c>
      <c r="ADU10" s="5">
        <f>IFERROR(VLOOKUP(ADU$1,'Renta Mixta Moderado'!$B$35:$C$62,2,FALSE),0%)</f>
        <v>0</v>
      </c>
      <c r="ADV10" s="5">
        <f>IFERROR(VLOOKUP(ADV$1,'Renta Mixta Moderado'!$B$35:$C$62,2,FALSE),0%)</f>
        <v>0</v>
      </c>
      <c r="ADW10" s="5">
        <f>IFERROR(VLOOKUP(ADW$1,'Renta Mixta Moderado'!$B$35:$C$62,2,FALSE),0%)</f>
        <v>0</v>
      </c>
      <c r="ADX10" s="5">
        <f>IFERROR(VLOOKUP(ADX$1,'Renta Mixta Moderado'!$B$35:$C$62,2,FALSE),0%)</f>
        <v>0</v>
      </c>
      <c r="ADY10" s="5">
        <f>IFERROR(VLOOKUP(ADY$1,'Renta Mixta Moderado'!$B$35:$C$62,2,FALSE),0%)</f>
        <v>0</v>
      </c>
      <c r="ADZ10" s="5">
        <f>IFERROR(VLOOKUP(ADZ$1,'Renta Mixta Moderado'!$B$35:$C$62,2,FALSE),0%)</f>
        <v>0</v>
      </c>
      <c r="AEA10" s="5">
        <f>IFERROR(VLOOKUP(AEA$1,'Renta Mixta Moderado'!$B$35:$C$62,2,FALSE),0%)</f>
        <v>0</v>
      </c>
      <c r="AEB10" s="5">
        <f>IFERROR(VLOOKUP(AEB$1,'Renta Mixta Moderado'!$B$35:$C$62,2,FALSE),0%)</f>
        <v>0</v>
      </c>
      <c r="AEC10" s="5">
        <f>IFERROR(VLOOKUP(AEC$1,'Renta Mixta Moderado'!$B$35:$C$62,2,FALSE),0%)</f>
        <v>0</v>
      </c>
      <c r="AED10" s="5">
        <f>IFERROR(VLOOKUP(AED$1,'Renta Mixta Moderado'!$B$35:$C$62,2,FALSE),0%)</f>
        <v>0</v>
      </c>
      <c r="AEE10" s="5">
        <f>IFERROR(VLOOKUP(AEE$1,'Renta Mixta Moderado'!$B$35:$C$62,2,FALSE),0%)</f>
        <v>0</v>
      </c>
      <c r="AEF10" s="5">
        <f>IFERROR(VLOOKUP(AEF$1,'Renta Mixta Moderado'!$B$35:$C$62,2,FALSE),0%)</f>
        <v>0</v>
      </c>
      <c r="AEG10" s="5">
        <f>IFERROR(VLOOKUP(AEG$1,'Renta Mixta Moderado'!$B$35:$C$62,2,FALSE),0%)</f>
        <v>0.0721</v>
      </c>
      <c r="AEH10" s="5">
        <f>IFERROR(VLOOKUP(AEH$1,'Renta Mixta Moderado'!$B$35:$C$62,2,FALSE),0%)</f>
        <v>0</v>
      </c>
      <c r="AEI10" s="5">
        <f>IFERROR(VLOOKUP(AEI$1,'Renta Mixta Moderado'!$B$35:$C$62,2,FALSE),0%)</f>
        <v>0</v>
      </c>
      <c r="AEJ10" s="5">
        <f>IFERROR(VLOOKUP(AEJ$1,'Renta Mixta Moderado'!$B$35:$C$62,2,FALSE),0%)</f>
        <v>0</v>
      </c>
      <c r="AEK10" s="5">
        <f>IFERROR(VLOOKUP(AEK$1,'Renta Mixta Moderado'!$B$35:$C$62,2,FALSE),0%)</f>
        <v>0</v>
      </c>
      <c r="AEL10" s="5">
        <f>IFERROR(VLOOKUP(AEL$1,'Renta Mixta Moderado'!$B$35:$C$62,2,FALSE),0%)</f>
        <v>0</v>
      </c>
      <c r="AEM10" s="5">
        <f>IFERROR(VLOOKUP(AEM$1,'Renta Mixta Moderado'!$B$35:$C$62,2,FALSE),0%)</f>
        <v>0</v>
      </c>
      <c r="AEN10" s="5">
        <f>IFERROR(VLOOKUP(AEN$1,'Renta Mixta Moderado'!$B$35:$C$62,2,FALSE),0%)</f>
        <v>0</v>
      </c>
      <c r="AEO10" s="5">
        <f>IFERROR(VLOOKUP(AEO$1,'Renta Mixta Moderado'!$B$35:$C$62,2,FALSE),0%)</f>
        <v>0</v>
      </c>
      <c r="AEP10" s="5">
        <f>IFERROR(VLOOKUP(AEP$1,'Renta Mixta Moderado'!$B$35:$C$62,2,FALSE),0%)</f>
        <v>0</v>
      </c>
      <c r="AEQ10" s="5">
        <f>IFERROR(VLOOKUP(AEQ$1,'Renta Mixta Moderado'!$B$35:$C$62,2,FALSE),0%)</f>
        <v>0</v>
      </c>
      <c r="AER10" s="5">
        <f>IFERROR(VLOOKUP(AER$1,'Renta Mixta Moderado'!$B$35:$C$62,2,FALSE),0%)</f>
        <v>0</v>
      </c>
      <c r="AES10" s="5">
        <f>IFERROR(VLOOKUP(AES$1,'Renta Mixta Moderado'!$B$35:$C$62,2,FALSE),0%)</f>
        <v>0</v>
      </c>
      <c r="AET10" s="5">
        <f>IFERROR(VLOOKUP(AET$1,'Renta Mixta Moderado'!$B$35:$C$62,2,FALSE),0%)</f>
        <v>0</v>
      </c>
      <c r="AEU10" s="5">
        <f>IFERROR(VLOOKUP(AEU$1,'Renta Mixta Moderado'!$B$35:$C$62,2,FALSE),0%)</f>
        <v>0</v>
      </c>
      <c r="AEV10" s="5">
        <f>IFERROR(VLOOKUP(AEV$1,'Renta Mixta Moderado'!$B$35:$C$62,2,FALSE),0%)</f>
        <v>0</v>
      </c>
      <c r="AEW10" s="5">
        <f>IFERROR(VLOOKUP(AEW$1,'Renta Mixta Moderado'!$B$35:$C$62,2,FALSE),0%)</f>
        <v>0</v>
      </c>
      <c r="AEX10" s="5">
        <f>IFERROR(VLOOKUP(AEX$1,'Renta Mixta Moderado'!$B$35:$C$62,2,FALSE),0%)</f>
        <v>0</v>
      </c>
      <c r="AEY10" s="5">
        <f>IFERROR(VLOOKUP(AEY$1,'Renta Mixta Moderado'!$B$35:$C$62,2,FALSE),0%)</f>
        <v>0</v>
      </c>
      <c r="AEZ10" s="5">
        <f>IFERROR(VLOOKUP(AEZ$1,'Renta Mixta Moderado'!$B$35:$C$62,2,FALSE),0%)</f>
        <v>0</v>
      </c>
      <c r="AFA10" s="5">
        <f>IFERROR(VLOOKUP(AFA$1,'Renta Mixta Moderado'!$B$35:$C$62,2,FALSE),0%)</f>
        <v>0</v>
      </c>
      <c r="AFB10" s="5">
        <f>IFERROR(VLOOKUP(AFB$1,'Renta Mixta Moderado'!$B$35:$C$62,2,FALSE),0%)</f>
        <v>0</v>
      </c>
      <c r="AFC10" s="5">
        <f>IFERROR(VLOOKUP(AFC$1,'Renta Mixta Moderado'!$B$35:$C$62,2,FALSE),0%)</f>
        <v>0</v>
      </c>
      <c r="AFD10" s="5">
        <f>IFERROR(VLOOKUP(AFD$1,'Renta Mixta Moderado'!$B$35:$C$62,2,FALSE),0%)</f>
        <v>0</v>
      </c>
      <c r="AFE10" s="5">
        <f>IFERROR(VLOOKUP(AFE$1,'Renta Mixta Moderado'!$B$35:$C$62,2,FALSE),0%)</f>
        <v>0</v>
      </c>
      <c r="AFF10" s="5">
        <f>IFERROR(VLOOKUP(AFF$1,'Renta Mixta Moderado'!$B$35:$C$62,2,FALSE),0%)</f>
        <v>0</v>
      </c>
      <c r="AFG10" s="5">
        <f>IFERROR(VLOOKUP(AFG$1,'Renta Mixta Moderado'!$B$35:$C$62,2,FALSE),0%)</f>
        <v>0</v>
      </c>
      <c r="AFH10" s="5">
        <f>IFERROR(VLOOKUP(AFH$1,'Renta Mixta Moderado'!$B$35:$C$62,2,FALSE),0%)</f>
        <v>0</v>
      </c>
      <c r="AFI10" s="5">
        <f>IFERROR(VLOOKUP(AFI$1,'Renta Mixta Moderado'!$B$35:$C$62,2,FALSE),0%)</f>
        <v>0</v>
      </c>
      <c r="AFJ10" s="5">
        <f>IFERROR(VLOOKUP(AFJ$1,'Renta Mixta Moderado'!$B$35:$C$62,2,FALSE),0%)</f>
        <v>0</v>
      </c>
      <c r="AFK10" s="5">
        <f>IFERROR(VLOOKUP(AFK$1,'Renta Mixta Moderado'!$B$35:$C$62,2,FALSE),0%)</f>
        <v>0</v>
      </c>
      <c r="AFL10" s="5">
        <f>IFERROR(VLOOKUP(AFL$1,'Renta Mixta Moderado'!$B$35:$C$62,2,FALSE),0%)</f>
        <v>0</v>
      </c>
      <c r="AFM10" s="5">
        <f>IFERROR(VLOOKUP(AFM$1,'Renta Mixta Moderado'!$B$35:$C$62,2,FALSE),0%)</f>
        <v>0</v>
      </c>
      <c r="AFN10" s="5">
        <f>IFERROR(VLOOKUP(AFN$1,'Renta Mixta Moderado'!$B$35:$C$62,2,FALSE),0%)</f>
        <v>0</v>
      </c>
      <c r="AFO10" s="5">
        <f>IFERROR(VLOOKUP(AFO$1,'Renta Mixta Moderado'!$B$35:$C$62,2,FALSE),0%)</f>
        <v>0</v>
      </c>
      <c r="AFP10" s="5">
        <f>IFERROR(VLOOKUP(AFP$1,'Renta Mixta Moderado'!$B$35:$C$62,2,FALSE),0%)</f>
        <v>0</v>
      </c>
      <c r="AFQ10" s="5">
        <f>IFERROR(VLOOKUP(AFQ$1,'Renta Mixta Moderado'!$B$35:$C$62,2,FALSE),0%)</f>
        <v>0</v>
      </c>
      <c r="AFR10" s="5">
        <f>IFERROR(VLOOKUP(AFR$1,'Renta Mixta Moderado'!$B$35:$C$62,2,FALSE),0%)</f>
        <v>0</v>
      </c>
      <c r="AFS10" s="5">
        <f>IFERROR(VLOOKUP(AFS$1,'Renta Mixta Moderado'!$B$35:$C$62,2,FALSE),0%)</f>
        <v>0</v>
      </c>
      <c r="AFT10" s="5">
        <f>IFERROR(VLOOKUP(AFT$1,'Renta Mixta Moderado'!$B$35:$C$62,2,FALSE),0%)</f>
        <v>0</v>
      </c>
      <c r="AFU10" s="5">
        <f>IFERROR(VLOOKUP(AFU$1,'Renta Mixta Moderado'!$B$35:$C$62,2,FALSE),0%)</f>
        <v>0</v>
      </c>
      <c r="AFV10" s="5">
        <f>IFERROR(VLOOKUP(AFV$1,'Renta Mixta Moderado'!$B$35:$C$62,2,FALSE),0%)</f>
        <v>0</v>
      </c>
      <c r="AFW10" s="5">
        <f>IFERROR(VLOOKUP(AFW$1,'Renta Mixta Moderado'!$B$35:$C$62,2,FALSE),0%)</f>
        <v>0</v>
      </c>
      <c r="AFX10" s="5">
        <f>IFERROR(VLOOKUP(AFX$1,'Renta Mixta Moderado'!$B$35:$C$62,2,FALSE),0%)</f>
        <v>0</v>
      </c>
      <c r="AFY10" s="5">
        <f>IFERROR(VLOOKUP(AFY$1,'Renta Mixta Moderado'!$B$35:$C$62,2,FALSE),0%)</f>
        <v>0</v>
      </c>
      <c r="AFZ10" s="5">
        <f>IFERROR(VLOOKUP(AFZ$1,'Renta Mixta Moderado'!$B$35:$C$62,2,FALSE),0%)</f>
        <v>0</v>
      </c>
      <c r="AGA10" s="5">
        <f>IFERROR(VLOOKUP(AGA$1,'Renta Mixta Moderado'!$B$35:$C$62,2,FALSE),0%)</f>
        <v>0</v>
      </c>
      <c r="AGB10" s="5">
        <f>IFERROR(VLOOKUP(AGB$1,'Renta Mixta Moderado'!$B$35:$C$62,2,FALSE),0%)</f>
        <v>0</v>
      </c>
      <c r="AGC10" s="5">
        <f>IFERROR(VLOOKUP(AGC$1,'Renta Mixta Moderado'!$B$35:$C$62,2,FALSE),0%)</f>
        <v>0</v>
      </c>
      <c r="AGD10" s="5">
        <f>IFERROR(VLOOKUP(AGD$1,'Renta Mixta Moderado'!$B$35:$C$62,2,FALSE),0%)</f>
        <v>0</v>
      </c>
      <c r="AGE10" s="5">
        <f>IFERROR(VLOOKUP(AGE$1,'Renta Mixta Moderado'!$B$35:$C$62,2,FALSE),0%)</f>
        <v>0</v>
      </c>
      <c r="AGF10" s="5">
        <f>IFERROR(VLOOKUP(AGF$1,'Renta Mixta Moderado'!$B$35:$C$62,2,FALSE),0%)</f>
        <v>0</v>
      </c>
      <c r="AGG10" s="5">
        <f>IFERROR(VLOOKUP(AGG$1,'Renta Mixta Moderado'!$B$35:$C$62,2,FALSE),0%)</f>
        <v>0</v>
      </c>
      <c r="AGH10" s="5">
        <f>IFERROR(VLOOKUP(AGH$1,'Renta Mixta Moderado'!$B$35:$C$62,2,FALSE),0%)</f>
        <v>0</v>
      </c>
      <c r="AGI10" s="5">
        <f>IFERROR(VLOOKUP(AGI$1,'Renta Mixta Moderado'!$B$35:$C$62,2,FALSE),0%)</f>
        <v>0</v>
      </c>
      <c r="AGJ10" s="5">
        <f>IFERROR(VLOOKUP(AGJ$1,'Renta Mixta Moderado'!$B$35:$C$62,2,FALSE),0%)</f>
        <v>0</v>
      </c>
      <c r="AGK10" s="5">
        <f>IFERROR(VLOOKUP(AGK$1,'Renta Mixta Moderado'!$B$35:$C$62,2,FALSE),0%)</f>
        <v>0</v>
      </c>
      <c r="AGL10" s="5">
        <f>IFERROR(VLOOKUP(AGL$1,'Renta Mixta Moderado'!$B$35:$C$62,2,FALSE),0%)</f>
        <v>0</v>
      </c>
      <c r="AGM10" s="5">
        <f>IFERROR(VLOOKUP(AGM$1,'Renta Mixta Moderado'!$B$35:$C$62,2,FALSE),0%)</f>
        <v>0</v>
      </c>
      <c r="AGN10" s="5">
        <f>IFERROR(VLOOKUP(AGN$1,'Renta Mixta Moderado'!$B$35:$C$62,2,FALSE),0%)</f>
        <v>0</v>
      </c>
      <c r="AGO10" s="5">
        <f>IFERROR(VLOOKUP(AGO$1,'Renta Mixta Moderado'!$B$35:$C$62,2,FALSE),0%)</f>
        <v>0</v>
      </c>
      <c r="AGP10" s="5">
        <f>IFERROR(VLOOKUP(AGP$1,'Renta Mixta Moderado'!$B$35:$C$62,2,FALSE),0%)</f>
        <v>0</v>
      </c>
      <c r="AGQ10" s="5">
        <f>IFERROR(VLOOKUP(AGQ$1,'Renta Mixta Moderado'!$B$35:$C$62,2,FALSE),0%)</f>
        <v>0</v>
      </c>
      <c r="AGR10" s="5">
        <f>IFERROR(VLOOKUP(AGR$1,'Renta Mixta Moderado'!$B$35:$C$62,2,FALSE),0%)</f>
        <v>0</v>
      </c>
      <c r="AGS10" s="5">
        <f>IFERROR(VLOOKUP(AGS$1,'Renta Mixta Moderado'!$B$35:$C$62,2,FALSE),0%)</f>
        <v>0</v>
      </c>
      <c r="AGT10" s="5">
        <f>IFERROR(VLOOKUP(AGT$1,'Renta Mixta Moderado'!$B$35:$C$62,2,FALSE),0%)</f>
        <v>0</v>
      </c>
      <c r="AGU10" s="5">
        <f>IFERROR(VLOOKUP(AGU$1,'Renta Mixta Moderado'!$B$35:$C$62,2,FALSE),0%)</f>
        <v>0</v>
      </c>
      <c r="AGV10" s="5">
        <f>IFERROR(VLOOKUP(AGV$1,'Renta Mixta Moderado'!$B$35:$C$62,2,FALSE),0%)</f>
        <v>0</v>
      </c>
      <c r="AGW10" s="5">
        <f>IFERROR(VLOOKUP(AGW$1,'Renta Mixta Moderado'!$B$35:$C$62,2,FALSE),0%)</f>
        <v>0</v>
      </c>
      <c r="AGX10" s="5">
        <f>IFERROR(VLOOKUP(AGX$1,'Renta Mixta Moderado'!$B$35:$C$62,2,FALSE),0%)</f>
        <v>0</v>
      </c>
      <c r="AGY10" s="5">
        <f>IFERROR(VLOOKUP(AGY$1,'Renta Mixta Moderado'!$B$35:$C$62,2,FALSE),0%)</f>
        <v>0</v>
      </c>
      <c r="AGZ10" s="5">
        <f>IFERROR(VLOOKUP(AGZ$1,'Renta Mixta Moderado'!$B$35:$C$62,2,FALSE),0%)</f>
        <v>0</v>
      </c>
      <c r="AHA10" s="5">
        <f>IFERROR(VLOOKUP(AHA$1,'Renta Mixta Moderado'!$B$35:$C$62,2,FALSE),0%)</f>
        <v>0</v>
      </c>
      <c r="AHB10" s="5">
        <f>IFERROR(VLOOKUP(AHB$1,'Renta Mixta Moderado'!$B$35:$C$62,2,FALSE),0%)</f>
        <v>0</v>
      </c>
      <c r="AHC10" s="5">
        <f>IFERROR(VLOOKUP(AHC$1,'Renta Mixta Moderado'!$B$35:$C$62,2,FALSE),0%)</f>
        <v>0</v>
      </c>
      <c r="AHD10" s="5">
        <f>IFERROR(VLOOKUP(AHD$1,'Renta Mixta Moderado'!$B$35:$C$62,2,FALSE),0%)</f>
        <v>0</v>
      </c>
      <c r="AHE10" s="5">
        <f>IFERROR(VLOOKUP(AHE$1,'Renta Mixta Moderado'!$B$35:$C$62,2,FALSE),0%)</f>
        <v>0</v>
      </c>
      <c r="AHF10" s="5">
        <f>IFERROR(VLOOKUP(AHF$1,'Renta Mixta Moderado'!$B$35:$C$62,2,FALSE),0%)</f>
        <v>0</v>
      </c>
      <c r="AHG10" s="5">
        <f>IFERROR(VLOOKUP(AHG$1,'Renta Mixta Moderado'!$B$35:$C$62,2,FALSE),0%)</f>
        <v>0</v>
      </c>
      <c r="AHH10" s="5">
        <f>IFERROR(VLOOKUP(AHH$1,'Renta Mixta Moderado'!$B$35:$C$62,2,FALSE),0%)</f>
        <v>0</v>
      </c>
      <c r="AHI10" s="5">
        <f>IFERROR(VLOOKUP(AHI$1,'Renta Mixta Moderado'!$B$35:$C$62,2,FALSE),0%)</f>
        <v>0</v>
      </c>
      <c r="AHJ10" s="5">
        <f>IFERROR(VLOOKUP(AHJ$1,'Renta Mixta Moderado'!$B$35:$C$62,2,FALSE),0%)</f>
        <v>0</v>
      </c>
      <c r="AHK10" s="5">
        <f>IFERROR(VLOOKUP(AHK$1,'Renta Mixta Moderado'!$B$35:$C$62,2,FALSE),0%)</f>
        <v>0</v>
      </c>
      <c r="AHL10" s="5">
        <f>IFERROR(VLOOKUP(AHL$1,'Renta Mixta Moderado'!$B$35:$C$62,2,FALSE),0%)</f>
        <v>0</v>
      </c>
      <c r="AHM10" s="5">
        <f>IFERROR(VLOOKUP(AHM$1,'Renta Mixta Moderado'!$B$35:$C$62,2,FALSE),0%)</f>
        <v>0</v>
      </c>
      <c r="AHN10" s="5">
        <f>IFERROR(VLOOKUP(AHN$1,'Renta Mixta Moderado'!$B$35:$C$62,2,FALSE),0%)</f>
        <v>0</v>
      </c>
      <c r="AHO10" s="5">
        <f>IFERROR(VLOOKUP(AHO$1,'Renta Mixta Moderado'!$B$35:$C$62,2,FALSE),0%)</f>
        <v>0</v>
      </c>
      <c r="AHP10" s="5">
        <f>IFERROR(VLOOKUP(AHP$1,'Renta Mixta Moderado'!$B$35:$C$62,2,FALSE),0%)</f>
        <v>0</v>
      </c>
      <c r="AHQ10" s="5">
        <f>IFERROR(VLOOKUP(AHQ$1,'Renta Mixta Moderado'!$B$35:$C$62,2,FALSE),0%)</f>
        <v>0</v>
      </c>
      <c r="AHR10" s="5">
        <f>IFERROR(VLOOKUP(AHR$1,'Renta Mixta Moderado'!$B$35:$C$62,2,FALSE),0%)</f>
        <v>0</v>
      </c>
      <c r="AHS10" s="5">
        <f>IFERROR(VLOOKUP(AHS$1,'Renta Mixta Moderado'!$B$35:$C$62,2,FALSE),0%)</f>
        <v>0</v>
      </c>
      <c r="AHT10" s="5">
        <f>IFERROR(VLOOKUP(AHT$1,'Renta Mixta Moderado'!$B$35:$C$62,2,FALSE),0%)</f>
        <v>0</v>
      </c>
      <c r="AHU10" s="5">
        <f>IFERROR(VLOOKUP(AHU$1,'Renta Mixta Moderado'!$B$35:$C$62,2,FALSE),0%)</f>
        <v>0</v>
      </c>
      <c r="AHV10" s="5">
        <f>IFERROR(VLOOKUP(AHV$1,'Renta Mixta Moderado'!$B$35:$C$62,2,FALSE),0%)</f>
        <v>0</v>
      </c>
      <c r="AHW10" s="5">
        <f>IFERROR(VLOOKUP(AHW$1,'Renta Mixta Moderado'!$B$35:$C$62,2,FALSE),0%)</f>
        <v>0</v>
      </c>
      <c r="AHX10" s="5">
        <f>IFERROR(VLOOKUP(AHX$1,'Renta Mixta Moderado'!$B$35:$C$62,2,FALSE),0%)</f>
        <v>0</v>
      </c>
      <c r="AHY10" s="5">
        <f>IFERROR(VLOOKUP(AHY$1,'Renta Mixta Moderado'!$B$35:$C$62,2,FALSE),0%)</f>
        <v>0</v>
      </c>
      <c r="AHZ10" s="5">
        <f>IFERROR(VLOOKUP(AHZ$1,'Renta Mixta Moderado'!$B$35:$C$62,2,FALSE),0%)</f>
        <v>0</v>
      </c>
      <c r="AIA10" s="5">
        <f>IFERROR(VLOOKUP(AIA$1,'Renta Mixta Moderado'!$B$35:$C$62,2,FALSE),0%)</f>
        <v>0</v>
      </c>
      <c r="AIB10" s="5">
        <f>IFERROR(VLOOKUP(AIB$1,'Renta Mixta Moderado'!$B$35:$C$62,2,FALSE),0%)</f>
        <v>0</v>
      </c>
      <c r="AIC10" s="5">
        <f>IFERROR(VLOOKUP(AIC$1,'Renta Mixta Moderado'!$B$35:$C$62,2,FALSE),0%)</f>
        <v>0</v>
      </c>
      <c r="AID10" s="5">
        <f>IFERROR(VLOOKUP(AID$1,'Renta Mixta Moderado'!$B$35:$C$62,2,FALSE),0%)</f>
        <v>0</v>
      </c>
      <c r="AIE10" s="5">
        <f>IFERROR(VLOOKUP(AIE$1,'Renta Mixta Moderado'!$B$35:$C$62,2,FALSE),0%)</f>
        <v>0</v>
      </c>
      <c r="AIF10" s="5">
        <f>IFERROR(VLOOKUP(AIF$1,'Renta Mixta Moderado'!$B$35:$C$62,2,FALSE),0%)</f>
        <v>0</v>
      </c>
      <c r="AIG10" s="5">
        <f>IFERROR(VLOOKUP(AIG$1,'Renta Mixta Moderado'!$B$35:$C$62,2,FALSE),0%)</f>
        <v>0</v>
      </c>
      <c r="AIH10" s="5">
        <f>IFERROR(VLOOKUP(AIH$1,'Renta Mixta Moderado'!$B$35:$C$62,2,FALSE),0%)</f>
        <v>0</v>
      </c>
      <c r="AII10" s="5">
        <f>IFERROR(VLOOKUP(AII$1,'Renta Mixta Moderado'!$B$35:$C$62,2,FALSE),0%)</f>
        <v>0</v>
      </c>
      <c r="AIJ10" s="5">
        <f>IFERROR(VLOOKUP(AIJ$1,'Renta Mixta Moderado'!$B$35:$C$62,2,FALSE),0%)</f>
        <v>0</v>
      </c>
      <c r="AIK10" s="5">
        <f>IFERROR(VLOOKUP(AIK$1,'Renta Mixta Moderado'!$B$35:$C$62,2,FALSE),0%)</f>
        <v>0</v>
      </c>
      <c r="AIL10" s="5">
        <f>IFERROR(VLOOKUP(AIL$1,'Renta Mixta Moderado'!$B$35:$C$62,2,FALSE),0%)</f>
        <v>0</v>
      </c>
      <c r="AIM10" s="5">
        <f>IFERROR(VLOOKUP(AIM$1,'Renta Mixta Moderado'!$B$35:$C$62,2,FALSE),0%)</f>
        <v>0</v>
      </c>
      <c r="AIN10" s="5">
        <f>IFERROR(VLOOKUP(AIN$1,'Renta Mixta Moderado'!$B$35:$C$62,2,FALSE),0%)</f>
        <v>0</v>
      </c>
      <c r="AIO10" s="5">
        <f>IFERROR(VLOOKUP(AIO$1,'Renta Mixta Moderado'!$B$35:$C$62,2,FALSE),0%)</f>
        <v>0</v>
      </c>
      <c r="AIP10" s="5">
        <f>IFERROR(VLOOKUP(AIP$1,'Renta Mixta Moderado'!$B$35:$C$62,2,FALSE),0%)</f>
        <v>0</v>
      </c>
      <c r="AIQ10" s="5">
        <f>IFERROR(VLOOKUP(AIQ$1,'Renta Mixta Moderado'!$B$35:$C$62,2,FALSE),0%)</f>
        <v>0</v>
      </c>
      <c r="AIR10" s="5">
        <f>IFERROR(VLOOKUP(AIR$1,'Renta Mixta Moderado'!$B$35:$C$62,2,FALSE),0%)</f>
        <v>0</v>
      </c>
      <c r="AIS10" s="5">
        <f>IFERROR(VLOOKUP(AIS$1,'Renta Mixta Moderado'!$B$35:$C$62,2,FALSE),0%)</f>
        <v>0</v>
      </c>
      <c r="AIT10" s="5">
        <f>IFERROR(VLOOKUP(AIT$1,'Renta Mixta Moderado'!$B$35:$C$62,2,FALSE),0%)</f>
        <v>0</v>
      </c>
      <c r="AIU10" s="5">
        <f>IFERROR(VLOOKUP(AIU$1,'Renta Mixta Moderado'!$B$35:$C$62,2,FALSE),0%)</f>
        <v>0</v>
      </c>
      <c r="AIV10" s="5">
        <f>IFERROR(VLOOKUP(AIV$1,'Renta Mixta Moderado'!$B$35:$C$62,2,FALSE),0%)</f>
        <v>0</v>
      </c>
      <c r="AIW10" s="5">
        <f>IFERROR(VLOOKUP(AIW$1,'Renta Mixta Moderado'!$B$35:$C$62,2,FALSE),0%)</f>
        <v>0</v>
      </c>
      <c r="AIX10" s="5">
        <f>IFERROR(VLOOKUP(AIX$1,'Renta Mixta Moderado'!$B$35:$C$62,2,FALSE),0%)</f>
        <v>0</v>
      </c>
      <c r="AIY10" s="5">
        <f>IFERROR(VLOOKUP(AIY$1,'Renta Mixta Moderado'!$B$35:$C$62,2,FALSE),0%)</f>
        <v>0</v>
      </c>
      <c r="AIZ10" s="5">
        <f>IFERROR(VLOOKUP(AIZ$1,'Renta Mixta Moderado'!$B$35:$C$62,2,FALSE),0%)</f>
        <v>0</v>
      </c>
      <c r="AJA10" s="5">
        <f>IFERROR(VLOOKUP(AJA$1,'Renta Mixta Moderado'!$B$35:$C$62,2,FALSE),0%)</f>
        <v>0</v>
      </c>
      <c r="AJB10" s="5">
        <f>IFERROR(VLOOKUP(AJB$1,'Renta Mixta Moderado'!$B$35:$C$62,2,FALSE),0%)</f>
        <v>0</v>
      </c>
      <c r="AJC10" s="5">
        <f>IFERROR(VLOOKUP(AJC$1,'Renta Mixta Moderado'!$B$35:$C$62,2,FALSE),0%)</f>
        <v>0</v>
      </c>
      <c r="AJD10" s="5">
        <f>IFERROR(VLOOKUP(AJD$1,'Renta Mixta Moderado'!$B$35:$C$62,2,FALSE),0%)</f>
        <v>0</v>
      </c>
      <c r="AJE10" s="5">
        <f>IFERROR(VLOOKUP(AJE$1,'Renta Mixta Moderado'!$B$35:$C$62,2,FALSE),0%)</f>
        <v>0</v>
      </c>
      <c r="AJF10" s="5">
        <f>IFERROR(VLOOKUP(AJF$1,'Renta Mixta Moderado'!$B$35:$C$62,2,FALSE),0%)</f>
        <v>0</v>
      </c>
      <c r="AJG10" s="5">
        <f>IFERROR(VLOOKUP(AJG$1,'Renta Mixta Moderado'!$B$35:$C$62,2,FALSE),0%)</f>
        <v>0</v>
      </c>
      <c r="AJH10" s="5">
        <f>IFERROR(VLOOKUP(AJH$1,'Renta Mixta Moderado'!$B$35:$C$62,2,FALSE),0%)</f>
        <v>0</v>
      </c>
      <c r="AJI10" s="5">
        <f>IFERROR(VLOOKUP(AJI$1,'Renta Mixta Moderado'!$B$35:$C$62,2,FALSE),0%)</f>
        <v>0</v>
      </c>
      <c r="AJJ10" s="5">
        <f>IFERROR(VLOOKUP(AJJ$1,'Renta Mixta Moderado'!$B$35:$C$62,2,FALSE),0%)</f>
        <v>0</v>
      </c>
      <c r="AJK10" s="5">
        <f>IFERROR(VLOOKUP(AJK$1,'Renta Mixta Moderado'!$B$35:$C$62,2,FALSE),0%)</f>
        <v>0</v>
      </c>
      <c r="AJL10" s="5">
        <f>IFERROR(VLOOKUP(AJL$1,'Renta Mixta Moderado'!$B$35:$C$62,2,FALSE),0%)</f>
        <v>0</v>
      </c>
      <c r="AJM10" s="5">
        <f>IFERROR(VLOOKUP(AJM$1,'Renta Mixta Moderado'!$B$35:$C$62,2,FALSE),0%)</f>
        <v>0</v>
      </c>
      <c r="AJN10" s="5">
        <f>IFERROR(VLOOKUP(AJN$1,'Renta Mixta Moderado'!$B$35:$C$62,2,FALSE),0%)</f>
        <v>0</v>
      </c>
      <c r="AJO10" s="5">
        <f>IFERROR(VLOOKUP(AJO$1,'Renta Mixta Moderado'!$B$35:$C$62,2,FALSE),0%)</f>
        <v>0</v>
      </c>
      <c r="AJP10" s="5">
        <f>IFERROR(VLOOKUP(AJP$1,'Renta Mixta Moderado'!$B$35:$C$62,2,FALSE),0%)</f>
        <v>0</v>
      </c>
      <c r="AJQ10" s="5">
        <f>IFERROR(VLOOKUP(AJQ$1,'Renta Mixta Moderado'!$B$35:$C$62,2,FALSE),0%)</f>
        <v>0</v>
      </c>
      <c r="AJR10" s="5">
        <f>IFERROR(VLOOKUP(AJR$1,'Renta Mixta Moderado'!$B$35:$C$62,2,FALSE),0%)</f>
        <v>0</v>
      </c>
      <c r="AJS10" s="5">
        <f>IFERROR(VLOOKUP(AJS$1,'Renta Mixta Moderado'!$B$35:$C$62,2,FALSE),0%)</f>
        <v>0</v>
      </c>
      <c r="AJT10" s="5">
        <f>IFERROR(VLOOKUP(AJT$1,'Renta Mixta Moderado'!$B$35:$C$62,2,FALSE),0%)</f>
        <v>0</v>
      </c>
      <c r="AJU10" s="5">
        <f>IFERROR(VLOOKUP(AJU$1,'Renta Mixta Moderado'!$B$35:$C$62,2,FALSE),0%)</f>
        <v>0</v>
      </c>
      <c r="AJV10" s="5">
        <f>IFERROR(VLOOKUP(AJV$1,'Renta Mixta Moderado'!$B$35:$C$62,2,FALSE),0%)</f>
        <v>0</v>
      </c>
      <c r="AJW10" s="5">
        <f>IFERROR(VLOOKUP(AJW$1,'Renta Mixta Moderado'!$B$35:$C$62,2,FALSE),0%)</f>
        <v>0</v>
      </c>
      <c r="AJX10" s="5">
        <f>IFERROR(VLOOKUP(AJX$1,'Renta Mixta Moderado'!$B$35:$C$62,2,FALSE),0%)</f>
        <v>0</v>
      </c>
      <c r="AJY10" s="5">
        <f>IFERROR(VLOOKUP(AJY$1,'Renta Mixta Moderado'!$B$35:$C$62,2,FALSE),0%)</f>
        <v>0</v>
      </c>
      <c r="AJZ10" s="5">
        <f>IFERROR(VLOOKUP(AJZ$1,'Renta Mixta Moderado'!$B$35:$C$62,2,FALSE),0%)</f>
        <v>0</v>
      </c>
      <c r="AKA10" s="5">
        <f>IFERROR(VLOOKUP(AKA$1,'Renta Mixta Moderado'!$B$35:$C$62,2,FALSE),0%)</f>
        <v>0</v>
      </c>
      <c r="AKB10" s="5">
        <f>IFERROR(VLOOKUP(AKB$1,'Renta Mixta Moderado'!$B$35:$C$62,2,FALSE),0%)</f>
        <v>0</v>
      </c>
      <c r="AKC10" s="5">
        <f>IFERROR(VLOOKUP(AKC$1,'Renta Mixta Moderado'!$B$35:$C$62,2,FALSE),0%)</f>
        <v>0</v>
      </c>
      <c r="AKD10" s="5">
        <f>IFERROR(VLOOKUP(AKD$1,'Renta Mixta Moderado'!$B$35:$C$62,2,FALSE),0%)</f>
        <v>0</v>
      </c>
      <c r="AKE10" s="5">
        <f>IFERROR(VLOOKUP(AKE$1,'Renta Mixta Moderado'!$B$35:$C$62,2,FALSE),0%)</f>
        <v>0</v>
      </c>
      <c r="AKF10" s="5">
        <f>IFERROR(VLOOKUP(AKF$1,'Renta Mixta Moderado'!$B$35:$C$62,2,FALSE),0%)</f>
        <v>0</v>
      </c>
      <c r="AKG10" s="5">
        <f>IFERROR(VLOOKUP(AKG$1,'Renta Mixta Moderado'!$B$35:$C$62,2,FALSE),0%)</f>
        <v>0</v>
      </c>
      <c r="AKH10" s="5">
        <f>IFERROR(VLOOKUP(AKH$1,'Renta Mixta Moderado'!$B$35:$C$62,2,FALSE),0%)</f>
        <v>0</v>
      </c>
      <c r="AKI10" s="5">
        <f>IFERROR(VLOOKUP(AKI$1,'Renta Mixta Moderado'!$B$35:$C$62,2,FALSE),0%)</f>
        <v>0</v>
      </c>
      <c r="AKJ10" s="5">
        <f>IFERROR(VLOOKUP(AKJ$1,'Renta Mixta Moderado'!$B$35:$C$62,2,FALSE),0%)</f>
        <v>0</v>
      </c>
      <c r="AKK10" s="5">
        <f>IFERROR(VLOOKUP(AKK$1,'Renta Mixta Moderado'!$B$35:$C$62,2,FALSE),0%)</f>
        <v>0</v>
      </c>
      <c r="AKL10" s="5">
        <f>IFERROR(VLOOKUP(AKL$1,'Renta Mixta Moderado'!$B$35:$C$62,2,FALSE),0%)</f>
        <v>0</v>
      </c>
      <c r="AKM10" s="5">
        <f>IFERROR(VLOOKUP(AKM$1,'Renta Mixta Moderado'!$B$35:$C$62,2,FALSE),0%)</f>
        <v>0</v>
      </c>
      <c r="AKN10" s="5">
        <f>IFERROR(VLOOKUP(AKN$1,'Renta Mixta Moderado'!$B$35:$C$62,2,FALSE),0%)</f>
        <v>0</v>
      </c>
      <c r="AKO10" s="5">
        <f>IFERROR(VLOOKUP(AKO$1,'Renta Mixta Moderado'!$B$35:$C$62,2,FALSE),0%)</f>
        <v>0</v>
      </c>
      <c r="AKP10" s="5">
        <f>IFERROR(VLOOKUP(AKP$1,'Renta Mixta Moderado'!$B$35:$C$62,2,FALSE),0%)</f>
        <v>0</v>
      </c>
      <c r="AKQ10" s="5">
        <f>IFERROR(VLOOKUP(AKQ$1,'Renta Mixta Moderado'!$B$35:$C$62,2,FALSE),0%)</f>
        <v>0</v>
      </c>
      <c r="AKR10" s="5">
        <f>IFERROR(VLOOKUP(AKR$1,'Renta Mixta Moderado'!$B$35:$C$62,2,FALSE),0%)</f>
        <v>0</v>
      </c>
      <c r="AKS10" s="5">
        <f>IFERROR(VLOOKUP(AKS$1,'Renta Mixta Moderado'!$B$35:$C$62,2,FALSE),0%)</f>
        <v>0</v>
      </c>
      <c r="AKT10" s="5">
        <f>IFERROR(VLOOKUP(AKT$1,'Renta Mixta Moderado'!$B$35:$C$62,2,FALSE),0%)</f>
        <v>0</v>
      </c>
      <c r="AKU10" s="5">
        <f>IFERROR(VLOOKUP(AKU$1,'Renta Mixta Moderado'!$B$35:$C$62,2,FALSE),0%)</f>
        <v>0</v>
      </c>
      <c r="AKV10" s="5">
        <f>IFERROR(VLOOKUP(AKV$1,'Renta Mixta Moderado'!$B$35:$C$62,2,FALSE),0%)</f>
        <v>0</v>
      </c>
      <c r="AKW10" s="5">
        <f>IFERROR(VLOOKUP(AKW$1,'Renta Mixta Moderado'!$B$35:$C$62,2,FALSE),0%)</f>
        <v>0</v>
      </c>
      <c r="AKX10" s="5">
        <f>IFERROR(VLOOKUP(AKX$1,'Renta Mixta Moderado'!$B$35:$C$62,2,FALSE),0%)</f>
        <v>0</v>
      </c>
      <c r="AKY10" s="5">
        <f>IFERROR(VLOOKUP(AKY$1,'Renta Mixta Moderado'!$B$35:$C$62,2,FALSE),0%)</f>
        <v>0</v>
      </c>
      <c r="AKZ10" s="5">
        <f>IFERROR(VLOOKUP(AKZ$1,'Renta Mixta Moderado'!$B$35:$C$62,2,FALSE),0%)</f>
        <v>0</v>
      </c>
      <c r="ALA10" s="5">
        <f>IFERROR(VLOOKUP(ALA$1,'Renta Mixta Moderado'!$B$35:$C$62,2,FALSE),0%)</f>
        <v>0</v>
      </c>
      <c r="ALB10" s="5">
        <f>IFERROR(VLOOKUP(ALB$1,'Renta Mixta Moderado'!$B$35:$C$62,2,FALSE),0%)</f>
        <v>0</v>
      </c>
      <c r="ALC10" s="5">
        <f>IFERROR(VLOOKUP(ALC$1,'Renta Mixta Moderado'!$B$35:$C$62,2,FALSE),0%)</f>
        <v>0</v>
      </c>
      <c r="ALD10" s="5">
        <f>IFERROR(VLOOKUP(ALD$1,'Renta Mixta Moderado'!$B$35:$C$62,2,FALSE),0%)</f>
        <v>0</v>
      </c>
      <c r="ALE10" s="5">
        <f>IFERROR(VLOOKUP(ALE$1,'Renta Mixta Moderado'!$B$35:$C$62,2,FALSE),0%)</f>
        <v>0</v>
      </c>
      <c r="ALF10" s="5">
        <f>IFERROR(VLOOKUP(ALF$1,'Renta Mixta Moderado'!$B$35:$C$62,2,FALSE),0%)</f>
        <v>0</v>
      </c>
      <c r="ALG10" s="5">
        <f>IFERROR(VLOOKUP(ALG$1,'Renta Mixta Moderado'!$B$35:$C$62,2,FALSE),0%)</f>
        <v>0</v>
      </c>
      <c r="ALH10" s="5">
        <f>IFERROR(VLOOKUP(ALH$1,'Renta Mixta Moderado'!$B$35:$C$62,2,FALSE),0%)</f>
        <v>0</v>
      </c>
      <c r="ALI10" s="5">
        <f>IFERROR(VLOOKUP(ALI$1,'Renta Mixta Moderado'!$B$35:$C$62,2,FALSE),0%)</f>
        <v>0</v>
      </c>
      <c r="ALJ10" s="5">
        <f>IFERROR(VLOOKUP(ALJ$1,'Renta Mixta Moderado'!$B$35:$C$62,2,FALSE),0%)</f>
        <v>0</v>
      </c>
      <c r="ALK10" s="5">
        <f>IFERROR(VLOOKUP(ALK$1,'Renta Mixta Moderado'!$B$35:$C$62,2,FALSE),0%)</f>
        <v>0</v>
      </c>
      <c r="ALL10" s="5">
        <f>IFERROR(VLOOKUP(ALL$1,'Renta Mixta Moderado'!$B$35:$C$62,2,FALSE),0%)</f>
        <v>0</v>
      </c>
      <c r="ALM10" s="5">
        <f>IFERROR(VLOOKUP(ALM$1,'Renta Mixta Moderado'!$B$35:$C$62,2,FALSE),0%)</f>
        <v>0</v>
      </c>
      <c r="ALN10" s="5">
        <f>IFERROR(VLOOKUP(ALN$1,'Renta Mixta Moderado'!$B$35:$C$62,2,FALSE),0%)</f>
        <v>0</v>
      </c>
      <c r="ALO10" s="5">
        <f>IFERROR(VLOOKUP(ALO$1,'Renta Mixta Moderado'!$B$35:$C$62,2,FALSE),0%)</f>
        <v>0</v>
      </c>
      <c r="ALP10" s="5">
        <f>IFERROR(VLOOKUP(ALP$1,'Renta Mixta Moderado'!$B$35:$C$62,2,FALSE),0%)</f>
        <v>0</v>
      </c>
      <c r="ALQ10" s="5">
        <f>IFERROR(VLOOKUP(ALQ$1,'Renta Mixta Moderado'!$B$35:$C$62,2,FALSE),0%)</f>
        <v>0</v>
      </c>
      <c r="ALR10" s="5">
        <f>IFERROR(VLOOKUP(ALR$1,'Renta Mixta Moderado'!$B$35:$C$62,2,FALSE),0%)</f>
        <v>0</v>
      </c>
      <c r="ALS10" s="5">
        <f>IFERROR(VLOOKUP(ALS$1,'Renta Mixta Moderado'!$B$35:$C$62,2,FALSE),0%)</f>
        <v>0</v>
      </c>
      <c r="ALT10" s="5">
        <f>IFERROR(VLOOKUP(ALT$1,'Renta Mixta Moderado'!$B$35:$C$62,2,FALSE),0%)</f>
        <v>0</v>
      </c>
      <c r="ALU10" s="5">
        <f>IFERROR(VLOOKUP(ALU$1,'Renta Mixta Moderado'!$B$35:$C$62,2,FALSE),0%)</f>
        <v>0</v>
      </c>
      <c r="ALV10" s="5">
        <f>IFERROR(VLOOKUP(ALV$1,'Renta Mixta Moderado'!$B$35:$C$62,2,FALSE),0%)</f>
        <v>0</v>
      </c>
      <c r="ALW10" s="5">
        <f>IFERROR(VLOOKUP(ALW$1,'Renta Mixta Moderado'!$B$35:$C$62,2,FALSE),0%)</f>
        <v>0</v>
      </c>
      <c r="ALX10" s="5">
        <f>IFERROR(VLOOKUP(ALX$1,'Renta Mixta Moderado'!$B$35:$C$62,2,FALSE),0%)</f>
        <v>0</v>
      </c>
      <c r="ALY10" s="5">
        <f>IFERROR(VLOOKUP(ALY$1,'Renta Mixta Moderado'!$B$35:$C$62,2,FALSE),0%)</f>
        <v>0</v>
      </c>
      <c r="ALZ10" s="5">
        <f>IFERROR(VLOOKUP(ALZ$1,'Renta Mixta Moderado'!$B$35:$C$62,2,FALSE),0%)</f>
        <v>0</v>
      </c>
      <c r="AMA10" s="5">
        <f>IFERROR(VLOOKUP(AMA$1,'Renta Mixta Moderado'!$B$35:$C$62,2,FALSE),0%)</f>
        <v>0</v>
      </c>
      <c r="AMB10" s="5">
        <f>IFERROR(VLOOKUP(AMB$1,'Renta Mixta Moderado'!$B$35:$C$62,2,FALSE),0%)</f>
        <v>0</v>
      </c>
      <c r="AMC10" s="5">
        <f>IFERROR(VLOOKUP(AMC$1,'Renta Mixta Moderado'!$B$35:$C$62,2,FALSE),0%)</f>
        <v>0</v>
      </c>
      <c r="AMD10" s="5">
        <f>IFERROR(VLOOKUP(AMD$1,'Renta Mixta Moderado'!$B$35:$C$62,2,FALSE),0%)</f>
        <v>0</v>
      </c>
      <c r="AME10" s="5">
        <f>IFERROR(VLOOKUP(AME$1,'Renta Mixta Moderado'!$B$35:$C$62,2,FALSE),0%)</f>
        <v>0</v>
      </c>
      <c r="AMF10" s="5">
        <f>IFERROR(VLOOKUP(AMF$1,'Renta Mixta Moderado'!$B$35:$C$62,2,FALSE),0%)</f>
        <v>0</v>
      </c>
      <c r="AMG10" s="5">
        <f>IFERROR(VLOOKUP(AMG$1,'Renta Mixta Moderado'!$B$35:$C$62,2,FALSE),0%)</f>
        <v>0</v>
      </c>
      <c r="AMH10" s="5">
        <f>IFERROR(VLOOKUP(AMH$1,'Renta Mixta Moderado'!$B$35:$C$62,2,FALSE),0%)</f>
        <v>0</v>
      </c>
      <c r="AMI10" s="5">
        <f>IFERROR(VLOOKUP(AMI$1,'Renta Mixta Moderado'!$B$35:$C$62,2,FALSE),0%)</f>
        <v>0</v>
      </c>
      <c r="AMJ10" s="5">
        <f>IFERROR(VLOOKUP(AMJ$1,'Renta Mixta Moderado'!$B$35:$C$62,2,FALSE),0%)</f>
        <v>0</v>
      </c>
      <c r="AMK10" s="5">
        <f>IFERROR(VLOOKUP(AMK$1,'Renta Mixta Moderado'!$B$35:$C$62,2,FALSE),0%)</f>
        <v>0</v>
      </c>
      <c r="AML10" s="5">
        <f>IFERROR(VLOOKUP(AML$1,'Renta Mixta Moderado'!$B$35:$C$62,2,FALSE),0%)</f>
        <v>0</v>
      </c>
      <c r="AMM10" s="5">
        <f>IFERROR(VLOOKUP(AMM$1,'Renta Mixta Moderado'!$B$35:$C$62,2,FALSE),0%)</f>
        <v>0</v>
      </c>
      <c r="AMN10" s="5">
        <f>IFERROR(VLOOKUP(AMN$1,'Renta Mixta Moderado'!$B$35:$C$62,2,FALSE),0%)</f>
        <v>0</v>
      </c>
      <c r="AMO10" s="5">
        <f>IFERROR(VLOOKUP(AMO$1,'Renta Mixta Moderado'!$B$35:$C$62,2,FALSE),0%)</f>
        <v>0</v>
      </c>
      <c r="AMP10" s="5">
        <f>IFERROR(VLOOKUP(AMP$1,'Renta Mixta Moderado'!$B$35:$C$62,2,FALSE),0%)</f>
        <v>0</v>
      </c>
      <c r="AMQ10" s="5">
        <f>IFERROR(VLOOKUP(AMQ$1,'Renta Mixta Moderado'!$B$35:$C$62,2,FALSE),0%)</f>
        <v>0</v>
      </c>
      <c r="AMR10" s="5">
        <f>IFERROR(VLOOKUP(AMR$1,'Renta Mixta Moderado'!$B$35:$C$62,2,FALSE),0%)</f>
        <v>0</v>
      </c>
      <c r="AMS10" s="5">
        <f>IFERROR(VLOOKUP(AMS$1,'Renta Mixta Moderado'!$B$35:$C$62,2,FALSE),0%)</f>
        <v>0</v>
      </c>
      <c r="AMT10" s="5">
        <f>IFERROR(VLOOKUP(AMT$1,'Renta Mixta Moderado'!$B$35:$C$62,2,FALSE),0%)</f>
        <v>0</v>
      </c>
      <c r="AMU10" s="5">
        <f>IFERROR(VLOOKUP(AMU$1,'Renta Mixta Moderado'!$B$35:$C$62,2,FALSE),0%)</f>
        <v>0</v>
      </c>
      <c r="AMV10" s="5">
        <f>IFERROR(VLOOKUP(AMV$1,'Renta Mixta Moderado'!$B$35:$C$62,2,FALSE),0%)</f>
        <v>0</v>
      </c>
      <c r="AMW10" s="5">
        <f>IFERROR(VLOOKUP(AMW$1,'Renta Mixta Moderado'!$B$35:$C$62,2,FALSE),0%)</f>
        <v>0</v>
      </c>
      <c r="AMX10" s="5">
        <f>IFERROR(VLOOKUP(AMX$1,'Renta Mixta Moderado'!$B$35:$C$62,2,FALSE),0%)</f>
        <v>0</v>
      </c>
      <c r="AMY10" s="5">
        <f>IFERROR(VLOOKUP(AMY$1,'Renta Mixta Moderado'!$B$35:$C$62,2,FALSE),0%)</f>
        <v>0</v>
      </c>
      <c r="AMZ10" s="5">
        <f>IFERROR(VLOOKUP(AMZ$1,'Renta Mixta Moderado'!$B$35:$C$62,2,FALSE),0%)</f>
        <v>0</v>
      </c>
      <c r="ANA10" s="5">
        <f>IFERROR(VLOOKUP(ANA$1,'Renta Mixta Moderado'!$B$35:$C$62,2,FALSE),0%)</f>
        <v>0</v>
      </c>
      <c r="ANB10" s="5">
        <f>IFERROR(VLOOKUP(ANB$1,'Renta Mixta Moderado'!$B$35:$C$62,2,FALSE),0%)</f>
        <v>0</v>
      </c>
      <c r="ANC10" s="5">
        <f>IFERROR(VLOOKUP(ANC$1,'Renta Mixta Moderado'!$B$35:$C$62,2,FALSE),0%)</f>
        <v>0</v>
      </c>
      <c r="AND10" s="5">
        <f>IFERROR(VLOOKUP(AND$1,'Renta Mixta Moderado'!$B$35:$C$62,2,FALSE),0%)</f>
        <v>0</v>
      </c>
      <c r="ANE10" s="5">
        <f>IFERROR(VLOOKUP(ANE$1,'Renta Mixta Moderado'!$B$35:$C$62,2,FALSE),0%)</f>
        <v>0</v>
      </c>
      <c r="ANF10" s="5">
        <f>IFERROR(VLOOKUP(ANF$1,'Renta Mixta Moderado'!$B$35:$C$62,2,FALSE),0%)</f>
        <v>0</v>
      </c>
      <c r="ANG10" s="5">
        <f>IFERROR(VLOOKUP(ANG$1,'Renta Mixta Moderado'!$B$35:$C$62,2,FALSE),0%)</f>
        <v>0</v>
      </c>
      <c r="ANH10" s="5">
        <f>IFERROR(VLOOKUP(ANH$1,'Renta Mixta Moderado'!$B$35:$C$62,2,FALSE),0%)</f>
        <v>0</v>
      </c>
      <c r="ANI10" s="5">
        <f>IFERROR(VLOOKUP(ANI$1,'Renta Mixta Moderado'!$B$35:$C$62,2,FALSE),0%)</f>
        <v>0</v>
      </c>
      <c r="ANJ10" s="5">
        <f>IFERROR(VLOOKUP(ANJ$1,'Renta Mixta Moderado'!$B$35:$C$62,2,FALSE),0%)</f>
        <v>0</v>
      </c>
      <c r="ANK10" s="5">
        <f>IFERROR(VLOOKUP(ANK$1,'Renta Mixta Moderado'!$B$35:$C$62,2,FALSE),0%)</f>
        <v>0</v>
      </c>
      <c r="ANL10" s="5">
        <f>IFERROR(VLOOKUP(ANL$1,'Renta Mixta Moderado'!$B$35:$C$62,2,FALSE),0%)</f>
        <v>0</v>
      </c>
      <c r="ANM10" s="5">
        <f>IFERROR(VLOOKUP(ANM$1,'Renta Mixta Moderado'!$B$35:$C$62,2,FALSE),0%)</f>
        <v>0</v>
      </c>
      <c r="ANN10" s="5">
        <f>IFERROR(VLOOKUP(ANN$1,'Renta Mixta Moderado'!$B$35:$C$62,2,FALSE),0%)</f>
        <v>0</v>
      </c>
      <c r="ANO10" s="5">
        <f>IFERROR(VLOOKUP(ANO$1,'Renta Mixta Moderado'!$B$35:$C$62,2,FALSE),0%)</f>
        <v>0</v>
      </c>
      <c r="ANP10" s="5">
        <f>IFERROR(VLOOKUP(ANP$1,'Renta Mixta Moderado'!$B$35:$C$62,2,FALSE),0%)</f>
        <v>0</v>
      </c>
      <c r="ANQ10" s="5">
        <f>IFERROR(VLOOKUP(ANQ$1,'Renta Mixta Moderado'!$B$35:$C$62,2,FALSE),0%)</f>
        <v>0</v>
      </c>
      <c r="ANR10" s="5">
        <f>IFERROR(VLOOKUP(ANR$1,'Renta Mixta Moderado'!$B$35:$C$62,2,FALSE),0%)</f>
        <v>0</v>
      </c>
      <c r="ANS10" s="5">
        <f>IFERROR(VLOOKUP(ANS$1,'Renta Mixta Moderado'!$B$35:$C$62,2,FALSE),0%)</f>
        <v>0</v>
      </c>
      <c r="ANT10" s="5">
        <f>IFERROR(VLOOKUP(ANT$1,'Renta Mixta Moderado'!$B$35:$C$62,2,FALSE),0%)</f>
        <v>0</v>
      </c>
      <c r="ANU10" s="5">
        <f>IFERROR(VLOOKUP(ANU$1,'Renta Mixta Moderado'!$B$35:$C$62,2,FALSE),0%)</f>
        <v>0</v>
      </c>
      <c r="ANV10" s="5">
        <f>IFERROR(VLOOKUP(ANV$1,'Renta Mixta Moderado'!$B$35:$C$62,2,FALSE),0%)</f>
        <v>0</v>
      </c>
      <c r="ANW10" s="5">
        <f>IFERROR(VLOOKUP(ANW$1,'Renta Mixta Moderado'!$B$35:$C$62,2,FALSE),0%)</f>
        <v>0</v>
      </c>
      <c r="ANX10" s="5">
        <f>IFERROR(VLOOKUP(ANX$1,'Renta Mixta Moderado'!$B$35:$C$62,2,FALSE),0%)</f>
        <v>0</v>
      </c>
      <c r="ANY10" s="5">
        <f>IFERROR(VLOOKUP(ANY$1,'Renta Mixta Moderado'!$B$35:$C$62,2,FALSE),0%)</f>
        <v>0</v>
      </c>
      <c r="ANZ10" s="5">
        <f>IFERROR(VLOOKUP(ANZ$1,'Renta Mixta Moderado'!$B$35:$C$62,2,FALSE),0%)</f>
        <v>0</v>
      </c>
      <c r="AOA10" s="5">
        <f>IFERROR(VLOOKUP(AOA$1,'Renta Mixta Moderado'!$B$35:$C$62,2,FALSE),0%)</f>
        <v>0</v>
      </c>
      <c r="AOB10" s="5">
        <f>IFERROR(VLOOKUP(AOB$1,'Renta Mixta Moderado'!$B$35:$C$62,2,FALSE),0%)</f>
        <v>0</v>
      </c>
      <c r="AOC10" s="5">
        <f>IFERROR(VLOOKUP(AOC$1,'Renta Mixta Moderado'!$B$35:$C$62,2,FALSE),0%)</f>
        <v>0</v>
      </c>
      <c r="AOD10" s="5">
        <f>IFERROR(VLOOKUP(AOD$1,'Renta Mixta Moderado'!$B$35:$C$62,2,FALSE),0%)</f>
        <v>0</v>
      </c>
      <c r="AOE10" s="5">
        <f>IFERROR(VLOOKUP(AOE$1,'Renta Mixta Moderado'!$B$35:$C$62,2,FALSE),0%)</f>
        <v>0</v>
      </c>
      <c r="AOF10" s="5">
        <f>IFERROR(VLOOKUP(AOF$1,'Renta Mixta Moderado'!$B$35:$C$62,2,FALSE),0%)</f>
        <v>0</v>
      </c>
      <c r="AOG10" s="5">
        <f>IFERROR(VLOOKUP(AOG$1,'Renta Mixta Moderado'!$B$35:$C$62,2,FALSE),0%)</f>
        <v>0</v>
      </c>
      <c r="AOH10" s="5">
        <f>IFERROR(VLOOKUP(AOH$1,'Renta Mixta Moderado'!$B$35:$C$62,2,FALSE),0%)</f>
        <v>0</v>
      </c>
      <c r="AOI10" s="5">
        <f>IFERROR(VLOOKUP(AOI$1,'Renta Mixta Moderado'!$B$35:$C$62,2,FALSE),0%)</f>
        <v>0</v>
      </c>
      <c r="AOJ10" s="5">
        <f>IFERROR(VLOOKUP(AOJ$1,'Renta Mixta Moderado'!$B$35:$C$62,2,FALSE),0%)</f>
        <v>0</v>
      </c>
      <c r="AOK10" s="5">
        <f>IFERROR(VLOOKUP(AOK$1,'Renta Mixta Moderado'!$B$35:$C$62,2,FALSE),0%)</f>
        <v>0</v>
      </c>
      <c r="AOL10" s="5">
        <f>IFERROR(VLOOKUP(AOL$1,'Renta Mixta Moderado'!$B$35:$C$62,2,FALSE),0%)</f>
        <v>0</v>
      </c>
      <c r="AOM10" s="5">
        <f>IFERROR(VLOOKUP(AOM$1,'Renta Mixta Moderado'!$B$35:$C$62,2,FALSE),0%)</f>
        <v>0</v>
      </c>
      <c r="AON10" s="5">
        <f>IFERROR(VLOOKUP(AON$1,'Renta Mixta Moderado'!$B$35:$C$62,2,FALSE),0%)</f>
        <v>0</v>
      </c>
      <c r="AOO10" s="5">
        <f>IFERROR(VLOOKUP(AOO$1,'Renta Mixta Moderado'!$B$35:$C$62,2,FALSE),0%)</f>
        <v>0</v>
      </c>
      <c r="AOP10" s="5">
        <f>IFERROR(VLOOKUP(AOP$1,'Renta Mixta Moderado'!$B$35:$C$62,2,FALSE),0%)</f>
        <v>0</v>
      </c>
      <c r="AOQ10" s="5">
        <f>IFERROR(VLOOKUP(AOQ$1,'Renta Mixta Moderado'!$B$35:$C$62,2,FALSE),0%)</f>
        <v>0</v>
      </c>
      <c r="AOR10" s="5">
        <f>IFERROR(VLOOKUP(AOR$1,'Renta Mixta Moderado'!$B$35:$C$62,2,FALSE),0%)</f>
        <v>0</v>
      </c>
      <c r="AOS10" s="5">
        <f>IFERROR(VLOOKUP(AOS$1,'Renta Mixta Moderado'!$B$35:$C$62,2,FALSE),0%)</f>
        <v>0</v>
      </c>
      <c r="AOT10" s="5">
        <f>IFERROR(VLOOKUP(AOT$1,'Renta Mixta Moderado'!$B$35:$C$62,2,FALSE),0%)</f>
        <v>0</v>
      </c>
      <c r="AOU10" s="5">
        <f>IFERROR(VLOOKUP(AOU$1,'Renta Mixta Moderado'!$B$35:$C$62,2,FALSE),0%)</f>
        <v>0</v>
      </c>
      <c r="AOV10" s="5">
        <f>IFERROR(VLOOKUP(AOV$1,'Renta Mixta Moderado'!$B$35:$C$62,2,FALSE),0%)</f>
        <v>0</v>
      </c>
      <c r="AOW10" s="5">
        <f>IFERROR(VLOOKUP(AOW$1,'Renta Mixta Moderado'!$B$35:$C$62,2,FALSE),0%)</f>
        <v>0</v>
      </c>
      <c r="AOX10" s="5">
        <f>IFERROR(VLOOKUP(AOX$1,'Renta Mixta Moderado'!$B$35:$C$62,2,FALSE),0%)</f>
        <v>0</v>
      </c>
      <c r="AOY10" s="5">
        <f>IFERROR(VLOOKUP(AOY$1,'Renta Mixta Moderado'!$B$35:$C$62,2,FALSE),0%)</f>
        <v>0</v>
      </c>
      <c r="AOZ10" s="5">
        <f>IFERROR(VLOOKUP(AOZ$1,'Renta Mixta Moderado'!$B$35:$C$62,2,FALSE),0%)</f>
        <v>0</v>
      </c>
      <c r="APA10" s="5">
        <f>IFERROR(VLOOKUP(APA$1,'Renta Mixta Moderado'!$B$35:$C$62,2,FALSE),0%)</f>
        <v>0</v>
      </c>
      <c r="APB10" s="5">
        <f>IFERROR(VLOOKUP(APB$1,'Renta Mixta Moderado'!$B$35:$C$62,2,FALSE),0%)</f>
        <v>0</v>
      </c>
      <c r="APC10" s="5">
        <f>IFERROR(VLOOKUP(APC$1,'Renta Mixta Moderado'!$B$35:$C$62,2,FALSE),0%)</f>
        <v>0</v>
      </c>
      <c r="APD10" s="5">
        <f>IFERROR(VLOOKUP(APD$1,'Renta Mixta Moderado'!$B$35:$C$62,2,FALSE),0%)</f>
        <v>0</v>
      </c>
      <c r="APE10" s="5">
        <f>IFERROR(VLOOKUP(APE$1,'Renta Mixta Moderado'!$B$35:$C$62,2,FALSE),0%)</f>
        <v>0</v>
      </c>
      <c r="APF10" s="5">
        <f>IFERROR(VLOOKUP(APF$1,'Renta Mixta Moderado'!$B$35:$C$62,2,FALSE),0%)</f>
        <v>0</v>
      </c>
      <c r="APG10" s="5">
        <f>IFERROR(VLOOKUP(APG$1,'Renta Mixta Moderado'!$B$35:$C$62,2,FALSE),0%)</f>
        <v>0</v>
      </c>
      <c r="APH10" s="5">
        <f>IFERROR(VLOOKUP(APH$1,'Renta Mixta Moderado'!$B$35:$C$62,2,FALSE),0%)</f>
        <v>0</v>
      </c>
      <c r="API10" s="5">
        <f>IFERROR(VLOOKUP(API$1,'Renta Mixta Moderado'!$B$35:$C$62,2,FALSE),0%)</f>
        <v>0</v>
      </c>
      <c r="APJ10" s="5">
        <f>IFERROR(VLOOKUP(APJ$1,'Renta Mixta Moderado'!$B$35:$C$62,2,FALSE),0%)</f>
        <v>0</v>
      </c>
      <c r="APK10" s="5">
        <f>IFERROR(VLOOKUP(APK$1,'Renta Mixta Moderado'!$B$35:$C$62,2,FALSE),0%)</f>
        <v>0</v>
      </c>
      <c r="APL10" s="5">
        <f>IFERROR(VLOOKUP(APL$1,'Renta Mixta Moderado'!$B$35:$C$62,2,FALSE),0%)</f>
        <v>0</v>
      </c>
      <c r="APM10" s="5">
        <f>IFERROR(VLOOKUP(APM$1,'Renta Mixta Moderado'!$B$35:$C$62,2,FALSE),0%)</f>
        <v>0</v>
      </c>
      <c r="APN10" s="5">
        <f>IFERROR(VLOOKUP(APN$1,'Renta Mixta Moderado'!$B$35:$C$62,2,FALSE),0%)</f>
        <v>0</v>
      </c>
      <c r="APO10" s="5">
        <f>IFERROR(VLOOKUP(APO$1,'Renta Mixta Moderado'!$B$35:$C$62,2,FALSE),0%)</f>
        <v>0</v>
      </c>
      <c r="APP10" s="5">
        <f>IFERROR(VLOOKUP(APP$1,'Renta Mixta Moderado'!$B$35:$C$62,2,FALSE),0%)</f>
        <v>0</v>
      </c>
      <c r="APQ10" s="5">
        <f>IFERROR(VLOOKUP(APQ$1,'Renta Mixta Moderado'!$B$35:$C$62,2,FALSE),0%)</f>
        <v>0</v>
      </c>
      <c r="APR10" s="5">
        <f>IFERROR(VLOOKUP(APR$1,'Renta Mixta Moderado'!$B$35:$C$62,2,FALSE),0%)</f>
        <v>0</v>
      </c>
      <c r="APS10" s="5">
        <f>IFERROR(VLOOKUP(APS$1,'Renta Mixta Moderado'!$B$35:$C$62,2,FALSE),0%)</f>
        <v>0</v>
      </c>
      <c r="APT10" s="5">
        <f>IFERROR(VLOOKUP(APT$1,'Renta Mixta Moderado'!$B$35:$C$62,2,FALSE),0%)</f>
        <v>0</v>
      </c>
      <c r="APU10" s="5">
        <f>IFERROR(VLOOKUP(APU$1,'Renta Mixta Moderado'!$B$35:$C$62,2,FALSE),0%)</f>
        <v>0</v>
      </c>
      <c r="APV10" s="5">
        <f>IFERROR(VLOOKUP(APV$1,'Renta Mixta Moderado'!$B$35:$C$62,2,FALSE),0%)</f>
        <v>0</v>
      </c>
      <c r="APW10" s="5">
        <f>IFERROR(VLOOKUP(APW$1,'Renta Mixta Moderado'!$B$35:$C$62,2,FALSE),0%)</f>
        <v>0</v>
      </c>
      <c r="APX10" s="5">
        <f>IFERROR(VLOOKUP(APX$1,'Renta Mixta Moderado'!$B$35:$C$62,2,FALSE),0%)</f>
        <v>0</v>
      </c>
      <c r="APY10" s="5">
        <f>IFERROR(VLOOKUP(APY$1,'Renta Mixta Moderado'!$B$35:$C$62,2,FALSE),0%)</f>
        <v>0</v>
      </c>
      <c r="APZ10" s="5">
        <f>IFERROR(VLOOKUP(APZ$1,'Renta Mixta Moderado'!$B$35:$C$62,2,FALSE),0%)</f>
        <v>0</v>
      </c>
      <c r="AQA10" s="5">
        <f>IFERROR(VLOOKUP(AQA$1,'Renta Mixta Moderado'!$B$35:$C$62,2,FALSE),0%)</f>
        <v>0</v>
      </c>
      <c r="AQB10" s="5">
        <f>IFERROR(VLOOKUP(AQB$1,'Renta Mixta Moderado'!$B$35:$C$62,2,FALSE),0%)</f>
        <v>0</v>
      </c>
      <c r="AQC10" s="5">
        <f>IFERROR(VLOOKUP(AQC$1,'Renta Mixta Moderado'!$B$35:$C$62,2,FALSE),0%)</f>
        <v>0</v>
      </c>
      <c r="AQD10" s="5">
        <f>IFERROR(VLOOKUP(AQD$1,'Renta Mixta Moderado'!$B$35:$C$62,2,FALSE),0%)</f>
        <v>0</v>
      </c>
      <c r="AQE10" s="5">
        <f>IFERROR(VLOOKUP(AQE$1,'Renta Mixta Moderado'!$B$35:$C$62,2,FALSE),0%)</f>
        <v>0</v>
      </c>
      <c r="AQF10" s="5">
        <f>IFERROR(VLOOKUP(AQF$1,'Renta Mixta Moderado'!$B$35:$C$62,2,FALSE),0%)</f>
        <v>0</v>
      </c>
      <c r="AQG10" s="5">
        <f>IFERROR(VLOOKUP(AQG$1,'Renta Mixta Moderado'!$B$35:$C$62,2,FALSE),0%)</f>
        <v>0</v>
      </c>
      <c r="AQH10" s="5">
        <f>IFERROR(VLOOKUP(AQH$1,'Renta Mixta Moderado'!$B$35:$C$62,2,FALSE),0%)</f>
        <v>0</v>
      </c>
      <c r="AQI10" s="5">
        <f>IFERROR(VLOOKUP(AQI$1,'Renta Mixta Moderado'!$B$35:$C$62,2,FALSE),0%)</f>
        <v>0</v>
      </c>
      <c r="AQJ10" s="5">
        <f>IFERROR(VLOOKUP(AQJ$1,'Renta Mixta Moderado'!$B$35:$C$62,2,FALSE),0%)</f>
        <v>0</v>
      </c>
      <c r="AQK10" s="5">
        <f>IFERROR(VLOOKUP(AQK$1,'Renta Mixta Moderado'!$B$35:$C$62,2,FALSE),0%)</f>
        <v>0</v>
      </c>
      <c r="AQL10" s="5">
        <f>IFERROR(VLOOKUP(AQL$1,'Renta Mixta Moderado'!$B$35:$C$62,2,FALSE),0%)</f>
        <v>0</v>
      </c>
      <c r="AQM10" s="5">
        <f>IFERROR(VLOOKUP(AQM$1,'Renta Mixta Moderado'!$B$35:$C$62,2,FALSE),0%)</f>
        <v>0</v>
      </c>
      <c r="AQN10" s="5">
        <f>IFERROR(VLOOKUP(AQN$1,'Renta Mixta Moderado'!$B$35:$C$62,2,FALSE),0%)</f>
        <v>0</v>
      </c>
      <c r="AQO10" s="5">
        <f>IFERROR(VLOOKUP(AQO$1,'Renta Mixta Moderado'!$B$35:$C$62,2,FALSE),0%)</f>
        <v>0</v>
      </c>
      <c r="AQP10" s="5">
        <f>IFERROR(VLOOKUP(AQP$1,'Renta Mixta Moderado'!$B$35:$C$62,2,FALSE),0%)</f>
        <v>0</v>
      </c>
      <c r="AQQ10" s="5">
        <f>IFERROR(VLOOKUP(AQQ$1,'Renta Mixta Moderado'!$B$35:$C$62,2,FALSE),0%)</f>
        <v>0</v>
      </c>
      <c r="AQR10" s="5">
        <f>IFERROR(VLOOKUP(AQR$1,'Renta Mixta Moderado'!$B$35:$C$62,2,FALSE),0%)</f>
        <v>0</v>
      </c>
      <c r="AQS10" s="5">
        <f>IFERROR(VLOOKUP(AQS$1,'Renta Mixta Moderado'!$B$35:$C$62,2,FALSE),0%)</f>
        <v>0</v>
      </c>
      <c r="AQT10" s="5">
        <f>IFERROR(VLOOKUP(AQT$1,'Renta Mixta Moderado'!$B$35:$C$62,2,FALSE),0%)</f>
        <v>0</v>
      </c>
      <c r="AQU10" s="5">
        <f>IFERROR(VLOOKUP(AQU$1,'Renta Mixta Moderado'!$B$35:$C$62,2,FALSE),0%)</f>
        <v>0.01157881708</v>
      </c>
      <c r="AQV10" s="5">
        <f>IFERROR(VLOOKUP(AQV$1,'Renta Mixta Moderado'!$B$35:$C$62,2,FALSE),0%)</f>
        <v>0</v>
      </c>
      <c r="AQW10" s="5">
        <f>IFERROR(VLOOKUP(AQW$1,'Renta Mixta Moderado'!$B$35:$C$62,2,FALSE),0%)</f>
        <v>0</v>
      </c>
      <c r="AQX10" s="5">
        <f>IFERROR(VLOOKUP(AQX$1,'Renta Mixta Moderado'!$B$35:$C$62,2,FALSE),0%)</f>
        <v>0</v>
      </c>
      <c r="AQY10" s="5">
        <f>IFERROR(VLOOKUP(AQY$1,'Renta Mixta Moderado'!$B$35:$C$62,2,FALSE),0%)</f>
        <v>0</v>
      </c>
      <c r="AQZ10" s="5">
        <f>IFERROR(VLOOKUP(AQZ$1,'Renta Mixta Moderado'!$B$35:$C$62,2,FALSE),0%)</f>
        <v>0</v>
      </c>
      <c r="ARA10" s="5">
        <f>IFERROR(VLOOKUP(ARA$1,'Renta Mixta Moderado'!$B$35:$C$62,2,FALSE),0%)</f>
        <v>0</v>
      </c>
      <c r="ARB10" s="5">
        <f>IFERROR(VLOOKUP(ARB$1,'Renta Mixta Moderado'!$B$35:$C$62,2,FALSE),0%)</f>
        <v>0</v>
      </c>
      <c r="ARC10" s="5">
        <f>IFERROR(VLOOKUP(ARC$1,'Renta Mixta Moderado'!$B$35:$C$62,2,FALSE),0%)</f>
        <v>0</v>
      </c>
      <c r="ARD10" s="5">
        <f>IFERROR(VLOOKUP(ARD$1,'Renta Mixta Moderado'!$B$35:$C$62,2,FALSE),0%)</f>
        <v>0</v>
      </c>
      <c r="ARE10" s="5">
        <f>IFERROR(VLOOKUP(ARE$1,'Renta Mixta Moderado'!$B$35:$C$62,2,FALSE),0%)</f>
        <v>0</v>
      </c>
      <c r="ARF10" s="5">
        <f>IFERROR(VLOOKUP(ARF$1,'Renta Mixta Moderado'!$B$35:$C$62,2,FALSE),0%)</f>
        <v>0</v>
      </c>
      <c r="ARG10" s="5">
        <f>IFERROR(VLOOKUP(ARG$1,'Renta Mixta Moderado'!$B$35:$C$62,2,FALSE),0%)</f>
        <v>0</v>
      </c>
      <c r="ARH10" s="5">
        <f>IFERROR(VLOOKUP(ARH$1,'Renta Mixta Moderado'!$B$35:$C$62,2,FALSE),0%)</f>
        <v>0</v>
      </c>
      <c r="ARI10" s="5">
        <f>IFERROR(VLOOKUP(ARI$1,'Renta Mixta Moderado'!$B$35:$C$62,2,FALSE),0%)</f>
        <v>0</v>
      </c>
      <c r="ARJ10" s="5">
        <f>IFERROR(VLOOKUP(ARJ$1,'Renta Mixta Moderado'!$B$35:$C$62,2,FALSE),0%)</f>
        <v>0</v>
      </c>
      <c r="ARK10" s="5">
        <f>IFERROR(VLOOKUP(ARK$1,'Renta Mixta Moderado'!$B$35:$C$62,2,FALSE),0%)</f>
        <v>0</v>
      </c>
      <c r="ARL10" s="5">
        <f>IFERROR(VLOOKUP(ARL$1,'Renta Mixta Moderado'!$B$35:$C$62,2,FALSE),0%)</f>
        <v>0</v>
      </c>
      <c r="ARM10" s="5">
        <f>IFERROR(VLOOKUP(ARM$1,'Renta Mixta Moderado'!$B$35:$C$62,2,FALSE),0%)</f>
        <v>0</v>
      </c>
      <c r="ARN10" s="5">
        <f>IFERROR(VLOOKUP(ARN$1,'Renta Mixta Moderado'!$B$35:$C$62,2,FALSE),0%)</f>
        <v>0</v>
      </c>
      <c r="ARO10" s="5">
        <f>IFERROR(VLOOKUP(ARO$1,'Renta Mixta Moderado'!$B$35:$C$62,2,FALSE),0%)</f>
        <v>0</v>
      </c>
      <c r="ARP10" s="5">
        <f>IFERROR(VLOOKUP(ARP$1,'Renta Mixta Moderado'!$B$35:$C$62,2,FALSE),0%)</f>
        <v>0</v>
      </c>
      <c r="ARQ10" s="5">
        <f>IFERROR(VLOOKUP(ARQ$1,'Renta Mixta Moderado'!$B$35:$C$62,2,FALSE),0%)</f>
        <v>0</v>
      </c>
      <c r="ARR10" s="5">
        <f>IFERROR(VLOOKUP(ARR$1,'Renta Mixta Moderado'!$B$35:$C$62,2,FALSE),0%)</f>
        <v>0</v>
      </c>
      <c r="ARS10" s="5">
        <f>IFERROR(VLOOKUP(ARS$1,'Renta Mixta Moderado'!$B$35:$C$62,2,FALSE),0%)</f>
        <v>0</v>
      </c>
      <c r="ART10" s="5">
        <f>IFERROR(VLOOKUP(ART$1,'Renta Mixta Moderado'!$B$35:$C$62,2,FALSE),0%)</f>
        <v>0</v>
      </c>
      <c r="ARU10" s="5">
        <f>IFERROR(VLOOKUP(ARU$1,'Renta Mixta Moderado'!$B$35:$C$62,2,FALSE),0%)</f>
        <v>0</v>
      </c>
      <c r="ARV10" s="5">
        <f>IFERROR(VLOOKUP(ARV$1,'Renta Mixta Moderado'!$B$35:$C$62,2,FALSE),0%)</f>
        <v>0</v>
      </c>
      <c r="ARW10" s="5">
        <f>IFERROR(VLOOKUP(ARW$1,'Renta Mixta Moderado'!$B$35:$C$62,2,FALSE),0%)</f>
        <v>0</v>
      </c>
      <c r="ARX10" s="5">
        <f>IFERROR(VLOOKUP(ARX$1,'Renta Mixta Moderado'!$B$35:$C$62,2,FALSE),0%)</f>
        <v>0</v>
      </c>
      <c r="ARY10" s="5">
        <f>IFERROR(VLOOKUP(ARY$1,'Renta Mixta Moderado'!$B$35:$C$62,2,FALSE),0%)</f>
        <v>0</v>
      </c>
      <c r="ARZ10" s="5">
        <f>IFERROR(VLOOKUP(ARZ$1,'Renta Mixta Moderado'!$B$35:$C$62,2,FALSE),0%)</f>
        <v>0</v>
      </c>
      <c r="ASA10" s="5">
        <f>IFERROR(VLOOKUP(ASA$1,'Renta Mixta Moderado'!$B$35:$C$62,2,FALSE),0%)</f>
        <v>0</v>
      </c>
      <c r="ASB10" s="5">
        <f>IFERROR(VLOOKUP(ASB$1,'Renta Mixta Moderado'!$B$35:$C$62,2,FALSE),0%)</f>
        <v>0</v>
      </c>
      <c r="ASC10" s="5">
        <f>IFERROR(VLOOKUP(ASC$1,'Renta Mixta Moderado'!$B$35:$C$62,2,FALSE),0%)</f>
        <v>0</v>
      </c>
      <c r="ASD10" s="5">
        <f>IFERROR(VLOOKUP(ASD$1,'Renta Mixta Moderado'!$B$35:$C$62,2,FALSE),0%)</f>
        <v>0</v>
      </c>
      <c r="ASE10" s="5">
        <f>IFERROR(VLOOKUP(ASE$1,'Renta Mixta Moderado'!$B$35:$C$62,2,FALSE),0%)</f>
        <v>0</v>
      </c>
      <c r="ASF10" s="5">
        <f>IFERROR(VLOOKUP(ASF$1,'Renta Mixta Moderado'!$B$35:$C$62,2,FALSE),0%)</f>
        <v>0</v>
      </c>
      <c r="ASG10" s="5">
        <f>IFERROR(VLOOKUP(ASG$1,'Renta Mixta Moderado'!$B$35:$C$62,2,FALSE),0%)</f>
        <v>0</v>
      </c>
      <c r="ASH10" s="5">
        <f>IFERROR(VLOOKUP(ASH$1,'Renta Mixta Moderado'!$B$35:$C$62,2,FALSE),0%)</f>
        <v>0</v>
      </c>
      <c r="ASI10" s="5">
        <f>IFERROR(VLOOKUP(ASI$1,'Renta Mixta Moderado'!$B$35:$C$62,2,FALSE),0%)</f>
        <v>0</v>
      </c>
      <c r="ASJ10" s="5">
        <f>IFERROR(VLOOKUP(ASJ$1,'Renta Mixta Moderado'!$B$35:$C$62,2,FALSE),0%)</f>
        <v>0</v>
      </c>
      <c r="ASK10" s="5">
        <f>IFERROR(VLOOKUP(ASK$1,'Renta Mixta Moderado'!$B$35:$C$62,2,FALSE),0%)</f>
        <v>0</v>
      </c>
      <c r="ASL10" s="5">
        <f>IFERROR(VLOOKUP(ASL$1,'Renta Mixta Moderado'!$B$35:$C$62,2,FALSE),0%)</f>
        <v>0</v>
      </c>
      <c r="ASM10" s="5">
        <f>IFERROR(VLOOKUP(ASM$1,'Renta Mixta Moderado'!$B$35:$C$62,2,FALSE),0%)</f>
        <v>0</v>
      </c>
      <c r="ASN10" s="5">
        <f>IFERROR(VLOOKUP(ASN$1,'Renta Mixta Moderado'!$B$35:$C$62,2,FALSE),0%)</f>
        <v>0</v>
      </c>
      <c r="ASO10" s="5">
        <f>IFERROR(VLOOKUP(ASO$1,'Renta Mixta Moderado'!$B$35:$C$62,2,FALSE),0%)</f>
        <v>0</v>
      </c>
      <c r="ASP10" s="5">
        <f>IFERROR(VLOOKUP(ASP$1,'Renta Mixta Moderado'!$B$35:$C$62,2,FALSE),0%)</f>
        <v>0</v>
      </c>
      <c r="ASQ10" s="5">
        <f>IFERROR(VLOOKUP(ASQ$1,'Renta Mixta Moderado'!$B$35:$C$62,2,FALSE),0%)</f>
        <v>0</v>
      </c>
      <c r="ASR10" s="5">
        <f>IFERROR(VLOOKUP(ASR$1,'Renta Mixta Moderado'!$B$35:$C$62,2,FALSE),0%)</f>
        <v>0</v>
      </c>
      <c r="ASS10" s="5">
        <f>IFERROR(VLOOKUP(ASS$1,'Renta Mixta Moderado'!$B$35:$C$62,2,FALSE),0%)</f>
        <v>0</v>
      </c>
      <c r="AST10" s="5">
        <f>IFERROR(VLOOKUP(AST$1,'Renta Mixta Moderado'!$B$35:$C$62,2,FALSE),0%)</f>
        <v>0</v>
      </c>
      <c r="ASU10" s="5">
        <f>IFERROR(VLOOKUP(ASU$1,'Renta Mixta Moderado'!$B$35:$C$62,2,FALSE),0%)</f>
        <v>0</v>
      </c>
      <c r="ASV10" s="5">
        <f>IFERROR(VLOOKUP(ASV$1,'Renta Mixta Moderado'!$B$35:$C$62,2,FALSE),0%)</f>
        <v>0</v>
      </c>
      <c r="ASW10" s="5">
        <f>IFERROR(VLOOKUP(ASW$1,'Renta Mixta Moderado'!$B$35:$C$62,2,FALSE),0%)</f>
        <v>0</v>
      </c>
      <c r="ASX10" s="5">
        <f>IFERROR(VLOOKUP(ASX$1,'Renta Mixta Moderado'!$B$35:$C$62,2,FALSE),0%)</f>
        <v>0</v>
      </c>
      <c r="ASY10" s="5">
        <f>IFERROR(VLOOKUP(ASY$1,'Renta Mixta Moderado'!$B$35:$C$62,2,FALSE),0%)</f>
        <v>0</v>
      </c>
      <c r="ASZ10" s="5">
        <f>IFERROR(VLOOKUP(ASZ$1,'Renta Mixta Moderado'!$B$35:$C$62,2,FALSE),0%)</f>
        <v>0</v>
      </c>
      <c r="ATA10" s="5">
        <f>IFERROR(VLOOKUP(ATA$1,'Renta Mixta Moderado'!$B$35:$C$62,2,FALSE),0%)</f>
        <v>0</v>
      </c>
      <c r="ATB10" s="5">
        <f>IFERROR(VLOOKUP(ATB$1,'Renta Mixta Moderado'!$B$35:$C$62,2,FALSE),0%)</f>
        <v>0</v>
      </c>
      <c r="ATC10" s="5">
        <f>IFERROR(VLOOKUP(ATC$1,'Renta Mixta Moderado'!$B$35:$C$62,2,FALSE),0%)</f>
        <v>0</v>
      </c>
      <c r="ATD10" s="5">
        <f>IFERROR(VLOOKUP(ATD$1,'Renta Mixta Moderado'!$B$35:$C$62,2,FALSE),0%)</f>
        <v>0</v>
      </c>
      <c r="ATE10" s="5">
        <f>IFERROR(VLOOKUP(ATE$1,'Renta Mixta Moderado'!$B$35:$C$62,2,FALSE),0%)</f>
        <v>0</v>
      </c>
      <c r="ATF10" s="5">
        <f>IFERROR(VLOOKUP(ATF$1,'Renta Mixta Moderado'!$B$35:$C$62,2,FALSE),0%)</f>
        <v>0</v>
      </c>
      <c r="ATG10" s="5">
        <f>IFERROR(VLOOKUP(ATG$1,'Renta Mixta Moderado'!$B$35:$C$62,2,FALSE),0%)</f>
        <v>0</v>
      </c>
      <c r="ATH10" s="5">
        <f>IFERROR(VLOOKUP(ATH$1,'Renta Mixta Moderado'!$B$35:$C$62,2,FALSE),0%)</f>
        <v>0</v>
      </c>
      <c r="ATI10" s="5">
        <f>IFERROR(VLOOKUP(ATI$1,'Renta Mixta Moderado'!$B$35:$C$62,2,FALSE),0%)</f>
        <v>0</v>
      </c>
      <c r="ATJ10" s="5">
        <f>IFERROR(VLOOKUP(ATJ$1,'Renta Mixta Moderado'!$B$35:$C$62,2,FALSE),0%)</f>
        <v>0</v>
      </c>
      <c r="ATK10" s="5">
        <f>IFERROR(VLOOKUP(ATK$1,'Renta Mixta Moderado'!$B$35:$C$62,2,FALSE),0%)</f>
        <v>0</v>
      </c>
      <c r="ATL10" s="5">
        <f>IFERROR(VLOOKUP(ATL$1,'Renta Mixta Moderado'!$B$35:$C$62,2,FALSE),0%)</f>
        <v>0</v>
      </c>
      <c r="ATM10" s="5">
        <f>IFERROR(VLOOKUP(ATM$1,'Renta Mixta Moderado'!$B$35:$C$62,2,FALSE),0%)</f>
        <v>0</v>
      </c>
      <c r="ATN10" s="5">
        <f>IFERROR(VLOOKUP(ATN$1,'Renta Mixta Moderado'!$B$35:$C$62,2,FALSE),0%)</f>
        <v>0</v>
      </c>
      <c r="ATO10" s="5">
        <f>IFERROR(VLOOKUP(ATO$1,'Renta Mixta Moderado'!$B$35:$C$62,2,FALSE),0%)</f>
        <v>0</v>
      </c>
      <c r="ATP10" s="5">
        <f>IFERROR(VLOOKUP(ATP$1,'Renta Mixta Moderado'!$B$35:$C$62,2,FALSE),0%)</f>
        <v>0</v>
      </c>
      <c r="ATQ10" s="5">
        <f>IFERROR(VLOOKUP(ATQ$1,'Renta Mixta Moderado'!$B$35:$C$62,2,FALSE),0%)</f>
        <v>0</v>
      </c>
      <c r="ATR10" s="5">
        <f>IFERROR(VLOOKUP(ATR$1,'Renta Mixta Moderado'!$B$35:$C$62,2,FALSE),0%)</f>
        <v>0</v>
      </c>
      <c r="ATS10" s="5">
        <f>IFERROR(VLOOKUP(ATS$1,'Renta Mixta Moderado'!$B$35:$C$62,2,FALSE),0%)</f>
        <v>0</v>
      </c>
      <c r="ATT10" s="5">
        <f>IFERROR(VLOOKUP(ATT$1,'Renta Mixta Moderado'!$B$35:$C$62,2,FALSE),0%)</f>
        <v>0</v>
      </c>
      <c r="ATU10" s="5">
        <f>IFERROR(VLOOKUP(ATU$1,'Renta Mixta Moderado'!$B$35:$C$62,2,FALSE),0%)</f>
        <v>0</v>
      </c>
      <c r="ATV10" s="5">
        <f>IFERROR(VLOOKUP(ATV$1,'Renta Mixta Moderado'!$B$35:$C$62,2,FALSE),0%)</f>
        <v>0</v>
      </c>
      <c r="ATW10" s="5">
        <f>IFERROR(VLOOKUP(ATW$1,'Renta Mixta Moderado'!$B$35:$C$62,2,FALSE),0%)</f>
        <v>0</v>
      </c>
      <c r="ATX10" s="5">
        <f>IFERROR(VLOOKUP(ATX$1,'Renta Mixta Moderado'!$B$35:$C$62,2,FALSE),0%)</f>
        <v>0</v>
      </c>
      <c r="ATY10" s="5">
        <f>IFERROR(VLOOKUP(ATY$1,'Renta Mixta Moderado'!$B$35:$C$62,2,FALSE),0%)</f>
        <v>0</v>
      </c>
      <c r="ATZ10" s="5">
        <f>IFERROR(VLOOKUP(ATZ$1,'Renta Mixta Moderado'!$B$35:$C$62,2,FALSE),0%)</f>
        <v>0</v>
      </c>
      <c r="AUA10" s="5">
        <f>IFERROR(VLOOKUP(AUA$1,'Renta Mixta Moderado'!$B$35:$C$62,2,FALSE),0%)</f>
        <v>0</v>
      </c>
      <c r="AUB10" s="5">
        <f>IFERROR(VLOOKUP(AUB$1,'Renta Mixta Moderado'!$B$35:$C$62,2,FALSE),0%)</f>
        <v>0</v>
      </c>
      <c r="AUC10" s="5">
        <f>IFERROR(VLOOKUP(AUC$1,'Renta Mixta Moderado'!$B$35:$C$62,2,FALSE),0%)</f>
        <v>0</v>
      </c>
      <c r="AUD10" s="5">
        <f>IFERROR(VLOOKUP(AUD$1,'Renta Mixta Moderado'!$B$35:$C$62,2,FALSE),0%)</f>
        <v>0</v>
      </c>
      <c r="AUE10" s="5">
        <f>IFERROR(VLOOKUP(AUE$1,'Renta Mixta Moderado'!$B$35:$C$62,2,FALSE),0%)</f>
        <v>0</v>
      </c>
      <c r="AUF10" s="5">
        <f>IFERROR(VLOOKUP(AUF$1,'Renta Mixta Moderado'!$B$35:$C$62,2,FALSE),0%)</f>
        <v>0</v>
      </c>
      <c r="AUG10" s="5">
        <f>IFERROR(VLOOKUP(AUG$1,'Renta Mixta Moderado'!$B$35:$C$62,2,FALSE),0%)</f>
        <v>0</v>
      </c>
      <c r="AUH10" s="5">
        <f>IFERROR(VLOOKUP(AUH$1,'Renta Mixta Moderado'!$B$35:$C$62,2,FALSE),0%)</f>
        <v>0</v>
      </c>
      <c r="AUI10" s="5">
        <f>IFERROR(VLOOKUP(AUI$1,'Renta Mixta Moderado'!$B$35:$C$62,2,FALSE),0%)</f>
        <v>0</v>
      </c>
      <c r="AUJ10" s="5">
        <f>IFERROR(VLOOKUP(AUJ$1,'Renta Mixta Moderado'!$B$35:$C$62,2,FALSE),0%)</f>
        <v>0</v>
      </c>
      <c r="AUK10" s="5">
        <f>IFERROR(VLOOKUP(AUK$1,'Renta Mixta Moderado'!$B$35:$C$62,2,FALSE),0%)</f>
        <v>0</v>
      </c>
      <c r="AUL10" s="5">
        <f>IFERROR(VLOOKUP(AUL$1,'Renta Mixta Moderado'!$B$35:$C$62,2,FALSE),0%)</f>
        <v>0</v>
      </c>
      <c r="AUM10" s="5">
        <f>IFERROR(VLOOKUP(AUM$1,'Renta Mixta Moderado'!$B$35:$C$62,2,FALSE),0%)</f>
        <v>0</v>
      </c>
      <c r="AUN10" s="5">
        <f>IFERROR(VLOOKUP(AUN$1,'Renta Mixta Moderado'!$B$35:$C$62,2,FALSE),0%)</f>
        <v>0</v>
      </c>
      <c r="AUO10" s="5">
        <f>IFERROR(VLOOKUP(AUO$1,'Renta Mixta Moderado'!$B$35:$C$62,2,FALSE),0%)</f>
        <v>0</v>
      </c>
      <c r="AUP10" s="5">
        <f>IFERROR(VLOOKUP(AUP$1,'Renta Mixta Moderado'!$B$35:$C$62,2,FALSE),0%)</f>
        <v>0</v>
      </c>
      <c r="AUQ10" s="5">
        <f>IFERROR(VLOOKUP(AUQ$1,'Renta Mixta Moderado'!$B$35:$C$62,2,FALSE),0%)</f>
        <v>0</v>
      </c>
      <c r="AUR10" s="5">
        <f>IFERROR(VLOOKUP(AUR$1,'Renta Mixta Moderado'!$B$35:$C$62,2,FALSE),0%)</f>
        <v>0</v>
      </c>
      <c r="AUS10" s="5">
        <f>IFERROR(VLOOKUP(AUS$1,'Renta Mixta Moderado'!$B$35:$C$62,2,FALSE),0%)</f>
        <v>0</v>
      </c>
      <c r="AUT10" s="5">
        <f>IFERROR(VLOOKUP(AUT$1,'Renta Mixta Moderado'!$B$35:$C$62,2,FALSE),0%)</f>
        <v>0</v>
      </c>
      <c r="AUU10" s="5">
        <f>IFERROR(VLOOKUP(AUU$1,'Renta Mixta Moderado'!$B$35:$C$62,2,FALSE),0%)</f>
        <v>0</v>
      </c>
      <c r="AUV10" s="5">
        <f>IFERROR(VLOOKUP(AUV$1,'Renta Mixta Moderado'!$B$35:$C$62,2,FALSE),0%)</f>
        <v>0</v>
      </c>
      <c r="AUW10" s="5">
        <f>IFERROR(VLOOKUP(AUW$1,'Renta Mixta Moderado'!$B$35:$C$62,2,FALSE),0%)</f>
        <v>0</v>
      </c>
      <c r="AUX10" s="5">
        <f>IFERROR(VLOOKUP(AUX$1,'Renta Mixta Moderado'!$B$35:$C$62,2,FALSE),0%)</f>
        <v>0</v>
      </c>
      <c r="AUY10" s="5">
        <f>IFERROR(VLOOKUP(AUY$1,'Renta Mixta Moderado'!$B$35:$C$62,2,FALSE),0%)</f>
        <v>0</v>
      </c>
      <c r="AUZ10" s="5">
        <f>IFERROR(VLOOKUP(AUZ$1,'Renta Mixta Moderado'!$B$35:$C$62,2,FALSE),0%)</f>
        <v>0</v>
      </c>
      <c r="AVA10" s="5">
        <f>IFERROR(VLOOKUP(AVA$1,'Renta Mixta Moderado'!$B$35:$C$62,2,FALSE),0%)</f>
        <v>0</v>
      </c>
      <c r="AVB10" s="5">
        <f>IFERROR(VLOOKUP(AVB$1,'Renta Mixta Moderado'!$B$35:$C$62,2,FALSE),0%)</f>
        <v>0</v>
      </c>
      <c r="AVC10" s="5">
        <f>IFERROR(VLOOKUP(AVC$1,'Renta Mixta Moderado'!$B$35:$C$62,2,FALSE),0%)</f>
        <v>0</v>
      </c>
      <c r="AVD10" s="5">
        <f>IFERROR(VLOOKUP(AVD$1,'Renta Mixta Moderado'!$B$35:$C$62,2,FALSE),0%)</f>
        <v>0</v>
      </c>
      <c r="AVE10" s="5">
        <f>IFERROR(VLOOKUP(AVE$1,'Renta Mixta Moderado'!$B$35:$C$62,2,FALSE),0%)</f>
        <v>0</v>
      </c>
      <c r="AVF10" s="5">
        <f>IFERROR(VLOOKUP(AVF$1,'Renta Mixta Moderado'!$B$35:$C$62,2,FALSE),0%)</f>
        <v>0</v>
      </c>
      <c r="AVG10" s="5">
        <f>IFERROR(VLOOKUP(AVG$1,'Renta Mixta Moderado'!$B$35:$C$62,2,FALSE),0%)</f>
        <v>0</v>
      </c>
      <c r="AVH10" s="5">
        <f>IFERROR(VLOOKUP(AVH$1,'Renta Mixta Moderado'!$B$35:$C$62,2,FALSE),0%)</f>
        <v>0</v>
      </c>
      <c r="AVI10" s="5">
        <f>IFERROR(VLOOKUP(AVI$1,'Renta Mixta Moderado'!$B$35:$C$62,2,FALSE),0%)</f>
        <v>0</v>
      </c>
      <c r="AVJ10" s="5">
        <f>IFERROR(VLOOKUP(AVJ$1,'Renta Mixta Moderado'!$B$35:$C$62,2,FALSE),0%)</f>
        <v>0</v>
      </c>
      <c r="AVK10" s="5">
        <f>IFERROR(VLOOKUP(AVK$1,'Renta Mixta Moderado'!$B$35:$C$62,2,FALSE),0%)</f>
        <v>0</v>
      </c>
      <c r="AVL10" s="5">
        <f>IFERROR(VLOOKUP(AVL$1,'Renta Mixta Moderado'!$B$35:$C$62,2,FALSE),0%)</f>
        <v>0</v>
      </c>
      <c r="AVM10" s="5">
        <f>IFERROR(VLOOKUP(AVM$1,'Renta Mixta Moderado'!$B$35:$C$62,2,FALSE),0%)</f>
        <v>0</v>
      </c>
      <c r="AVN10" s="5">
        <f>IFERROR(VLOOKUP(AVN$1,'Renta Mixta Moderado'!$B$35:$C$62,2,FALSE),0%)</f>
        <v>0</v>
      </c>
      <c r="AVO10" s="5">
        <f>IFERROR(VLOOKUP(AVO$1,'Renta Mixta Moderado'!$B$35:$C$62,2,FALSE),0%)</f>
        <v>0</v>
      </c>
      <c r="AVP10" s="5">
        <f>IFERROR(VLOOKUP(AVP$1,'Renta Mixta Moderado'!$B$35:$C$62,2,FALSE),0%)</f>
        <v>0</v>
      </c>
      <c r="AVQ10" s="5">
        <f>IFERROR(VLOOKUP(AVQ$1,'Renta Mixta Moderado'!$B$35:$C$62,2,FALSE),0%)</f>
        <v>0</v>
      </c>
      <c r="AVR10" s="5">
        <f>IFERROR(VLOOKUP(AVR$1,'Renta Mixta Moderado'!$B$35:$C$62,2,FALSE),0%)</f>
        <v>0</v>
      </c>
      <c r="AVS10" s="5">
        <f>IFERROR(VLOOKUP(AVS$1,'Renta Mixta Moderado'!$B$35:$C$62,2,FALSE),0%)</f>
        <v>0</v>
      </c>
      <c r="AVT10" s="5">
        <f>IFERROR(VLOOKUP(AVT$1,'Renta Mixta Moderado'!$B$35:$C$62,2,FALSE),0%)</f>
        <v>0</v>
      </c>
      <c r="AVU10" s="5">
        <f>IFERROR(VLOOKUP(AVU$1,'Renta Mixta Moderado'!$B$35:$C$62,2,FALSE),0%)</f>
        <v>0</v>
      </c>
      <c r="AVV10" s="5">
        <f>IFERROR(VLOOKUP(AVV$1,'Renta Mixta Moderado'!$B$35:$C$62,2,FALSE),0%)</f>
        <v>0</v>
      </c>
      <c r="AVW10" s="5">
        <f>IFERROR(VLOOKUP(AVW$1,'Renta Mixta Moderado'!$B$35:$C$62,2,FALSE),0%)</f>
        <v>0</v>
      </c>
      <c r="AVX10" s="5">
        <f>IFERROR(VLOOKUP(AVX$1,'Renta Mixta Moderado'!$B$35:$C$62,2,FALSE),0%)</f>
        <v>0</v>
      </c>
      <c r="AVY10" s="5">
        <f>IFERROR(VLOOKUP(AVY$1,'Renta Mixta Moderado'!$B$35:$C$62,2,FALSE),0%)</f>
        <v>0</v>
      </c>
      <c r="AVZ10" s="5">
        <f>IFERROR(VLOOKUP(AVZ$1,'Renta Mixta Moderado'!$B$35:$C$62,2,FALSE),0%)</f>
        <v>0</v>
      </c>
      <c r="AWA10" s="5">
        <f>IFERROR(VLOOKUP(AWA$1,'Renta Mixta Moderado'!$B$35:$C$62,2,FALSE),0%)</f>
        <v>0</v>
      </c>
      <c r="AWB10" s="5">
        <f>IFERROR(VLOOKUP(AWB$1,'Renta Mixta Moderado'!$B$35:$C$62,2,FALSE),0%)</f>
        <v>0</v>
      </c>
      <c r="AWC10" s="5">
        <f>IFERROR(VLOOKUP(AWC$1,'Renta Mixta Moderado'!$B$35:$C$62,2,FALSE),0%)</f>
        <v>0</v>
      </c>
      <c r="AWD10" s="5">
        <f>IFERROR(VLOOKUP(AWD$1,'Renta Mixta Moderado'!$B$35:$C$62,2,FALSE),0%)</f>
        <v>0</v>
      </c>
      <c r="AWE10" s="5">
        <f>IFERROR(VLOOKUP(AWE$1,'Renta Mixta Moderado'!$B$35:$C$62,2,FALSE),0%)</f>
        <v>0</v>
      </c>
      <c r="AWF10" s="5">
        <f>IFERROR(VLOOKUP(AWF$1,'Renta Mixta Moderado'!$B$35:$C$62,2,FALSE),0%)</f>
        <v>0</v>
      </c>
      <c r="AWG10" s="5">
        <f>IFERROR(VLOOKUP(AWG$1,'Renta Mixta Moderado'!$B$35:$C$62,2,FALSE),0%)</f>
        <v>0</v>
      </c>
      <c r="AWH10" s="5">
        <f>IFERROR(VLOOKUP(AWH$1,'Renta Mixta Moderado'!$B$35:$C$62,2,FALSE),0%)</f>
        <v>0</v>
      </c>
      <c r="AWI10" s="5">
        <f>IFERROR(VLOOKUP(AWI$1,'Renta Mixta Moderado'!$B$35:$C$62,2,FALSE),0%)</f>
        <v>0</v>
      </c>
      <c r="AWJ10" s="5">
        <f>IFERROR(VLOOKUP(AWJ$1,'Renta Mixta Moderado'!$B$35:$C$62,2,FALSE),0%)</f>
        <v>0</v>
      </c>
      <c r="AWK10" s="5">
        <f>IFERROR(VLOOKUP(AWK$1,'Renta Mixta Moderado'!$B$35:$C$62,2,FALSE),0%)</f>
        <v>0</v>
      </c>
      <c r="AWL10" s="5">
        <f>IFERROR(VLOOKUP(AWL$1,'Renta Mixta Moderado'!$B$35:$C$62,2,FALSE),0%)</f>
        <v>0</v>
      </c>
      <c r="AWM10" s="5">
        <f>IFERROR(VLOOKUP(AWM$1,'Renta Mixta Moderado'!$B$35:$C$62,2,FALSE),0%)</f>
        <v>0</v>
      </c>
      <c r="AWN10" s="5">
        <f>IFERROR(VLOOKUP(AWN$1,'Renta Mixta Moderado'!$B$35:$C$62,2,FALSE),0%)</f>
        <v>0</v>
      </c>
      <c r="AWO10" s="5">
        <f>IFERROR(VLOOKUP(AWO$1,'Renta Mixta Moderado'!$B$35:$C$62,2,FALSE),0%)</f>
        <v>0</v>
      </c>
      <c r="AWP10" s="5">
        <f>IFERROR(VLOOKUP(AWP$1,'Renta Mixta Moderado'!$B$35:$C$62,2,FALSE),0%)</f>
        <v>0</v>
      </c>
      <c r="AWQ10" s="5">
        <f>IFERROR(VLOOKUP(AWQ$1,'Renta Mixta Moderado'!$B$35:$C$62,2,FALSE),0%)</f>
        <v>0</v>
      </c>
      <c r="AWR10" s="5">
        <f>IFERROR(VLOOKUP(AWR$1,'Renta Mixta Moderado'!$B$35:$C$62,2,FALSE),0%)</f>
        <v>0</v>
      </c>
      <c r="AWS10" s="5">
        <f>IFERROR(VLOOKUP(AWS$1,'Renta Mixta Moderado'!$B$35:$C$62,2,FALSE),0%)</f>
        <v>0</v>
      </c>
      <c r="AWT10" s="5">
        <f>IFERROR(VLOOKUP(AWT$1,'Renta Mixta Moderado'!$B$35:$C$62,2,FALSE),0%)</f>
        <v>0</v>
      </c>
      <c r="AWU10" s="5">
        <f>IFERROR(VLOOKUP(AWU$1,'Renta Mixta Moderado'!$B$35:$C$62,2,FALSE),0%)</f>
        <v>0</v>
      </c>
      <c r="AWV10" s="5">
        <f>IFERROR(VLOOKUP(AWV$1,'Renta Mixta Moderado'!$B$35:$C$62,2,FALSE),0%)</f>
        <v>0</v>
      </c>
      <c r="AWW10" s="5">
        <f>IFERROR(VLOOKUP(AWW$1,'Renta Mixta Moderado'!$B$35:$C$62,2,FALSE),0%)</f>
        <v>0</v>
      </c>
      <c r="AWX10" s="5">
        <f>IFERROR(VLOOKUP(AWX$1,'Renta Mixta Moderado'!$B$35:$C$62,2,FALSE),0%)</f>
        <v>0</v>
      </c>
      <c r="AWY10" s="5">
        <f>IFERROR(VLOOKUP(AWY$1,'Renta Mixta Moderado'!$B$35:$C$62,2,FALSE),0%)</f>
        <v>0</v>
      </c>
      <c r="AWZ10" s="5">
        <f>IFERROR(VLOOKUP(AWZ$1,'Renta Mixta Moderado'!$B$35:$C$62,2,FALSE),0%)</f>
        <v>0</v>
      </c>
      <c r="AXA10" s="5">
        <f>IFERROR(VLOOKUP(AXA$1,'Renta Mixta Moderado'!$B$35:$C$62,2,FALSE),0%)</f>
        <v>0</v>
      </c>
      <c r="AXB10" s="5">
        <f>IFERROR(VLOOKUP(AXB$1,'Renta Mixta Moderado'!$B$35:$C$62,2,FALSE),0%)</f>
        <v>0</v>
      </c>
      <c r="AXC10" s="5">
        <f>IFERROR(VLOOKUP(AXC$1,'Renta Mixta Moderado'!$B$35:$C$62,2,FALSE),0%)</f>
        <v>0</v>
      </c>
      <c r="AXD10" s="5">
        <f>IFERROR(VLOOKUP(AXD$1,'Renta Mixta Moderado'!$B$35:$C$62,2,FALSE),0%)</f>
        <v>0</v>
      </c>
      <c r="AXE10" s="5">
        <f>IFERROR(VLOOKUP(AXE$1,'Renta Mixta Moderado'!$B$35:$C$62,2,FALSE),0%)</f>
        <v>0</v>
      </c>
      <c r="AXF10" s="5">
        <f>IFERROR(VLOOKUP(AXF$1,'Renta Mixta Moderado'!$B$35:$C$62,2,FALSE),0%)</f>
        <v>0</v>
      </c>
      <c r="AXG10" s="5">
        <f>IFERROR(VLOOKUP(AXG$1,'Renta Mixta Moderado'!$B$35:$C$62,2,FALSE),0%)</f>
        <v>0</v>
      </c>
      <c r="AXH10" s="5">
        <f>IFERROR(VLOOKUP(AXH$1,'Renta Mixta Moderado'!$B$35:$C$62,2,FALSE),0%)</f>
        <v>0</v>
      </c>
      <c r="AXI10" s="5">
        <f>IFERROR(VLOOKUP(AXI$1,'Renta Mixta Moderado'!$B$35:$C$62,2,FALSE),0%)</f>
        <v>0</v>
      </c>
      <c r="AXJ10" s="5">
        <f>IFERROR(VLOOKUP(AXJ$1,'Renta Mixta Moderado'!$B$35:$C$62,2,FALSE),0%)</f>
        <v>0</v>
      </c>
      <c r="AXK10" s="5">
        <f>IFERROR(VLOOKUP(AXK$1,'Renta Mixta Moderado'!$B$35:$C$62,2,FALSE),0%)</f>
        <v>0</v>
      </c>
      <c r="AXL10" s="5">
        <f>IFERROR(VLOOKUP(AXL$1,'Renta Mixta Moderado'!$B$35:$C$62,2,FALSE),0%)</f>
        <v>0</v>
      </c>
      <c r="AXM10" s="5">
        <f>IFERROR(VLOOKUP(AXM$1,'Renta Mixta Moderado'!$B$35:$C$62,2,FALSE),0%)</f>
        <v>0</v>
      </c>
      <c r="AXN10" s="5">
        <f>IFERROR(VLOOKUP(AXN$1,'Renta Mixta Moderado'!$B$35:$C$62,2,FALSE),0%)</f>
        <v>0</v>
      </c>
      <c r="AXO10" s="5">
        <f>IFERROR(VLOOKUP(AXO$1,'Renta Mixta Moderado'!$B$35:$C$62,2,FALSE),0%)</f>
        <v>0</v>
      </c>
      <c r="AXP10" s="5">
        <f>IFERROR(VLOOKUP(AXP$1,'Renta Mixta Moderado'!$B$35:$C$62,2,FALSE),0%)</f>
        <v>0</v>
      </c>
      <c r="AXQ10" s="5">
        <f>IFERROR(VLOOKUP(AXQ$1,'Renta Mixta Moderado'!$B$35:$C$62,2,FALSE),0%)</f>
        <v>0</v>
      </c>
      <c r="AXR10" s="5">
        <f>IFERROR(VLOOKUP(AXR$1,'Renta Mixta Moderado'!$B$35:$C$62,2,FALSE),0%)</f>
        <v>0</v>
      </c>
      <c r="AXS10" s="5">
        <f>IFERROR(VLOOKUP(AXS$1,'Renta Mixta Moderado'!$B$35:$C$62,2,FALSE),0%)</f>
        <v>0</v>
      </c>
      <c r="AXT10" s="5">
        <f>IFERROR(VLOOKUP(AXT$1,'Renta Mixta Moderado'!$B$35:$C$62,2,FALSE),0%)</f>
        <v>0</v>
      </c>
      <c r="AXU10" s="5">
        <f>IFERROR(VLOOKUP(AXU$1,'Renta Mixta Moderado'!$B$35:$C$62,2,FALSE),0%)</f>
        <v>0</v>
      </c>
      <c r="AXV10" s="5">
        <f>IFERROR(VLOOKUP(AXV$1,'Renta Mixta Moderado'!$B$35:$C$62,2,FALSE),0%)</f>
        <v>0</v>
      </c>
      <c r="AXW10" s="5">
        <f>IFERROR(VLOOKUP(AXW$1,'Renta Mixta Moderado'!$B$35:$C$62,2,FALSE),0%)</f>
        <v>0</v>
      </c>
      <c r="AXX10" s="5">
        <f>IFERROR(VLOOKUP(AXX$1,'Renta Mixta Moderado'!$B$35:$C$62,2,FALSE),0%)</f>
        <v>0</v>
      </c>
      <c r="AXY10" s="5">
        <f>IFERROR(VLOOKUP(AXY$1,'Renta Mixta Moderado'!$B$35:$C$62,2,FALSE),0%)</f>
        <v>0</v>
      </c>
      <c r="AXZ10" s="5">
        <f>IFERROR(VLOOKUP(AXZ$1,'Renta Mixta Moderado'!$B$35:$C$62,2,FALSE),0%)</f>
        <v>0</v>
      </c>
      <c r="AYA10" s="5">
        <f>IFERROR(VLOOKUP(AYA$1,'Renta Mixta Moderado'!$B$35:$C$62,2,FALSE),0%)</f>
        <v>0</v>
      </c>
      <c r="AYB10" s="5">
        <f>IFERROR(VLOOKUP(AYB$1,'Renta Mixta Moderado'!$B$35:$C$62,2,FALSE),0%)</f>
        <v>0</v>
      </c>
      <c r="AYC10" s="5">
        <f>IFERROR(VLOOKUP(AYC$1,'Renta Mixta Moderado'!$B$35:$C$62,2,FALSE),0%)</f>
        <v>0</v>
      </c>
      <c r="AYD10" s="5">
        <f>IFERROR(VLOOKUP(AYD$1,'Renta Mixta Moderado'!$B$35:$C$62,2,FALSE),0%)</f>
        <v>0</v>
      </c>
      <c r="AYE10" s="5">
        <f>IFERROR(VLOOKUP(AYE$1,'Renta Mixta Moderado'!$B$35:$C$62,2,FALSE),0%)</f>
        <v>0</v>
      </c>
      <c r="AYF10" s="5">
        <f>IFERROR(VLOOKUP(AYF$1,'Renta Mixta Moderado'!$B$35:$C$62,2,FALSE),0%)</f>
        <v>0</v>
      </c>
      <c r="AYG10" s="5">
        <f>IFERROR(VLOOKUP(AYG$1,'Renta Mixta Moderado'!$B$35:$C$62,2,FALSE),0%)</f>
        <v>0</v>
      </c>
      <c r="AYH10" s="5">
        <f>IFERROR(VLOOKUP(AYH$1,'Renta Mixta Moderado'!$B$35:$C$62,2,FALSE),0%)</f>
        <v>0</v>
      </c>
      <c r="AYI10" s="5">
        <f>IFERROR(VLOOKUP(AYI$1,'Renta Mixta Moderado'!$B$35:$C$62,2,FALSE),0%)</f>
        <v>0</v>
      </c>
      <c r="AYJ10" s="5">
        <f>IFERROR(VLOOKUP(AYJ$1,'Renta Mixta Moderado'!$B$35:$C$62,2,FALSE),0%)</f>
        <v>0</v>
      </c>
      <c r="AYK10" s="5">
        <f>IFERROR(VLOOKUP(AYK$1,'Renta Mixta Moderado'!$B$35:$C$62,2,FALSE),0%)</f>
        <v>0</v>
      </c>
      <c r="AYL10" s="5">
        <f>IFERROR(VLOOKUP(AYL$1,'Renta Mixta Moderado'!$B$35:$C$62,2,FALSE),0%)</f>
        <v>0</v>
      </c>
      <c r="AYM10" s="5">
        <f>IFERROR(VLOOKUP(AYM$1,'Renta Mixta Moderado'!$B$35:$C$62,2,FALSE),0%)</f>
        <v>0</v>
      </c>
      <c r="AYN10" s="5">
        <f>IFERROR(VLOOKUP(AYN$1,'Renta Mixta Moderado'!$B$35:$C$62,2,FALSE),0%)</f>
        <v>0</v>
      </c>
      <c r="AYO10" s="5">
        <f>IFERROR(VLOOKUP(AYO$1,'Renta Mixta Moderado'!$B$35:$C$62,2,FALSE),0%)</f>
        <v>0</v>
      </c>
      <c r="AYP10" s="5">
        <f>IFERROR(VLOOKUP(AYP$1,'Renta Mixta Moderado'!$B$35:$C$62,2,FALSE),0%)</f>
        <v>0</v>
      </c>
      <c r="AYQ10" s="5">
        <f>IFERROR(VLOOKUP(AYQ$1,'Renta Mixta Moderado'!$B$35:$C$62,2,FALSE),0%)</f>
        <v>0</v>
      </c>
      <c r="AYR10" s="5">
        <f>IFERROR(VLOOKUP(AYR$1,'Renta Mixta Moderado'!$B$35:$C$62,2,FALSE),0%)</f>
        <v>0</v>
      </c>
      <c r="AYS10" s="5">
        <f>IFERROR(VLOOKUP(AYS$1,'Renta Mixta Moderado'!$B$35:$C$62,2,FALSE),0%)</f>
        <v>0</v>
      </c>
      <c r="AYT10" s="5">
        <f>IFERROR(VLOOKUP(AYT$1,'Renta Mixta Moderado'!$B$35:$C$62,2,FALSE),0%)</f>
        <v>0</v>
      </c>
      <c r="AYU10" s="5">
        <f>IFERROR(VLOOKUP(AYU$1,'Renta Mixta Moderado'!$B$35:$C$62,2,FALSE),0%)</f>
        <v>0</v>
      </c>
      <c r="AYV10" s="5">
        <f>IFERROR(VLOOKUP(AYV$1,'Renta Mixta Moderado'!$B$35:$C$62,2,FALSE),0%)</f>
        <v>0</v>
      </c>
      <c r="AYW10" s="5">
        <f>IFERROR(VLOOKUP(AYW$1,'Renta Mixta Moderado'!$B$35:$C$62,2,FALSE),0%)</f>
        <v>0</v>
      </c>
      <c r="AYX10" s="5">
        <f>IFERROR(VLOOKUP(AYX$1,'Renta Mixta Moderado'!$B$35:$C$62,2,FALSE),0%)</f>
        <v>0</v>
      </c>
      <c r="AYY10" s="5">
        <f>IFERROR(VLOOKUP(AYY$1,'Renta Mixta Moderado'!$B$35:$C$62,2,FALSE),0%)</f>
        <v>0</v>
      </c>
      <c r="AYZ10" s="5">
        <f>IFERROR(VLOOKUP(AYZ$1,'Renta Mixta Moderado'!$B$35:$C$62,2,FALSE),0%)</f>
        <v>0</v>
      </c>
      <c r="AZA10" s="5">
        <f>IFERROR(VLOOKUP(AZA$1,'Renta Mixta Moderado'!$B$35:$C$62,2,FALSE),0%)</f>
        <v>0</v>
      </c>
      <c r="AZB10" s="5">
        <f>IFERROR(VLOOKUP(AZB$1,'Renta Mixta Moderado'!$B$35:$C$62,2,FALSE),0%)</f>
        <v>0</v>
      </c>
      <c r="AZC10" s="5">
        <f>IFERROR(VLOOKUP(AZC$1,'Renta Mixta Moderado'!$B$35:$C$62,2,FALSE),0%)</f>
        <v>0</v>
      </c>
      <c r="AZD10" s="5">
        <f>IFERROR(VLOOKUP(AZD$1,'Renta Mixta Moderado'!$B$35:$C$62,2,FALSE),0%)</f>
        <v>0</v>
      </c>
      <c r="AZE10" s="5">
        <f>IFERROR(VLOOKUP(AZE$1,'Renta Mixta Moderado'!$B$35:$C$62,2,FALSE),0%)</f>
        <v>0</v>
      </c>
      <c r="AZF10" s="5">
        <f>IFERROR(VLOOKUP(AZF$1,'Renta Mixta Moderado'!$B$35:$C$62,2,FALSE),0%)</f>
        <v>0</v>
      </c>
      <c r="AZG10" s="5">
        <f>IFERROR(VLOOKUP(AZG$1,'Renta Mixta Moderado'!$B$35:$C$62,2,FALSE),0%)</f>
        <v>0</v>
      </c>
      <c r="AZH10" s="5">
        <f>IFERROR(VLOOKUP(AZH$1,'Renta Mixta Moderado'!$B$35:$C$62,2,FALSE),0%)</f>
        <v>0</v>
      </c>
      <c r="AZI10" s="5">
        <f>IFERROR(VLOOKUP(AZI$1,'Renta Mixta Moderado'!$B$35:$C$62,2,FALSE),0%)</f>
        <v>0</v>
      </c>
      <c r="AZJ10" s="5">
        <f>IFERROR(VLOOKUP(AZJ$1,'Renta Mixta Moderado'!$B$35:$C$62,2,FALSE),0%)</f>
        <v>0</v>
      </c>
      <c r="AZK10" s="5">
        <f>IFERROR(VLOOKUP(AZK$1,'Renta Mixta Moderado'!$B$35:$C$62,2,FALSE),0%)</f>
        <v>0</v>
      </c>
      <c r="AZL10" s="5">
        <f>IFERROR(VLOOKUP(AZL$1,'Renta Mixta Moderado'!$B$35:$C$62,2,FALSE),0%)</f>
        <v>0</v>
      </c>
      <c r="AZM10" s="5">
        <f>IFERROR(VLOOKUP(AZM$1,'Renta Mixta Moderado'!$B$35:$C$62,2,FALSE),0%)</f>
        <v>0</v>
      </c>
      <c r="AZN10" s="5">
        <f>IFERROR(VLOOKUP(AZN$1,'Renta Mixta Moderado'!$B$35:$C$62,2,FALSE),0%)</f>
        <v>0</v>
      </c>
      <c r="AZO10" s="5">
        <f>IFERROR(VLOOKUP(AZO$1,'Renta Mixta Moderado'!$B$35:$C$62,2,FALSE),0%)</f>
        <v>0</v>
      </c>
      <c r="AZP10" s="5">
        <f>IFERROR(VLOOKUP(AZP$1,'Renta Mixta Moderado'!$B$35:$C$62,2,FALSE),0%)</f>
        <v>0</v>
      </c>
      <c r="AZQ10" s="5">
        <f>IFERROR(VLOOKUP(AZQ$1,'Renta Mixta Moderado'!$B$35:$C$62,2,FALSE),0%)</f>
        <v>0</v>
      </c>
      <c r="AZR10" s="5">
        <f>IFERROR(VLOOKUP(AZR$1,'Renta Mixta Moderado'!$B$35:$C$62,2,FALSE),0%)</f>
        <v>0</v>
      </c>
      <c r="AZS10" s="5">
        <f>IFERROR(VLOOKUP(AZS$1,'Renta Mixta Moderado'!$B$35:$C$62,2,FALSE),0%)</f>
        <v>0</v>
      </c>
      <c r="AZT10" s="5">
        <f>IFERROR(VLOOKUP(AZT$1,'Renta Mixta Moderado'!$B$35:$C$62,2,FALSE),0%)</f>
        <v>0</v>
      </c>
      <c r="AZU10" s="5">
        <f>IFERROR(VLOOKUP(AZU$1,'Renta Mixta Moderado'!$B$35:$C$62,2,FALSE),0%)</f>
        <v>0</v>
      </c>
      <c r="AZV10" s="5">
        <f>IFERROR(VLOOKUP(AZV$1,'Renta Mixta Moderado'!$B$35:$C$62,2,FALSE),0%)</f>
        <v>0</v>
      </c>
      <c r="AZW10" s="5">
        <f>IFERROR(VLOOKUP(AZW$1,'Renta Mixta Moderado'!$B$35:$C$62,2,FALSE),0%)</f>
        <v>0</v>
      </c>
      <c r="AZX10" s="5">
        <f>IFERROR(VLOOKUP(AZX$1,'Renta Mixta Moderado'!$B$35:$C$62,2,FALSE),0%)</f>
        <v>0</v>
      </c>
      <c r="AZY10" s="5">
        <f>IFERROR(VLOOKUP(AZY$1,'Renta Mixta Moderado'!$B$35:$C$62,2,FALSE),0%)</f>
        <v>0</v>
      </c>
      <c r="AZZ10" s="5">
        <f>IFERROR(VLOOKUP(AZZ$1,'Renta Mixta Moderado'!$B$35:$C$62,2,FALSE),0%)</f>
        <v>0.01287674236</v>
      </c>
      <c r="BAA10" s="5">
        <f>IFERROR(VLOOKUP(BAA$1,'Renta Mixta Moderado'!$B$35:$C$62,2,FALSE),0%)</f>
        <v>0</v>
      </c>
      <c r="BAB10" s="5">
        <f>IFERROR(VLOOKUP(BAB$1,'Renta Mixta Moderado'!$B$35:$C$62,2,FALSE),0%)</f>
        <v>0</v>
      </c>
      <c r="BAC10" s="5">
        <f>IFERROR(VLOOKUP(BAC$1,'Renta Mixta Moderado'!$B$35:$C$62,2,FALSE),0%)</f>
        <v>0</v>
      </c>
      <c r="BAD10" s="5">
        <f>IFERROR(VLOOKUP(BAD$1,'Renta Mixta Moderado'!$B$35:$C$62,2,FALSE),0%)</f>
        <v>0</v>
      </c>
      <c r="BAE10" s="5">
        <f>IFERROR(VLOOKUP(BAE$1,'Renta Mixta Moderado'!$B$35:$C$62,2,FALSE),0%)</f>
        <v>0</v>
      </c>
      <c r="BAF10" s="5">
        <f>IFERROR(VLOOKUP(BAF$1,'Renta Mixta Moderado'!$B$35:$C$62,2,FALSE),0%)</f>
        <v>0</v>
      </c>
      <c r="BAG10" s="5">
        <f>IFERROR(VLOOKUP(BAG$1,'Renta Mixta Moderado'!$B$35:$C$62,2,FALSE),0%)</f>
        <v>0</v>
      </c>
      <c r="BAH10" s="5">
        <f>IFERROR(VLOOKUP(BAH$1,'Renta Mixta Moderado'!$B$35:$C$62,2,FALSE),0%)</f>
        <v>0</v>
      </c>
      <c r="BAI10" s="5">
        <f>IFERROR(VLOOKUP(BAI$1,'Renta Mixta Moderado'!$B$35:$C$62,2,FALSE),0%)</f>
        <v>0</v>
      </c>
      <c r="BAJ10" s="5">
        <f>IFERROR(VLOOKUP(BAJ$1,'Renta Mixta Moderado'!$B$35:$C$62,2,FALSE),0%)</f>
        <v>0</v>
      </c>
      <c r="BAK10" s="5">
        <f>IFERROR(VLOOKUP(BAK$1,'Renta Mixta Moderado'!$B$35:$C$62,2,FALSE),0%)</f>
        <v>0</v>
      </c>
      <c r="BAL10" s="5">
        <f>IFERROR(VLOOKUP(BAL$1,'Renta Mixta Moderado'!$B$35:$C$62,2,FALSE),0%)</f>
        <v>0</v>
      </c>
      <c r="BAM10" s="5">
        <f>IFERROR(VLOOKUP(BAM$1,'Renta Mixta Moderado'!$B$35:$C$62,2,FALSE),0%)</f>
        <v>0</v>
      </c>
      <c r="BAN10" s="5">
        <f>IFERROR(VLOOKUP(BAN$1,'Renta Mixta Moderado'!$B$35:$C$62,2,FALSE),0%)</f>
        <v>0</v>
      </c>
      <c r="BAO10" s="5">
        <f>IFERROR(VLOOKUP(BAO$1,'Renta Mixta Moderado'!$B$35:$C$62,2,FALSE),0%)</f>
        <v>0</v>
      </c>
      <c r="BAP10" s="5">
        <f>IFERROR(VLOOKUP(BAP$1,'Renta Mixta Moderado'!$B$35:$C$62,2,FALSE),0%)</f>
        <v>0</v>
      </c>
      <c r="BAQ10" s="5">
        <f>IFERROR(VLOOKUP(BAQ$1,'Renta Mixta Moderado'!$B$35:$C$62,2,FALSE),0%)</f>
        <v>0</v>
      </c>
      <c r="BAR10" s="5">
        <f>IFERROR(VLOOKUP(BAR$1,'Renta Mixta Moderado'!$B$35:$C$62,2,FALSE),0%)</f>
        <v>0</v>
      </c>
      <c r="BAS10" s="5">
        <f>IFERROR(VLOOKUP(BAS$1,'Renta Mixta Moderado'!$B$35:$C$62,2,FALSE),0%)</f>
        <v>0</v>
      </c>
      <c r="BAT10" s="5">
        <f>IFERROR(VLOOKUP(BAT$1,'Renta Mixta Moderado'!$B$35:$C$62,2,FALSE),0%)</f>
        <v>0</v>
      </c>
      <c r="BAU10" s="5">
        <f>IFERROR(VLOOKUP(BAU$1,'Renta Mixta Moderado'!$B$35:$C$62,2,FALSE),0%)</f>
        <v>0</v>
      </c>
      <c r="BAV10" s="5">
        <f>IFERROR(VLOOKUP(BAV$1,'Renta Mixta Moderado'!$B$35:$C$62,2,FALSE),0%)</f>
        <v>0</v>
      </c>
      <c r="BAW10" s="5">
        <f>IFERROR(VLOOKUP(BAW$1,'Renta Mixta Moderado'!$B$35:$C$62,2,FALSE),0%)</f>
        <v>0</v>
      </c>
      <c r="BAX10" s="5">
        <f>IFERROR(VLOOKUP(BAX$1,'Renta Mixta Moderado'!$B$35:$C$62,2,FALSE),0%)</f>
        <v>0</v>
      </c>
      <c r="BAY10" s="5">
        <f>IFERROR(VLOOKUP(BAY$1,'Renta Mixta Moderado'!$B$35:$C$62,2,FALSE),0%)</f>
        <v>0</v>
      </c>
      <c r="BAZ10" s="5">
        <f>IFERROR(VLOOKUP(BAZ$1,'Renta Mixta Moderado'!$B$35:$C$62,2,FALSE),0%)</f>
        <v>0</v>
      </c>
      <c r="BBA10" s="5">
        <f>IFERROR(VLOOKUP(BBA$1,'Renta Mixta Moderado'!$B$35:$C$62,2,FALSE),0%)</f>
        <v>0</v>
      </c>
      <c r="BBB10" s="5">
        <f>IFERROR(VLOOKUP(BBB$1,'Renta Mixta Moderado'!$B$35:$C$62,2,FALSE),0%)</f>
        <v>0</v>
      </c>
      <c r="BBC10" s="5">
        <f>IFERROR(VLOOKUP(BBC$1,'Renta Mixta Moderado'!$B$35:$C$62,2,FALSE),0%)</f>
        <v>0</v>
      </c>
      <c r="BBD10" s="5">
        <f>IFERROR(VLOOKUP(BBD$1,'Renta Mixta Moderado'!$B$35:$C$62,2,FALSE),0%)</f>
        <v>0</v>
      </c>
      <c r="BBE10" s="5">
        <f>IFERROR(VLOOKUP(BBE$1,'Renta Mixta Moderado'!$B$35:$C$62,2,FALSE),0%)</f>
        <v>0</v>
      </c>
      <c r="BBF10" s="5">
        <f>IFERROR(VLOOKUP(BBF$1,'Renta Mixta Moderado'!$B$35:$C$62,2,FALSE),0%)</f>
        <v>0</v>
      </c>
      <c r="BBG10" s="5">
        <f>IFERROR(VLOOKUP(BBG$1,'Renta Mixta Moderado'!$B$35:$C$62,2,FALSE),0%)</f>
        <v>0</v>
      </c>
      <c r="BBH10" s="5">
        <f>IFERROR(VLOOKUP(BBH$1,'Renta Mixta Moderado'!$B$35:$C$62,2,FALSE),0%)</f>
        <v>0</v>
      </c>
      <c r="BBI10" s="5">
        <f>IFERROR(VLOOKUP(BBI$1,'Renta Mixta Moderado'!$B$35:$C$62,2,FALSE),0%)</f>
        <v>0</v>
      </c>
      <c r="BBJ10" s="5">
        <f>IFERROR(VLOOKUP(BBJ$1,'Renta Mixta Moderado'!$B$35:$C$62,2,FALSE),0%)</f>
        <v>0</v>
      </c>
      <c r="BBK10" s="5">
        <f>IFERROR(VLOOKUP(BBK$1,'Renta Mixta Moderado'!$B$35:$C$62,2,FALSE),0%)</f>
        <v>0</v>
      </c>
      <c r="BBL10" s="5">
        <f>IFERROR(VLOOKUP(BBL$1,'Renta Mixta Moderado'!$B$35:$C$62,2,FALSE),0%)</f>
        <v>0</v>
      </c>
      <c r="BBM10" s="5">
        <f>IFERROR(VLOOKUP(BBM$1,'Renta Mixta Moderado'!$B$35:$C$62,2,FALSE),0%)</f>
        <v>0</v>
      </c>
      <c r="BBN10" s="5">
        <f>IFERROR(VLOOKUP(BBN$1,'Renta Mixta Moderado'!$B$35:$C$62,2,FALSE),0%)</f>
        <v>0</v>
      </c>
      <c r="BBO10" s="5">
        <f>IFERROR(VLOOKUP(BBO$1,'Renta Mixta Moderado'!$B$35:$C$62,2,FALSE),0%)</f>
        <v>0</v>
      </c>
      <c r="BBP10" s="5">
        <f>IFERROR(VLOOKUP(BBP$1,'Renta Mixta Moderado'!$B$35:$C$62,2,FALSE),0%)</f>
        <v>0</v>
      </c>
      <c r="BBQ10" s="5">
        <f>IFERROR(VLOOKUP(BBQ$1,'Renta Mixta Moderado'!$B$35:$C$62,2,FALSE),0%)</f>
        <v>0</v>
      </c>
      <c r="BBR10" s="5">
        <f>IFERROR(VLOOKUP(BBR$1,'Renta Mixta Moderado'!$B$35:$C$62,2,FALSE),0%)</f>
        <v>0</v>
      </c>
      <c r="BBS10" s="5">
        <f>IFERROR(VLOOKUP(BBS$1,'Renta Mixta Moderado'!$B$35:$C$62,2,FALSE),0%)</f>
        <v>0</v>
      </c>
      <c r="BBT10" s="5">
        <f>IFERROR(VLOOKUP(BBT$1,'Renta Mixta Moderado'!$B$35:$C$62,2,FALSE),0%)</f>
        <v>0</v>
      </c>
      <c r="BBU10" s="5">
        <f>IFERROR(VLOOKUP(BBU$1,'Renta Mixta Moderado'!$B$35:$C$62,2,FALSE),0%)</f>
        <v>0</v>
      </c>
      <c r="BBV10" s="5">
        <f>IFERROR(VLOOKUP(BBV$1,'Renta Mixta Moderado'!$B$35:$C$62,2,FALSE),0%)</f>
        <v>0</v>
      </c>
      <c r="BBW10" s="5">
        <f>IFERROR(VLOOKUP(BBW$1,'Renta Mixta Moderado'!$B$35:$C$62,2,FALSE),0%)</f>
        <v>0</v>
      </c>
      <c r="BBX10" s="5">
        <f>IFERROR(VLOOKUP(BBX$1,'Renta Mixta Moderado'!$B$35:$C$62,2,FALSE),0%)</f>
        <v>0</v>
      </c>
      <c r="BBY10" s="5">
        <f>IFERROR(VLOOKUP(BBY$1,'Renta Mixta Moderado'!$B$35:$C$62,2,FALSE),0%)</f>
        <v>0</v>
      </c>
      <c r="BBZ10" s="5">
        <f>IFERROR(VLOOKUP(BBZ$1,'Renta Mixta Moderado'!$B$35:$C$62,2,FALSE),0%)</f>
        <v>0</v>
      </c>
      <c r="BCA10" s="5">
        <f>IFERROR(VLOOKUP(BCA$1,'Renta Mixta Moderado'!$B$35:$C$62,2,FALSE),0%)</f>
        <v>0</v>
      </c>
      <c r="BCB10" s="5">
        <f>IFERROR(VLOOKUP(BCB$1,'Renta Mixta Moderado'!$B$35:$C$62,2,FALSE),0%)</f>
        <v>0</v>
      </c>
      <c r="BCC10" s="5">
        <f>IFERROR(VLOOKUP(BCC$1,'Renta Mixta Moderado'!$B$35:$C$62,2,FALSE),0%)</f>
        <v>0</v>
      </c>
      <c r="BCD10" s="5">
        <f>IFERROR(VLOOKUP(BCD$1,'Renta Mixta Moderado'!$B$35:$C$62,2,FALSE),0%)</f>
        <v>0</v>
      </c>
      <c r="BCE10" s="5">
        <f>IFERROR(VLOOKUP(BCE$1,'Renta Mixta Moderado'!$B$35:$C$62,2,FALSE),0%)</f>
        <v>0</v>
      </c>
      <c r="BCF10" s="5">
        <f>IFERROR(VLOOKUP(BCF$1,'Renta Mixta Moderado'!$B$35:$C$62,2,FALSE),0%)</f>
        <v>0</v>
      </c>
      <c r="BCG10" s="5">
        <f>IFERROR(VLOOKUP(BCG$1,'Renta Mixta Moderado'!$B$35:$C$62,2,FALSE),0%)</f>
        <v>0</v>
      </c>
      <c r="BCH10" s="5">
        <f>IFERROR(VLOOKUP(BCH$1,'Renta Mixta Moderado'!$B$35:$C$62,2,FALSE),0%)</f>
        <v>0</v>
      </c>
      <c r="BCI10" s="5">
        <f>IFERROR(VLOOKUP(BCI$1,'Renta Mixta Moderado'!$B$35:$C$62,2,FALSE),0%)</f>
        <v>0</v>
      </c>
      <c r="BCJ10" s="5">
        <f>IFERROR(VLOOKUP(BCJ$1,'Renta Mixta Moderado'!$B$35:$C$62,2,FALSE),0%)</f>
        <v>0</v>
      </c>
      <c r="BCK10" s="5">
        <f>IFERROR(VLOOKUP(BCK$1,'Renta Mixta Moderado'!$B$35:$C$62,2,FALSE),0%)</f>
        <v>0</v>
      </c>
      <c r="BCL10" s="5">
        <f>IFERROR(VLOOKUP(BCL$1,'Renta Mixta Moderado'!$B$35:$C$62,2,FALSE),0%)</f>
        <v>0</v>
      </c>
      <c r="BCM10" s="5">
        <f>IFERROR(VLOOKUP(BCM$1,'Renta Mixta Moderado'!$B$35:$C$62,2,FALSE),0%)</f>
        <v>0.0655</v>
      </c>
      <c r="BCN10" s="5">
        <f>IFERROR(VLOOKUP(BCN$1,'Renta Mixta Moderado'!$B$35:$C$62,2,FALSE),0%)</f>
        <v>0</v>
      </c>
      <c r="BCO10" s="5">
        <f>IFERROR(VLOOKUP(BCO$1,'Renta Mixta Moderado'!$B$35:$C$62,2,FALSE),0%)</f>
        <v>0</v>
      </c>
      <c r="BCP10" s="5">
        <f>IFERROR(VLOOKUP(BCP$1,'Renta Mixta Moderado'!$B$35:$C$62,2,FALSE),0%)</f>
        <v>0</v>
      </c>
      <c r="BCQ10" s="5">
        <f>IFERROR(VLOOKUP(BCQ$1,'Renta Mixta Moderado'!$B$35:$C$62,2,FALSE),0%)</f>
        <v>0</v>
      </c>
      <c r="BCR10" s="5">
        <f>IFERROR(VLOOKUP(BCR$1,'Renta Mixta Moderado'!$B$35:$C$62,2,FALSE),0%)</f>
        <v>0</v>
      </c>
      <c r="BCS10" s="5">
        <f>IFERROR(VLOOKUP(BCS$1,'Renta Mixta Moderado'!$B$35:$C$62,2,FALSE),0%)</f>
        <v>0</v>
      </c>
      <c r="BCT10" s="5">
        <f>IFERROR(VLOOKUP(BCT$1,'Renta Mixta Moderado'!$B$35:$C$62,2,FALSE),0%)</f>
        <v>0</v>
      </c>
      <c r="BCU10" s="5">
        <f>IFERROR(VLOOKUP(BCU$1,'Renta Mixta Moderado'!$B$35:$C$62,2,FALSE),0%)</f>
        <v>0</v>
      </c>
      <c r="BCV10" s="5">
        <f>IFERROR(VLOOKUP(BCV$1,'Renta Mixta Moderado'!$B$35:$C$62,2,FALSE),0%)</f>
        <v>0</v>
      </c>
      <c r="BCW10" s="5">
        <f>IFERROR(VLOOKUP(BCW$1,'Renta Mixta Moderado'!$B$35:$C$62,2,FALSE),0%)</f>
        <v>0</v>
      </c>
      <c r="BCX10" s="5">
        <f>IFERROR(VLOOKUP(BCX$1,'Renta Mixta Moderado'!$B$35:$C$62,2,FALSE),0%)</f>
        <v>0</v>
      </c>
      <c r="BCY10" s="5">
        <f>IFERROR(VLOOKUP(BCY$1,'Renta Mixta Moderado'!$B$35:$C$62,2,FALSE),0%)</f>
        <v>0</v>
      </c>
      <c r="BCZ10" s="5">
        <f>IFERROR(VLOOKUP(BCZ$1,'Renta Mixta Moderado'!$B$35:$C$62,2,FALSE),0%)</f>
        <v>0</v>
      </c>
      <c r="BDA10" s="5">
        <f>IFERROR(VLOOKUP(BDA$1,'Renta Mixta Moderado'!$B$35:$C$62,2,FALSE),0%)</f>
        <v>0</v>
      </c>
      <c r="BDB10" s="5">
        <f>IFERROR(VLOOKUP(BDB$1,'Renta Mixta Moderado'!$B$35:$C$62,2,FALSE),0%)</f>
        <v>0</v>
      </c>
      <c r="BDC10" s="5">
        <f>IFERROR(VLOOKUP(BDC$1,'Renta Mixta Moderado'!$B$35:$C$62,2,FALSE),0%)</f>
        <v>0</v>
      </c>
      <c r="BDD10" s="5">
        <f>IFERROR(VLOOKUP(BDD$1,'Renta Mixta Moderado'!$B$35:$C$62,2,FALSE),0%)</f>
        <v>0</v>
      </c>
      <c r="BDE10" s="5">
        <f>IFERROR(VLOOKUP(BDE$1,'Renta Mixta Moderado'!$B$35:$C$62,2,FALSE),0%)</f>
        <v>0</v>
      </c>
      <c r="BDF10" s="5">
        <f>IFERROR(VLOOKUP(BDF$1,'Renta Mixta Moderado'!$B$35:$C$62,2,FALSE),0%)</f>
        <v>0</v>
      </c>
      <c r="BDG10" s="5">
        <f>IFERROR(VLOOKUP(BDG$1,'Renta Mixta Moderado'!$B$35:$C$62,2,FALSE),0%)</f>
        <v>0</v>
      </c>
      <c r="BDH10" s="5">
        <f>IFERROR(VLOOKUP(BDH$1,'Renta Mixta Moderado'!$B$35:$C$62,2,FALSE),0%)</f>
        <v>0</v>
      </c>
      <c r="BDI10" s="5">
        <f>IFERROR(VLOOKUP(BDI$1,'Renta Mixta Moderado'!$B$35:$C$62,2,FALSE),0%)</f>
        <v>0</v>
      </c>
      <c r="BDJ10" s="5">
        <f>IFERROR(VLOOKUP(BDJ$1,'Renta Mixta Moderado'!$B$35:$C$62,2,FALSE),0%)</f>
        <v>0</v>
      </c>
      <c r="BDK10" s="5">
        <f>IFERROR(VLOOKUP(BDK$1,'Renta Mixta Moderado'!$B$35:$C$62,2,FALSE),0%)</f>
        <v>0</v>
      </c>
      <c r="BDL10" s="5">
        <f>IFERROR(VLOOKUP(BDL$1,'Renta Mixta Moderado'!$B$35:$C$62,2,FALSE),0%)</f>
        <v>0</v>
      </c>
      <c r="BDM10" s="5">
        <f>IFERROR(VLOOKUP(BDM$1,'Renta Mixta Moderado'!$B$35:$C$62,2,FALSE),0%)</f>
        <v>0</v>
      </c>
      <c r="BDN10" s="5">
        <f>IFERROR(VLOOKUP(BDN$1,'Renta Mixta Moderado'!$B$35:$C$62,2,FALSE),0%)</f>
        <v>0</v>
      </c>
      <c r="BDO10" s="5">
        <f>IFERROR(VLOOKUP(BDO$1,'Renta Mixta Moderado'!$B$35:$C$62,2,FALSE),0%)</f>
        <v>0</v>
      </c>
      <c r="BDP10" s="5">
        <f>IFERROR(VLOOKUP(BDP$1,'Renta Mixta Moderado'!$B$35:$C$62,2,FALSE),0%)</f>
        <v>0</v>
      </c>
      <c r="BDQ10" s="5">
        <f>IFERROR(VLOOKUP(BDQ$1,'Renta Mixta Moderado'!$B$35:$C$62,2,FALSE),0%)</f>
        <v>0</v>
      </c>
      <c r="BDR10" s="5">
        <f>IFERROR(VLOOKUP(BDR$1,'Renta Mixta Moderado'!$B$35:$C$62,2,FALSE),0%)</f>
        <v>0</v>
      </c>
      <c r="BDS10" s="5">
        <f>IFERROR(VLOOKUP(BDS$1,'Renta Mixta Moderado'!$B$35:$C$62,2,FALSE),0%)</f>
        <v>0</v>
      </c>
      <c r="BDT10" s="5">
        <f>IFERROR(VLOOKUP(BDT$1,'Renta Mixta Moderado'!$B$35:$C$62,2,FALSE),0%)</f>
        <v>0</v>
      </c>
      <c r="BDU10" s="5">
        <f>IFERROR(VLOOKUP(BDU$1,'Renta Mixta Moderado'!$B$35:$C$62,2,FALSE),0%)</f>
        <v>0</v>
      </c>
      <c r="BDV10" s="5">
        <f>IFERROR(VLOOKUP(BDV$1,'Renta Mixta Moderado'!$B$35:$C$62,2,FALSE),0%)</f>
        <v>0</v>
      </c>
      <c r="BDW10" s="5">
        <f>IFERROR(VLOOKUP(BDW$1,'Renta Mixta Moderado'!$B$35:$C$62,2,FALSE),0%)</f>
        <v>0</v>
      </c>
      <c r="BDX10" s="5">
        <f>IFERROR(VLOOKUP(BDX$1,'Renta Mixta Moderado'!$B$35:$C$62,2,FALSE),0%)</f>
        <v>0</v>
      </c>
      <c r="BDY10" s="5">
        <f>IFERROR(VLOOKUP(BDY$1,'Renta Mixta Moderado'!$B$35:$C$62,2,FALSE),0%)</f>
        <v>0</v>
      </c>
      <c r="BDZ10" s="5">
        <f>IFERROR(VLOOKUP(BDZ$1,'Renta Mixta Moderado'!$B$35:$C$62,2,FALSE),0%)</f>
        <v>0</v>
      </c>
      <c r="BEA10" s="5">
        <f>IFERROR(VLOOKUP(BEA$1,'Renta Mixta Moderado'!$B$35:$C$62,2,FALSE),0%)</f>
        <v>0</v>
      </c>
      <c r="BEB10" s="5">
        <f>IFERROR(VLOOKUP(BEB$1,'Renta Mixta Moderado'!$B$35:$C$62,2,FALSE),0%)</f>
        <v>0</v>
      </c>
      <c r="BEC10" s="5">
        <f>IFERROR(VLOOKUP(BEC$1,'Renta Mixta Moderado'!$B$35:$C$62,2,FALSE),0%)</f>
        <v>0</v>
      </c>
      <c r="BED10" s="5">
        <f>IFERROR(VLOOKUP(BED$1,'Renta Mixta Moderado'!$B$35:$C$62,2,FALSE),0%)</f>
        <v>0</v>
      </c>
      <c r="BEE10" s="5">
        <f>IFERROR(VLOOKUP(BEE$1,'Renta Mixta Moderado'!$B$35:$C$62,2,FALSE),0%)</f>
        <v>0</v>
      </c>
      <c r="BEF10" s="5">
        <f>IFERROR(VLOOKUP(BEF$1,'Renta Mixta Moderado'!$B$35:$C$62,2,FALSE),0%)</f>
        <v>0</v>
      </c>
      <c r="BEG10" s="5">
        <f>IFERROR(VLOOKUP(BEG$1,'Renta Mixta Moderado'!$B$35:$C$62,2,FALSE),0%)</f>
        <v>0</v>
      </c>
      <c r="BEH10" s="5">
        <f>IFERROR(VLOOKUP(BEH$1,'Renta Mixta Moderado'!$B$35:$C$62,2,FALSE),0%)</f>
        <v>0</v>
      </c>
      <c r="BEI10" s="5">
        <f>IFERROR(VLOOKUP(BEI$1,'Renta Mixta Moderado'!$B$35:$C$62,2,FALSE),0%)</f>
        <v>0</v>
      </c>
      <c r="BEJ10" s="5">
        <f>IFERROR(VLOOKUP(BEJ$1,'Renta Mixta Moderado'!$B$35:$C$62,2,FALSE),0%)</f>
        <v>0</v>
      </c>
      <c r="BEK10" s="5">
        <f>IFERROR(VLOOKUP(BEK$1,'Renta Mixta Moderado'!$B$35:$C$62,2,FALSE),0%)</f>
        <v>0</v>
      </c>
      <c r="BEL10" s="5">
        <f>IFERROR(VLOOKUP(BEL$1,'Renta Mixta Moderado'!$B$35:$C$62,2,FALSE),0%)</f>
        <v>0</v>
      </c>
      <c r="BEM10" s="5">
        <f>IFERROR(VLOOKUP(BEM$1,'Renta Mixta Moderado'!$B$35:$C$62,2,FALSE),0%)</f>
        <v>0</v>
      </c>
      <c r="BEN10" s="5">
        <f>IFERROR(VLOOKUP(BEN$1,'Renta Mixta Moderado'!$B$35:$C$62,2,FALSE),0%)</f>
        <v>0</v>
      </c>
      <c r="BEO10" s="5">
        <f>IFERROR(VLOOKUP(BEO$1,'Renta Mixta Moderado'!$B$35:$C$62,2,FALSE),0%)</f>
        <v>0</v>
      </c>
      <c r="BEP10" s="5">
        <f>IFERROR(VLOOKUP(BEP$1,'Renta Mixta Moderado'!$B$35:$C$62,2,FALSE),0%)</f>
        <v>0</v>
      </c>
      <c r="BEQ10" s="5">
        <f>IFERROR(VLOOKUP(BEQ$1,'Renta Mixta Moderado'!$B$35:$C$62,2,FALSE),0%)</f>
        <v>0</v>
      </c>
      <c r="BER10" s="5">
        <f>IFERROR(VLOOKUP(BER$1,'Renta Mixta Moderado'!$B$35:$C$62,2,FALSE),0%)</f>
        <v>0</v>
      </c>
      <c r="BES10" s="5">
        <f>IFERROR(VLOOKUP(BES$1,'Renta Mixta Moderado'!$B$35:$C$62,2,FALSE),0%)</f>
        <v>0</v>
      </c>
      <c r="BET10" s="5">
        <f>IFERROR(VLOOKUP(BET$1,'Renta Mixta Moderado'!$B$35:$C$62,2,FALSE),0%)</f>
        <v>0</v>
      </c>
      <c r="BEU10" s="5">
        <f>IFERROR(VLOOKUP(BEU$1,'Renta Mixta Moderado'!$B$35:$C$62,2,FALSE),0%)</f>
        <v>0</v>
      </c>
      <c r="BEV10" s="5">
        <f>IFERROR(VLOOKUP(BEV$1,'Renta Mixta Moderado'!$B$35:$C$62,2,FALSE),0%)</f>
        <v>0</v>
      </c>
      <c r="BEW10" s="5">
        <f>IFERROR(VLOOKUP(BEW$1,'Renta Mixta Moderado'!$B$35:$C$62,2,FALSE),0%)</f>
        <v>0</v>
      </c>
      <c r="BEX10" s="5">
        <f>IFERROR(VLOOKUP(BEX$1,'Renta Mixta Moderado'!$B$35:$C$62,2,FALSE),0%)</f>
        <v>0</v>
      </c>
      <c r="BEY10" s="5">
        <f>IFERROR(VLOOKUP(BEY$1,'Renta Mixta Moderado'!$B$35:$C$62,2,FALSE),0%)</f>
        <v>0</v>
      </c>
      <c r="BEZ10" s="5">
        <f>IFERROR(VLOOKUP(BEZ$1,'Renta Mixta Moderado'!$B$35:$C$62,2,FALSE),0%)</f>
        <v>0</v>
      </c>
      <c r="BFA10" s="5">
        <f>IFERROR(VLOOKUP(BFA$1,'Renta Mixta Moderado'!$B$35:$C$62,2,FALSE),0%)</f>
        <v>0</v>
      </c>
      <c r="BFB10" s="5">
        <f>IFERROR(VLOOKUP(BFB$1,'Renta Mixta Moderado'!$B$35:$C$62,2,FALSE),0%)</f>
        <v>0</v>
      </c>
      <c r="BFC10" s="5">
        <f>IFERROR(VLOOKUP(BFC$1,'Renta Mixta Moderado'!$B$35:$C$62,2,FALSE),0%)</f>
        <v>0</v>
      </c>
      <c r="BFD10" s="5">
        <f>IFERROR(VLOOKUP(BFD$1,'Renta Mixta Moderado'!$B$35:$C$62,2,FALSE),0%)</f>
        <v>0</v>
      </c>
      <c r="BFE10" s="5">
        <f>IFERROR(VLOOKUP(BFE$1,'Renta Mixta Moderado'!$B$35:$C$62,2,FALSE),0%)</f>
        <v>0</v>
      </c>
      <c r="BFF10" s="5">
        <f>IFERROR(VLOOKUP(BFF$1,'Renta Mixta Moderado'!$B$35:$C$62,2,FALSE),0%)</f>
        <v>0</v>
      </c>
      <c r="BFG10" s="5">
        <f>IFERROR(VLOOKUP(BFG$1,'Renta Mixta Moderado'!$B$35:$C$62,2,FALSE),0%)</f>
        <v>0</v>
      </c>
      <c r="BFH10" s="5">
        <f>IFERROR(VLOOKUP(BFH$1,'Renta Mixta Moderado'!$B$35:$C$62,2,FALSE),0%)</f>
        <v>0</v>
      </c>
      <c r="BFI10" s="5">
        <f>IFERROR(VLOOKUP(BFI$1,'Renta Mixta Moderado'!$B$35:$C$62,2,FALSE),0%)</f>
        <v>0</v>
      </c>
      <c r="BFJ10" s="5">
        <f>IFERROR(VLOOKUP(BFJ$1,'Renta Mixta Moderado'!$B$35:$C$62,2,FALSE),0%)</f>
        <v>0</v>
      </c>
      <c r="BFK10" s="5">
        <f>IFERROR(VLOOKUP(BFK$1,'Renta Mixta Moderado'!$B$35:$C$62,2,FALSE),0%)</f>
        <v>0</v>
      </c>
      <c r="BFL10" s="5">
        <f>IFERROR(VLOOKUP(BFL$1,'Renta Mixta Moderado'!$B$35:$C$62,2,FALSE),0%)</f>
        <v>0</v>
      </c>
      <c r="BFM10" s="5">
        <f>IFERROR(VLOOKUP(BFM$1,'Renta Mixta Moderado'!$B$35:$C$62,2,FALSE),0%)</f>
        <v>0</v>
      </c>
      <c r="BFN10" s="5">
        <f>IFERROR(VLOOKUP(BFN$1,'Renta Mixta Moderado'!$B$35:$C$62,2,FALSE),0%)</f>
        <v>0</v>
      </c>
      <c r="BFO10" s="5">
        <f>IFERROR(VLOOKUP(BFO$1,'Renta Mixta Moderado'!$B$35:$C$62,2,FALSE),0%)</f>
        <v>0</v>
      </c>
      <c r="BFP10" s="5">
        <f>IFERROR(VLOOKUP(BFP$1,'Renta Mixta Moderado'!$B$35:$C$62,2,FALSE),0%)</f>
        <v>0</v>
      </c>
      <c r="BFQ10" s="5">
        <f>IFERROR(VLOOKUP(BFQ$1,'Renta Mixta Moderado'!$B$35:$C$62,2,FALSE),0%)</f>
        <v>0</v>
      </c>
      <c r="BFR10" s="5">
        <f>IFERROR(VLOOKUP(BFR$1,'Renta Mixta Moderado'!$B$35:$C$62,2,FALSE),0%)</f>
        <v>0</v>
      </c>
      <c r="BFS10" s="5">
        <f>IFERROR(VLOOKUP(BFS$1,'Renta Mixta Moderado'!$B$35:$C$62,2,FALSE),0%)</f>
        <v>0</v>
      </c>
      <c r="BFT10" s="5">
        <f>IFERROR(VLOOKUP(BFT$1,'Renta Mixta Moderado'!$B$35:$C$62,2,FALSE),0%)</f>
        <v>0</v>
      </c>
      <c r="BFU10" s="5">
        <f>IFERROR(VLOOKUP(BFU$1,'Renta Mixta Moderado'!$B$35:$C$62,2,FALSE),0%)</f>
        <v>0</v>
      </c>
      <c r="BFV10" s="5">
        <f>IFERROR(VLOOKUP(BFV$1,'Renta Mixta Moderado'!$B$35:$C$62,2,FALSE),0%)</f>
        <v>0</v>
      </c>
      <c r="BFW10" s="5">
        <f>IFERROR(VLOOKUP(BFW$1,'Renta Mixta Moderado'!$B$35:$C$62,2,FALSE),0%)</f>
        <v>0</v>
      </c>
      <c r="BFX10" s="5">
        <f>IFERROR(VLOOKUP(BFX$1,'Renta Mixta Moderado'!$B$35:$C$62,2,FALSE),0%)</f>
        <v>0</v>
      </c>
      <c r="BFY10" s="5">
        <f>IFERROR(VLOOKUP(BFY$1,'Renta Mixta Moderado'!$B$35:$C$62,2,FALSE),0%)</f>
        <v>0</v>
      </c>
      <c r="BFZ10" s="5">
        <f>IFERROR(VLOOKUP(BFZ$1,'Renta Mixta Moderado'!$B$35:$C$62,2,FALSE),0%)</f>
        <v>0</v>
      </c>
      <c r="BGA10" s="5">
        <f>IFERROR(VLOOKUP(BGA$1,'Renta Mixta Moderado'!$B$35:$C$62,2,FALSE),0%)</f>
        <v>0</v>
      </c>
      <c r="BGB10" s="5">
        <f>IFERROR(VLOOKUP(BGB$1,'Renta Mixta Moderado'!$B$35:$C$62,2,FALSE),0%)</f>
        <v>0</v>
      </c>
      <c r="BGC10" s="5">
        <f>IFERROR(VLOOKUP(BGC$1,'Renta Mixta Moderado'!$B$35:$C$62,2,FALSE),0%)</f>
        <v>0</v>
      </c>
      <c r="BGD10" s="5">
        <f>IFERROR(VLOOKUP(BGD$1,'Renta Mixta Moderado'!$B$35:$C$62,2,FALSE),0%)</f>
        <v>0</v>
      </c>
      <c r="BGE10" s="5">
        <f>IFERROR(VLOOKUP(BGE$1,'Renta Mixta Moderado'!$B$35:$C$62,2,FALSE),0%)</f>
        <v>0</v>
      </c>
      <c r="BGF10" s="5">
        <f>IFERROR(VLOOKUP(BGF$1,'Renta Mixta Moderado'!$B$35:$C$62,2,FALSE),0%)</f>
        <v>0</v>
      </c>
      <c r="BGG10" s="5">
        <f>IFERROR(VLOOKUP(BGG$1,'Renta Mixta Moderado'!$B$35:$C$62,2,FALSE),0%)</f>
        <v>0</v>
      </c>
      <c r="BGH10" s="5">
        <f>IFERROR(VLOOKUP(BGH$1,'Renta Mixta Moderado'!$B$35:$C$62,2,FALSE),0%)</f>
        <v>0</v>
      </c>
      <c r="BGI10" s="5">
        <f>IFERROR(VLOOKUP(BGI$1,'Renta Mixta Moderado'!$B$35:$C$62,2,FALSE),0%)</f>
        <v>0</v>
      </c>
      <c r="BGJ10" s="5">
        <f>IFERROR(VLOOKUP(BGJ$1,'Renta Mixta Moderado'!$B$35:$C$62,2,FALSE),0%)</f>
        <v>0</v>
      </c>
      <c r="BGK10" s="5">
        <f>IFERROR(VLOOKUP(BGK$1,'Renta Mixta Moderado'!$B$35:$C$62,2,FALSE),0%)</f>
        <v>0</v>
      </c>
      <c r="BGL10" s="5">
        <f>IFERROR(VLOOKUP(BGL$1,'Renta Mixta Moderado'!$B$35:$C$62,2,FALSE),0%)</f>
        <v>0</v>
      </c>
      <c r="BGM10" s="5">
        <f>IFERROR(VLOOKUP(BGM$1,'Renta Mixta Moderado'!$B$35:$C$62,2,FALSE),0%)</f>
        <v>0</v>
      </c>
      <c r="BGN10" s="5">
        <f>IFERROR(VLOOKUP(BGN$1,'Renta Mixta Moderado'!$B$35:$C$62,2,FALSE),0%)</f>
        <v>0.005870568473</v>
      </c>
      <c r="BGO10" s="5">
        <f>IFERROR(VLOOKUP(BGO$1,'Renta Mixta Moderado'!$B$35:$C$62,2,FALSE),0%)</f>
        <v>0</v>
      </c>
      <c r="BGP10" s="5">
        <f>IFERROR(VLOOKUP(BGP$1,'Renta Mixta Moderado'!$B$35:$C$62,2,FALSE),0%)</f>
        <v>0</v>
      </c>
      <c r="BGQ10" s="5">
        <f>IFERROR(VLOOKUP(BGQ$1,'Renta Mixta Moderado'!$B$35:$C$62,2,FALSE),0%)</f>
        <v>0</v>
      </c>
      <c r="BGR10" s="5">
        <f>IFERROR(VLOOKUP(BGR$1,'Renta Mixta Moderado'!$B$35:$C$62,2,FALSE),0%)</f>
        <v>0</v>
      </c>
      <c r="BGS10" s="5">
        <f>IFERROR(VLOOKUP(BGS$1,'Renta Mixta Moderado'!$B$35:$C$62,2,FALSE),0%)</f>
        <v>0</v>
      </c>
      <c r="BGT10" s="5">
        <f>IFERROR(VLOOKUP(BGT$1,'Renta Mixta Moderado'!$B$35:$C$62,2,FALSE),0%)</f>
        <v>0</v>
      </c>
      <c r="BGU10" s="5">
        <f>IFERROR(VLOOKUP(BGU$1,'Renta Mixta Moderado'!$B$35:$C$62,2,FALSE),0%)</f>
        <v>0</v>
      </c>
      <c r="BGV10" s="5">
        <f>IFERROR(VLOOKUP(BGV$1,'Renta Mixta Moderado'!$B$35:$C$62,2,FALSE),0%)</f>
        <v>0</v>
      </c>
      <c r="BGW10" s="5">
        <f>IFERROR(VLOOKUP(BGW$1,'Renta Mixta Moderado'!$B$35:$C$62,2,FALSE),0%)</f>
        <v>0</v>
      </c>
      <c r="BGX10" s="5">
        <f>IFERROR(VLOOKUP(BGX$1,'Renta Mixta Moderado'!$B$35:$C$62,2,FALSE),0%)</f>
        <v>0</v>
      </c>
      <c r="BGY10" s="5">
        <f>IFERROR(VLOOKUP(BGY$1,'Renta Mixta Moderado'!$B$35:$C$62,2,FALSE),0%)</f>
        <v>0</v>
      </c>
      <c r="BGZ10" s="5">
        <f>IFERROR(VLOOKUP(BGZ$1,'Renta Mixta Moderado'!$B$35:$C$62,2,FALSE),0%)</f>
        <v>0</v>
      </c>
      <c r="BHA10" s="5">
        <f>IFERROR(VLOOKUP(BHA$1,'Renta Mixta Moderado'!$B$35:$C$62,2,FALSE),0%)</f>
        <v>0</v>
      </c>
      <c r="BHB10" s="5">
        <f>IFERROR(VLOOKUP(BHB$1,'Renta Mixta Moderado'!$B$35:$C$62,2,FALSE),0%)</f>
        <v>0</v>
      </c>
      <c r="BHC10" s="5">
        <f>IFERROR(VLOOKUP(BHC$1,'Renta Mixta Moderado'!$B$35:$C$62,2,FALSE),0%)</f>
        <v>0</v>
      </c>
      <c r="BHD10" s="5">
        <f>IFERROR(VLOOKUP(BHD$1,'Renta Mixta Moderado'!$B$35:$C$62,2,FALSE),0%)</f>
        <v>0</v>
      </c>
      <c r="BHE10" s="5">
        <f>IFERROR(VLOOKUP(BHE$1,'Renta Mixta Moderado'!$B$35:$C$62,2,FALSE),0%)</f>
        <v>0</v>
      </c>
      <c r="BHF10" s="5">
        <f>IFERROR(VLOOKUP(BHF$1,'Renta Mixta Moderado'!$B$35:$C$62,2,FALSE),0%)</f>
        <v>0</v>
      </c>
      <c r="BHG10" s="5">
        <f>IFERROR(VLOOKUP(BHG$1,'Renta Mixta Moderado'!$B$35:$C$62,2,FALSE),0%)</f>
        <v>0</v>
      </c>
      <c r="BHH10" s="5">
        <f>IFERROR(VLOOKUP(BHH$1,'Renta Mixta Moderado'!$B$35:$C$62,2,FALSE),0%)</f>
        <v>0</v>
      </c>
      <c r="BHI10" s="5">
        <f>IFERROR(VLOOKUP(BHI$1,'Renta Mixta Moderado'!$B$35:$C$62,2,FALSE),0%)</f>
        <v>0</v>
      </c>
      <c r="BHJ10" s="5">
        <f>IFERROR(VLOOKUP(BHJ$1,'Renta Mixta Moderado'!$B$35:$C$62,2,FALSE),0%)</f>
        <v>0</v>
      </c>
      <c r="BHK10" s="5">
        <f>IFERROR(VLOOKUP(BHK$1,'Renta Mixta Moderado'!$B$35:$C$62,2,FALSE),0%)</f>
        <v>0</v>
      </c>
      <c r="BHL10" s="5">
        <f>IFERROR(VLOOKUP(BHL$1,'Renta Mixta Moderado'!$B$35:$C$62,2,FALSE),0%)</f>
        <v>0</v>
      </c>
      <c r="BHM10" s="5">
        <f>IFERROR(VLOOKUP(BHM$1,'Renta Mixta Moderado'!$B$35:$C$62,2,FALSE),0%)</f>
        <v>0</v>
      </c>
      <c r="BHN10" s="5">
        <f>IFERROR(VLOOKUP(BHN$1,'Renta Mixta Moderado'!$B$35:$C$62,2,FALSE),0%)</f>
        <v>0</v>
      </c>
      <c r="BHO10" s="5">
        <f>IFERROR(VLOOKUP(BHO$1,'Renta Mixta Moderado'!$B$35:$C$62,2,FALSE),0%)</f>
        <v>0</v>
      </c>
      <c r="BHP10" s="5">
        <f>IFERROR(VLOOKUP(BHP$1,'Renta Mixta Moderado'!$B$35:$C$62,2,FALSE),0%)</f>
        <v>0</v>
      </c>
      <c r="BHQ10" s="5">
        <f>IFERROR(VLOOKUP(BHQ$1,'Renta Mixta Moderado'!$B$35:$C$62,2,FALSE),0%)</f>
        <v>0</v>
      </c>
      <c r="BHR10" s="5">
        <f>IFERROR(VLOOKUP(BHR$1,'Renta Mixta Moderado'!$B$35:$C$62,2,FALSE),0%)</f>
        <v>0</v>
      </c>
      <c r="BHS10" s="5">
        <f>IFERROR(VLOOKUP(BHS$1,'Renta Mixta Moderado'!$B$35:$C$62,2,FALSE),0%)</f>
        <v>0</v>
      </c>
      <c r="BHT10" s="5">
        <f>IFERROR(VLOOKUP(BHT$1,'Renta Mixta Moderado'!$B$35:$C$62,2,FALSE),0%)</f>
        <v>0</v>
      </c>
      <c r="BHU10" s="5">
        <f>IFERROR(VLOOKUP(BHU$1,'Renta Mixta Moderado'!$B$35:$C$62,2,FALSE),0%)</f>
        <v>0</v>
      </c>
      <c r="BHV10" s="5">
        <f>IFERROR(VLOOKUP(BHV$1,'Renta Mixta Moderado'!$B$35:$C$62,2,FALSE),0%)</f>
        <v>0</v>
      </c>
      <c r="BHW10" s="5">
        <f>IFERROR(VLOOKUP(BHW$1,'Renta Mixta Moderado'!$B$35:$C$62,2,FALSE),0%)</f>
        <v>0</v>
      </c>
      <c r="BHX10" s="5">
        <f>IFERROR(VLOOKUP(BHX$1,'Renta Mixta Moderado'!$B$35:$C$62,2,FALSE),0%)</f>
        <v>0</v>
      </c>
      <c r="BHY10" s="5">
        <f>IFERROR(VLOOKUP(BHY$1,'Renta Mixta Moderado'!$B$35:$C$62,2,FALSE),0%)</f>
        <v>0</v>
      </c>
      <c r="BHZ10" s="5">
        <f>IFERROR(VLOOKUP(BHZ$1,'Renta Mixta Moderado'!$B$35:$C$62,2,FALSE),0%)</f>
        <v>0</v>
      </c>
      <c r="BIA10" s="5">
        <f>IFERROR(VLOOKUP(BIA$1,'Renta Mixta Moderado'!$B$35:$C$62,2,FALSE),0%)</f>
        <v>0</v>
      </c>
      <c r="BIB10" s="5">
        <f>IFERROR(VLOOKUP(BIB$1,'Renta Mixta Moderado'!$B$35:$C$62,2,FALSE),0%)</f>
        <v>0</v>
      </c>
      <c r="BIC10" s="5">
        <f>IFERROR(VLOOKUP(BIC$1,'Renta Mixta Moderado'!$B$35:$C$62,2,FALSE),0%)</f>
        <v>0</v>
      </c>
      <c r="BID10" s="5">
        <f>IFERROR(VLOOKUP(BID$1,'Renta Mixta Moderado'!$B$35:$C$62,2,FALSE),0%)</f>
        <v>0</v>
      </c>
      <c r="BIE10" s="5">
        <f>IFERROR(VLOOKUP(BIE$1,'Renta Mixta Moderado'!$B$35:$C$62,2,FALSE),0%)</f>
        <v>0</v>
      </c>
      <c r="BIF10" s="5">
        <f>IFERROR(VLOOKUP(BIF$1,'Renta Mixta Moderado'!$B$35:$C$62,2,FALSE),0%)</f>
        <v>0</v>
      </c>
      <c r="BIG10" s="5">
        <f>IFERROR(VLOOKUP(BIG$1,'Renta Mixta Moderado'!$B$35:$C$62,2,FALSE),0%)</f>
        <v>0</v>
      </c>
      <c r="BIH10" s="5">
        <f>IFERROR(VLOOKUP(BIH$1,'Renta Mixta Moderado'!$B$35:$C$62,2,FALSE),0%)</f>
        <v>0</v>
      </c>
      <c r="BII10" s="5">
        <f>IFERROR(VLOOKUP(BII$1,'Renta Mixta Moderado'!$B$35:$C$62,2,FALSE),0%)</f>
        <v>0</v>
      </c>
      <c r="BIJ10" s="5">
        <f>IFERROR(VLOOKUP(BIJ$1,'Renta Mixta Moderado'!$B$35:$C$62,2,FALSE),0%)</f>
        <v>0</v>
      </c>
      <c r="BIK10" s="5">
        <f>IFERROR(VLOOKUP(BIK$1,'Renta Mixta Moderado'!$B$35:$C$62,2,FALSE),0%)</f>
        <v>0.1085020891</v>
      </c>
      <c r="BIL10" s="5">
        <f>IFERROR(VLOOKUP(BIL$1,'Renta Mixta Moderado'!$B$35:$C$62,2,FALSE),0%)</f>
        <v>0</v>
      </c>
      <c r="BIM10" s="5">
        <f>IFERROR(VLOOKUP(BIM$1,'Renta Mixta Moderado'!$B$35:$C$62,2,FALSE),0%)</f>
        <v>0</v>
      </c>
      <c r="BIN10" s="5">
        <f>IFERROR(VLOOKUP(BIN$1,'Renta Mixta Moderado'!$B$35:$C$62,2,FALSE),0%)</f>
        <v>0</v>
      </c>
      <c r="BIO10" s="5">
        <f>IFERROR(VLOOKUP(BIO$1,'Renta Mixta Moderado'!$B$35:$C$62,2,FALSE),0%)</f>
        <v>0</v>
      </c>
      <c r="BIP10" s="5">
        <f>IFERROR(VLOOKUP(BIP$1,'Renta Mixta Moderado'!$B$35:$C$62,2,FALSE),0%)</f>
        <v>0</v>
      </c>
      <c r="BIQ10" s="5">
        <f>IFERROR(VLOOKUP(BIQ$1,'Renta Mixta Moderado'!$B$35:$C$62,2,FALSE),0%)</f>
        <v>0</v>
      </c>
      <c r="BIR10" s="5">
        <f>IFERROR(VLOOKUP(BIR$1,'Renta Mixta Moderado'!$B$35:$C$62,2,FALSE),0%)</f>
        <v>0</v>
      </c>
      <c r="BIS10" s="5">
        <f>IFERROR(VLOOKUP(BIS$1,'Renta Mixta Moderado'!$B$35:$C$62,2,FALSE),0%)</f>
        <v>0</v>
      </c>
      <c r="BIT10" s="5">
        <f>IFERROR(VLOOKUP(BIT$1,'Renta Mixta Moderado'!$B$35:$C$62,2,FALSE),0%)</f>
        <v>0</v>
      </c>
      <c r="BIU10" s="5">
        <f>IFERROR(VLOOKUP(BIU$1,'Renta Mixta Moderado'!$B$35:$C$62,2,FALSE),0%)</f>
        <v>0</v>
      </c>
      <c r="BIV10" s="5">
        <f>IFERROR(VLOOKUP(BIV$1,'Renta Mixta Moderado'!$B$35:$C$62,2,FALSE),0%)</f>
        <v>0</v>
      </c>
      <c r="BIW10" s="5">
        <f>IFERROR(VLOOKUP(BIW$1,'Renta Mixta Moderado'!$B$35:$C$62,2,FALSE),0%)</f>
        <v>0</v>
      </c>
      <c r="BIX10" s="5">
        <f>IFERROR(VLOOKUP(BIX$1,'Renta Mixta Moderado'!$B$35:$C$62,2,FALSE),0%)</f>
        <v>0</v>
      </c>
      <c r="BIY10" s="5">
        <f>IFERROR(VLOOKUP(BIY$1,'Renta Mixta Moderado'!$B$35:$C$62,2,FALSE),0%)</f>
        <v>0</v>
      </c>
      <c r="BIZ10" s="5">
        <f>IFERROR(VLOOKUP(BIZ$1,'Renta Mixta Moderado'!$B$35:$C$62,2,FALSE),0%)</f>
        <v>0</v>
      </c>
      <c r="BJA10" s="5">
        <f>IFERROR(VLOOKUP(BJA$1,'Renta Mixta Moderado'!$B$35:$C$62,2,FALSE),0%)</f>
        <v>0</v>
      </c>
      <c r="BJB10" s="5">
        <f>IFERROR(VLOOKUP(BJB$1,'Renta Mixta Moderado'!$B$35:$C$62,2,FALSE),0%)</f>
        <v>0</v>
      </c>
      <c r="BJC10" s="5">
        <f>IFERROR(VLOOKUP(BJC$1,'Renta Mixta Moderado'!$B$35:$C$62,2,FALSE),0%)</f>
        <v>0</v>
      </c>
      <c r="BJD10" s="5">
        <f>IFERROR(VLOOKUP(BJD$1,'Renta Mixta Moderado'!$B$35:$C$62,2,FALSE),0%)</f>
        <v>0</v>
      </c>
      <c r="BJE10" s="5">
        <f>IFERROR(VLOOKUP(BJE$1,'Renta Mixta Moderado'!$B$35:$C$62,2,FALSE),0%)</f>
        <v>0</v>
      </c>
      <c r="BJF10" s="5">
        <f>IFERROR(VLOOKUP(BJF$1,'Renta Mixta Moderado'!$B$35:$C$62,2,FALSE),0%)</f>
        <v>0</v>
      </c>
      <c r="BJG10" s="5">
        <f>IFERROR(VLOOKUP(BJG$1,'Renta Mixta Moderado'!$B$35:$C$62,2,FALSE),0%)</f>
        <v>0</v>
      </c>
      <c r="BJH10" s="5">
        <f>IFERROR(VLOOKUP(BJH$1,'Renta Mixta Moderado'!$B$35:$C$62,2,FALSE),0%)</f>
        <v>0</v>
      </c>
      <c r="BJI10" s="5">
        <f>IFERROR(VLOOKUP(BJI$1,'Renta Mixta Moderado'!$B$35:$C$62,2,FALSE),0%)</f>
        <v>0</v>
      </c>
      <c r="BJJ10" s="5">
        <f>IFERROR(VLOOKUP(BJJ$1,'Renta Mixta Moderado'!$B$35:$C$62,2,FALSE),0%)</f>
        <v>0</v>
      </c>
      <c r="BJK10" s="5">
        <f>IFERROR(VLOOKUP(BJK$1,'Renta Mixta Moderado'!$B$35:$C$62,2,FALSE),0%)</f>
        <v>0</v>
      </c>
      <c r="BJL10" s="5">
        <f>IFERROR(VLOOKUP(BJL$1,'Renta Mixta Moderado'!$B$35:$C$62,2,FALSE),0%)</f>
        <v>0</v>
      </c>
      <c r="BJM10" s="5">
        <f>IFERROR(VLOOKUP(BJM$1,'Renta Mixta Moderado'!$B$35:$C$62,2,FALSE),0%)</f>
        <v>0</v>
      </c>
      <c r="BJN10" s="5">
        <f>IFERROR(VLOOKUP(BJN$1,'Renta Mixta Moderado'!$B$35:$C$62,2,FALSE),0%)</f>
        <v>0</v>
      </c>
      <c r="BJO10" s="5">
        <f>IFERROR(VLOOKUP(BJO$1,'Renta Mixta Moderado'!$B$35:$C$62,2,FALSE),0%)</f>
        <v>0</v>
      </c>
      <c r="BJP10" s="5">
        <f>IFERROR(VLOOKUP(BJP$1,'Renta Mixta Moderado'!$B$35:$C$62,2,FALSE),0%)</f>
        <v>0</v>
      </c>
      <c r="BJQ10" s="5">
        <f>IFERROR(VLOOKUP(BJQ$1,'Renta Mixta Moderado'!$B$35:$C$62,2,FALSE),0%)</f>
        <v>0</v>
      </c>
      <c r="BJR10" s="5">
        <f>IFERROR(VLOOKUP(BJR$1,'Renta Mixta Moderado'!$B$35:$C$62,2,FALSE),0%)</f>
        <v>0</v>
      </c>
      <c r="BJS10" s="5">
        <f>IFERROR(VLOOKUP(BJS$1,'Renta Mixta Moderado'!$B$35:$C$62,2,FALSE),0%)</f>
        <v>0</v>
      </c>
      <c r="BJT10" s="5">
        <f>IFERROR(VLOOKUP(BJT$1,'Renta Mixta Moderado'!$B$35:$C$62,2,FALSE),0%)</f>
        <v>0</v>
      </c>
      <c r="BJU10" s="5">
        <f>IFERROR(VLOOKUP(BJU$1,'Renta Mixta Moderado'!$B$35:$C$62,2,FALSE),0%)</f>
        <v>0</v>
      </c>
      <c r="BJV10" s="5">
        <f>IFERROR(VLOOKUP(BJV$1,'Renta Mixta Moderado'!$B$35:$C$62,2,FALSE),0%)</f>
        <v>0</v>
      </c>
      <c r="BJW10" s="5">
        <f>IFERROR(VLOOKUP(BJW$1,'Renta Mixta Moderado'!$B$35:$C$62,2,FALSE),0%)</f>
        <v>0</v>
      </c>
      <c r="BJX10" s="5">
        <f>IFERROR(VLOOKUP(BJX$1,'Renta Mixta Moderado'!$B$35:$C$62,2,FALSE),0%)</f>
        <v>0</v>
      </c>
      <c r="BJY10" s="5">
        <f>IFERROR(VLOOKUP(BJY$1,'Renta Mixta Moderado'!$B$35:$C$62,2,FALSE),0%)</f>
        <v>0</v>
      </c>
      <c r="BJZ10" s="5">
        <f>IFERROR(VLOOKUP(BJZ$1,'Renta Mixta Moderado'!$B$35:$C$62,2,FALSE),0%)</f>
        <v>0</v>
      </c>
      <c r="BKA10" s="5">
        <f>IFERROR(VLOOKUP(BKA$1,'Renta Mixta Moderado'!$B$35:$C$62,2,FALSE),0%)</f>
        <v>0</v>
      </c>
      <c r="BKB10" s="5">
        <f>IFERROR(VLOOKUP(BKB$1,'Renta Mixta Moderado'!$B$35:$C$62,2,FALSE),0%)</f>
        <v>0</v>
      </c>
      <c r="BKC10" s="5">
        <f>IFERROR(VLOOKUP(BKC$1,'Renta Mixta Moderado'!$B$35:$C$62,2,FALSE),0%)</f>
        <v>0</v>
      </c>
      <c r="BKD10" s="5">
        <f>IFERROR(VLOOKUP(BKD$1,'Renta Mixta Moderado'!$B$35:$C$62,2,FALSE),0%)</f>
        <v>0</v>
      </c>
      <c r="BKE10" s="5">
        <f>IFERROR(VLOOKUP(BKE$1,'Renta Mixta Moderado'!$B$35:$C$62,2,FALSE),0%)</f>
        <v>0</v>
      </c>
      <c r="BKF10" s="5">
        <f>IFERROR(VLOOKUP(BKF$1,'Renta Mixta Moderado'!$B$35:$C$62,2,FALSE),0%)</f>
        <v>0</v>
      </c>
      <c r="BKG10" s="5">
        <f>IFERROR(VLOOKUP(BKG$1,'Renta Mixta Moderado'!$B$35:$C$62,2,FALSE),0%)</f>
        <v>0</v>
      </c>
      <c r="BKH10" s="5">
        <f>IFERROR(VLOOKUP(BKH$1,'Renta Mixta Moderado'!$B$35:$C$62,2,FALSE),0%)</f>
        <v>0</v>
      </c>
      <c r="BKI10" s="5">
        <f>IFERROR(VLOOKUP(BKI$1,'Renta Mixta Moderado'!$B$35:$C$62,2,FALSE),0%)</f>
        <v>0</v>
      </c>
      <c r="BKJ10" s="5">
        <f>IFERROR(VLOOKUP(BKJ$1,'Renta Mixta Moderado'!$B$35:$C$62,2,FALSE),0%)</f>
        <v>0</v>
      </c>
      <c r="BKK10" s="5">
        <f>IFERROR(VLOOKUP(BKK$1,'Renta Mixta Moderado'!$B$35:$C$62,2,FALSE),0%)</f>
        <v>0</v>
      </c>
      <c r="BKL10" s="5">
        <f>IFERROR(VLOOKUP(BKL$1,'Renta Mixta Moderado'!$B$35:$C$62,2,FALSE),0%)</f>
        <v>0</v>
      </c>
      <c r="BKM10" s="5">
        <f>IFERROR(VLOOKUP(BKM$1,'Renta Mixta Moderado'!$B$35:$C$62,2,FALSE),0%)</f>
        <v>0</v>
      </c>
      <c r="BKN10" s="5">
        <f>IFERROR(VLOOKUP(BKN$1,'Renta Mixta Moderado'!$B$35:$C$62,2,FALSE),0%)</f>
        <v>0</v>
      </c>
      <c r="BKO10" s="5">
        <f>IFERROR(VLOOKUP(BKO$1,'Renta Mixta Moderado'!$B$35:$C$62,2,FALSE),0%)</f>
        <v>0</v>
      </c>
      <c r="BKP10" s="5">
        <f>IFERROR(VLOOKUP(BKP$1,'Renta Mixta Moderado'!$B$35:$C$62,2,FALSE),0%)</f>
        <v>0</v>
      </c>
      <c r="BKQ10" s="5">
        <f>IFERROR(VLOOKUP(BKQ$1,'Renta Mixta Moderado'!$B$35:$C$62,2,FALSE),0%)</f>
        <v>0</v>
      </c>
      <c r="BKR10" s="5">
        <f>IFERROR(VLOOKUP(BKR$1,'Renta Mixta Moderado'!$B$35:$C$62,2,FALSE),0%)</f>
        <v>0</v>
      </c>
      <c r="BKS10" s="5">
        <f>IFERROR(VLOOKUP(BKS$1,'Renta Mixta Moderado'!$B$35:$C$62,2,FALSE),0%)</f>
        <v>0</v>
      </c>
      <c r="BKT10" s="5">
        <f>IFERROR(VLOOKUP(BKT$1,'Renta Mixta Moderado'!$B$35:$C$62,2,FALSE),0%)</f>
        <v>0</v>
      </c>
      <c r="BKU10" s="5">
        <f>IFERROR(VLOOKUP(BKU$1,'Renta Mixta Moderado'!$B$35:$C$62,2,FALSE),0%)</f>
        <v>0</v>
      </c>
      <c r="BKV10" s="5">
        <f>IFERROR(VLOOKUP(BKV$1,'Renta Mixta Moderado'!$B$35:$C$62,2,FALSE),0%)</f>
        <v>0</v>
      </c>
      <c r="BKW10" s="5">
        <f>IFERROR(VLOOKUP(BKW$1,'Renta Mixta Moderado'!$B$35:$C$62,2,FALSE),0%)</f>
        <v>0</v>
      </c>
      <c r="BKX10" s="5">
        <f>IFERROR(VLOOKUP(BKX$1,'Renta Mixta Moderado'!$B$35:$C$62,2,FALSE),0%)</f>
        <v>0</v>
      </c>
      <c r="BKY10" s="5">
        <f>IFERROR(VLOOKUP(BKY$1,'Renta Mixta Moderado'!$B$35:$C$62,2,FALSE),0%)</f>
        <v>0</v>
      </c>
      <c r="BKZ10" s="5">
        <f>IFERROR(VLOOKUP(BKZ$1,'Renta Mixta Moderado'!$B$35:$C$62,2,FALSE),0%)</f>
        <v>0</v>
      </c>
      <c r="BLA10" s="5">
        <f>IFERROR(VLOOKUP(BLA$1,'Renta Mixta Moderado'!$B$35:$C$62,2,FALSE),0%)</f>
        <v>0</v>
      </c>
      <c r="BLB10" s="5">
        <f>IFERROR(VLOOKUP(BLB$1,'Renta Mixta Moderado'!$B$35:$C$62,2,FALSE),0%)</f>
        <v>0</v>
      </c>
      <c r="BLC10" s="5">
        <f>IFERROR(VLOOKUP(BLC$1,'Renta Mixta Moderado'!$B$35:$C$62,2,FALSE),0%)</f>
        <v>0</v>
      </c>
      <c r="BLD10" s="5">
        <f>IFERROR(VLOOKUP(BLD$1,'Renta Mixta Moderado'!$B$35:$C$62,2,FALSE),0%)</f>
        <v>0</v>
      </c>
      <c r="BLE10" s="5">
        <f>IFERROR(VLOOKUP(BLE$1,'Renta Mixta Moderado'!$B$35:$C$62,2,FALSE),0%)</f>
        <v>0</v>
      </c>
      <c r="BLF10" s="5">
        <f>IFERROR(VLOOKUP(BLF$1,'Renta Mixta Moderado'!$B$35:$C$62,2,FALSE),0%)</f>
        <v>0</v>
      </c>
      <c r="BLG10" s="5">
        <f>IFERROR(VLOOKUP(BLG$1,'Renta Mixta Moderado'!$B$35:$C$62,2,FALSE),0%)</f>
        <v>0</v>
      </c>
      <c r="BLH10" s="5">
        <f>IFERROR(VLOOKUP(BLH$1,'Renta Mixta Moderado'!$B$35:$C$62,2,FALSE),0%)</f>
        <v>0</v>
      </c>
      <c r="BLI10" s="5">
        <f>IFERROR(VLOOKUP(BLI$1,'Renta Mixta Moderado'!$B$35:$C$62,2,FALSE),0%)</f>
        <v>0</v>
      </c>
      <c r="BLJ10" s="5">
        <f>IFERROR(VLOOKUP(BLJ$1,'Renta Mixta Moderado'!$B$35:$C$62,2,FALSE),0%)</f>
        <v>0</v>
      </c>
      <c r="BLK10" s="5">
        <f>IFERROR(VLOOKUP(BLK$1,'Renta Mixta Moderado'!$B$35:$C$62,2,FALSE),0%)</f>
        <v>0</v>
      </c>
      <c r="BLL10" s="5">
        <f>IFERROR(VLOOKUP(BLL$1,'Renta Mixta Moderado'!$B$35:$C$62,2,FALSE),0%)</f>
        <v>0</v>
      </c>
      <c r="BLM10" s="5">
        <f>IFERROR(VLOOKUP(BLM$1,'Renta Mixta Moderado'!$B$35:$C$62,2,FALSE),0%)</f>
        <v>0</v>
      </c>
      <c r="BLN10" s="5">
        <f>IFERROR(VLOOKUP(BLN$1,'Renta Mixta Moderado'!$B$35:$C$62,2,FALSE),0%)</f>
        <v>0</v>
      </c>
      <c r="BLO10" s="5">
        <f>IFERROR(VLOOKUP(BLO$1,'Renta Mixta Moderado'!$B$35:$C$62,2,FALSE),0%)</f>
        <v>0</v>
      </c>
      <c r="BLP10" s="5">
        <f>IFERROR(VLOOKUP(BLP$1,'Renta Mixta Moderado'!$B$35:$C$62,2,FALSE),0%)</f>
        <v>0</v>
      </c>
      <c r="BLQ10" s="5">
        <f>IFERROR(VLOOKUP(BLQ$1,'Renta Mixta Moderado'!$B$35:$C$62,2,FALSE),0%)</f>
        <v>0</v>
      </c>
      <c r="BLR10" s="5">
        <f>IFERROR(VLOOKUP(BLR$1,'Renta Mixta Moderado'!$B$35:$C$62,2,FALSE),0%)</f>
        <v>0</v>
      </c>
      <c r="BLS10" s="5">
        <f>IFERROR(VLOOKUP(BLS$1,'Renta Mixta Moderado'!$B$35:$C$62,2,FALSE),0%)</f>
        <v>0</v>
      </c>
      <c r="BLT10" s="5">
        <f>IFERROR(VLOOKUP(BLT$1,'Renta Mixta Moderado'!$B$35:$C$62,2,FALSE),0%)</f>
        <v>0</v>
      </c>
      <c r="BLU10" s="5">
        <f>IFERROR(VLOOKUP(BLU$1,'Renta Mixta Moderado'!$B$35:$C$62,2,FALSE),0%)</f>
        <v>0</v>
      </c>
      <c r="BLV10" s="5">
        <f>IFERROR(VLOOKUP(BLV$1,'Renta Mixta Moderado'!$B$35:$C$62,2,FALSE),0%)</f>
        <v>0</v>
      </c>
      <c r="BLW10" s="5">
        <f>IFERROR(VLOOKUP(BLW$1,'Renta Mixta Moderado'!$B$35:$C$62,2,FALSE),0%)</f>
        <v>0</v>
      </c>
      <c r="BLX10" s="5">
        <f>IFERROR(VLOOKUP(BLX$1,'Renta Mixta Moderado'!$B$35:$C$62,2,FALSE),0%)</f>
        <v>0</v>
      </c>
      <c r="BLY10" s="5">
        <f>IFERROR(VLOOKUP(BLY$1,'Renta Mixta Moderado'!$B$35:$C$62,2,FALSE),0%)</f>
        <v>0</v>
      </c>
      <c r="BLZ10" s="5">
        <f>IFERROR(VLOOKUP(BLZ$1,'Renta Mixta Moderado'!$B$35:$C$62,2,FALSE),0%)</f>
        <v>0</v>
      </c>
      <c r="BMA10" s="5">
        <f>IFERROR(VLOOKUP(BMA$1,'Renta Mixta Moderado'!$B$35:$C$62,2,FALSE),0%)</f>
        <v>0</v>
      </c>
      <c r="BMB10" s="5">
        <f>IFERROR(VLOOKUP(BMB$1,'Renta Mixta Moderado'!$B$35:$C$62,2,FALSE),0%)</f>
        <v>0</v>
      </c>
      <c r="BMC10" s="5">
        <f>IFERROR(VLOOKUP(BMC$1,'Renta Mixta Moderado'!$B$35:$C$62,2,FALSE),0%)</f>
        <v>0</v>
      </c>
      <c r="BMD10" s="5">
        <f>IFERROR(VLOOKUP(BMD$1,'Renta Mixta Moderado'!$B$35:$C$62,2,FALSE),0%)</f>
        <v>0</v>
      </c>
      <c r="BME10" s="5">
        <f>IFERROR(VLOOKUP(BME$1,'Renta Mixta Moderado'!$B$35:$C$62,2,FALSE),0%)</f>
        <v>0</v>
      </c>
      <c r="BMF10" s="5">
        <f>IFERROR(VLOOKUP(BMF$1,'Renta Mixta Moderado'!$B$35:$C$62,2,FALSE),0%)</f>
        <v>0</v>
      </c>
      <c r="BMG10" s="5">
        <f>IFERROR(VLOOKUP(BMG$1,'Renta Mixta Moderado'!$B$35:$C$62,2,FALSE),0%)</f>
        <v>0</v>
      </c>
      <c r="BMH10" s="5">
        <f>IFERROR(VLOOKUP(BMH$1,'Renta Mixta Moderado'!$B$35:$C$62,2,FALSE),0%)</f>
        <v>0</v>
      </c>
      <c r="BMI10" s="5">
        <f>IFERROR(VLOOKUP(BMI$1,'Renta Mixta Moderado'!$B$35:$C$62,2,FALSE),0%)</f>
        <v>0</v>
      </c>
      <c r="BMJ10" s="5">
        <f>IFERROR(VLOOKUP(BMJ$1,'Renta Mixta Moderado'!$B$35:$C$62,2,FALSE),0%)</f>
        <v>0</v>
      </c>
      <c r="BMK10" s="5">
        <f>IFERROR(VLOOKUP(BMK$1,'Renta Mixta Moderado'!$B$35:$C$62,2,FALSE),0%)</f>
        <v>0</v>
      </c>
      <c r="BML10" s="5">
        <f>IFERROR(VLOOKUP(BML$1,'Renta Mixta Moderado'!$B$35:$C$62,2,FALSE),0%)</f>
        <v>0</v>
      </c>
      <c r="BMM10" s="5">
        <f>IFERROR(VLOOKUP(BMM$1,'Renta Mixta Moderado'!$B$35:$C$62,2,FALSE),0%)</f>
        <v>0</v>
      </c>
      <c r="BMN10" s="5">
        <f>IFERROR(VLOOKUP(BMN$1,'Renta Mixta Moderado'!$B$35:$C$62,2,FALSE),0%)</f>
        <v>0</v>
      </c>
      <c r="BMO10" s="5">
        <f>IFERROR(VLOOKUP(BMO$1,'Renta Mixta Moderado'!$B$35:$C$62,2,FALSE),0%)</f>
        <v>0</v>
      </c>
      <c r="BMP10" s="5">
        <f>IFERROR(VLOOKUP(BMP$1,'Renta Mixta Moderado'!$B$35:$C$62,2,FALSE),0%)</f>
        <v>0</v>
      </c>
      <c r="BMQ10" s="5">
        <f>IFERROR(VLOOKUP(BMQ$1,'Renta Mixta Moderado'!$B$35:$C$62,2,FALSE),0%)</f>
        <v>0</v>
      </c>
      <c r="BMR10" s="5">
        <f>IFERROR(VLOOKUP(BMR$1,'Renta Mixta Moderado'!$B$35:$C$62,2,FALSE),0%)</f>
        <v>0</v>
      </c>
      <c r="BMS10" s="5">
        <f>IFERROR(VLOOKUP(BMS$1,'Renta Mixta Moderado'!$B$35:$C$62,2,FALSE),0%)</f>
        <v>0</v>
      </c>
      <c r="BMT10" s="5">
        <f>IFERROR(VLOOKUP(BMT$1,'Renta Mixta Moderado'!$B$35:$C$62,2,FALSE),0%)</f>
        <v>0</v>
      </c>
      <c r="BMU10" s="5">
        <f>IFERROR(VLOOKUP(BMU$1,'Renta Mixta Moderado'!$B$35:$C$62,2,FALSE),0%)</f>
        <v>0</v>
      </c>
      <c r="BMV10" s="5">
        <f>IFERROR(VLOOKUP(BMV$1,'Renta Mixta Moderado'!$B$35:$C$62,2,FALSE),0%)</f>
        <v>0</v>
      </c>
      <c r="BMW10" s="5">
        <f>IFERROR(VLOOKUP(BMW$1,'Renta Mixta Moderado'!$B$35:$C$62,2,FALSE),0%)</f>
        <v>0</v>
      </c>
      <c r="BMX10" s="5">
        <f>IFERROR(VLOOKUP(BMX$1,'Renta Mixta Moderado'!$B$35:$C$62,2,FALSE),0%)</f>
        <v>0</v>
      </c>
      <c r="BMY10" s="5">
        <f>IFERROR(VLOOKUP(BMY$1,'Renta Mixta Moderado'!$B$35:$C$62,2,FALSE),0%)</f>
        <v>0</v>
      </c>
      <c r="BMZ10" s="5">
        <f>IFERROR(VLOOKUP(BMZ$1,'Renta Mixta Moderado'!$B$35:$C$62,2,FALSE),0%)</f>
        <v>0</v>
      </c>
      <c r="BNA10" s="5">
        <f>IFERROR(VLOOKUP(BNA$1,'Renta Mixta Moderado'!$B$35:$C$62,2,FALSE),0%)</f>
        <v>0</v>
      </c>
      <c r="BNB10" s="5">
        <f>IFERROR(VLOOKUP(BNB$1,'Renta Mixta Moderado'!$B$35:$C$62,2,FALSE),0%)</f>
        <v>0</v>
      </c>
      <c r="BNC10" s="5">
        <f>IFERROR(VLOOKUP(BNC$1,'Renta Mixta Moderado'!$B$35:$C$62,2,FALSE),0%)</f>
        <v>0</v>
      </c>
      <c r="BND10" s="5">
        <f>IFERROR(VLOOKUP(BND$1,'Renta Mixta Moderado'!$B$35:$C$62,2,FALSE),0%)</f>
        <v>0</v>
      </c>
      <c r="BNE10" s="5">
        <f>IFERROR(VLOOKUP(BNE$1,'Renta Mixta Moderado'!$B$35:$C$62,2,FALSE),0%)</f>
        <v>0</v>
      </c>
      <c r="BNF10" s="5">
        <f>IFERROR(VLOOKUP(BNF$1,'Renta Mixta Moderado'!$B$35:$C$62,2,FALSE),0%)</f>
        <v>0</v>
      </c>
      <c r="BNG10" s="5">
        <f>IFERROR(VLOOKUP(BNG$1,'Renta Mixta Moderado'!$B$35:$C$62,2,FALSE),0%)</f>
        <v>0</v>
      </c>
      <c r="BNH10" s="5">
        <f>IFERROR(VLOOKUP(BNH$1,'Renta Mixta Moderado'!$B$35:$C$62,2,FALSE),0%)</f>
        <v>0</v>
      </c>
      <c r="BNI10" s="5">
        <f>IFERROR(VLOOKUP(BNI$1,'Renta Mixta Moderado'!$B$35:$C$62,2,FALSE),0%)</f>
        <v>0</v>
      </c>
      <c r="BNJ10" s="5">
        <f>IFERROR(VLOOKUP(BNJ$1,'Renta Mixta Moderado'!$B$35:$C$62,2,FALSE),0%)</f>
        <v>0</v>
      </c>
      <c r="BNK10" s="5">
        <f>IFERROR(VLOOKUP(BNK$1,'Renta Mixta Moderado'!$B$35:$C$62,2,FALSE),0%)</f>
        <v>0</v>
      </c>
      <c r="BNL10" s="5">
        <f>IFERROR(VLOOKUP(BNL$1,'Renta Mixta Moderado'!$B$35:$C$62,2,FALSE),0%)</f>
        <v>0</v>
      </c>
      <c r="BNM10" s="5">
        <f>IFERROR(VLOOKUP(BNM$1,'Renta Mixta Moderado'!$B$35:$C$62,2,FALSE),0%)</f>
        <v>0</v>
      </c>
      <c r="BNN10" s="5">
        <f>IFERROR(VLOOKUP(BNN$1,'Renta Mixta Moderado'!$B$35:$C$62,2,FALSE),0%)</f>
        <v>0</v>
      </c>
      <c r="BNO10" s="5">
        <f>IFERROR(VLOOKUP(BNO$1,'Renta Mixta Moderado'!$B$35:$C$62,2,FALSE),0%)</f>
        <v>0</v>
      </c>
      <c r="BNP10" s="5">
        <f>IFERROR(VLOOKUP(BNP$1,'Renta Mixta Moderado'!$B$35:$C$62,2,FALSE),0%)</f>
        <v>0</v>
      </c>
      <c r="BNQ10" s="5">
        <f>IFERROR(VLOOKUP(BNQ$1,'Renta Mixta Moderado'!$B$35:$C$62,2,FALSE),0%)</f>
        <v>0</v>
      </c>
      <c r="BNR10" s="5">
        <f>IFERROR(VLOOKUP(BNR$1,'Renta Mixta Moderado'!$B$35:$C$62,2,FALSE),0%)</f>
        <v>0</v>
      </c>
      <c r="BNS10" s="5">
        <f>IFERROR(VLOOKUP(BNS$1,'Renta Mixta Moderado'!$B$35:$C$62,2,FALSE),0%)</f>
        <v>0</v>
      </c>
      <c r="BNT10" s="5">
        <f>IFERROR(VLOOKUP(BNT$1,'Renta Mixta Moderado'!$B$35:$C$62,2,FALSE),0%)</f>
        <v>0</v>
      </c>
      <c r="BNU10" s="5">
        <f>IFERROR(VLOOKUP(BNU$1,'Renta Mixta Moderado'!$B$35:$C$62,2,FALSE),0%)</f>
        <v>0</v>
      </c>
      <c r="BNV10" s="5">
        <f>IFERROR(VLOOKUP(BNV$1,'Renta Mixta Moderado'!$B$35:$C$62,2,FALSE),0%)</f>
        <v>0</v>
      </c>
      <c r="BNW10" s="5">
        <f>IFERROR(VLOOKUP(BNW$1,'Renta Mixta Moderado'!$B$35:$C$62,2,FALSE),0%)</f>
        <v>0</v>
      </c>
      <c r="BNX10" s="5">
        <f>IFERROR(VLOOKUP(BNX$1,'Renta Mixta Moderado'!$B$35:$C$62,2,FALSE),0%)</f>
        <v>0</v>
      </c>
      <c r="BNY10" s="5">
        <f>IFERROR(VLOOKUP(BNY$1,'Renta Mixta Moderado'!$B$35:$C$62,2,FALSE),0%)</f>
        <v>0</v>
      </c>
      <c r="BNZ10" s="5">
        <f>IFERROR(VLOOKUP(BNZ$1,'Renta Mixta Moderado'!$B$35:$C$62,2,FALSE),0%)</f>
        <v>0</v>
      </c>
      <c r="BOA10" s="5">
        <f>IFERROR(VLOOKUP(BOA$1,'Renta Mixta Moderado'!$B$35:$C$62,2,FALSE),0%)</f>
        <v>0</v>
      </c>
      <c r="BOB10" s="5">
        <f>IFERROR(VLOOKUP(BOB$1,'Renta Mixta Moderado'!$B$35:$C$62,2,FALSE),0%)</f>
        <v>0</v>
      </c>
      <c r="BOC10" s="5">
        <f>IFERROR(VLOOKUP(BOC$1,'Renta Mixta Moderado'!$B$35:$C$62,2,FALSE),0%)</f>
        <v>0</v>
      </c>
      <c r="BOD10" s="5">
        <f>IFERROR(VLOOKUP(BOD$1,'Renta Mixta Moderado'!$B$35:$C$62,2,FALSE),0%)</f>
        <v>0</v>
      </c>
      <c r="BOE10" s="5">
        <f>IFERROR(VLOOKUP(BOE$1,'Renta Mixta Moderado'!$B$35:$C$62,2,FALSE),0%)</f>
        <v>0</v>
      </c>
      <c r="BOF10" s="5">
        <f>IFERROR(VLOOKUP(BOF$1,'Renta Mixta Moderado'!$B$35:$C$62,2,FALSE),0%)</f>
        <v>0</v>
      </c>
      <c r="BOG10" s="5">
        <f>IFERROR(VLOOKUP(BOG$1,'Renta Mixta Moderado'!$B$35:$C$62,2,FALSE),0%)</f>
        <v>0</v>
      </c>
      <c r="BOH10" s="5">
        <f>IFERROR(VLOOKUP(BOH$1,'Renta Mixta Moderado'!$B$35:$C$62,2,FALSE),0%)</f>
        <v>0</v>
      </c>
      <c r="BOI10" s="5">
        <f>IFERROR(VLOOKUP(BOI$1,'Renta Mixta Moderado'!$B$35:$C$62,2,FALSE),0%)</f>
        <v>0</v>
      </c>
      <c r="BOJ10" s="5">
        <f>IFERROR(VLOOKUP(BOJ$1,'Renta Mixta Moderado'!$B$35:$C$62,2,FALSE),0%)</f>
        <v>0</v>
      </c>
      <c r="BOK10" s="5">
        <f>IFERROR(VLOOKUP(BOK$1,'Renta Mixta Moderado'!$B$35:$C$62,2,FALSE),0%)</f>
        <v>0</v>
      </c>
      <c r="BOL10" s="5">
        <f>IFERROR(VLOOKUP(BOL$1,'Renta Mixta Moderado'!$B$35:$C$62,2,FALSE),0%)</f>
        <v>0</v>
      </c>
      <c r="BOM10" s="5">
        <f>IFERROR(VLOOKUP(BOM$1,'Renta Mixta Moderado'!$B$35:$C$62,2,FALSE),0%)</f>
        <v>0</v>
      </c>
      <c r="BON10" s="5">
        <f>IFERROR(VLOOKUP(BON$1,'Renta Mixta Moderado'!$B$35:$C$62,2,FALSE),0%)</f>
        <v>0</v>
      </c>
      <c r="BOO10" s="5">
        <f>IFERROR(VLOOKUP(BOO$1,'Renta Mixta Moderado'!$B$35:$C$62,2,FALSE),0%)</f>
        <v>0</v>
      </c>
      <c r="BOP10" s="5">
        <f>IFERROR(VLOOKUP(BOP$1,'Renta Mixta Moderado'!$B$35:$C$62,2,FALSE),0%)</f>
        <v>0</v>
      </c>
      <c r="BOQ10" s="5">
        <f>IFERROR(VLOOKUP(BOQ$1,'Renta Mixta Moderado'!$B$35:$C$62,2,FALSE),0%)</f>
        <v>0</v>
      </c>
      <c r="BOR10" s="5">
        <f>IFERROR(VLOOKUP(BOR$1,'Renta Mixta Moderado'!$B$35:$C$62,2,FALSE),0%)</f>
        <v>0.1061232576</v>
      </c>
      <c r="BOS10" s="5">
        <f>IFERROR(VLOOKUP(BOS$1,'Renta Mixta Moderado'!$B$35:$C$62,2,FALSE),0%)</f>
        <v>0</v>
      </c>
      <c r="BOT10" s="5">
        <f>IFERROR(VLOOKUP(BOT$1,'Renta Mixta Moderado'!$B$35:$C$62,2,FALSE),0%)</f>
        <v>0</v>
      </c>
      <c r="BOU10" s="5">
        <f>IFERROR(VLOOKUP(BOU$1,'Renta Mixta Moderado'!$B$35:$C$62,2,FALSE),0%)</f>
        <v>0</v>
      </c>
      <c r="BOV10" s="5">
        <f>IFERROR(VLOOKUP(BOV$1,'Renta Mixta Moderado'!$B$35:$C$62,2,FALSE),0%)</f>
        <v>0</v>
      </c>
      <c r="BOW10" s="5">
        <f>IFERROR(VLOOKUP(BOW$1,'Renta Mixta Moderado'!$B$35:$C$62,2,FALSE),0%)</f>
        <v>0</v>
      </c>
      <c r="BOX10" s="5">
        <f>IFERROR(VLOOKUP(BOX$1,'Renta Mixta Moderado'!$B$35:$C$62,2,FALSE),0%)</f>
        <v>0</v>
      </c>
      <c r="BOY10" s="5">
        <f>IFERROR(VLOOKUP(BOY$1,'Renta Mixta Moderado'!$B$35:$C$62,2,FALSE),0%)</f>
        <v>0</v>
      </c>
      <c r="BOZ10" s="5">
        <f>IFERROR(VLOOKUP(BOZ$1,'Renta Mixta Moderado'!$B$35:$C$62,2,FALSE),0%)</f>
        <v>0</v>
      </c>
      <c r="BPA10" s="5">
        <f>IFERROR(VLOOKUP(BPA$1,'Renta Mixta Moderado'!$B$35:$C$62,2,FALSE),0%)</f>
        <v>0</v>
      </c>
      <c r="BPB10" s="5">
        <f>IFERROR(VLOOKUP(BPB$1,'Renta Mixta Moderado'!$B$35:$C$62,2,FALSE),0%)</f>
        <v>0</v>
      </c>
      <c r="BPC10" s="5">
        <f>IFERROR(VLOOKUP(BPC$1,'Renta Mixta Moderado'!$B$35:$C$62,2,FALSE),0%)</f>
        <v>0</v>
      </c>
      <c r="BPD10" s="5">
        <f>IFERROR(VLOOKUP(BPD$1,'Renta Mixta Moderado'!$B$35:$C$62,2,FALSE),0%)</f>
        <v>0</v>
      </c>
      <c r="BPE10" s="5">
        <f>IFERROR(VLOOKUP(BPE$1,'Renta Mixta Moderado'!$B$35:$C$62,2,FALSE),0%)</f>
        <v>0</v>
      </c>
      <c r="BPF10" s="5">
        <f>IFERROR(VLOOKUP(BPF$1,'Renta Mixta Moderado'!$B$35:$C$62,2,FALSE),0%)</f>
        <v>0</v>
      </c>
      <c r="BPG10" s="5">
        <f>IFERROR(VLOOKUP(BPG$1,'Renta Mixta Moderado'!$B$35:$C$62,2,FALSE),0%)</f>
        <v>0</v>
      </c>
      <c r="BPH10" s="5">
        <f>IFERROR(VLOOKUP(BPH$1,'Renta Mixta Moderado'!$B$35:$C$62,2,FALSE),0%)</f>
        <v>0</v>
      </c>
      <c r="BPI10" s="5">
        <f>IFERROR(VLOOKUP(BPI$1,'Renta Mixta Moderado'!$B$35:$C$62,2,FALSE),0%)</f>
        <v>0</v>
      </c>
      <c r="BPJ10" s="5">
        <f>IFERROR(VLOOKUP(BPJ$1,'Renta Mixta Moderado'!$B$35:$C$62,2,FALSE),0%)</f>
        <v>0</v>
      </c>
      <c r="BPK10" s="5">
        <f>IFERROR(VLOOKUP(BPK$1,'Renta Mixta Moderado'!$B$35:$C$62,2,FALSE),0%)</f>
        <v>0</v>
      </c>
      <c r="BPL10" s="5">
        <f>IFERROR(VLOOKUP(BPL$1,'Renta Mixta Moderado'!$B$35:$C$62,2,FALSE),0%)</f>
        <v>0</v>
      </c>
      <c r="BPM10" s="5">
        <f>IFERROR(VLOOKUP(BPM$1,'Renta Mixta Moderado'!$B$35:$C$62,2,FALSE),0%)</f>
        <v>0</v>
      </c>
      <c r="BPN10" s="5">
        <f>IFERROR(VLOOKUP(BPN$1,'Renta Mixta Moderado'!$B$35:$C$62,2,FALSE),0%)</f>
        <v>0</v>
      </c>
      <c r="BPO10" s="5">
        <f>IFERROR(VLOOKUP(BPO$1,'Renta Mixta Moderado'!$B$35:$C$62,2,FALSE),0%)</f>
        <v>0</v>
      </c>
      <c r="BPP10" s="5">
        <f>IFERROR(VLOOKUP(BPP$1,'Renta Mixta Moderado'!$B$35:$C$62,2,FALSE),0%)</f>
        <v>0</v>
      </c>
      <c r="BPQ10" s="5">
        <f>IFERROR(VLOOKUP(BPQ$1,'Renta Mixta Moderado'!$B$35:$C$62,2,FALSE),0%)</f>
        <v>0</v>
      </c>
      <c r="BPR10" s="5">
        <f>IFERROR(VLOOKUP(BPR$1,'Renta Mixta Moderado'!$B$35:$C$62,2,FALSE),0%)</f>
        <v>0</v>
      </c>
      <c r="BPS10" s="5">
        <f>IFERROR(VLOOKUP(BPS$1,'Renta Mixta Moderado'!$B$35:$C$62,2,FALSE),0%)</f>
        <v>0</v>
      </c>
      <c r="BPT10" s="5">
        <f>IFERROR(VLOOKUP(BPT$1,'Renta Mixta Moderado'!$B$35:$C$62,2,FALSE),0%)</f>
        <v>0</v>
      </c>
      <c r="BPU10" s="5">
        <f>IFERROR(VLOOKUP(BPU$1,'Renta Mixta Moderado'!$B$35:$C$62,2,FALSE),0%)</f>
        <v>0</v>
      </c>
      <c r="BPV10" s="5">
        <f>IFERROR(VLOOKUP(BPV$1,'Renta Mixta Moderado'!$B$35:$C$62,2,FALSE),0%)</f>
        <v>0</v>
      </c>
      <c r="BPW10" s="5">
        <f>IFERROR(VLOOKUP(BPW$1,'Renta Mixta Moderado'!$B$35:$C$62,2,FALSE),0%)</f>
        <v>0</v>
      </c>
      <c r="BPX10" s="5">
        <f>IFERROR(VLOOKUP(BPX$1,'Renta Mixta Moderado'!$B$35:$C$62,2,FALSE),0%)</f>
        <v>0</v>
      </c>
      <c r="BPY10" s="5">
        <f>IFERROR(VLOOKUP(BPY$1,'Renta Mixta Moderado'!$B$35:$C$62,2,FALSE),0%)</f>
        <v>0</v>
      </c>
      <c r="BPZ10" s="5">
        <f>IFERROR(VLOOKUP(BPZ$1,'Renta Mixta Moderado'!$B$35:$C$62,2,FALSE),0%)</f>
        <v>0</v>
      </c>
      <c r="BQA10" s="5">
        <f>IFERROR(VLOOKUP(BQA$1,'Renta Mixta Moderado'!$B$35:$C$62,2,FALSE),0%)</f>
        <v>0</v>
      </c>
      <c r="BQB10" s="5">
        <f>IFERROR(VLOOKUP(BQB$1,'Renta Mixta Moderado'!$B$35:$C$62,2,FALSE),0%)</f>
        <v>0</v>
      </c>
      <c r="BQC10" s="5">
        <f>IFERROR(VLOOKUP(BQC$1,'Renta Mixta Moderado'!$B$35:$C$62,2,FALSE),0%)</f>
        <v>0</v>
      </c>
      <c r="BQD10" s="5">
        <f>IFERROR(VLOOKUP(BQD$1,'Renta Mixta Moderado'!$B$35:$C$62,2,FALSE),0%)</f>
        <v>0</v>
      </c>
      <c r="BQE10" s="5">
        <f>IFERROR(VLOOKUP(BQE$1,'Renta Mixta Moderado'!$B$35:$C$62,2,FALSE),0%)</f>
        <v>0</v>
      </c>
      <c r="BQF10" s="5">
        <f>IFERROR(VLOOKUP(BQF$1,'Renta Mixta Moderado'!$B$35:$C$62,2,FALSE),0%)</f>
        <v>0</v>
      </c>
      <c r="BQG10" s="5">
        <f>IFERROR(VLOOKUP(BQG$1,'Renta Mixta Moderado'!$B$35:$C$62,2,FALSE),0%)</f>
        <v>0.06042121953</v>
      </c>
      <c r="BQH10" s="5">
        <f>IFERROR(VLOOKUP(BQH$1,'Renta Mixta Moderado'!$B$35:$C$62,2,FALSE),0%)</f>
        <v>0</v>
      </c>
      <c r="BQI10" s="5">
        <f>IFERROR(VLOOKUP(BQI$1,'Renta Mixta Moderado'!$B$35:$C$62,2,FALSE),0%)</f>
        <v>0</v>
      </c>
      <c r="BQJ10" s="5">
        <f>IFERROR(VLOOKUP(BQJ$1,'Renta Mixta Moderado'!$B$35:$C$62,2,FALSE),0%)</f>
        <v>0</v>
      </c>
      <c r="BQK10" s="5">
        <f>IFERROR(VLOOKUP(BQK$1,'Renta Mixta Moderado'!$B$35:$C$62,2,FALSE),0%)</f>
        <v>0</v>
      </c>
      <c r="BQL10" s="5">
        <f>IFERROR(VLOOKUP(BQL$1,'Renta Mixta Moderado'!$B$35:$C$62,2,FALSE),0%)</f>
        <v>0.01222809654</v>
      </c>
      <c r="BQM10" s="5">
        <f>IFERROR(VLOOKUP(BQM$1,'Renta Mixta Moderado'!$B$35:$C$62,2,FALSE),0%)</f>
        <v>0</v>
      </c>
      <c r="BQN10" s="5">
        <f>IFERROR(VLOOKUP(BQN$1,'Renta Mixta Moderado'!$B$35:$C$62,2,FALSE),0%)</f>
        <v>0</v>
      </c>
      <c r="BQO10" s="5">
        <f>IFERROR(VLOOKUP(BQO$1,'Renta Mixta Moderado'!$B$35:$C$62,2,FALSE),0%)</f>
        <v>0</v>
      </c>
      <c r="BQP10" s="5">
        <f>IFERROR(VLOOKUP(BQP$1,'Renta Mixta Moderado'!$B$35:$C$62,2,FALSE),0%)</f>
        <v>0</v>
      </c>
      <c r="BQQ10" s="5">
        <f>IFERROR(VLOOKUP(BQQ$1,'Renta Mixta Moderado'!$B$35:$C$62,2,FALSE),0%)</f>
        <v>0</v>
      </c>
      <c r="BQR10" s="5">
        <f>IFERROR(VLOOKUP(BQR$1,'Renta Mixta Moderado'!$B$35:$C$62,2,FALSE),0%)</f>
        <v>0</v>
      </c>
      <c r="BQS10" s="5">
        <f>IFERROR(VLOOKUP(BQS$1,'Renta Mixta Moderado'!$B$35:$C$62,2,FALSE),0%)</f>
        <v>0</v>
      </c>
      <c r="BQT10" s="5">
        <f>IFERROR(VLOOKUP(BQT$1,'Renta Mixta Moderado'!$B$35:$C$62,2,FALSE),0%)</f>
        <v>0</v>
      </c>
      <c r="BQU10" s="5">
        <f>IFERROR(VLOOKUP(BQU$1,'Renta Mixta Moderado'!$B$35:$C$62,2,FALSE),0%)</f>
        <v>0</v>
      </c>
      <c r="BQV10" s="5">
        <f>IFERROR(VLOOKUP(BQV$1,'Renta Mixta Moderado'!$B$35:$C$62,2,FALSE),0%)</f>
        <v>0</v>
      </c>
      <c r="BQW10" s="5">
        <f>IFERROR(VLOOKUP(BQW$1,'Renta Mixta Moderado'!$B$35:$C$62,2,FALSE),0%)</f>
        <v>0</v>
      </c>
      <c r="BQX10" s="5">
        <f>IFERROR(VLOOKUP(BQX$1,'Renta Mixta Moderado'!$B$35:$C$62,2,FALSE),0%)</f>
        <v>0</v>
      </c>
      <c r="BQY10" s="5">
        <f>IFERROR(VLOOKUP(BQY$1,'Renta Mixta Moderado'!$B$35:$C$62,2,FALSE),0%)</f>
        <v>0</v>
      </c>
      <c r="BQZ10" s="5">
        <f>IFERROR(VLOOKUP(BQZ$1,'Renta Mixta Moderado'!$B$35:$C$62,2,FALSE),0%)</f>
        <v>0</v>
      </c>
      <c r="BRA10" s="5">
        <f>IFERROR(VLOOKUP(BRA$1,'Renta Mixta Moderado'!$B$35:$C$62,2,FALSE),0%)</f>
        <v>0</v>
      </c>
      <c r="BRB10" s="5">
        <f>IFERROR(VLOOKUP(BRB$1,'Renta Mixta Moderado'!$B$35:$C$62,2,FALSE),0%)</f>
        <v>0</v>
      </c>
      <c r="BRC10" s="5">
        <f>IFERROR(VLOOKUP(BRC$1,'Renta Mixta Moderado'!$B$35:$C$62,2,FALSE),0%)</f>
        <v>0</v>
      </c>
      <c r="BRD10" s="5">
        <f>IFERROR(VLOOKUP(BRD$1,'Renta Mixta Moderado'!$B$35:$C$62,2,FALSE),0%)</f>
        <v>0</v>
      </c>
      <c r="BRE10" s="5">
        <f>IFERROR(VLOOKUP(BRE$1,'Renta Mixta Moderado'!$B$35:$C$62,2,FALSE),0%)</f>
        <v>0</v>
      </c>
      <c r="BRF10" s="5">
        <f>IFERROR(VLOOKUP(BRF$1,'Renta Mixta Moderado'!$B$35:$C$62,2,FALSE),0%)</f>
        <v>0</v>
      </c>
      <c r="BRG10" s="5">
        <f>IFERROR(VLOOKUP(BRG$1,'Renta Mixta Moderado'!$B$35:$C$62,2,FALSE),0%)</f>
        <v>0</v>
      </c>
      <c r="BRH10" s="5">
        <f>IFERROR(VLOOKUP(BRH$1,'Renta Mixta Moderado'!$B$35:$C$62,2,FALSE),0%)</f>
        <v>0</v>
      </c>
      <c r="BRI10" s="5">
        <f>IFERROR(VLOOKUP(BRI$1,'Renta Mixta Moderado'!$B$35:$C$62,2,FALSE),0%)</f>
        <v>0</v>
      </c>
      <c r="BRJ10" s="5">
        <f>IFERROR(VLOOKUP(BRJ$1,'Renta Mixta Moderado'!$B$35:$C$62,2,FALSE),0%)</f>
        <v>0</v>
      </c>
      <c r="BRK10" s="5">
        <f>IFERROR(VLOOKUP(BRK$1,'Renta Mixta Moderado'!$B$35:$C$62,2,FALSE),0%)</f>
        <v>0</v>
      </c>
      <c r="BRL10" s="5">
        <f>IFERROR(VLOOKUP(BRL$1,'Renta Mixta Moderado'!$B$35:$C$62,2,FALSE),0%)</f>
        <v>0</v>
      </c>
      <c r="BRM10" s="5">
        <f>IFERROR(VLOOKUP(BRM$1,'Renta Mixta Moderado'!$B$35:$C$62,2,FALSE),0%)</f>
        <v>0</v>
      </c>
      <c r="BRN10" s="5">
        <f>IFERROR(VLOOKUP(BRN$1,'Renta Mixta Moderado'!$B$35:$C$62,2,FALSE),0%)</f>
        <v>0</v>
      </c>
      <c r="BRO10" s="5">
        <f>IFERROR(VLOOKUP(BRO$1,'Renta Mixta Moderado'!$B$35:$C$62,2,FALSE),0%)</f>
        <v>0</v>
      </c>
      <c r="BRP10" s="5">
        <f>IFERROR(VLOOKUP(BRP$1,'Renta Mixta Moderado'!$B$35:$C$62,2,FALSE),0%)</f>
        <v>0</v>
      </c>
      <c r="BRQ10" s="5">
        <f>IFERROR(VLOOKUP(BRQ$1,'Renta Mixta Moderado'!$B$35:$C$62,2,FALSE),0%)</f>
        <v>0</v>
      </c>
      <c r="BRR10" s="5">
        <f>IFERROR(VLOOKUP(BRR$1,'Renta Mixta Moderado'!$B$35:$C$62,2,FALSE),0%)</f>
        <v>0</v>
      </c>
      <c r="BRS10" s="5">
        <f>IFERROR(VLOOKUP(BRS$1,'Renta Mixta Moderado'!$B$35:$C$62,2,FALSE),0%)</f>
        <v>0</v>
      </c>
      <c r="BRT10" s="5">
        <f>IFERROR(VLOOKUP(BRT$1,'Renta Mixta Moderado'!$B$35:$C$62,2,FALSE),0%)</f>
        <v>0</v>
      </c>
      <c r="BRU10" s="5">
        <f>IFERROR(VLOOKUP(BRU$1,'Renta Mixta Moderado'!$B$35:$C$62,2,FALSE),0%)</f>
        <v>0</v>
      </c>
      <c r="BRV10" s="5">
        <f>IFERROR(VLOOKUP(BRV$1,'Renta Mixta Moderado'!$B$35:$C$62,2,FALSE),0%)</f>
        <v>0</v>
      </c>
      <c r="BRW10" s="5">
        <f>IFERROR(VLOOKUP(BRW$1,'Renta Mixta Moderado'!$B$35:$C$62,2,FALSE),0%)</f>
        <v>0</v>
      </c>
      <c r="BRX10" s="5">
        <f>IFERROR(VLOOKUP(BRX$1,'Renta Mixta Moderado'!$B$35:$C$62,2,FALSE),0%)</f>
        <v>0</v>
      </c>
      <c r="BRY10" s="5">
        <f>IFERROR(VLOOKUP(BRY$1,'Renta Mixta Moderado'!$B$35:$C$62,2,FALSE),0%)</f>
        <v>0</v>
      </c>
      <c r="BRZ10" s="5">
        <f>IFERROR(VLOOKUP(BRZ$1,'Renta Mixta Moderado'!$B$35:$C$62,2,FALSE),0%)</f>
        <v>0</v>
      </c>
      <c r="BSA10" s="5">
        <f>IFERROR(VLOOKUP(BSA$1,'Renta Mixta Moderado'!$B$35:$C$62,2,FALSE),0%)</f>
        <v>0</v>
      </c>
      <c r="BSB10" s="5">
        <f>IFERROR(VLOOKUP(BSB$1,'Renta Mixta Moderado'!$B$35:$C$62,2,FALSE),0%)</f>
        <v>0</v>
      </c>
      <c r="BSC10" s="5">
        <f>IFERROR(VLOOKUP(BSC$1,'Renta Mixta Moderado'!$B$35:$C$62,2,FALSE),0%)</f>
        <v>0</v>
      </c>
      <c r="BSD10" s="5">
        <f>IFERROR(VLOOKUP(BSD$1,'Renta Mixta Moderado'!$B$35:$C$62,2,FALSE),0%)</f>
        <v>0</v>
      </c>
      <c r="BSE10" s="5">
        <f>IFERROR(VLOOKUP(BSE$1,'Renta Mixta Moderado'!$B$35:$C$62,2,FALSE),0%)</f>
        <v>0</v>
      </c>
      <c r="BSF10" s="5">
        <f>IFERROR(VLOOKUP(BSF$1,'Renta Mixta Moderado'!$B$35:$C$62,2,FALSE),0%)</f>
        <v>0</v>
      </c>
      <c r="BSG10" s="5">
        <f>IFERROR(VLOOKUP(BSG$1,'Renta Mixta Moderado'!$B$35:$C$62,2,FALSE),0%)</f>
        <v>0</v>
      </c>
      <c r="BSH10" s="5">
        <f>IFERROR(VLOOKUP(BSH$1,'Renta Mixta Moderado'!$B$35:$C$62,2,FALSE),0%)</f>
        <v>0</v>
      </c>
      <c r="BSI10" s="5">
        <f>IFERROR(VLOOKUP(BSI$1,'Renta Mixta Moderado'!$B$35:$C$62,2,FALSE),0%)</f>
        <v>0</v>
      </c>
      <c r="BSJ10" s="5">
        <f>IFERROR(VLOOKUP(BSJ$1,'Renta Mixta Moderado'!$B$35:$C$62,2,FALSE),0%)</f>
        <v>0</v>
      </c>
      <c r="BSK10" s="5">
        <f>IFERROR(VLOOKUP(BSK$1,'Renta Mixta Moderado'!$B$35:$C$62,2,FALSE),0%)</f>
        <v>0</v>
      </c>
      <c r="BSL10" s="5">
        <f>IFERROR(VLOOKUP(BSL$1,'Renta Mixta Moderado'!$B$35:$C$62,2,FALSE),0%)</f>
        <v>0</v>
      </c>
      <c r="BSM10" s="5">
        <f>IFERROR(VLOOKUP(BSM$1,'Renta Mixta Moderado'!$B$35:$C$62,2,FALSE),0%)</f>
        <v>0</v>
      </c>
      <c r="BSN10" s="5">
        <f>IFERROR(VLOOKUP(BSN$1,'Renta Mixta Moderado'!$B$35:$C$62,2,FALSE),0%)</f>
        <v>0</v>
      </c>
      <c r="BSO10" s="5">
        <f>IFERROR(VLOOKUP(BSO$1,'Renta Mixta Moderado'!$B$35:$C$62,2,FALSE),0%)</f>
        <v>0</v>
      </c>
      <c r="BSP10" s="5">
        <f>IFERROR(VLOOKUP(BSP$1,'Renta Mixta Moderado'!$B$35:$C$62,2,FALSE),0%)</f>
        <v>0</v>
      </c>
      <c r="BSQ10" s="5">
        <f>IFERROR(VLOOKUP(BSQ$1,'Renta Mixta Moderado'!$B$35:$C$62,2,FALSE),0%)</f>
        <v>0</v>
      </c>
      <c r="BSR10" s="5">
        <f>IFERROR(VLOOKUP(BSR$1,'Renta Mixta Moderado'!$B$35:$C$62,2,FALSE),0%)</f>
        <v>0</v>
      </c>
      <c r="BSS10" s="5">
        <f>IFERROR(VLOOKUP(BSS$1,'Renta Mixta Moderado'!$B$35:$C$62,2,FALSE),0%)</f>
        <v>0</v>
      </c>
      <c r="BST10" s="5">
        <f>IFERROR(VLOOKUP(BST$1,'Renta Mixta Moderado'!$B$35:$C$62,2,FALSE),0%)</f>
        <v>0</v>
      </c>
      <c r="BSU10" s="5">
        <f>IFERROR(VLOOKUP(BSU$1,'Renta Mixta Moderado'!$B$35:$C$62,2,FALSE),0%)</f>
        <v>0</v>
      </c>
      <c r="BSV10" s="5">
        <f>IFERROR(VLOOKUP(BSV$1,'Renta Mixta Moderado'!$B$35:$C$62,2,FALSE),0%)</f>
        <v>0</v>
      </c>
      <c r="BSW10" s="5">
        <f>IFERROR(VLOOKUP(BSW$1,'Renta Mixta Moderado'!$B$35:$C$62,2,FALSE),0%)</f>
        <v>0</v>
      </c>
      <c r="BSX10" s="5">
        <f>IFERROR(VLOOKUP(BSX$1,'Renta Mixta Moderado'!$B$35:$C$62,2,FALSE),0%)</f>
        <v>0</v>
      </c>
      <c r="BSY10" s="5">
        <f>IFERROR(VLOOKUP(BSY$1,'Renta Mixta Moderado'!$B$35:$C$62,2,FALSE),0%)</f>
        <v>0</v>
      </c>
      <c r="BSZ10" s="5">
        <f>IFERROR(VLOOKUP(BSZ$1,'Renta Mixta Moderado'!$B$35:$C$62,2,FALSE),0%)</f>
        <v>0</v>
      </c>
      <c r="BTA10" s="5">
        <f>IFERROR(VLOOKUP(BTA$1,'Renta Mixta Moderado'!$B$35:$C$62,2,FALSE),0%)</f>
        <v>0</v>
      </c>
      <c r="BTB10" s="5">
        <f>IFERROR(VLOOKUP(BTB$1,'Renta Mixta Moderado'!$B$35:$C$62,2,FALSE),0%)</f>
        <v>0</v>
      </c>
      <c r="BTC10" s="5">
        <f>IFERROR(VLOOKUP(BTC$1,'Renta Mixta Moderado'!$B$35:$C$62,2,FALSE),0%)</f>
        <v>0</v>
      </c>
      <c r="BTD10" s="5">
        <f>IFERROR(VLOOKUP(BTD$1,'Renta Mixta Moderado'!$B$35:$C$62,2,FALSE),0%)</f>
        <v>0</v>
      </c>
      <c r="BTE10" s="5">
        <f>IFERROR(VLOOKUP(BTE$1,'Renta Mixta Moderado'!$B$35:$C$62,2,FALSE),0%)</f>
        <v>0</v>
      </c>
      <c r="BTF10" s="5">
        <f>IFERROR(VLOOKUP(BTF$1,'Renta Mixta Moderado'!$B$35:$C$62,2,FALSE),0%)</f>
        <v>0</v>
      </c>
      <c r="BTG10" s="5">
        <f>IFERROR(VLOOKUP(BTG$1,'Renta Mixta Moderado'!$B$35:$C$62,2,FALSE),0%)</f>
        <v>0</v>
      </c>
      <c r="BTH10" s="5">
        <f>IFERROR(VLOOKUP(BTH$1,'Renta Mixta Moderado'!$B$35:$C$62,2,FALSE),0%)</f>
        <v>0</v>
      </c>
      <c r="BTI10" s="5">
        <f>IFERROR(VLOOKUP(BTI$1,'Renta Mixta Moderado'!$B$35:$C$62,2,FALSE),0%)</f>
        <v>0</v>
      </c>
      <c r="BTJ10" s="5">
        <f>IFERROR(VLOOKUP(BTJ$1,'Renta Mixta Moderado'!$B$35:$C$62,2,FALSE),0%)</f>
        <v>0</v>
      </c>
      <c r="BTK10" s="5">
        <f>IFERROR(VLOOKUP(BTK$1,'Renta Mixta Moderado'!$B$35:$C$62,2,FALSE),0%)</f>
        <v>0</v>
      </c>
      <c r="BTL10" s="5">
        <f>IFERROR(VLOOKUP(BTL$1,'Renta Mixta Moderado'!$B$35:$C$62,2,FALSE),0%)</f>
        <v>0</v>
      </c>
      <c r="BTM10" s="5">
        <f>IFERROR(VLOOKUP(BTM$1,'Renta Mixta Moderado'!$B$35:$C$62,2,FALSE),0%)</f>
        <v>0</v>
      </c>
      <c r="BTN10" s="5">
        <f>IFERROR(VLOOKUP(BTN$1,'Renta Mixta Moderado'!$B$35:$C$62,2,FALSE),0%)</f>
        <v>0</v>
      </c>
      <c r="BTO10" s="5">
        <f>IFERROR(VLOOKUP(BTO$1,'Renta Mixta Moderado'!$B$35:$C$62,2,FALSE),0%)</f>
        <v>0</v>
      </c>
      <c r="BTP10" s="5">
        <f>IFERROR(VLOOKUP(BTP$1,'Renta Mixta Moderado'!$B$35:$C$62,2,FALSE),0%)</f>
        <v>0</v>
      </c>
      <c r="BTQ10" s="5">
        <f>IFERROR(VLOOKUP(BTQ$1,'Renta Mixta Moderado'!$B$35:$C$62,2,FALSE),0%)</f>
        <v>0</v>
      </c>
      <c r="BTR10" s="5">
        <f>IFERROR(VLOOKUP(BTR$1,'Renta Mixta Moderado'!$B$35:$C$62,2,FALSE),0%)</f>
        <v>0</v>
      </c>
      <c r="BTS10" s="5">
        <f>IFERROR(VLOOKUP(BTS$1,'Renta Mixta Moderado'!$B$35:$C$62,2,FALSE),0%)</f>
        <v>0</v>
      </c>
      <c r="BTT10" s="5">
        <f>IFERROR(VLOOKUP(BTT$1,'Renta Mixta Moderado'!$B$35:$C$62,2,FALSE),0%)</f>
        <v>0</v>
      </c>
      <c r="BTU10" s="5">
        <f>IFERROR(VLOOKUP(BTU$1,'Renta Mixta Moderado'!$B$35:$C$62,2,FALSE),0%)</f>
        <v>0</v>
      </c>
      <c r="BTV10" s="5">
        <f>IFERROR(VLOOKUP(BTV$1,'Renta Mixta Moderado'!$B$35:$C$62,2,FALSE),0%)</f>
        <v>0</v>
      </c>
      <c r="BTW10" s="5">
        <f>IFERROR(VLOOKUP(BTW$1,'Renta Mixta Moderado'!$B$35:$C$62,2,FALSE),0%)</f>
        <v>0</v>
      </c>
      <c r="BTX10" s="5">
        <f>IFERROR(VLOOKUP(BTX$1,'Renta Mixta Moderado'!$B$35:$C$62,2,FALSE),0%)</f>
        <v>0</v>
      </c>
      <c r="BTY10" s="5">
        <f>IFERROR(VLOOKUP(BTY$1,'Renta Mixta Moderado'!$B$35:$C$62,2,FALSE),0%)</f>
        <v>0</v>
      </c>
      <c r="BTZ10" s="5">
        <f>IFERROR(VLOOKUP(BTZ$1,'Renta Mixta Moderado'!$B$35:$C$62,2,FALSE),0%)</f>
        <v>0.0113</v>
      </c>
      <c r="BUA10" s="5">
        <f>IFERROR(VLOOKUP(BUA$1,'Renta Mixta Moderado'!$B$35:$C$62,2,FALSE),0%)</f>
        <v>0</v>
      </c>
      <c r="BUB10" s="5">
        <f>IFERROR(VLOOKUP(BUB$1,'Renta Mixta Moderado'!$B$35:$C$62,2,FALSE),0%)</f>
        <v>0</v>
      </c>
      <c r="BUC10" s="5">
        <f>IFERROR(VLOOKUP(BUC$1,'Renta Mixta Moderado'!$B$35:$C$62,2,FALSE),0%)</f>
        <v>0</v>
      </c>
      <c r="BUD10" s="5">
        <f>IFERROR(VLOOKUP(BUD$1,'Renta Mixta Moderado'!$B$35:$C$62,2,FALSE),0%)</f>
        <v>0</v>
      </c>
      <c r="BUE10" s="5">
        <f>IFERROR(VLOOKUP(BUE$1,'Renta Mixta Moderado'!$B$35:$C$62,2,FALSE),0%)</f>
        <v>0</v>
      </c>
      <c r="BUF10" s="5">
        <f>IFERROR(VLOOKUP(BUF$1,'Renta Mixta Moderado'!$B$35:$C$62,2,FALSE),0%)</f>
        <v>0</v>
      </c>
      <c r="BUG10" s="5">
        <f>IFERROR(VLOOKUP(BUG$1,'Renta Mixta Moderado'!$B$35:$C$62,2,FALSE),0%)</f>
        <v>0</v>
      </c>
      <c r="BUH10" s="5">
        <f>IFERROR(VLOOKUP(BUH$1,'Renta Mixta Moderado'!$B$35:$C$62,2,FALSE),0%)</f>
        <v>0</v>
      </c>
      <c r="BUI10" s="5">
        <f>IFERROR(VLOOKUP(BUI$1,'Renta Mixta Moderado'!$B$35:$C$62,2,FALSE),0%)</f>
        <v>0</v>
      </c>
      <c r="BUJ10" s="5">
        <f>IFERROR(VLOOKUP(BUJ$1,'Renta Mixta Moderado'!$B$35:$C$62,2,FALSE),0%)</f>
        <v>0</v>
      </c>
      <c r="BUK10" s="5">
        <f>IFERROR(VLOOKUP(BUK$1,'Renta Mixta Moderado'!$B$35:$C$62,2,FALSE),0%)</f>
        <v>0</v>
      </c>
      <c r="BUL10" s="5">
        <f>IFERROR(VLOOKUP(BUL$1,'Renta Mixta Moderado'!$B$35:$C$62,2,FALSE),0%)</f>
        <v>0</v>
      </c>
      <c r="BUM10" s="5">
        <f>IFERROR(VLOOKUP(BUM$1,'Renta Mixta Moderado'!$B$35:$C$62,2,FALSE),0%)</f>
        <v>0</v>
      </c>
      <c r="BUN10" s="5">
        <f>IFERROR(VLOOKUP(BUN$1,'Renta Mixta Moderado'!$B$35:$C$62,2,FALSE),0%)</f>
        <v>0</v>
      </c>
      <c r="BUO10" s="5">
        <f>IFERROR(VLOOKUP(BUO$1,'Renta Mixta Moderado'!$B$35:$C$62,2,FALSE),0%)</f>
        <v>0</v>
      </c>
      <c r="BUP10" s="5">
        <f>IFERROR(VLOOKUP(BUP$1,'Renta Mixta Moderado'!$B$35:$C$62,2,FALSE),0%)</f>
        <v>0</v>
      </c>
      <c r="BUQ10" s="5">
        <f>IFERROR(VLOOKUP(BUQ$1,'Renta Mixta Moderado'!$B$35:$C$62,2,FALSE),0%)</f>
        <v>0</v>
      </c>
      <c r="BUR10" s="5">
        <f>IFERROR(VLOOKUP(BUR$1,'Renta Mixta Moderado'!$B$35:$C$62,2,FALSE),0%)</f>
        <v>0</v>
      </c>
      <c r="BUS10" s="5">
        <f>IFERROR(VLOOKUP(BUS$1,'Renta Mixta Moderado'!$B$35:$C$62,2,FALSE),0%)</f>
        <v>0</v>
      </c>
      <c r="BUT10" s="5">
        <f>IFERROR(VLOOKUP(BUT$1,'Renta Mixta Moderado'!$B$35:$C$62,2,FALSE),0%)</f>
        <v>0</v>
      </c>
      <c r="BUU10" s="5">
        <f>IFERROR(VLOOKUP(BUU$1,'Renta Mixta Moderado'!$B$35:$C$62,2,FALSE),0%)</f>
        <v>0</v>
      </c>
      <c r="BUV10" s="5">
        <f>IFERROR(VLOOKUP(BUV$1,'Renta Mixta Moderado'!$B$35:$C$62,2,FALSE),0%)</f>
        <v>0</v>
      </c>
      <c r="BUW10" s="5">
        <f>IFERROR(VLOOKUP(BUW$1,'Renta Mixta Moderado'!$B$35:$C$62,2,FALSE),0%)</f>
        <v>0</v>
      </c>
      <c r="BUX10" s="5">
        <f>IFERROR(VLOOKUP(BUX$1,'Renta Mixta Moderado'!$B$35:$C$62,2,FALSE),0%)</f>
        <v>0</v>
      </c>
      <c r="BUY10" s="5">
        <f>IFERROR(VLOOKUP(BUY$1,'Renta Mixta Moderado'!$B$35:$C$62,2,FALSE),0%)</f>
        <v>0</v>
      </c>
      <c r="BUZ10" s="5">
        <f>IFERROR(VLOOKUP(BUZ$1,'Renta Mixta Moderado'!$B$35:$C$62,2,FALSE),0%)</f>
        <v>0</v>
      </c>
      <c r="BVA10" s="5">
        <f>IFERROR(VLOOKUP(BVA$1,'Renta Mixta Moderado'!$B$35:$C$62,2,FALSE),0%)</f>
        <v>0</v>
      </c>
      <c r="BVB10" s="5">
        <f>IFERROR(VLOOKUP(BVB$1,'Renta Mixta Moderado'!$B$35:$C$62,2,FALSE),0%)</f>
        <v>0</v>
      </c>
      <c r="BVC10" s="5">
        <f>IFERROR(VLOOKUP(BVC$1,'Renta Mixta Moderado'!$B$35:$C$62,2,FALSE),0%)</f>
        <v>0</v>
      </c>
      <c r="BVD10" s="5">
        <f>IFERROR(VLOOKUP(BVD$1,'Renta Mixta Moderado'!$B$35:$C$62,2,FALSE),0%)</f>
        <v>0</v>
      </c>
      <c r="BVE10" s="5">
        <f>IFERROR(VLOOKUP(BVE$1,'Renta Mixta Moderado'!$B$35:$C$62,2,FALSE),0%)</f>
        <v>0</v>
      </c>
      <c r="BVF10" s="5">
        <f>IFERROR(VLOOKUP(BVF$1,'Renta Mixta Moderado'!$B$35:$C$62,2,FALSE),0%)</f>
        <v>0</v>
      </c>
      <c r="BVG10" s="5">
        <f>IFERROR(VLOOKUP(BVG$1,'Renta Mixta Moderado'!$B$35:$C$62,2,FALSE),0%)</f>
        <v>0</v>
      </c>
      <c r="BVH10" s="5">
        <f>IFERROR(VLOOKUP(BVH$1,'Renta Mixta Moderado'!$B$35:$C$62,2,FALSE),0%)</f>
        <v>0</v>
      </c>
      <c r="BVI10" s="5">
        <f>IFERROR(VLOOKUP(BVI$1,'Renta Mixta Moderado'!$B$35:$C$62,2,FALSE),0%)</f>
        <v>0</v>
      </c>
      <c r="BVJ10" s="5">
        <f>IFERROR(VLOOKUP(BVJ$1,'Renta Mixta Moderado'!$B$35:$C$62,2,FALSE),0%)</f>
        <v>0</v>
      </c>
      <c r="BVK10" s="5">
        <f>IFERROR(VLOOKUP(BVK$1,'Renta Mixta Moderado'!$B$35:$C$62,2,FALSE),0%)</f>
        <v>0</v>
      </c>
      <c r="BVL10" s="5">
        <f>IFERROR(VLOOKUP(BVL$1,'Renta Mixta Moderado'!$B$35:$C$62,2,FALSE),0%)</f>
        <v>0</v>
      </c>
      <c r="BVM10" s="5">
        <f>IFERROR(VLOOKUP(BVM$1,'Renta Mixta Moderado'!$B$35:$C$62,2,FALSE),0%)</f>
        <v>0</v>
      </c>
      <c r="BVN10" s="5">
        <f>IFERROR(VLOOKUP(BVN$1,'Renta Mixta Moderado'!$B$35:$C$62,2,FALSE),0%)</f>
        <v>0</v>
      </c>
      <c r="BVO10" s="5">
        <f>IFERROR(VLOOKUP(BVO$1,'Renta Mixta Moderado'!$B$35:$C$62,2,FALSE),0%)</f>
        <v>0</v>
      </c>
      <c r="BVP10" s="5">
        <f>IFERROR(VLOOKUP(BVP$1,'Renta Mixta Moderado'!$B$35:$C$62,2,FALSE),0%)</f>
        <v>0</v>
      </c>
      <c r="BVQ10" s="5">
        <f>IFERROR(VLOOKUP(BVQ$1,'Renta Mixta Moderado'!$B$35:$C$62,2,FALSE),0%)</f>
        <v>0</v>
      </c>
      <c r="BVR10" s="5">
        <f>IFERROR(VLOOKUP(BVR$1,'Renta Mixta Moderado'!$B$35:$C$62,2,FALSE),0%)</f>
        <v>0</v>
      </c>
      <c r="BVS10" s="5">
        <f>IFERROR(VLOOKUP(BVS$1,'Renta Mixta Moderado'!$B$35:$C$62,2,FALSE),0%)</f>
        <v>0</v>
      </c>
      <c r="BVT10" s="5">
        <f>IFERROR(VLOOKUP(BVT$1,'Renta Mixta Moderado'!$B$35:$C$62,2,FALSE),0%)</f>
        <v>0</v>
      </c>
      <c r="BVU10" s="5">
        <f>IFERROR(VLOOKUP(BVU$1,'Renta Mixta Moderado'!$B$35:$C$62,2,FALSE),0%)</f>
        <v>0</v>
      </c>
      <c r="BVV10" s="5">
        <f>IFERROR(VLOOKUP(BVV$1,'Renta Mixta Moderado'!$B$35:$C$62,2,FALSE),0%)</f>
        <v>0</v>
      </c>
      <c r="BVW10" s="5">
        <f>IFERROR(VLOOKUP(BVW$1,'Renta Mixta Moderado'!$B$35:$C$62,2,FALSE),0%)</f>
        <v>0</v>
      </c>
      <c r="BVX10" s="5">
        <f>IFERROR(VLOOKUP(BVX$1,'Renta Mixta Moderado'!$B$35:$C$62,2,FALSE),0%)</f>
        <v>0</v>
      </c>
      <c r="BVY10" s="5">
        <f>IFERROR(VLOOKUP(BVY$1,'Renta Mixta Moderado'!$B$35:$C$62,2,FALSE),0%)</f>
        <v>0</v>
      </c>
      <c r="BVZ10" s="5">
        <f>IFERROR(VLOOKUP(BVZ$1,'Renta Mixta Moderado'!$B$35:$C$62,2,FALSE),0%)</f>
        <v>0</v>
      </c>
      <c r="BWA10" s="5">
        <f>IFERROR(VLOOKUP(BWA$1,'Renta Mixta Moderado'!$B$35:$C$62,2,FALSE),0%)</f>
        <v>0</v>
      </c>
      <c r="BWB10" s="5">
        <f>IFERROR(VLOOKUP(BWB$1,'Renta Mixta Moderado'!$B$35:$C$62,2,FALSE),0%)</f>
        <v>0</v>
      </c>
      <c r="BWC10" s="5">
        <f>IFERROR(VLOOKUP(BWC$1,'Renta Mixta Moderado'!$B$35:$C$62,2,FALSE),0%)</f>
        <v>0</v>
      </c>
      <c r="BWD10" s="5">
        <f>IFERROR(VLOOKUP(BWD$1,'Renta Mixta Moderado'!$B$35:$C$62,2,FALSE),0%)</f>
        <v>0</v>
      </c>
      <c r="BWE10" s="5">
        <f>IFERROR(VLOOKUP(BWE$1,'Renta Mixta Moderado'!$B$35:$C$62,2,FALSE),0%)</f>
        <v>0</v>
      </c>
      <c r="BWF10" s="5">
        <f>IFERROR(VLOOKUP(BWF$1,'Renta Mixta Moderado'!$B$35:$C$62,2,FALSE),0%)</f>
        <v>0</v>
      </c>
      <c r="BWG10" s="5">
        <f>IFERROR(VLOOKUP(BWG$1,'Renta Mixta Moderado'!$B$35:$C$62,2,FALSE),0%)</f>
        <v>0</v>
      </c>
      <c r="BWH10" s="5">
        <f>IFERROR(VLOOKUP(BWH$1,'Renta Mixta Moderado'!$B$35:$C$62,2,FALSE),0%)</f>
        <v>0</v>
      </c>
      <c r="BWI10" s="5">
        <f>IFERROR(VLOOKUP(BWI$1,'Renta Mixta Moderado'!$B$35:$C$62,2,FALSE),0%)</f>
        <v>0</v>
      </c>
      <c r="BWJ10" s="5">
        <f>IFERROR(VLOOKUP(BWJ$1,'Renta Mixta Moderado'!$B$35:$C$62,2,FALSE),0%)</f>
        <v>0</v>
      </c>
      <c r="BWK10" s="5">
        <f>IFERROR(VLOOKUP(BWK$1,'Renta Mixta Moderado'!$B$35:$C$62,2,FALSE),0%)</f>
        <v>0</v>
      </c>
      <c r="BWL10" s="5">
        <f>IFERROR(VLOOKUP(BWL$1,'Renta Mixta Moderado'!$B$35:$C$62,2,FALSE),0%)</f>
        <v>0</v>
      </c>
      <c r="BWM10" s="5">
        <f>IFERROR(VLOOKUP(BWM$1,'Renta Mixta Moderado'!$B$35:$C$62,2,FALSE),0%)</f>
        <v>0</v>
      </c>
      <c r="BWN10" s="5">
        <f>IFERROR(VLOOKUP(BWN$1,'Renta Mixta Moderado'!$B$35:$C$62,2,FALSE),0%)</f>
        <v>0</v>
      </c>
      <c r="BWO10" s="5">
        <f>IFERROR(VLOOKUP(BWO$1,'Renta Mixta Moderado'!$B$35:$C$62,2,FALSE),0%)</f>
        <v>0</v>
      </c>
      <c r="BWP10" s="5">
        <f>IFERROR(VLOOKUP(BWP$1,'Renta Mixta Moderado'!$B$35:$C$62,2,FALSE),0%)</f>
        <v>0</v>
      </c>
      <c r="BWQ10" s="5">
        <f>IFERROR(VLOOKUP(BWQ$1,'Renta Mixta Moderado'!$B$35:$C$62,2,FALSE),0%)</f>
        <v>0</v>
      </c>
      <c r="BWR10" s="5">
        <f>IFERROR(VLOOKUP(BWR$1,'Renta Mixta Moderado'!$B$35:$C$62,2,FALSE),0%)</f>
        <v>0</v>
      </c>
      <c r="BWS10" s="5">
        <f>IFERROR(VLOOKUP(BWS$1,'Renta Mixta Moderado'!$B$35:$C$62,2,FALSE),0%)</f>
        <v>0</v>
      </c>
      <c r="BWT10" s="5">
        <f>IFERROR(VLOOKUP(BWT$1,'Renta Mixta Moderado'!$B$35:$C$62,2,FALSE),0%)</f>
        <v>0</v>
      </c>
      <c r="BWU10" s="5">
        <f>IFERROR(VLOOKUP(BWU$1,'Renta Mixta Moderado'!$B$35:$C$62,2,FALSE),0%)</f>
        <v>0</v>
      </c>
      <c r="BWV10" s="5">
        <f>IFERROR(VLOOKUP(BWV$1,'Renta Mixta Moderado'!$B$35:$C$62,2,FALSE),0%)</f>
        <v>0</v>
      </c>
      <c r="BWW10" s="5">
        <f>IFERROR(VLOOKUP(BWW$1,'Renta Mixta Moderado'!$B$35:$C$62,2,FALSE),0%)</f>
        <v>0</v>
      </c>
      <c r="BWX10" s="5">
        <f>IFERROR(VLOOKUP(BWX$1,'Renta Mixta Moderado'!$B$35:$C$62,2,FALSE),0%)</f>
        <v>0</v>
      </c>
      <c r="BWY10" s="5">
        <f>IFERROR(VLOOKUP(BWY$1,'Renta Mixta Moderado'!$B$35:$C$62,2,FALSE),0%)</f>
        <v>0</v>
      </c>
      <c r="BWZ10" s="5">
        <f>IFERROR(VLOOKUP(BWZ$1,'Renta Mixta Moderado'!$B$35:$C$62,2,FALSE),0%)</f>
        <v>0</v>
      </c>
      <c r="BXA10" s="5">
        <f>IFERROR(VLOOKUP(BXA$1,'Renta Mixta Moderado'!$B$35:$C$62,2,FALSE),0%)</f>
        <v>0</v>
      </c>
      <c r="BXB10" s="5">
        <f>IFERROR(VLOOKUP(BXB$1,'Renta Mixta Moderado'!$B$35:$C$62,2,FALSE),0%)</f>
        <v>0</v>
      </c>
      <c r="BXC10" s="5">
        <f>IFERROR(VLOOKUP(BXC$1,'Renta Mixta Moderado'!$B$35:$C$62,2,FALSE),0%)</f>
        <v>0</v>
      </c>
      <c r="BXD10" s="5">
        <f>IFERROR(VLOOKUP(BXD$1,'Renta Mixta Moderado'!$B$35:$C$62,2,FALSE),0%)</f>
        <v>0</v>
      </c>
      <c r="BXE10" s="5">
        <f>IFERROR(VLOOKUP(BXE$1,'Renta Mixta Moderado'!$B$35:$C$62,2,FALSE),0%)</f>
        <v>0</v>
      </c>
      <c r="BXF10" s="5">
        <f>IFERROR(VLOOKUP(BXF$1,'Renta Mixta Moderado'!$B$35:$C$62,2,FALSE),0%)</f>
        <v>0</v>
      </c>
      <c r="BXG10" s="5">
        <f>IFERROR(VLOOKUP(BXG$1,'Renta Mixta Moderado'!$B$35:$C$62,2,FALSE),0%)</f>
        <v>0</v>
      </c>
      <c r="BXH10" s="5">
        <f>IFERROR(VLOOKUP(BXH$1,'Renta Mixta Moderado'!$B$35:$C$62,2,FALSE),0%)</f>
        <v>0</v>
      </c>
      <c r="BXI10" s="5">
        <f>IFERROR(VLOOKUP(BXI$1,'Renta Mixta Moderado'!$B$35:$C$62,2,FALSE),0%)</f>
        <v>0</v>
      </c>
      <c r="BXJ10" s="5">
        <f>IFERROR(VLOOKUP(BXJ$1,'Renta Mixta Moderado'!$B$35:$C$62,2,FALSE),0%)</f>
        <v>0</v>
      </c>
      <c r="BXK10" s="5">
        <f>IFERROR(VLOOKUP(BXK$1,'Renta Mixta Moderado'!$B$35:$C$62,2,FALSE),0%)</f>
        <v>0</v>
      </c>
      <c r="BXL10" s="5">
        <f>IFERROR(VLOOKUP(BXL$1,'Renta Mixta Moderado'!$B$35:$C$62,2,FALSE),0%)</f>
        <v>0</v>
      </c>
      <c r="BXM10" s="5">
        <f>IFERROR(VLOOKUP(BXM$1,'Renta Mixta Moderado'!$B$35:$C$62,2,FALSE),0%)</f>
        <v>0</v>
      </c>
      <c r="BXN10" s="5">
        <f>IFERROR(VLOOKUP(BXN$1,'Renta Mixta Moderado'!$B$35:$C$62,2,FALSE),0%)</f>
        <v>0</v>
      </c>
      <c r="BXO10" s="5">
        <f>IFERROR(VLOOKUP(BXO$1,'Renta Mixta Moderado'!$B$35:$C$62,2,FALSE),0%)</f>
        <v>0</v>
      </c>
      <c r="BXP10" s="5">
        <f>IFERROR(VLOOKUP(BXP$1,'Renta Mixta Moderado'!$B$35:$C$62,2,FALSE),0%)</f>
        <v>0</v>
      </c>
      <c r="BXQ10" s="5">
        <f>IFERROR(VLOOKUP(BXQ$1,'Renta Mixta Moderado'!$B$35:$C$62,2,FALSE),0%)</f>
        <v>0</v>
      </c>
      <c r="BXR10" s="5">
        <f>IFERROR(VLOOKUP(BXR$1,'Renta Mixta Moderado'!$B$35:$C$62,2,FALSE),0%)</f>
        <v>0</v>
      </c>
      <c r="BXS10" s="5">
        <f>IFERROR(VLOOKUP(BXS$1,'Renta Mixta Moderado'!$B$35:$C$62,2,FALSE),0%)</f>
        <v>0</v>
      </c>
      <c r="BXT10" s="5">
        <f>IFERROR(VLOOKUP(BXT$1,'Renta Mixta Moderado'!$B$35:$C$62,2,FALSE),0%)</f>
        <v>0</v>
      </c>
      <c r="BXU10" s="5">
        <f>IFERROR(VLOOKUP(BXU$1,'Renta Mixta Moderado'!$B$35:$C$62,2,FALSE),0%)</f>
        <v>0</v>
      </c>
      <c r="BXV10" s="5">
        <f>IFERROR(VLOOKUP(BXV$1,'Renta Mixta Moderado'!$B$35:$C$62,2,FALSE),0%)</f>
        <v>0</v>
      </c>
      <c r="BXW10" s="5">
        <f>IFERROR(VLOOKUP(BXW$1,'Renta Mixta Moderado'!$B$35:$C$62,2,FALSE),0%)</f>
        <v>0</v>
      </c>
      <c r="BXX10" s="5">
        <f>IFERROR(VLOOKUP(BXX$1,'Renta Mixta Moderado'!$B$35:$C$62,2,FALSE),0%)</f>
        <v>0</v>
      </c>
      <c r="BXY10" s="5">
        <f>IFERROR(VLOOKUP(BXY$1,'Renta Mixta Moderado'!$B$35:$C$62,2,FALSE),0%)</f>
        <v>0</v>
      </c>
      <c r="BXZ10" s="5">
        <f>IFERROR(VLOOKUP(BXZ$1,'Renta Mixta Moderado'!$B$35:$C$62,2,FALSE),0%)</f>
        <v>0</v>
      </c>
      <c r="BYA10" s="5">
        <f>IFERROR(VLOOKUP(BYA$1,'Renta Mixta Moderado'!$B$35:$C$62,2,FALSE),0%)</f>
        <v>0</v>
      </c>
      <c r="BYB10" s="5">
        <f>IFERROR(VLOOKUP(BYB$1,'Renta Mixta Moderado'!$B$35:$C$62,2,FALSE),0%)</f>
        <v>0.04942639908</v>
      </c>
      <c r="BYC10" s="5">
        <f>IFERROR(VLOOKUP(BYC$1,'Renta Mixta Moderado'!$B$35:$C$62,2,FALSE),0%)</f>
        <v>0</v>
      </c>
      <c r="BYD10" s="5">
        <f>IFERROR(VLOOKUP(BYD$1,'Renta Mixta Moderado'!$B$35:$C$62,2,FALSE),0%)</f>
        <v>0</v>
      </c>
      <c r="BYE10" s="5">
        <f>IFERROR(VLOOKUP(BYE$1,'Renta Mixta Moderado'!$B$35:$C$62,2,FALSE),0%)</f>
        <v>0</v>
      </c>
      <c r="BYF10" s="5">
        <f>IFERROR(VLOOKUP(BYF$1,'Renta Mixta Moderado'!$B$35:$C$62,2,FALSE),0%)</f>
        <v>0</v>
      </c>
      <c r="BYG10" s="5">
        <f>IFERROR(VLOOKUP(BYG$1,'Renta Mixta Moderado'!$B$35:$C$62,2,FALSE),0%)</f>
        <v>0</v>
      </c>
      <c r="BYH10" s="5">
        <f>IFERROR(VLOOKUP(BYH$1,'Renta Mixta Moderado'!$B$35:$C$62,2,FALSE),0%)</f>
        <v>0</v>
      </c>
      <c r="BYI10" s="5">
        <f>IFERROR(VLOOKUP(BYI$1,'Renta Mixta Moderado'!$B$35:$C$62,2,FALSE),0%)</f>
        <v>0</v>
      </c>
      <c r="BYJ10" s="5">
        <f>IFERROR(VLOOKUP(BYJ$1,'Renta Mixta Moderado'!$B$35:$C$62,2,FALSE),0%)</f>
        <v>0</v>
      </c>
      <c r="BYK10" s="5">
        <f>IFERROR(VLOOKUP(BYK$1,'Renta Mixta Moderado'!$B$35:$C$62,2,FALSE),0%)</f>
        <v>0</v>
      </c>
      <c r="BYL10" s="5">
        <f>IFERROR(VLOOKUP(BYL$1,'Renta Mixta Moderado'!$B$35:$C$62,2,FALSE),0%)</f>
        <v>0</v>
      </c>
    </row>
    <row r="11">
      <c r="A11" s="4" t="s">
        <v>2023</v>
      </c>
      <c r="B11" s="5">
        <f>IFERROR(VLOOKUP(B$1,'Renta Mixta Agresivo'!$B$35:$C$57,2,FALSE),0%)</f>
        <v>0</v>
      </c>
      <c r="C11" s="5">
        <f>IFERROR(VLOOKUP(C$1,'Renta Mixta Agresivo'!$B$35:$C$57,2,FALSE),0%)</f>
        <v>0</v>
      </c>
      <c r="D11" s="5">
        <f>IFERROR(VLOOKUP(D$1,'Renta Mixta Agresivo'!$B$35:$C$57,2,FALSE),0%)</f>
        <v>0</v>
      </c>
      <c r="E11" s="5">
        <f>IFERROR(VLOOKUP(E$1,'Renta Mixta Agresivo'!$B$35:$C$57,2,FALSE),0%)</f>
        <v>0</v>
      </c>
      <c r="F11" s="5">
        <f>IFERROR(VLOOKUP(F$1,'Renta Mixta Agresivo'!$B$35:$C$57,2,FALSE),0%)</f>
        <v>0</v>
      </c>
      <c r="G11" s="5">
        <f>IFERROR(VLOOKUP(G$1,'Renta Mixta Agresivo'!$B$35:$C$57,2,FALSE),0%)</f>
        <v>0</v>
      </c>
      <c r="H11" s="5">
        <f>IFERROR(VLOOKUP(H$1,'Renta Mixta Agresivo'!$B$35:$C$57,2,FALSE),0%)</f>
        <v>0</v>
      </c>
      <c r="I11" s="5">
        <f>IFERROR(VLOOKUP(I$1,'Renta Mixta Agresivo'!$B$35:$C$57,2,FALSE),0%)</f>
        <v>0</v>
      </c>
      <c r="J11" s="5">
        <f>IFERROR(VLOOKUP(J$1,'Renta Mixta Agresivo'!$B$35:$C$57,2,FALSE),0%)</f>
        <v>0</v>
      </c>
      <c r="K11" s="5">
        <f>IFERROR(VLOOKUP(K$1,'Renta Mixta Agresivo'!$B$35:$C$57,2,FALSE),0%)</f>
        <v>0</v>
      </c>
      <c r="L11" s="5">
        <f>IFERROR(VLOOKUP(L$1,'Renta Mixta Agresivo'!$B$35:$C$57,2,FALSE),0%)</f>
        <v>0</v>
      </c>
      <c r="M11" s="5">
        <f>IFERROR(VLOOKUP(M$1,'Renta Mixta Agresivo'!$B$35:$C$57,2,FALSE),0%)</f>
        <v>0</v>
      </c>
      <c r="N11" s="5">
        <f>IFERROR(VLOOKUP(N$1,'Renta Mixta Agresivo'!$B$35:$C$57,2,FALSE),0%)</f>
        <v>0</v>
      </c>
      <c r="O11" s="5">
        <f>IFERROR(VLOOKUP(O$1,'Renta Mixta Agresivo'!$B$35:$C$57,2,FALSE),0%)</f>
        <v>0</v>
      </c>
      <c r="P11" s="5">
        <f>IFERROR(VLOOKUP(P$1,'Renta Mixta Agresivo'!$B$35:$C$57,2,FALSE),0%)</f>
        <v>0</v>
      </c>
      <c r="Q11" s="5">
        <f>IFERROR(VLOOKUP(Q$1,'Renta Mixta Agresivo'!$B$35:$C$57,2,FALSE),0%)</f>
        <v>0</v>
      </c>
      <c r="R11" s="5">
        <f>IFERROR(VLOOKUP(R$1,'Renta Mixta Agresivo'!$B$35:$C$57,2,FALSE),0%)</f>
        <v>0</v>
      </c>
      <c r="S11" s="5">
        <f>IFERROR(VLOOKUP(S$1,'Renta Mixta Agresivo'!$B$35:$C$57,2,FALSE),0%)</f>
        <v>0</v>
      </c>
      <c r="T11" s="5">
        <f>IFERROR(VLOOKUP(T$1,'Renta Mixta Agresivo'!$B$35:$C$57,2,FALSE),0%)</f>
        <v>0</v>
      </c>
      <c r="U11" s="5">
        <f>IFERROR(VLOOKUP(U$1,'Renta Mixta Agresivo'!$B$35:$C$57,2,FALSE),0%)</f>
        <v>0</v>
      </c>
      <c r="V11" s="5">
        <f>IFERROR(VLOOKUP(V$1,'Renta Mixta Agresivo'!$B$35:$C$57,2,FALSE),0%)</f>
        <v>0</v>
      </c>
      <c r="W11" s="5">
        <f>IFERROR(VLOOKUP(W$1,'Renta Mixta Agresivo'!$B$35:$C$57,2,FALSE),0%)</f>
        <v>0</v>
      </c>
      <c r="X11" s="5">
        <f>IFERROR(VLOOKUP(X$1,'Renta Mixta Agresivo'!$B$35:$C$57,2,FALSE),0%)</f>
        <v>0</v>
      </c>
      <c r="Y11" s="5">
        <f>IFERROR(VLOOKUP(Y$1,'Renta Mixta Agresivo'!$B$35:$C$57,2,FALSE),0%)</f>
        <v>0</v>
      </c>
      <c r="Z11" s="5">
        <f>IFERROR(VLOOKUP(Z$1,'Renta Mixta Agresivo'!$B$35:$C$57,2,FALSE),0%)</f>
        <v>0</v>
      </c>
      <c r="AA11" s="5">
        <f>IFERROR(VLOOKUP(AA$1,'Renta Mixta Agresivo'!$B$35:$C$57,2,FALSE),0%)</f>
        <v>0</v>
      </c>
      <c r="AB11" s="5">
        <f>IFERROR(VLOOKUP(AB$1,'Renta Mixta Agresivo'!$B$35:$C$57,2,FALSE),0%)</f>
        <v>0</v>
      </c>
      <c r="AC11" s="5">
        <f>IFERROR(VLOOKUP(AC$1,'Renta Mixta Agresivo'!$B$35:$C$57,2,FALSE),0%)</f>
        <v>0</v>
      </c>
      <c r="AD11" s="5">
        <f>IFERROR(VLOOKUP(AD$1,'Renta Mixta Agresivo'!$B$35:$C$57,2,FALSE),0%)</f>
        <v>0</v>
      </c>
      <c r="AE11" s="5">
        <f>IFERROR(VLOOKUP(AE$1,'Renta Mixta Agresivo'!$B$35:$C$57,2,FALSE),0%)</f>
        <v>0</v>
      </c>
      <c r="AF11" s="5">
        <f>IFERROR(VLOOKUP(AF$1,'Renta Mixta Agresivo'!$B$35:$C$57,2,FALSE),0%)</f>
        <v>0</v>
      </c>
      <c r="AG11" s="5">
        <f>IFERROR(VLOOKUP(AG$1,'Renta Mixta Agresivo'!$B$35:$C$57,2,FALSE),0%)</f>
        <v>0</v>
      </c>
      <c r="AH11" s="5">
        <f>IFERROR(VLOOKUP(AH$1,'Renta Mixta Agresivo'!$B$35:$C$57,2,FALSE),0%)</f>
        <v>0</v>
      </c>
      <c r="AI11" s="5">
        <f>IFERROR(VLOOKUP(AI$1,'Renta Mixta Agresivo'!$B$35:$C$57,2,FALSE),0%)</f>
        <v>0</v>
      </c>
      <c r="AJ11" s="5">
        <f>IFERROR(VLOOKUP(AJ$1,'Renta Mixta Agresivo'!$B$35:$C$57,2,FALSE),0%)</f>
        <v>0</v>
      </c>
      <c r="AK11" s="5">
        <f>IFERROR(VLOOKUP(AK$1,'Renta Mixta Agresivo'!$B$35:$C$57,2,FALSE),0%)</f>
        <v>0.04711777559</v>
      </c>
      <c r="AL11" s="5">
        <f>IFERROR(VLOOKUP(AL$1,'Renta Mixta Agresivo'!$B$35:$C$57,2,FALSE),0%)</f>
        <v>0</v>
      </c>
      <c r="AM11" s="5">
        <f>IFERROR(VLOOKUP(AM$1,'Renta Mixta Agresivo'!$B$35:$C$57,2,FALSE),0%)</f>
        <v>0</v>
      </c>
      <c r="AN11" s="5">
        <f>IFERROR(VLOOKUP(AN$1,'Renta Mixta Agresivo'!$B$35:$C$57,2,FALSE),0%)</f>
        <v>0</v>
      </c>
      <c r="AO11" s="5">
        <f>IFERROR(VLOOKUP(AO$1,'Renta Mixta Agresivo'!$B$35:$C$57,2,FALSE),0%)</f>
        <v>0</v>
      </c>
      <c r="AP11" s="5">
        <f>IFERROR(VLOOKUP(AP$1,'Renta Mixta Agresivo'!$B$35:$C$57,2,FALSE),0%)</f>
        <v>0</v>
      </c>
      <c r="AQ11" s="5">
        <f>IFERROR(VLOOKUP(AQ$1,'Renta Mixta Agresivo'!$B$35:$C$57,2,FALSE),0%)</f>
        <v>0</v>
      </c>
      <c r="AR11" s="5">
        <f>IFERROR(VLOOKUP(AR$1,'Renta Mixta Agresivo'!$B$35:$C$57,2,FALSE),0%)</f>
        <v>0</v>
      </c>
      <c r="AS11" s="5">
        <f>IFERROR(VLOOKUP(AS$1,'Renta Mixta Agresivo'!$B$35:$C$57,2,FALSE),0%)</f>
        <v>0</v>
      </c>
      <c r="AT11" s="5">
        <f>IFERROR(VLOOKUP(AT$1,'Renta Mixta Agresivo'!$B$35:$C$57,2,FALSE),0%)</f>
        <v>0</v>
      </c>
      <c r="AU11" s="5">
        <f>IFERROR(VLOOKUP(AU$1,'Renta Mixta Agresivo'!$B$35:$C$57,2,FALSE),0%)</f>
        <v>0</v>
      </c>
      <c r="AV11" s="5">
        <f>IFERROR(VLOOKUP(AV$1,'Renta Mixta Agresivo'!$B$35:$C$57,2,FALSE),0%)</f>
        <v>0</v>
      </c>
      <c r="AW11" s="5">
        <f>IFERROR(VLOOKUP(AW$1,'Renta Mixta Agresivo'!$B$35:$C$57,2,FALSE),0%)</f>
        <v>0</v>
      </c>
      <c r="AX11" s="5">
        <f>IFERROR(VLOOKUP(AX$1,'Renta Mixta Agresivo'!$B$35:$C$57,2,FALSE),0%)</f>
        <v>0</v>
      </c>
      <c r="AY11" s="5">
        <f>IFERROR(VLOOKUP(AY$1,'Renta Mixta Agresivo'!$B$35:$C$57,2,FALSE),0%)</f>
        <v>0</v>
      </c>
      <c r="AZ11" s="5">
        <f>IFERROR(VLOOKUP(AZ$1,'Renta Mixta Agresivo'!$B$35:$C$57,2,FALSE),0%)</f>
        <v>0</v>
      </c>
      <c r="BA11" s="5">
        <f>IFERROR(VLOOKUP(BA$1,'Renta Mixta Agresivo'!$B$35:$C$57,2,FALSE),0%)</f>
        <v>0</v>
      </c>
      <c r="BB11" s="5">
        <f>IFERROR(VLOOKUP(BB$1,'Renta Mixta Agresivo'!$B$35:$C$57,2,FALSE),0%)</f>
        <v>0</v>
      </c>
      <c r="BC11" s="5">
        <f>IFERROR(VLOOKUP(BC$1,'Renta Mixta Agresivo'!$B$35:$C$57,2,FALSE),0%)</f>
        <v>0</v>
      </c>
      <c r="BD11" s="5">
        <f>IFERROR(VLOOKUP(BD$1,'Renta Mixta Agresivo'!$B$35:$C$57,2,FALSE),0%)</f>
        <v>0</v>
      </c>
      <c r="BE11" s="5">
        <f>IFERROR(VLOOKUP(BE$1,'Renta Mixta Agresivo'!$B$35:$C$57,2,FALSE),0%)</f>
        <v>0</v>
      </c>
      <c r="BF11" s="5">
        <f>IFERROR(VLOOKUP(BF$1,'Renta Mixta Agresivo'!$B$35:$C$57,2,FALSE),0%)</f>
        <v>0</v>
      </c>
      <c r="BG11" s="5">
        <f>IFERROR(VLOOKUP(BG$1,'Renta Mixta Agresivo'!$B$35:$C$57,2,FALSE),0%)</f>
        <v>0</v>
      </c>
      <c r="BH11" s="5">
        <f>IFERROR(VLOOKUP(BH$1,'Renta Mixta Agresivo'!$B$35:$C$57,2,FALSE),0%)</f>
        <v>0</v>
      </c>
      <c r="BI11" s="5">
        <f>IFERROR(VLOOKUP(BI$1,'Renta Mixta Agresivo'!$B$35:$C$57,2,FALSE),0%)</f>
        <v>0</v>
      </c>
      <c r="BJ11" s="5">
        <f>IFERROR(VLOOKUP(BJ$1,'Renta Mixta Agresivo'!$B$35:$C$57,2,FALSE),0%)</f>
        <v>0</v>
      </c>
      <c r="BK11" s="5">
        <f>IFERROR(VLOOKUP(BK$1,'Renta Mixta Agresivo'!$B$35:$C$57,2,FALSE),0%)</f>
        <v>0</v>
      </c>
      <c r="BL11" s="5">
        <f>IFERROR(VLOOKUP(BL$1,'Renta Mixta Agresivo'!$B$35:$C$57,2,FALSE),0%)</f>
        <v>0</v>
      </c>
      <c r="BM11" s="5">
        <f>IFERROR(VLOOKUP(BM$1,'Renta Mixta Agresivo'!$B$35:$C$57,2,FALSE),0%)</f>
        <v>0</v>
      </c>
      <c r="BN11" s="5">
        <f>IFERROR(VLOOKUP(BN$1,'Renta Mixta Agresivo'!$B$35:$C$57,2,FALSE),0%)</f>
        <v>0</v>
      </c>
      <c r="BO11" s="5">
        <f>IFERROR(VLOOKUP(BO$1,'Renta Mixta Agresivo'!$B$35:$C$57,2,FALSE),0%)</f>
        <v>0</v>
      </c>
      <c r="BP11" s="5">
        <f>IFERROR(VLOOKUP(BP$1,'Renta Mixta Agresivo'!$B$35:$C$57,2,FALSE),0%)</f>
        <v>0</v>
      </c>
      <c r="BQ11" s="5">
        <f>IFERROR(VLOOKUP(BQ$1,'Renta Mixta Agresivo'!$B$35:$C$57,2,FALSE),0%)</f>
        <v>0</v>
      </c>
      <c r="BR11" s="5">
        <f>IFERROR(VLOOKUP(BR$1,'Renta Mixta Agresivo'!$B$35:$C$57,2,FALSE),0%)</f>
        <v>0.02212505545</v>
      </c>
      <c r="BS11" s="5">
        <f>IFERROR(VLOOKUP(BS$1,'Renta Mixta Agresivo'!$B$35:$C$57,2,FALSE),0%)</f>
        <v>0</v>
      </c>
      <c r="BT11" s="5">
        <f>IFERROR(VLOOKUP(BT$1,'Renta Mixta Agresivo'!$B$35:$C$57,2,FALSE),0%)</f>
        <v>0</v>
      </c>
      <c r="BU11" s="5">
        <f>IFERROR(VLOOKUP(BU$1,'Renta Mixta Agresivo'!$B$35:$C$57,2,FALSE),0%)</f>
        <v>0</v>
      </c>
      <c r="BV11" s="5">
        <f>IFERROR(VLOOKUP(BV$1,'Renta Mixta Agresivo'!$B$35:$C$57,2,FALSE),0%)</f>
        <v>0</v>
      </c>
      <c r="BW11" s="5">
        <f>IFERROR(VLOOKUP(BW$1,'Renta Mixta Agresivo'!$B$35:$C$57,2,FALSE),0%)</f>
        <v>0</v>
      </c>
      <c r="BX11" s="5">
        <f>IFERROR(VLOOKUP(BX$1,'Renta Mixta Agresivo'!$B$35:$C$57,2,FALSE),0%)</f>
        <v>0</v>
      </c>
      <c r="BY11" s="5">
        <f>IFERROR(VLOOKUP(BY$1,'Renta Mixta Agresivo'!$B$35:$C$57,2,FALSE),0%)</f>
        <v>0</v>
      </c>
      <c r="BZ11" s="5">
        <f>IFERROR(VLOOKUP(BZ$1,'Renta Mixta Agresivo'!$B$35:$C$57,2,FALSE),0%)</f>
        <v>0</v>
      </c>
      <c r="CA11" s="5">
        <f>IFERROR(VLOOKUP(CA$1,'Renta Mixta Agresivo'!$B$35:$C$57,2,FALSE),0%)</f>
        <v>0</v>
      </c>
      <c r="CB11" s="5">
        <f>IFERROR(VLOOKUP(CB$1,'Renta Mixta Agresivo'!$B$35:$C$57,2,FALSE),0%)</f>
        <v>0</v>
      </c>
      <c r="CC11" s="5">
        <f>IFERROR(VLOOKUP(CC$1,'Renta Mixta Agresivo'!$B$35:$C$57,2,FALSE),0%)</f>
        <v>0</v>
      </c>
      <c r="CD11" s="5">
        <f>IFERROR(VLOOKUP(CD$1,'Renta Mixta Agresivo'!$B$35:$C$57,2,FALSE),0%)</f>
        <v>0</v>
      </c>
      <c r="CE11" s="5">
        <f>IFERROR(VLOOKUP(CE$1,'Renta Mixta Agresivo'!$B$35:$C$57,2,FALSE),0%)</f>
        <v>0</v>
      </c>
      <c r="CF11" s="5">
        <f>IFERROR(VLOOKUP(CF$1,'Renta Mixta Agresivo'!$B$35:$C$57,2,FALSE),0%)</f>
        <v>0</v>
      </c>
      <c r="CG11" s="5">
        <f>IFERROR(VLOOKUP(CG$1,'Renta Mixta Agresivo'!$B$35:$C$57,2,FALSE),0%)</f>
        <v>0</v>
      </c>
      <c r="CH11" s="5">
        <f>IFERROR(VLOOKUP(CH$1,'Renta Mixta Agresivo'!$B$35:$C$57,2,FALSE),0%)</f>
        <v>0</v>
      </c>
      <c r="CI11" s="5">
        <f>IFERROR(VLOOKUP(CI$1,'Renta Mixta Agresivo'!$B$35:$C$57,2,FALSE),0%)</f>
        <v>0</v>
      </c>
      <c r="CJ11" s="5">
        <f>IFERROR(VLOOKUP(CJ$1,'Renta Mixta Agresivo'!$B$35:$C$57,2,FALSE),0%)</f>
        <v>0</v>
      </c>
      <c r="CK11" s="5">
        <f>IFERROR(VLOOKUP(CK$1,'Renta Mixta Agresivo'!$B$35:$C$57,2,FALSE),0%)</f>
        <v>0</v>
      </c>
      <c r="CL11" s="5">
        <f>IFERROR(VLOOKUP(CL$1,'Renta Mixta Agresivo'!$B$35:$C$57,2,FALSE),0%)</f>
        <v>0</v>
      </c>
      <c r="CM11" s="5">
        <f>IFERROR(VLOOKUP(CM$1,'Renta Mixta Agresivo'!$B$35:$C$57,2,FALSE),0%)</f>
        <v>0</v>
      </c>
      <c r="CN11" s="5">
        <f>IFERROR(VLOOKUP(CN$1,'Renta Mixta Agresivo'!$B$35:$C$57,2,FALSE),0%)</f>
        <v>0</v>
      </c>
      <c r="CO11" s="5">
        <f>IFERROR(VLOOKUP(CO$1,'Renta Mixta Agresivo'!$B$35:$C$57,2,FALSE),0%)</f>
        <v>0</v>
      </c>
      <c r="CP11" s="5">
        <f>IFERROR(VLOOKUP(CP$1,'Renta Mixta Agresivo'!$B$35:$C$57,2,FALSE),0%)</f>
        <v>0</v>
      </c>
      <c r="CQ11" s="5">
        <f>IFERROR(VLOOKUP(CQ$1,'Renta Mixta Agresivo'!$B$35:$C$57,2,FALSE),0%)</f>
        <v>0</v>
      </c>
      <c r="CR11" s="5">
        <f>IFERROR(VLOOKUP(CR$1,'Renta Mixta Agresivo'!$B$35:$C$57,2,FALSE),0%)</f>
        <v>0</v>
      </c>
      <c r="CS11" s="5">
        <f>IFERROR(VLOOKUP(CS$1,'Renta Mixta Agresivo'!$B$35:$C$57,2,FALSE),0%)</f>
        <v>0</v>
      </c>
      <c r="CT11" s="5">
        <f>IFERROR(VLOOKUP(CT$1,'Renta Mixta Agresivo'!$B$35:$C$57,2,FALSE),0%)</f>
        <v>0</v>
      </c>
      <c r="CU11" s="5">
        <f>IFERROR(VLOOKUP(CU$1,'Renta Mixta Agresivo'!$B$35:$C$57,2,FALSE),0%)</f>
        <v>0</v>
      </c>
      <c r="CV11" s="5">
        <f>IFERROR(VLOOKUP(CV$1,'Renta Mixta Agresivo'!$B$35:$C$57,2,FALSE),0%)</f>
        <v>0</v>
      </c>
      <c r="CW11" s="5">
        <f>IFERROR(VLOOKUP(CW$1,'Renta Mixta Agresivo'!$B$35:$C$57,2,FALSE),0%)</f>
        <v>0</v>
      </c>
      <c r="CX11" s="5">
        <f>IFERROR(VLOOKUP(CX$1,'Renta Mixta Agresivo'!$B$35:$C$57,2,FALSE),0%)</f>
        <v>0</v>
      </c>
      <c r="CY11" s="5">
        <f>IFERROR(VLOOKUP(CY$1,'Renta Mixta Agresivo'!$B$35:$C$57,2,FALSE),0%)</f>
        <v>0</v>
      </c>
      <c r="CZ11" s="5">
        <f>IFERROR(VLOOKUP(CZ$1,'Renta Mixta Agresivo'!$B$35:$C$57,2,FALSE),0%)</f>
        <v>0</v>
      </c>
      <c r="DA11" s="5">
        <f>IFERROR(VLOOKUP(DA$1,'Renta Mixta Agresivo'!$B$35:$C$57,2,FALSE),0%)</f>
        <v>0</v>
      </c>
      <c r="DB11" s="5">
        <f>IFERROR(VLOOKUP(DB$1,'Renta Mixta Agresivo'!$B$35:$C$57,2,FALSE),0%)</f>
        <v>0</v>
      </c>
      <c r="DC11" s="5">
        <f>IFERROR(VLOOKUP(DC$1,'Renta Mixta Agresivo'!$B$35:$C$57,2,FALSE),0%)</f>
        <v>0</v>
      </c>
      <c r="DD11" s="5">
        <f>IFERROR(VLOOKUP(DD$1,'Renta Mixta Agresivo'!$B$35:$C$57,2,FALSE),0%)</f>
        <v>0</v>
      </c>
      <c r="DE11" s="5">
        <f>IFERROR(VLOOKUP(DE$1,'Renta Mixta Agresivo'!$B$35:$C$57,2,FALSE),0%)</f>
        <v>0</v>
      </c>
      <c r="DF11" s="5">
        <f>IFERROR(VLOOKUP(DF$1,'Renta Mixta Agresivo'!$B$35:$C$57,2,FALSE),0%)</f>
        <v>0</v>
      </c>
      <c r="DG11" s="5">
        <f>IFERROR(VLOOKUP(DG$1,'Renta Mixta Agresivo'!$B$35:$C$57,2,FALSE),0%)</f>
        <v>0</v>
      </c>
      <c r="DH11" s="5">
        <f>IFERROR(VLOOKUP(DH$1,'Renta Mixta Agresivo'!$B$35:$C$57,2,FALSE),0%)</f>
        <v>0</v>
      </c>
      <c r="DI11" s="5">
        <f>IFERROR(VLOOKUP(DI$1,'Renta Mixta Agresivo'!$B$35:$C$57,2,FALSE),0%)</f>
        <v>0</v>
      </c>
      <c r="DJ11" s="5">
        <f>IFERROR(VLOOKUP(DJ$1,'Renta Mixta Agresivo'!$B$35:$C$57,2,FALSE),0%)</f>
        <v>0</v>
      </c>
      <c r="DK11" s="5">
        <f>IFERROR(VLOOKUP(DK$1,'Renta Mixta Agresivo'!$B$35:$C$57,2,FALSE),0%)</f>
        <v>0</v>
      </c>
      <c r="DL11" s="5">
        <f>IFERROR(VLOOKUP(DL$1,'Renta Mixta Agresivo'!$B$35:$C$57,2,FALSE),0%)</f>
        <v>0</v>
      </c>
      <c r="DM11" s="5">
        <f>IFERROR(VLOOKUP(DM$1,'Renta Mixta Agresivo'!$B$35:$C$57,2,FALSE),0%)</f>
        <v>0</v>
      </c>
      <c r="DN11" s="5">
        <f>IFERROR(VLOOKUP(DN$1,'Renta Mixta Agresivo'!$B$35:$C$57,2,FALSE),0%)</f>
        <v>0</v>
      </c>
      <c r="DO11" s="5">
        <f>IFERROR(VLOOKUP(DO$1,'Renta Mixta Agresivo'!$B$35:$C$57,2,FALSE),0%)</f>
        <v>0</v>
      </c>
      <c r="DP11" s="5">
        <f>IFERROR(VLOOKUP(DP$1,'Renta Mixta Agresivo'!$B$35:$C$57,2,FALSE),0%)</f>
        <v>0</v>
      </c>
      <c r="DQ11" s="5">
        <f>IFERROR(VLOOKUP(DQ$1,'Renta Mixta Agresivo'!$B$35:$C$57,2,FALSE),0%)</f>
        <v>0</v>
      </c>
      <c r="DR11" s="5">
        <f>IFERROR(VLOOKUP(DR$1,'Renta Mixta Agresivo'!$B$35:$C$57,2,FALSE),0%)</f>
        <v>0</v>
      </c>
      <c r="DS11" s="5">
        <f>IFERROR(VLOOKUP(DS$1,'Renta Mixta Agresivo'!$B$35:$C$57,2,FALSE),0%)</f>
        <v>0</v>
      </c>
      <c r="DT11" s="5">
        <f>IFERROR(VLOOKUP(DT$1,'Renta Mixta Agresivo'!$B$35:$C$57,2,FALSE),0%)</f>
        <v>0</v>
      </c>
      <c r="DU11" s="5">
        <f>IFERROR(VLOOKUP(DU$1,'Renta Mixta Agresivo'!$B$35:$C$57,2,FALSE),0%)</f>
        <v>0</v>
      </c>
      <c r="DV11" s="5">
        <f>IFERROR(VLOOKUP(DV$1,'Renta Mixta Agresivo'!$B$35:$C$57,2,FALSE),0%)</f>
        <v>0</v>
      </c>
      <c r="DW11" s="5">
        <f>IFERROR(VLOOKUP(DW$1,'Renta Mixta Agresivo'!$B$35:$C$57,2,FALSE),0%)</f>
        <v>0</v>
      </c>
      <c r="DX11" s="5">
        <f>IFERROR(VLOOKUP(DX$1,'Renta Mixta Agresivo'!$B$35:$C$57,2,FALSE),0%)</f>
        <v>0</v>
      </c>
      <c r="DY11" s="5">
        <f>IFERROR(VLOOKUP(DY$1,'Renta Mixta Agresivo'!$B$35:$C$57,2,FALSE),0%)</f>
        <v>0</v>
      </c>
      <c r="DZ11" s="5">
        <f>IFERROR(VLOOKUP(DZ$1,'Renta Mixta Agresivo'!$B$35:$C$57,2,FALSE),0%)</f>
        <v>0</v>
      </c>
      <c r="EA11" s="5">
        <f>IFERROR(VLOOKUP(EA$1,'Renta Mixta Agresivo'!$B$35:$C$57,2,FALSE),0%)</f>
        <v>0</v>
      </c>
      <c r="EB11" s="5">
        <f>IFERROR(VLOOKUP(EB$1,'Renta Mixta Agresivo'!$B$35:$C$57,2,FALSE),0%)</f>
        <v>0</v>
      </c>
      <c r="EC11" s="5">
        <f>IFERROR(VLOOKUP(EC$1,'Renta Mixta Agresivo'!$B$35:$C$57,2,FALSE),0%)</f>
        <v>0</v>
      </c>
      <c r="ED11" s="5">
        <f>IFERROR(VLOOKUP(ED$1,'Renta Mixta Agresivo'!$B$35:$C$57,2,FALSE),0%)</f>
        <v>0</v>
      </c>
      <c r="EE11" s="5">
        <f>IFERROR(VLOOKUP(EE$1,'Renta Mixta Agresivo'!$B$35:$C$57,2,FALSE),0%)</f>
        <v>0</v>
      </c>
      <c r="EF11" s="5">
        <f>IFERROR(VLOOKUP(EF$1,'Renta Mixta Agresivo'!$B$35:$C$57,2,FALSE),0%)</f>
        <v>0</v>
      </c>
      <c r="EG11" s="5">
        <f>IFERROR(VLOOKUP(EG$1,'Renta Mixta Agresivo'!$B$35:$C$57,2,FALSE),0%)</f>
        <v>0</v>
      </c>
      <c r="EH11" s="5">
        <f>IFERROR(VLOOKUP(EH$1,'Renta Mixta Agresivo'!$B$35:$C$57,2,FALSE),0%)</f>
        <v>0</v>
      </c>
      <c r="EI11" s="5">
        <f>IFERROR(VLOOKUP(EI$1,'Renta Mixta Agresivo'!$B$35:$C$57,2,FALSE),0%)</f>
        <v>0</v>
      </c>
      <c r="EJ11" s="5">
        <f>IFERROR(VLOOKUP(EJ$1,'Renta Mixta Agresivo'!$B$35:$C$57,2,FALSE),0%)</f>
        <v>0</v>
      </c>
      <c r="EK11" s="5">
        <f>IFERROR(VLOOKUP(EK$1,'Renta Mixta Agresivo'!$B$35:$C$57,2,FALSE),0%)</f>
        <v>0</v>
      </c>
      <c r="EL11" s="5">
        <f>IFERROR(VLOOKUP(EL$1,'Renta Mixta Agresivo'!$B$35:$C$57,2,FALSE),0%)</f>
        <v>0</v>
      </c>
      <c r="EM11" s="5">
        <f>IFERROR(VLOOKUP(EM$1,'Renta Mixta Agresivo'!$B$35:$C$57,2,FALSE),0%)</f>
        <v>0</v>
      </c>
      <c r="EN11" s="5">
        <f>IFERROR(VLOOKUP(EN$1,'Renta Mixta Agresivo'!$B$35:$C$57,2,FALSE),0%)</f>
        <v>0</v>
      </c>
      <c r="EO11" s="5">
        <f>IFERROR(VLOOKUP(EO$1,'Renta Mixta Agresivo'!$B$35:$C$57,2,FALSE),0%)</f>
        <v>0</v>
      </c>
      <c r="EP11" s="5">
        <f>IFERROR(VLOOKUP(EP$1,'Renta Mixta Agresivo'!$B$35:$C$57,2,FALSE),0%)</f>
        <v>0</v>
      </c>
      <c r="EQ11" s="5">
        <f>IFERROR(VLOOKUP(EQ$1,'Renta Mixta Agresivo'!$B$35:$C$57,2,FALSE),0%)</f>
        <v>0</v>
      </c>
      <c r="ER11" s="5">
        <f>IFERROR(VLOOKUP(ER$1,'Renta Mixta Agresivo'!$B$35:$C$57,2,FALSE),0%)</f>
        <v>0</v>
      </c>
      <c r="ES11" s="5">
        <f>IFERROR(VLOOKUP(ES$1,'Renta Mixta Agresivo'!$B$35:$C$57,2,FALSE),0%)</f>
        <v>0</v>
      </c>
      <c r="ET11" s="5">
        <f>IFERROR(VLOOKUP(ET$1,'Renta Mixta Agresivo'!$B$35:$C$57,2,FALSE),0%)</f>
        <v>0</v>
      </c>
      <c r="EU11" s="5">
        <f>IFERROR(VLOOKUP(EU$1,'Renta Mixta Agresivo'!$B$35:$C$57,2,FALSE),0%)</f>
        <v>0</v>
      </c>
      <c r="EV11" s="5">
        <f>IFERROR(VLOOKUP(EV$1,'Renta Mixta Agresivo'!$B$35:$C$57,2,FALSE),0%)</f>
        <v>0</v>
      </c>
      <c r="EW11" s="5">
        <f>IFERROR(VLOOKUP(EW$1,'Renta Mixta Agresivo'!$B$35:$C$57,2,FALSE),0%)</f>
        <v>0</v>
      </c>
      <c r="EX11" s="5">
        <f>IFERROR(VLOOKUP(EX$1,'Renta Mixta Agresivo'!$B$35:$C$57,2,FALSE),0%)</f>
        <v>0</v>
      </c>
      <c r="EY11" s="5">
        <f>IFERROR(VLOOKUP(EY$1,'Renta Mixta Agresivo'!$B$35:$C$57,2,FALSE),0%)</f>
        <v>0</v>
      </c>
      <c r="EZ11" s="5">
        <f>IFERROR(VLOOKUP(EZ$1,'Renta Mixta Agresivo'!$B$35:$C$57,2,FALSE),0%)</f>
        <v>0</v>
      </c>
      <c r="FA11" s="5">
        <f>IFERROR(VLOOKUP(FA$1,'Renta Mixta Agresivo'!$B$35:$C$57,2,FALSE),0%)</f>
        <v>0</v>
      </c>
      <c r="FB11" s="5">
        <f>IFERROR(VLOOKUP(FB$1,'Renta Mixta Agresivo'!$B$35:$C$57,2,FALSE),0%)</f>
        <v>0</v>
      </c>
      <c r="FC11" s="5">
        <f>IFERROR(VLOOKUP(FC$1,'Renta Mixta Agresivo'!$B$35:$C$57,2,FALSE),0%)</f>
        <v>0</v>
      </c>
      <c r="FD11" s="5">
        <f>IFERROR(VLOOKUP(FD$1,'Renta Mixta Agresivo'!$B$35:$C$57,2,FALSE),0%)</f>
        <v>0</v>
      </c>
      <c r="FE11" s="5">
        <f>IFERROR(VLOOKUP(FE$1,'Renta Mixta Agresivo'!$B$35:$C$57,2,FALSE),0%)</f>
        <v>0</v>
      </c>
      <c r="FF11" s="5">
        <f>IFERROR(VLOOKUP(FF$1,'Renta Mixta Agresivo'!$B$35:$C$57,2,FALSE),0%)</f>
        <v>0</v>
      </c>
      <c r="FG11" s="5">
        <f>IFERROR(VLOOKUP(FG$1,'Renta Mixta Agresivo'!$B$35:$C$57,2,FALSE),0%)</f>
        <v>0</v>
      </c>
      <c r="FH11" s="5">
        <f>IFERROR(VLOOKUP(FH$1,'Renta Mixta Agresivo'!$B$35:$C$57,2,FALSE),0%)</f>
        <v>0</v>
      </c>
      <c r="FI11" s="5">
        <f>IFERROR(VLOOKUP(FI$1,'Renta Mixta Agresivo'!$B$35:$C$57,2,FALSE),0%)</f>
        <v>0</v>
      </c>
      <c r="FJ11" s="5">
        <f>IFERROR(VLOOKUP(FJ$1,'Renta Mixta Agresivo'!$B$35:$C$57,2,FALSE),0%)</f>
        <v>0</v>
      </c>
      <c r="FK11" s="5">
        <f>IFERROR(VLOOKUP(FK$1,'Renta Mixta Agresivo'!$B$35:$C$57,2,FALSE),0%)</f>
        <v>0</v>
      </c>
      <c r="FL11" s="5">
        <f>IFERROR(VLOOKUP(FL$1,'Renta Mixta Agresivo'!$B$35:$C$57,2,FALSE),0%)</f>
        <v>0</v>
      </c>
      <c r="FM11" s="5">
        <f>IFERROR(VLOOKUP(FM$1,'Renta Mixta Agresivo'!$B$35:$C$57,2,FALSE),0%)</f>
        <v>0</v>
      </c>
      <c r="FN11" s="5">
        <f>IFERROR(VLOOKUP(FN$1,'Renta Mixta Agresivo'!$B$35:$C$57,2,FALSE),0%)</f>
        <v>0</v>
      </c>
      <c r="FO11" s="5">
        <f>IFERROR(VLOOKUP(FO$1,'Renta Mixta Agresivo'!$B$35:$C$57,2,FALSE),0%)</f>
        <v>0</v>
      </c>
      <c r="FP11" s="5">
        <f>IFERROR(VLOOKUP(FP$1,'Renta Mixta Agresivo'!$B$35:$C$57,2,FALSE),0%)</f>
        <v>0</v>
      </c>
      <c r="FQ11" s="5">
        <f>IFERROR(VLOOKUP(FQ$1,'Renta Mixta Agresivo'!$B$35:$C$57,2,FALSE),0%)</f>
        <v>0</v>
      </c>
      <c r="FR11" s="5">
        <f>IFERROR(VLOOKUP(FR$1,'Renta Mixta Agresivo'!$B$35:$C$57,2,FALSE),0%)</f>
        <v>0</v>
      </c>
      <c r="FS11" s="5">
        <f>IFERROR(VLOOKUP(FS$1,'Renta Mixta Agresivo'!$B$35:$C$57,2,FALSE),0%)</f>
        <v>0</v>
      </c>
      <c r="FT11" s="5">
        <f>IFERROR(VLOOKUP(FT$1,'Renta Mixta Agresivo'!$B$35:$C$57,2,FALSE),0%)</f>
        <v>0</v>
      </c>
      <c r="FU11" s="5">
        <f>IFERROR(VLOOKUP(FU$1,'Renta Mixta Agresivo'!$B$35:$C$57,2,FALSE),0%)</f>
        <v>0</v>
      </c>
      <c r="FV11" s="5">
        <f>IFERROR(VLOOKUP(FV$1,'Renta Mixta Agresivo'!$B$35:$C$57,2,FALSE),0%)</f>
        <v>0</v>
      </c>
      <c r="FW11" s="5">
        <f>IFERROR(VLOOKUP(FW$1,'Renta Mixta Agresivo'!$B$35:$C$57,2,FALSE),0%)</f>
        <v>0</v>
      </c>
      <c r="FX11" s="5">
        <f>IFERROR(VLOOKUP(FX$1,'Renta Mixta Agresivo'!$B$35:$C$57,2,FALSE),0%)</f>
        <v>0</v>
      </c>
      <c r="FY11" s="5">
        <f>IFERROR(VLOOKUP(FY$1,'Renta Mixta Agresivo'!$B$35:$C$57,2,FALSE),0%)</f>
        <v>0</v>
      </c>
      <c r="FZ11" s="5">
        <f>IFERROR(VLOOKUP(FZ$1,'Renta Mixta Agresivo'!$B$35:$C$57,2,FALSE),0%)</f>
        <v>0</v>
      </c>
      <c r="GA11" s="5">
        <f>IFERROR(VLOOKUP(GA$1,'Renta Mixta Agresivo'!$B$35:$C$57,2,FALSE),0%)</f>
        <v>0</v>
      </c>
      <c r="GB11" s="5">
        <f>IFERROR(VLOOKUP(GB$1,'Renta Mixta Agresivo'!$B$35:$C$57,2,FALSE),0%)</f>
        <v>0</v>
      </c>
      <c r="GC11" s="5">
        <f>IFERROR(VLOOKUP(GC$1,'Renta Mixta Agresivo'!$B$35:$C$57,2,FALSE),0%)</f>
        <v>0</v>
      </c>
      <c r="GD11" s="5">
        <f>IFERROR(VLOOKUP(GD$1,'Renta Mixta Agresivo'!$B$35:$C$57,2,FALSE),0%)</f>
        <v>0</v>
      </c>
      <c r="GE11" s="5">
        <f>IFERROR(VLOOKUP(GE$1,'Renta Mixta Agresivo'!$B$35:$C$57,2,FALSE),0%)</f>
        <v>0</v>
      </c>
      <c r="GF11" s="5">
        <f>IFERROR(VLOOKUP(GF$1,'Renta Mixta Agresivo'!$B$35:$C$57,2,FALSE),0%)</f>
        <v>0</v>
      </c>
      <c r="GG11" s="5">
        <f>IFERROR(VLOOKUP(GG$1,'Renta Mixta Agresivo'!$B$35:$C$57,2,FALSE),0%)</f>
        <v>0</v>
      </c>
      <c r="GH11" s="5">
        <f>IFERROR(VLOOKUP(GH$1,'Renta Mixta Agresivo'!$B$35:$C$57,2,FALSE),0%)</f>
        <v>0</v>
      </c>
      <c r="GI11" s="5">
        <f>IFERROR(VLOOKUP(GI$1,'Renta Mixta Agresivo'!$B$35:$C$57,2,FALSE),0%)</f>
        <v>0</v>
      </c>
      <c r="GJ11" s="5">
        <f>IFERROR(VLOOKUP(GJ$1,'Renta Mixta Agresivo'!$B$35:$C$57,2,FALSE),0%)</f>
        <v>0</v>
      </c>
      <c r="GK11" s="5">
        <f>IFERROR(VLOOKUP(GK$1,'Renta Mixta Agresivo'!$B$35:$C$57,2,FALSE),0%)</f>
        <v>0</v>
      </c>
      <c r="GL11" s="5">
        <f>IFERROR(VLOOKUP(GL$1,'Renta Mixta Agresivo'!$B$35:$C$57,2,FALSE),0%)</f>
        <v>0</v>
      </c>
      <c r="GM11" s="5">
        <f>IFERROR(VLOOKUP(GM$1,'Renta Mixta Agresivo'!$B$35:$C$57,2,FALSE),0%)</f>
        <v>0</v>
      </c>
      <c r="GN11" s="5">
        <f>IFERROR(VLOOKUP(GN$1,'Renta Mixta Agresivo'!$B$35:$C$57,2,FALSE),0%)</f>
        <v>0</v>
      </c>
      <c r="GO11" s="5">
        <f>IFERROR(VLOOKUP(GO$1,'Renta Mixta Agresivo'!$B$35:$C$57,2,FALSE),0%)</f>
        <v>0</v>
      </c>
      <c r="GP11" s="5">
        <f>IFERROR(VLOOKUP(GP$1,'Renta Mixta Agresivo'!$B$35:$C$57,2,FALSE),0%)</f>
        <v>0</v>
      </c>
      <c r="GQ11" s="5">
        <f>IFERROR(VLOOKUP(GQ$1,'Renta Mixta Agresivo'!$B$35:$C$57,2,FALSE),0%)</f>
        <v>0</v>
      </c>
      <c r="GR11" s="5">
        <f>IFERROR(VLOOKUP(GR$1,'Renta Mixta Agresivo'!$B$35:$C$57,2,FALSE),0%)</f>
        <v>0</v>
      </c>
      <c r="GS11" s="5">
        <f>IFERROR(VLOOKUP(GS$1,'Renta Mixta Agresivo'!$B$35:$C$57,2,FALSE),0%)</f>
        <v>0</v>
      </c>
      <c r="GT11" s="5">
        <f>IFERROR(VLOOKUP(GT$1,'Renta Mixta Agresivo'!$B$35:$C$57,2,FALSE),0%)</f>
        <v>0</v>
      </c>
      <c r="GU11" s="5">
        <f>IFERROR(VLOOKUP(GU$1,'Renta Mixta Agresivo'!$B$35:$C$57,2,FALSE),0%)</f>
        <v>0</v>
      </c>
      <c r="GV11" s="5">
        <f>IFERROR(VLOOKUP(GV$1,'Renta Mixta Agresivo'!$B$35:$C$57,2,FALSE),0%)</f>
        <v>0</v>
      </c>
      <c r="GW11" s="5">
        <f>IFERROR(VLOOKUP(GW$1,'Renta Mixta Agresivo'!$B$35:$C$57,2,FALSE),0%)</f>
        <v>0</v>
      </c>
      <c r="GX11" s="5">
        <f>IFERROR(VLOOKUP(GX$1,'Renta Mixta Agresivo'!$B$35:$C$57,2,FALSE),0%)</f>
        <v>0</v>
      </c>
      <c r="GY11" s="5">
        <f>IFERROR(VLOOKUP(GY$1,'Renta Mixta Agresivo'!$B$35:$C$57,2,FALSE),0%)</f>
        <v>0</v>
      </c>
      <c r="GZ11" s="5">
        <f>IFERROR(VLOOKUP(GZ$1,'Renta Mixta Agresivo'!$B$35:$C$57,2,FALSE),0%)</f>
        <v>0</v>
      </c>
      <c r="HA11" s="5">
        <f>IFERROR(VLOOKUP(HA$1,'Renta Mixta Agresivo'!$B$35:$C$57,2,FALSE),0%)</f>
        <v>0</v>
      </c>
      <c r="HB11" s="5">
        <f>IFERROR(VLOOKUP(HB$1,'Renta Mixta Agresivo'!$B$35:$C$57,2,FALSE),0%)</f>
        <v>0</v>
      </c>
      <c r="HC11" s="5">
        <f>IFERROR(VLOOKUP(HC$1,'Renta Mixta Agresivo'!$B$35:$C$57,2,FALSE),0%)</f>
        <v>0</v>
      </c>
      <c r="HD11" s="5">
        <f>IFERROR(VLOOKUP(HD$1,'Renta Mixta Agresivo'!$B$35:$C$57,2,FALSE),0%)</f>
        <v>0.0315381487</v>
      </c>
      <c r="HE11" s="5">
        <f>IFERROR(VLOOKUP(HE$1,'Renta Mixta Agresivo'!$B$35:$C$57,2,FALSE),0%)</f>
        <v>0</v>
      </c>
      <c r="HF11" s="5">
        <f>IFERROR(VLOOKUP(HF$1,'Renta Mixta Agresivo'!$B$35:$C$57,2,FALSE),0%)</f>
        <v>0</v>
      </c>
      <c r="HG11" s="5">
        <f>IFERROR(VLOOKUP(HG$1,'Renta Mixta Agresivo'!$B$35:$C$57,2,FALSE),0%)</f>
        <v>0</v>
      </c>
      <c r="HH11" s="5">
        <f>IFERROR(VLOOKUP(HH$1,'Renta Mixta Agresivo'!$B$35:$C$57,2,FALSE),0%)</f>
        <v>0</v>
      </c>
      <c r="HI11" s="5">
        <f>IFERROR(VLOOKUP(HI$1,'Renta Mixta Agresivo'!$B$35:$C$57,2,FALSE),0%)</f>
        <v>0</v>
      </c>
      <c r="HJ11" s="5">
        <f>IFERROR(VLOOKUP(HJ$1,'Renta Mixta Agresivo'!$B$35:$C$57,2,FALSE),0%)</f>
        <v>0</v>
      </c>
      <c r="HK11" s="5">
        <f>IFERROR(VLOOKUP(HK$1,'Renta Mixta Agresivo'!$B$35:$C$57,2,FALSE),0%)</f>
        <v>0</v>
      </c>
      <c r="HL11" s="5">
        <f>IFERROR(VLOOKUP(HL$1,'Renta Mixta Agresivo'!$B$35:$C$57,2,FALSE),0%)</f>
        <v>0</v>
      </c>
      <c r="HM11" s="5">
        <f>IFERROR(VLOOKUP(HM$1,'Renta Mixta Agresivo'!$B$35:$C$57,2,FALSE),0%)</f>
        <v>0</v>
      </c>
      <c r="HN11" s="5">
        <f>IFERROR(VLOOKUP(HN$1,'Renta Mixta Agresivo'!$B$35:$C$57,2,FALSE),0%)</f>
        <v>0</v>
      </c>
      <c r="HO11" s="5">
        <f>IFERROR(VLOOKUP(HO$1,'Renta Mixta Agresivo'!$B$35:$C$57,2,FALSE),0%)</f>
        <v>0</v>
      </c>
      <c r="HP11" s="5">
        <f>IFERROR(VLOOKUP(HP$1,'Renta Mixta Agresivo'!$B$35:$C$57,2,FALSE),0%)</f>
        <v>0</v>
      </c>
      <c r="HQ11" s="5">
        <f>IFERROR(VLOOKUP(HQ$1,'Renta Mixta Agresivo'!$B$35:$C$57,2,FALSE),0%)</f>
        <v>0</v>
      </c>
      <c r="HR11" s="5">
        <f>IFERROR(VLOOKUP(HR$1,'Renta Mixta Agresivo'!$B$35:$C$57,2,FALSE),0%)</f>
        <v>0</v>
      </c>
      <c r="HS11" s="5">
        <f>IFERROR(VLOOKUP(HS$1,'Renta Mixta Agresivo'!$B$35:$C$57,2,FALSE),0%)</f>
        <v>0</v>
      </c>
      <c r="HT11" s="5">
        <f>IFERROR(VLOOKUP(HT$1,'Renta Mixta Agresivo'!$B$35:$C$57,2,FALSE),0%)</f>
        <v>0</v>
      </c>
      <c r="HU11" s="5">
        <f>IFERROR(VLOOKUP(HU$1,'Renta Mixta Agresivo'!$B$35:$C$57,2,FALSE),0%)</f>
        <v>0</v>
      </c>
      <c r="HV11" s="5">
        <f>IFERROR(VLOOKUP(HV$1,'Renta Mixta Agresivo'!$B$35:$C$57,2,FALSE),0%)</f>
        <v>0</v>
      </c>
      <c r="HW11" s="5">
        <f>IFERROR(VLOOKUP(HW$1,'Renta Mixta Agresivo'!$B$35:$C$57,2,FALSE),0%)</f>
        <v>0</v>
      </c>
      <c r="HX11" s="5">
        <f>IFERROR(VLOOKUP(HX$1,'Renta Mixta Agresivo'!$B$35:$C$57,2,FALSE),0%)</f>
        <v>0</v>
      </c>
      <c r="HY11" s="5">
        <f>IFERROR(VLOOKUP(HY$1,'Renta Mixta Agresivo'!$B$35:$C$57,2,FALSE),0%)</f>
        <v>0</v>
      </c>
      <c r="HZ11" s="5">
        <f>IFERROR(VLOOKUP(HZ$1,'Renta Mixta Agresivo'!$B$35:$C$57,2,FALSE),0%)</f>
        <v>0</v>
      </c>
      <c r="IA11" s="5">
        <f>IFERROR(VLOOKUP(IA$1,'Renta Mixta Agresivo'!$B$35:$C$57,2,FALSE),0%)</f>
        <v>0</v>
      </c>
      <c r="IB11" s="5">
        <f>IFERROR(VLOOKUP(IB$1,'Renta Mixta Agresivo'!$B$35:$C$57,2,FALSE),0%)</f>
        <v>0</v>
      </c>
      <c r="IC11" s="5">
        <f>IFERROR(VLOOKUP(IC$1,'Renta Mixta Agresivo'!$B$35:$C$57,2,FALSE),0%)</f>
        <v>0</v>
      </c>
      <c r="ID11" s="5">
        <f>IFERROR(VLOOKUP(ID$1,'Renta Mixta Agresivo'!$B$35:$C$57,2,FALSE),0%)</f>
        <v>0</v>
      </c>
      <c r="IE11" s="5">
        <f>IFERROR(VLOOKUP(IE$1,'Renta Mixta Agresivo'!$B$35:$C$57,2,FALSE),0%)</f>
        <v>0</v>
      </c>
      <c r="IF11" s="5">
        <f>IFERROR(VLOOKUP(IF$1,'Renta Mixta Agresivo'!$B$35:$C$57,2,FALSE),0%)</f>
        <v>0</v>
      </c>
      <c r="IG11" s="5">
        <f>IFERROR(VLOOKUP(IG$1,'Renta Mixta Agresivo'!$B$35:$C$57,2,FALSE),0%)</f>
        <v>0</v>
      </c>
      <c r="IH11" s="5">
        <f>IFERROR(VLOOKUP(IH$1,'Renta Mixta Agresivo'!$B$35:$C$57,2,FALSE),0%)</f>
        <v>0</v>
      </c>
      <c r="II11" s="5">
        <f>IFERROR(VLOOKUP(II$1,'Renta Mixta Agresivo'!$B$35:$C$57,2,FALSE),0%)</f>
        <v>0</v>
      </c>
      <c r="IJ11" s="5">
        <f>IFERROR(VLOOKUP(IJ$1,'Renta Mixta Agresivo'!$B$35:$C$57,2,FALSE),0%)</f>
        <v>0</v>
      </c>
      <c r="IK11" s="5">
        <f>IFERROR(VLOOKUP(IK$1,'Renta Mixta Agresivo'!$B$35:$C$57,2,FALSE),0%)</f>
        <v>0</v>
      </c>
      <c r="IL11" s="5">
        <f>IFERROR(VLOOKUP(IL$1,'Renta Mixta Agresivo'!$B$35:$C$57,2,FALSE),0%)</f>
        <v>0</v>
      </c>
      <c r="IM11" s="5">
        <f>IFERROR(VLOOKUP(IM$1,'Renta Mixta Agresivo'!$B$35:$C$57,2,FALSE),0%)</f>
        <v>0</v>
      </c>
      <c r="IN11" s="5">
        <f>IFERROR(VLOOKUP(IN$1,'Renta Mixta Agresivo'!$B$35:$C$57,2,FALSE),0%)</f>
        <v>0</v>
      </c>
      <c r="IO11" s="5">
        <f>IFERROR(VLOOKUP(IO$1,'Renta Mixta Agresivo'!$B$35:$C$57,2,FALSE),0%)</f>
        <v>0</v>
      </c>
      <c r="IP11" s="5">
        <f>IFERROR(VLOOKUP(IP$1,'Renta Mixta Agresivo'!$B$35:$C$57,2,FALSE),0%)</f>
        <v>0</v>
      </c>
      <c r="IQ11" s="5">
        <f>IFERROR(VLOOKUP(IQ$1,'Renta Mixta Agresivo'!$B$35:$C$57,2,FALSE),0%)</f>
        <v>0</v>
      </c>
      <c r="IR11" s="5">
        <f>IFERROR(VLOOKUP(IR$1,'Renta Mixta Agresivo'!$B$35:$C$57,2,FALSE),0%)</f>
        <v>0</v>
      </c>
      <c r="IS11" s="5">
        <f>IFERROR(VLOOKUP(IS$1,'Renta Mixta Agresivo'!$B$35:$C$57,2,FALSE),0%)</f>
        <v>0</v>
      </c>
      <c r="IT11" s="5">
        <f>IFERROR(VLOOKUP(IT$1,'Renta Mixta Agresivo'!$B$35:$C$57,2,FALSE),0%)</f>
        <v>0</v>
      </c>
      <c r="IU11" s="5">
        <f>IFERROR(VLOOKUP(IU$1,'Renta Mixta Agresivo'!$B$35:$C$57,2,FALSE),0%)</f>
        <v>0</v>
      </c>
      <c r="IV11" s="5">
        <f>IFERROR(VLOOKUP(IV$1,'Renta Mixta Agresivo'!$B$35:$C$57,2,FALSE),0%)</f>
        <v>0</v>
      </c>
      <c r="IW11" s="5">
        <f>IFERROR(VLOOKUP(IW$1,'Renta Mixta Agresivo'!$B$35:$C$57,2,FALSE),0%)</f>
        <v>0</v>
      </c>
      <c r="IX11" s="5">
        <f>IFERROR(VLOOKUP(IX$1,'Renta Mixta Agresivo'!$B$35:$C$57,2,FALSE),0%)</f>
        <v>0</v>
      </c>
      <c r="IY11" s="5">
        <f>IFERROR(VLOOKUP(IY$1,'Renta Mixta Agresivo'!$B$35:$C$57,2,FALSE),0%)</f>
        <v>0</v>
      </c>
      <c r="IZ11" s="5">
        <f>IFERROR(VLOOKUP(IZ$1,'Renta Mixta Agresivo'!$B$35:$C$57,2,FALSE),0%)</f>
        <v>0</v>
      </c>
      <c r="JA11" s="5">
        <f>IFERROR(VLOOKUP(JA$1,'Renta Mixta Agresivo'!$B$35:$C$57,2,FALSE),0%)</f>
        <v>0</v>
      </c>
      <c r="JB11" s="5">
        <f>IFERROR(VLOOKUP(JB$1,'Renta Mixta Agresivo'!$B$35:$C$57,2,FALSE),0%)</f>
        <v>0</v>
      </c>
      <c r="JC11" s="5">
        <f>IFERROR(VLOOKUP(JC$1,'Renta Mixta Agresivo'!$B$35:$C$57,2,FALSE),0%)</f>
        <v>0</v>
      </c>
      <c r="JD11" s="5">
        <f>IFERROR(VLOOKUP(JD$1,'Renta Mixta Agresivo'!$B$35:$C$57,2,FALSE),0%)</f>
        <v>0</v>
      </c>
      <c r="JE11" s="5">
        <f>IFERROR(VLOOKUP(JE$1,'Renta Mixta Agresivo'!$B$35:$C$57,2,FALSE),0%)</f>
        <v>0</v>
      </c>
      <c r="JF11" s="5">
        <f>IFERROR(VLOOKUP(JF$1,'Renta Mixta Agresivo'!$B$35:$C$57,2,FALSE),0%)</f>
        <v>0</v>
      </c>
      <c r="JG11" s="5">
        <f>IFERROR(VLOOKUP(JG$1,'Renta Mixta Agresivo'!$B$35:$C$57,2,FALSE),0%)</f>
        <v>0</v>
      </c>
      <c r="JH11" s="5">
        <f>IFERROR(VLOOKUP(JH$1,'Renta Mixta Agresivo'!$B$35:$C$57,2,FALSE),0%)</f>
        <v>0.02805716896</v>
      </c>
      <c r="JI11" s="5">
        <f>IFERROR(VLOOKUP(JI$1,'Renta Mixta Agresivo'!$B$35:$C$57,2,FALSE),0%)</f>
        <v>0</v>
      </c>
      <c r="JJ11" s="5">
        <f>IFERROR(VLOOKUP(JJ$1,'Renta Mixta Agresivo'!$B$35:$C$57,2,FALSE),0%)</f>
        <v>0</v>
      </c>
      <c r="JK11" s="5">
        <f>IFERROR(VLOOKUP(JK$1,'Renta Mixta Agresivo'!$B$35:$C$57,2,FALSE),0%)</f>
        <v>0</v>
      </c>
      <c r="JL11" s="5">
        <f>IFERROR(VLOOKUP(JL$1,'Renta Mixta Agresivo'!$B$35:$C$57,2,FALSE),0%)</f>
        <v>0</v>
      </c>
      <c r="JM11" s="5">
        <f>IFERROR(VLOOKUP(JM$1,'Renta Mixta Agresivo'!$B$35:$C$57,2,FALSE),0%)</f>
        <v>0</v>
      </c>
      <c r="JN11" s="5">
        <f>IFERROR(VLOOKUP(JN$1,'Renta Mixta Agresivo'!$B$35:$C$57,2,FALSE),0%)</f>
        <v>0</v>
      </c>
      <c r="JO11" s="5">
        <f>IFERROR(VLOOKUP(JO$1,'Renta Mixta Agresivo'!$B$35:$C$57,2,FALSE),0%)</f>
        <v>0</v>
      </c>
      <c r="JP11" s="5">
        <f>IFERROR(VLOOKUP(JP$1,'Renta Mixta Agresivo'!$B$35:$C$57,2,FALSE),0%)</f>
        <v>0</v>
      </c>
      <c r="JQ11" s="5">
        <f>IFERROR(VLOOKUP(JQ$1,'Renta Mixta Agresivo'!$B$35:$C$57,2,FALSE),0%)</f>
        <v>0</v>
      </c>
      <c r="JR11" s="5">
        <f>IFERROR(VLOOKUP(JR$1,'Renta Mixta Agresivo'!$B$35:$C$57,2,FALSE),0%)</f>
        <v>0</v>
      </c>
      <c r="JS11" s="5">
        <f>IFERROR(VLOOKUP(JS$1,'Renta Mixta Agresivo'!$B$35:$C$57,2,FALSE),0%)</f>
        <v>0</v>
      </c>
      <c r="JT11" s="5">
        <f>IFERROR(VLOOKUP(JT$1,'Renta Mixta Agresivo'!$B$35:$C$57,2,FALSE),0%)</f>
        <v>0</v>
      </c>
      <c r="JU11" s="5">
        <f>IFERROR(VLOOKUP(JU$1,'Renta Mixta Agresivo'!$B$35:$C$57,2,FALSE),0%)</f>
        <v>0</v>
      </c>
      <c r="JV11" s="5">
        <f>IFERROR(VLOOKUP(JV$1,'Renta Mixta Agresivo'!$B$35:$C$57,2,FALSE),0%)</f>
        <v>0</v>
      </c>
      <c r="JW11" s="5">
        <f>IFERROR(VLOOKUP(JW$1,'Renta Mixta Agresivo'!$B$35:$C$57,2,FALSE),0%)</f>
        <v>0</v>
      </c>
      <c r="JX11" s="5">
        <f>IFERROR(VLOOKUP(JX$1,'Renta Mixta Agresivo'!$B$35:$C$57,2,FALSE),0%)</f>
        <v>0</v>
      </c>
      <c r="JY11" s="5">
        <f>IFERROR(VLOOKUP(JY$1,'Renta Mixta Agresivo'!$B$35:$C$57,2,FALSE),0%)</f>
        <v>0</v>
      </c>
      <c r="JZ11" s="5">
        <f>IFERROR(VLOOKUP(JZ$1,'Renta Mixta Agresivo'!$B$35:$C$57,2,FALSE),0%)</f>
        <v>0</v>
      </c>
      <c r="KA11" s="5">
        <f>IFERROR(VLOOKUP(KA$1,'Renta Mixta Agresivo'!$B$35:$C$57,2,FALSE),0%)</f>
        <v>0</v>
      </c>
      <c r="KB11" s="5">
        <f>IFERROR(VLOOKUP(KB$1,'Renta Mixta Agresivo'!$B$35:$C$57,2,FALSE),0%)</f>
        <v>0</v>
      </c>
      <c r="KC11" s="5">
        <f>IFERROR(VLOOKUP(KC$1,'Renta Mixta Agresivo'!$B$35:$C$57,2,FALSE),0%)</f>
        <v>0</v>
      </c>
      <c r="KD11" s="5">
        <f>IFERROR(VLOOKUP(KD$1,'Renta Mixta Agresivo'!$B$35:$C$57,2,FALSE),0%)</f>
        <v>0</v>
      </c>
      <c r="KE11" s="5">
        <f>IFERROR(VLOOKUP(KE$1,'Renta Mixta Agresivo'!$B$35:$C$57,2,FALSE),0%)</f>
        <v>0</v>
      </c>
      <c r="KF11" s="5">
        <f>IFERROR(VLOOKUP(KF$1,'Renta Mixta Agresivo'!$B$35:$C$57,2,FALSE),0%)</f>
        <v>0</v>
      </c>
      <c r="KG11" s="5">
        <f>IFERROR(VLOOKUP(KG$1,'Renta Mixta Agresivo'!$B$35:$C$57,2,FALSE),0%)</f>
        <v>0</v>
      </c>
      <c r="KH11" s="5">
        <f>IFERROR(VLOOKUP(KH$1,'Renta Mixta Agresivo'!$B$35:$C$57,2,FALSE),0%)</f>
        <v>0</v>
      </c>
      <c r="KI11" s="5">
        <f>IFERROR(VLOOKUP(KI$1,'Renta Mixta Agresivo'!$B$35:$C$57,2,FALSE),0%)</f>
        <v>0</v>
      </c>
      <c r="KJ11" s="5">
        <f>IFERROR(VLOOKUP(KJ$1,'Renta Mixta Agresivo'!$B$35:$C$57,2,FALSE),0%)</f>
        <v>0</v>
      </c>
      <c r="KK11" s="5">
        <f>IFERROR(VLOOKUP(KK$1,'Renta Mixta Agresivo'!$B$35:$C$57,2,FALSE),0%)</f>
        <v>0</v>
      </c>
      <c r="KL11" s="5">
        <f>IFERROR(VLOOKUP(KL$1,'Renta Mixta Agresivo'!$B$35:$C$57,2,FALSE),0%)</f>
        <v>0</v>
      </c>
      <c r="KM11" s="5">
        <f>IFERROR(VLOOKUP(KM$1,'Renta Mixta Agresivo'!$B$35:$C$57,2,FALSE),0%)</f>
        <v>0</v>
      </c>
      <c r="KN11" s="5">
        <f>IFERROR(VLOOKUP(KN$1,'Renta Mixta Agresivo'!$B$35:$C$57,2,FALSE),0%)</f>
        <v>0</v>
      </c>
      <c r="KO11" s="5">
        <f>IFERROR(VLOOKUP(KO$1,'Renta Mixta Agresivo'!$B$35:$C$57,2,FALSE),0%)</f>
        <v>0</v>
      </c>
      <c r="KP11" s="5">
        <f>IFERROR(VLOOKUP(KP$1,'Renta Mixta Agresivo'!$B$35:$C$57,2,FALSE),0%)</f>
        <v>0</v>
      </c>
      <c r="KQ11" s="5">
        <f>IFERROR(VLOOKUP(KQ$1,'Renta Mixta Agresivo'!$B$35:$C$57,2,FALSE),0%)</f>
        <v>0</v>
      </c>
      <c r="KR11" s="5">
        <f>IFERROR(VLOOKUP(KR$1,'Renta Mixta Agresivo'!$B$35:$C$57,2,FALSE),0%)</f>
        <v>0</v>
      </c>
      <c r="KS11" s="5">
        <f>IFERROR(VLOOKUP(KS$1,'Renta Mixta Agresivo'!$B$35:$C$57,2,FALSE),0%)</f>
        <v>0</v>
      </c>
      <c r="KT11" s="5">
        <f>IFERROR(VLOOKUP(KT$1,'Renta Mixta Agresivo'!$B$35:$C$57,2,FALSE),0%)</f>
        <v>0.007910388118</v>
      </c>
      <c r="KU11" s="5">
        <f>IFERROR(VLOOKUP(KU$1,'Renta Mixta Agresivo'!$B$35:$C$57,2,FALSE),0%)</f>
        <v>0</v>
      </c>
      <c r="KV11" s="5">
        <f>IFERROR(VLOOKUP(KV$1,'Renta Mixta Agresivo'!$B$35:$C$57,2,FALSE),0%)</f>
        <v>0</v>
      </c>
      <c r="KW11" s="5">
        <f>IFERROR(VLOOKUP(KW$1,'Renta Mixta Agresivo'!$B$35:$C$57,2,FALSE),0%)</f>
        <v>0</v>
      </c>
      <c r="KX11" s="5">
        <f>IFERROR(VLOOKUP(KX$1,'Renta Mixta Agresivo'!$B$35:$C$57,2,FALSE),0%)</f>
        <v>0</v>
      </c>
      <c r="KY11" s="5">
        <f>IFERROR(VLOOKUP(KY$1,'Renta Mixta Agresivo'!$B$35:$C$57,2,FALSE),0%)</f>
        <v>0</v>
      </c>
      <c r="KZ11" s="5">
        <f>IFERROR(VLOOKUP(KZ$1,'Renta Mixta Agresivo'!$B$35:$C$57,2,FALSE),0%)</f>
        <v>0</v>
      </c>
      <c r="LA11" s="5">
        <f>IFERROR(VLOOKUP(LA$1,'Renta Mixta Agresivo'!$B$35:$C$57,2,FALSE),0%)</f>
        <v>0</v>
      </c>
      <c r="LB11" s="5">
        <f>IFERROR(VLOOKUP(LB$1,'Renta Mixta Agresivo'!$B$35:$C$57,2,FALSE),0%)</f>
        <v>0</v>
      </c>
      <c r="LC11" s="5">
        <f>IFERROR(VLOOKUP(LC$1,'Renta Mixta Agresivo'!$B$35:$C$57,2,FALSE),0%)</f>
        <v>0</v>
      </c>
      <c r="LD11" s="5">
        <f>IFERROR(VLOOKUP(LD$1,'Renta Mixta Agresivo'!$B$35:$C$57,2,FALSE),0%)</f>
        <v>0</v>
      </c>
      <c r="LE11" s="5">
        <f>IFERROR(VLOOKUP(LE$1,'Renta Mixta Agresivo'!$B$35:$C$57,2,FALSE),0%)</f>
        <v>0</v>
      </c>
      <c r="LF11" s="5">
        <f>IFERROR(VLOOKUP(LF$1,'Renta Mixta Agresivo'!$B$35:$C$57,2,FALSE),0%)</f>
        <v>0</v>
      </c>
      <c r="LG11" s="5">
        <f>IFERROR(VLOOKUP(LG$1,'Renta Mixta Agresivo'!$B$35:$C$57,2,FALSE),0%)</f>
        <v>0</v>
      </c>
      <c r="LH11" s="5">
        <f>IFERROR(VLOOKUP(LH$1,'Renta Mixta Agresivo'!$B$35:$C$57,2,FALSE),0%)</f>
        <v>0</v>
      </c>
      <c r="LI11" s="5">
        <f>IFERROR(VLOOKUP(LI$1,'Renta Mixta Agresivo'!$B$35:$C$57,2,FALSE),0%)</f>
        <v>0</v>
      </c>
      <c r="LJ11" s="5">
        <f>IFERROR(VLOOKUP(LJ$1,'Renta Mixta Agresivo'!$B$35:$C$57,2,FALSE),0%)</f>
        <v>0</v>
      </c>
      <c r="LK11" s="5">
        <f>IFERROR(VLOOKUP(LK$1,'Renta Mixta Agresivo'!$B$35:$C$57,2,FALSE),0%)</f>
        <v>0</v>
      </c>
      <c r="LL11" s="5">
        <f>IFERROR(VLOOKUP(LL$1,'Renta Mixta Agresivo'!$B$35:$C$57,2,FALSE),0%)</f>
        <v>0</v>
      </c>
      <c r="LM11" s="5">
        <f>IFERROR(VLOOKUP(LM$1,'Renta Mixta Agresivo'!$B$35:$C$57,2,FALSE),0%)</f>
        <v>0</v>
      </c>
      <c r="LN11" s="5">
        <f>IFERROR(VLOOKUP(LN$1,'Renta Mixta Agresivo'!$B$35:$C$57,2,FALSE),0%)</f>
        <v>0</v>
      </c>
      <c r="LO11" s="5">
        <f>IFERROR(VLOOKUP(LO$1,'Renta Mixta Agresivo'!$B$35:$C$57,2,FALSE),0%)</f>
        <v>0</v>
      </c>
      <c r="LP11" s="5">
        <f>IFERROR(VLOOKUP(LP$1,'Renta Mixta Agresivo'!$B$35:$C$57,2,FALSE),0%)</f>
        <v>0</v>
      </c>
      <c r="LQ11" s="5">
        <f>IFERROR(VLOOKUP(LQ$1,'Renta Mixta Agresivo'!$B$35:$C$57,2,FALSE),0%)</f>
        <v>0</v>
      </c>
      <c r="LR11" s="5">
        <f>IFERROR(VLOOKUP(LR$1,'Renta Mixta Agresivo'!$B$35:$C$57,2,FALSE),0%)</f>
        <v>0</v>
      </c>
      <c r="LS11" s="5">
        <f>IFERROR(VLOOKUP(LS$1,'Renta Mixta Agresivo'!$B$35:$C$57,2,FALSE),0%)</f>
        <v>0</v>
      </c>
      <c r="LT11" s="5">
        <f>IFERROR(VLOOKUP(LT$1,'Renta Mixta Agresivo'!$B$35:$C$57,2,FALSE),0%)</f>
        <v>0</v>
      </c>
      <c r="LU11" s="5">
        <f>IFERROR(VLOOKUP(LU$1,'Renta Mixta Agresivo'!$B$35:$C$57,2,FALSE),0%)</f>
        <v>0</v>
      </c>
      <c r="LV11" s="5">
        <f>IFERROR(VLOOKUP(LV$1,'Renta Mixta Agresivo'!$B$35:$C$57,2,FALSE),0%)</f>
        <v>0</v>
      </c>
      <c r="LW11" s="5">
        <f>IFERROR(VLOOKUP(LW$1,'Renta Mixta Agresivo'!$B$35:$C$57,2,FALSE),0%)</f>
        <v>0</v>
      </c>
      <c r="LX11" s="5">
        <f>IFERROR(VLOOKUP(LX$1,'Renta Mixta Agresivo'!$B$35:$C$57,2,FALSE),0%)</f>
        <v>0</v>
      </c>
      <c r="LY11" s="5">
        <f>IFERROR(VLOOKUP(LY$1,'Renta Mixta Agresivo'!$B$35:$C$57,2,FALSE),0%)</f>
        <v>0</v>
      </c>
      <c r="LZ11" s="5">
        <f>IFERROR(VLOOKUP(LZ$1,'Renta Mixta Agresivo'!$B$35:$C$57,2,FALSE),0%)</f>
        <v>0</v>
      </c>
      <c r="MA11" s="5">
        <f>IFERROR(VLOOKUP(MA$1,'Renta Mixta Agresivo'!$B$35:$C$57,2,FALSE),0%)</f>
        <v>0</v>
      </c>
      <c r="MB11" s="5">
        <f>IFERROR(VLOOKUP(MB$1,'Renta Mixta Agresivo'!$B$35:$C$57,2,FALSE),0%)</f>
        <v>0</v>
      </c>
      <c r="MC11" s="5">
        <f>IFERROR(VLOOKUP(MC$1,'Renta Mixta Agresivo'!$B$35:$C$57,2,FALSE),0%)</f>
        <v>0</v>
      </c>
      <c r="MD11" s="5">
        <f>IFERROR(VLOOKUP(MD$1,'Renta Mixta Agresivo'!$B$35:$C$57,2,FALSE),0%)</f>
        <v>0</v>
      </c>
      <c r="ME11" s="5">
        <f>IFERROR(VLOOKUP(ME$1,'Renta Mixta Agresivo'!$B$35:$C$57,2,FALSE),0%)</f>
        <v>0</v>
      </c>
      <c r="MF11" s="5">
        <f>IFERROR(VLOOKUP(MF$1,'Renta Mixta Agresivo'!$B$35:$C$57,2,FALSE),0%)</f>
        <v>0</v>
      </c>
      <c r="MG11" s="5">
        <f>IFERROR(VLOOKUP(MG$1,'Renta Mixta Agresivo'!$B$35:$C$57,2,FALSE),0%)</f>
        <v>0</v>
      </c>
      <c r="MH11" s="5">
        <f>IFERROR(VLOOKUP(MH$1,'Renta Mixta Agresivo'!$B$35:$C$57,2,FALSE),0%)</f>
        <v>0</v>
      </c>
      <c r="MI11" s="5">
        <f>IFERROR(VLOOKUP(MI$1,'Renta Mixta Agresivo'!$B$35:$C$57,2,FALSE),0%)</f>
        <v>0.0112128459</v>
      </c>
      <c r="MJ11" s="5">
        <f>IFERROR(VLOOKUP(MJ$1,'Renta Mixta Agresivo'!$B$35:$C$57,2,FALSE),0%)</f>
        <v>0</v>
      </c>
      <c r="MK11" s="5">
        <f>IFERROR(VLOOKUP(MK$1,'Renta Mixta Agresivo'!$B$35:$C$57,2,FALSE),0%)</f>
        <v>0</v>
      </c>
      <c r="ML11" s="5">
        <f>IFERROR(VLOOKUP(ML$1,'Renta Mixta Agresivo'!$B$35:$C$57,2,FALSE),0%)</f>
        <v>0</v>
      </c>
      <c r="MM11" s="5">
        <f>IFERROR(VLOOKUP(MM$1,'Renta Mixta Agresivo'!$B$35:$C$57,2,FALSE),0%)</f>
        <v>0</v>
      </c>
      <c r="MN11" s="5">
        <f>IFERROR(VLOOKUP(MN$1,'Renta Mixta Agresivo'!$B$35:$C$57,2,FALSE),0%)</f>
        <v>0</v>
      </c>
      <c r="MO11" s="5">
        <f>IFERROR(VLOOKUP(MO$1,'Renta Mixta Agresivo'!$B$35:$C$57,2,FALSE),0%)</f>
        <v>0</v>
      </c>
      <c r="MP11" s="5">
        <f>IFERROR(VLOOKUP(MP$1,'Renta Mixta Agresivo'!$B$35:$C$57,2,FALSE),0%)</f>
        <v>0</v>
      </c>
      <c r="MQ11" s="5">
        <f>IFERROR(VLOOKUP(MQ$1,'Renta Mixta Agresivo'!$B$35:$C$57,2,FALSE),0%)</f>
        <v>0</v>
      </c>
      <c r="MR11" s="5">
        <f>IFERROR(VLOOKUP(MR$1,'Renta Mixta Agresivo'!$B$35:$C$57,2,FALSE),0%)</f>
        <v>0</v>
      </c>
      <c r="MS11" s="5">
        <f>IFERROR(VLOOKUP(MS$1,'Renta Mixta Agresivo'!$B$35:$C$57,2,FALSE),0%)</f>
        <v>0</v>
      </c>
      <c r="MT11" s="5">
        <f>IFERROR(VLOOKUP(MT$1,'Renta Mixta Agresivo'!$B$35:$C$57,2,FALSE),0%)</f>
        <v>0</v>
      </c>
      <c r="MU11" s="5">
        <f>IFERROR(VLOOKUP(MU$1,'Renta Mixta Agresivo'!$B$35:$C$57,2,FALSE),0%)</f>
        <v>0</v>
      </c>
      <c r="MV11" s="5">
        <f>IFERROR(VLOOKUP(MV$1,'Renta Mixta Agresivo'!$B$35:$C$57,2,FALSE),0%)</f>
        <v>0</v>
      </c>
      <c r="MW11" s="5">
        <f>IFERROR(VLOOKUP(MW$1,'Renta Mixta Agresivo'!$B$35:$C$57,2,FALSE),0%)</f>
        <v>0</v>
      </c>
      <c r="MX11" s="5">
        <f>IFERROR(VLOOKUP(MX$1,'Renta Mixta Agresivo'!$B$35:$C$57,2,FALSE),0%)</f>
        <v>0</v>
      </c>
      <c r="MY11" s="5">
        <f>IFERROR(VLOOKUP(MY$1,'Renta Mixta Agresivo'!$B$35:$C$57,2,FALSE),0%)</f>
        <v>0</v>
      </c>
      <c r="MZ11" s="5">
        <f>IFERROR(VLOOKUP(MZ$1,'Renta Mixta Agresivo'!$B$35:$C$57,2,FALSE),0%)</f>
        <v>0</v>
      </c>
      <c r="NA11" s="5">
        <f>IFERROR(VLOOKUP(NA$1,'Renta Mixta Agresivo'!$B$35:$C$57,2,FALSE),0%)</f>
        <v>0</v>
      </c>
      <c r="NB11" s="5">
        <f>IFERROR(VLOOKUP(NB$1,'Renta Mixta Agresivo'!$B$35:$C$57,2,FALSE),0%)</f>
        <v>0</v>
      </c>
      <c r="NC11" s="5">
        <f>IFERROR(VLOOKUP(NC$1,'Renta Mixta Agresivo'!$B$35:$C$57,2,FALSE),0%)</f>
        <v>0</v>
      </c>
      <c r="ND11" s="5">
        <f>IFERROR(VLOOKUP(ND$1,'Renta Mixta Agresivo'!$B$35:$C$57,2,FALSE),0%)</f>
        <v>0</v>
      </c>
      <c r="NE11" s="5">
        <f>IFERROR(VLOOKUP(NE$1,'Renta Mixta Agresivo'!$B$35:$C$57,2,FALSE),0%)</f>
        <v>0</v>
      </c>
      <c r="NF11" s="5">
        <f>IFERROR(VLOOKUP(NF$1,'Renta Mixta Agresivo'!$B$35:$C$57,2,FALSE),0%)</f>
        <v>0</v>
      </c>
      <c r="NG11" s="5">
        <f>IFERROR(VLOOKUP(NG$1,'Renta Mixta Agresivo'!$B$35:$C$57,2,FALSE),0%)</f>
        <v>0</v>
      </c>
      <c r="NH11" s="5">
        <f>IFERROR(VLOOKUP(NH$1,'Renta Mixta Agresivo'!$B$35:$C$57,2,FALSE),0%)</f>
        <v>0</v>
      </c>
      <c r="NI11" s="5">
        <f>IFERROR(VLOOKUP(NI$1,'Renta Mixta Agresivo'!$B$35:$C$57,2,FALSE),0%)</f>
        <v>0</v>
      </c>
      <c r="NJ11" s="5">
        <f>IFERROR(VLOOKUP(NJ$1,'Renta Mixta Agresivo'!$B$35:$C$57,2,FALSE),0%)</f>
        <v>0</v>
      </c>
      <c r="NK11" s="5">
        <f>IFERROR(VLOOKUP(NK$1,'Renta Mixta Agresivo'!$B$35:$C$57,2,FALSE),0%)</f>
        <v>0</v>
      </c>
      <c r="NL11" s="5">
        <f>IFERROR(VLOOKUP(NL$1,'Renta Mixta Agresivo'!$B$35:$C$57,2,FALSE),0%)</f>
        <v>0</v>
      </c>
      <c r="NM11" s="5">
        <f>IFERROR(VLOOKUP(NM$1,'Renta Mixta Agresivo'!$B$35:$C$57,2,FALSE),0%)</f>
        <v>0</v>
      </c>
      <c r="NN11" s="5">
        <f>IFERROR(VLOOKUP(NN$1,'Renta Mixta Agresivo'!$B$35:$C$57,2,FALSE),0%)</f>
        <v>0</v>
      </c>
      <c r="NO11" s="5">
        <f>IFERROR(VLOOKUP(NO$1,'Renta Mixta Agresivo'!$B$35:$C$57,2,FALSE),0%)</f>
        <v>0</v>
      </c>
      <c r="NP11" s="5">
        <f>IFERROR(VLOOKUP(NP$1,'Renta Mixta Agresivo'!$B$35:$C$57,2,FALSE),0%)</f>
        <v>0</v>
      </c>
      <c r="NQ11" s="5">
        <f>IFERROR(VLOOKUP(NQ$1,'Renta Mixta Agresivo'!$B$35:$C$57,2,FALSE),0%)</f>
        <v>0</v>
      </c>
      <c r="NR11" s="5">
        <f>IFERROR(VLOOKUP(NR$1,'Renta Mixta Agresivo'!$B$35:$C$57,2,FALSE),0%)</f>
        <v>0</v>
      </c>
      <c r="NS11" s="5">
        <f>IFERROR(VLOOKUP(NS$1,'Renta Mixta Agresivo'!$B$35:$C$57,2,FALSE),0%)</f>
        <v>0</v>
      </c>
      <c r="NT11" s="5">
        <f>IFERROR(VLOOKUP(NT$1,'Renta Mixta Agresivo'!$B$35:$C$57,2,FALSE),0%)</f>
        <v>0</v>
      </c>
      <c r="NU11" s="5">
        <f>IFERROR(VLOOKUP(NU$1,'Renta Mixta Agresivo'!$B$35:$C$57,2,FALSE),0%)</f>
        <v>0</v>
      </c>
      <c r="NV11" s="5">
        <f>IFERROR(VLOOKUP(NV$1,'Renta Mixta Agresivo'!$B$35:$C$57,2,FALSE),0%)</f>
        <v>0</v>
      </c>
      <c r="NW11" s="5">
        <f>IFERROR(VLOOKUP(NW$1,'Renta Mixta Agresivo'!$B$35:$C$57,2,FALSE),0%)</f>
        <v>0</v>
      </c>
      <c r="NX11" s="5">
        <f>IFERROR(VLOOKUP(NX$1,'Renta Mixta Agresivo'!$B$35:$C$57,2,FALSE),0%)</f>
        <v>0</v>
      </c>
      <c r="NY11" s="5">
        <f>IFERROR(VLOOKUP(NY$1,'Renta Mixta Agresivo'!$B$35:$C$57,2,FALSE),0%)</f>
        <v>0</v>
      </c>
      <c r="NZ11" s="5">
        <f>IFERROR(VLOOKUP(NZ$1,'Renta Mixta Agresivo'!$B$35:$C$57,2,FALSE),0%)</f>
        <v>0</v>
      </c>
      <c r="OA11" s="5">
        <f>IFERROR(VLOOKUP(OA$1,'Renta Mixta Agresivo'!$B$35:$C$57,2,FALSE),0%)</f>
        <v>0</v>
      </c>
      <c r="OB11" s="5">
        <f>IFERROR(VLOOKUP(OB$1,'Renta Mixta Agresivo'!$B$35:$C$57,2,FALSE),0%)</f>
        <v>0</v>
      </c>
      <c r="OC11" s="5">
        <f>IFERROR(VLOOKUP(OC$1,'Renta Mixta Agresivo'!$B$35:$C$57,2,FALSE),0%)</f>
        <v>0</v>
      </c>
      <c r="OD11" s="5">
        <f>IFERROR(VLOOKUP(OD$1,'Renta Mixta Agresivo'!$B$35:$C$57,2,FALSE),0%)</f>
        <v>0</v>
      </c>
      <c r="OE11" s="5">
        <f>IFERROR(VLOOKUP(OE$1,'Renta Mixta Agresivo'!$B$35:$C$57,2,FALSE),0%)</f>
        <v>0</v>
      </c>
      <c r="OF11" s="5">
        <f>IFERROR(VLOOKUP(OF$1,'Renta Mixta Agresivo'!$B$35:$C$57,2,FALSE),0%)</f>
        <v>0</v>
      </c>
      <c r="OG11" s="5">
        <f>IFERROR(VLOOKUP(OG$1,'Renta Mixta Agresivo'!$B$35:$C$57,2,FALSE),0%)</f>
        <v>0</v>
      </c>
      <c r="OH11" s="5">
        <f>IFERROR(VLOOKUP(OH$1,'Renta Mixta Agresivo'!$B$35:$C$57,2,FALSE),0%)</f>
        <v>0</v>
      </c>
      <c r="OI11" s="5">
        <f>IFERROR(VLOOKUP(OI$1,'Renta Mixta Agresivo'!$B$35:$C$57,2,FALSE),0%)</f>
        <v>0</v>
      </c>
      <c r="OJ11" s="5">
        <f>IFERROR(VLOOKUP(OJ$1,'Renta Mixta Agresivo'!$B$35:$C$57,2,FALSE),0%)</f>
        <v>0</v>
      </c>
      <c r="OK11" s="5">
        <f>IFERROR(VLOOKUP(OK$1,'Renta Mixta Agresivo'!$B$35:$C$57,2,FALSE),0%)</f>
        <v>0</v>
      </c>
      <c r="OL11" s="5">
        <f>IFERROR(VLOOKUP(OL$1,'Renta Mixta Agresivo'!$B$35:$C$57,2,FALSE),0%)</f>
        <v>0</v>
      </c>
      <c r="OM11" s="5">
        <f>IFERROR(VLOOKUP(OM$1,'Renta Mixta Agresivo'!$B$35:$C$57,2,FALSE),0%)</f>
        <v>0</v>
      </c>
      <c r="ON11" s="5">
        <f>IFERROR(VLOOKUP(ON$1,'Renta Mixta Agresivo'!$B$35:$C$57,2,FALSE),0%)</f>
        <v>0</v>
      </c>
      <c r="OO11" s="5">
        <f>IFERROR(VLOOKUP(OO$1,'Renta Mixta Agresivo'!$B$35:$C$57,2,FALSE),0%)</f>
        <v>0</v>
      </c>
      <c r="OP11" s="5">
        <f>IFERROR(VLOOKUP(OP$1,'Renta Mixta Agresivo'!$B$35:$C$57,2,FALSE),0%)</f>
        <v>0</v>
      </c>
      <c r="OQ11" s="5">
        <f>IFERROR(VLOOKUP(OQ$1,'Renta Mixta Agresivo'!$B$35:$C$57,2,FALSE),0%)</f>
        <v>0</v>
      </c>
      <c r="OR11" s="5">
        <f>IFERROR(VLOOKUP(OR$1,'Renta Mixta Agresivo'!$B$35:$C$57,2,FALSE),0%)</f>
        <v>0</v>
      </c>
      <c r="OS11" s="5">
        <f>IFERROR(VLOOKUP(OS$1,'Renta Mixta Agresivo'!$B$35:$C$57,2,FALSE),0%)</f>
        <v>0</v>
      </c>
      <c r="OT11" s="5">
        <f>IFERROR(VLOOKUP(OT$1,'Renta Mixta Agresivo'!$B$35:$C$57,2,FALSE),0%)</f>
        <v>0</v>
      </c>
      <c r="OU11" s="5">
        <f>IFERROR(VLOOKUP(OU$1,'Renta Mixta Agresivo'!$B$35:$C$57,2,FALSE),0%)</f>
        <v>0</v>
      </c>
      <c r="OV11" s="5">
        <f>IFERROR(VLOOKUP(OV$1,'Renta Mixta Agresivo'!$B$35:$C$57,2,FALSE),0%)</f>
        <v>0</v>
      </c>
      <c r="OW11" s="5">
        <f>IFERROR(VLOOKUP(OW$1,'Renta Mixta Agresivo'!$B$35:$C$57,2,FALSE),0%)</f>
        <v>0</v>
      </c>
      <c r="OX11" s="5">
        <f>IFERROR(VLOOKUP(OX$1,'Renta Mixta Agresivo'!$B$35:$C$57,2,FALSE),0%)</f>
        <v>0</v>
      </c>
      <c r="OY11" s="5">
        <f>IFERROR(VLOOKUP(OY$1,'Renta Mixta Agresivo'!$B$35:$C$57,2,FALSE),0%)</f>
        <v>0</v>
      </c>
      <c r="OZ11" s="5">
        <f>IFERROR(VLOOKUP(OZ$1,'Renta Mixta Agresivo'!$B$35:$C$57,2,FALSE),0%)</f>
        <v>0</v>
      </c>
      <c r="PA11" s="5">
        <f>IFERROR(VLOOKUP(PA$1,'Renta Mixta Agresivo'!$B$35:$C$57,2,FALSE),0%)</f>
        <v>0</v>
      </c>
      <c r="PB11" s="5">
        <f>IFERROR(VLOOKUP(PB$1,'Renta Mixta Agresivo'!$B$35:$C$57,2,FALSE),0%)</f>
        <v>0</v>
      </c>
      <c r="PC11" s="5">
        <f>IFERROR(VLOOKUP(PC$1,'Renta Mixta Agresivo'!$B$35:$C$57,2,FALSE),0%)</f>
        <v>0</v>
      </c>
      <c r="PD11" s="5">
        <f>IFERROR(VLOOKUP(PD$1,'Renta Mixta Agresivo'!$B$35:$C$57,2,FALSE),0%)</f>
        <v>0</v>
      </c>
      <c r="PE11" s="5">
        <f>IFERROR(VLOOKUP(PE$1,'Renta Mixta Agresivo'!$B$35:$C$57,2,FALSE),0%)</f>
        <v>0</v>
      </c>
      <c r="PF11" s="5">
        <f>IFERROR(VLOOKUP(PF$1,'Renta Mixta Agresivo'!$B$35:$C$57,2,FALSE),0%)</f>
        <v>0</v>
      </c>
      <c r="PG11" s="5">
        <f>IFERROR(VLOOKUP(PG$1,'Renta Mixta Agresivo'!$B$35:$C$57,2,FALSE),0%)</f>
        <v>0</v>
      </c>
      <c r="PH11" s="5">
        <f>IFERROR(VLOOKUP(PH$1,'Renta Mixta Agresivo'!$B$35:$C$57,2,FALSE),0%)</f>
        <v>0</v>
      </c>
      <c r="PI11" s="5">
        <f>IFERROR(VLOOKUP(PI$1,'Renta Mixta Agresivo'!$B$35:$C$57,2,FALSE),0%)</f>
        <v>0</v>
      </c>
      <c r="PJ11" s="5">
        <f>IFERROR(VLOOKUP(PJ$1,'Renta Mixta Agresivo'!$B$35:$C$57,2,FALSE),0%)</f>
        <v>0</v>
      </c>
      <c r="PK11" s="5">
        <f>IFERROR(VLOOKUP(PK$1,'Renta Mixta Agresivo'!$B$35:$C$57,2,FALSE),0%)</f>
        <v>0</v>
      </c>
      <c r="PL11" s="5">
        <f>IFERROR(VLOOKUP(PL$1,'Renta Mixta Agresivo'!$B$35:$C$57,2,FALSE),0%)</f>
        <v>0</v>
      </c>
      <c r="PM11" s="5">
        <f>IFERROR(VLOOKUP(PM$1,'Renta Mixta Agresivo'!$B$35:$C$57,2,FALSE),0%)</f>
        <v>0</v>
      </c>
      <c r="PN11" s="5">
        <f>IFERROR(VLOOKUP(PN$1,'Renta Mixta Agresivo'!$B$35:$C$57,2,FALSE),0%)</f>
        <v>0</v>
      </c>
      <c r="PO11" s="5">
        <f>IFERROR(VLOOKUP(PO$1,'Renta Mixta Agresivo'!$B$35:$C$57,2,FALSE),0%)</f>
        <v>0</v>
      </c>
      <c r="PP11" s="5">
        <f>IFERROR(VLOOKUP(PP$1,'Renta Mixta Agresivo'!$B$35:$C$57,2,FALSE),0%)</f>
        <v>0</v>
      </c>
      <c r="PQ11" s="5">
        <f>IFERROR(VLOOKUP(PQ$1,'Renta Mixta Agresivo'!$B$35:$C$57,2,FALSE),0%)</f>
        <v>0</v>
      </c>
      <c r="PR11" s="5">
        <f>IFERROR(VLOOKUP(PR$1,'Renta Mixta Agresivo'!$B$35:$C$57,2,FALSE),0%)</f>
        <v>0</v>
      </c>
      <c r="PS11" s="5">
        <f>IFERROR(VLOOKUP(PS$1,'Renta Mixta Agresivo'!$B$35:$C$57,2,FALSE),0%)</f>
        <v>0</v>
      </c>
      <c r="PT11" s="5">
        <f>IFERROR(VLOOKUP(PT$1,'Renta Mixta Agresivo'!$B$35:$C$57,2,FALSE),0%)</f>
        <v>0</v>
      </c>
      <c r="PU11" s="5">
        <f>IFERROR(VLOOKUP(PU$1,'Renta Mixta Agresivo'!$B$35:$C$57,2,FALSE),0%)</f>
        <v>0</v>
      </c>
      <c r="PV11" s="5">
        <f>IFERROR(VLOOKUP(PV$1,'Renta Mixta Agresivo'!$B$35:$C$57,2,FALSE),0%)</f>
        <v>0</v>
      </c>
      <c r="PW11" s="5">
        <f>IFERROR(VLOOKUP(PW$1,'Renta Mixta Agresivo'!$B$35:$C$57,2,FALSE),0%)</f>
        <v>0</v>
      </c>
      <c r="PX11" s="5">
        <f>IFERROR(VLOOKUP(PX$1,'Renta Mixta Agresivo'!$B$35:$C$57,2,FALSE),0%)</f>
        <v>0</v>
      </c>
      <c r="PY11" s="5">
        <f>IFERROR(VLOOKUP(PY$1,'Renta Mixta Agresivo'!$B$35:$C$57,2,FALSE),0%)</f>
        <v>0</v>
      </c>
      <c r="PZ11" s="5">
        <f>IFERROR(VLOOKUP(PZ$1,'Renta Mixta Agresivo'!$B$35:$C$57,2,FALSE),0%)</f>
        <v>0</v>
      </c>
      <c r="QA11" s="5">
        <f>IFERROR(VLOOKUP(QA$1,'Renta Mixta Agresivo'!$B$35:$C$57,2,FALSE),0%)</f>
        <v>0</v>
      </c>
      <c r="QB11" s="5">
        <f>IFERROR(VLOOKUP(QB$1,'Renta Mixta Agresivo'!$B$35:$C$57,2,FALSE),0%)</f>
        <v>0</v>
      </c>
      <c r="QC11" s="5">
        <f>IFERROR(VLOOKUP(QC$1,'Renta Mixta Agresivo'!$B$35:$C$57,2,FALSE),0%)</f>
        <v>0</v>
      </c>
      <c r="QD11" s="5">
        <f>IFERROR(VLOOKUP(QD$1,'Renta Mixta Agresivo'!$B$35:$C$57,2,FALSE),0%)</f>
        <v>0</v>
      </c>
      <c r="QE11" s="5">
        <f>IFERROR(VLOOKUP(QE$1,'Renta Mixta Agresivo'!$B$35:$C$57,2,FALSE),0%)</f>
        <v>0</v>
      </c>
      <c r="QF11" s="5">
        <f>IFERROR(VLOOKUP(QF$1,'Renta Mixta Agresivo'!$B$35:$C$57,2,FALSE),0%)</f>
        <v>0</v>
      </c>
      <c r="QG11" s="5">
        <f>IFERROR(VLOOKUP(QG$1,'Renta Mixta Agresivo'!$B$35:$C$57,2,FALSE),0%)</f>
        <v>0</v>
      </c>
      <c r="QH11" s="5">
        <f>IFERROR(VLOOKUP(QH$1,'Renta Mixta Agresivo'!$B$35:$C$57,2,FALSE),0%)</f>
        <v>0</v>
      </c>
      <c r="QI11" s="5">
        <f>IFERROR(VLOOKUP(QI$1,'Renta Mixta Agresivo'!$B$35:$C$57,2,FALSE),0%)</f>
        <v>0</v>
      </c>
      <c r="QJ11" s="5">
        <f>IFERROR(VLOOKUP(QJ$1,'Renta Mixta Agresivo'!$B$35:$C$57,2,FALSE),0%)</f>
        <v>0</v>
      </c>
      <c r="QK11" s="5">
        <f>IFERROR(VLOOKUP(QK$1,'Renta Mixta Agresivo'!$B$35:$C$57,2,FALSE),0%)</f>
        <v>0</v>
      </c>
      <c r="QL11" s="5">
        <f>IFERROR(VLOOKUP(QL$1,'Renta Mixta Agresivo'!$B$35:$C$57,2,FALSE),0%)</f>
        <v>0</v>
      </c>
      <c r="QM11" s="5">
        <f>IFERROR(VLOOKUP(QM$1,'Renta Mixta Agresivo'!$B$35:$C$57,2,FALSE),0%)</f>
        <v>0</v>
      </c>
      <c r="QN11" s="5">
        <f>IFERROR(VLOOKUP(QN$1,'Renta Mixta Agresivo'!$B$35:$C$57,2,FALSE),0%)</f>
        <v>0</v>
      </c>
      <c r="QO11" s="5">
        <f>IFERROR(VLOOKUP(QO$1,'Renta Mixta Agresivo'!$B$35:$C$57,2,FALSE),0%)</f>
        <v>0</v>
      </c>
      <c r="QP11" s="5">
        <f>IFERROR(VLOOKUP(QP$1,'Renta Mixta Agresivo'!$B$35:$C$57,2,FALSE),0%)</f>
        <v>0</v>
      </c>
      <c r="QQ11" s="5">
        <f>IFERROR(VLOOKUP(QQ$1,'Renta Mixta Agresivo'!$B$35:$C$57,2,FALSE),0%)</f>
        <v>0</v>
      </c>
      <c r="QR11" s="5">
        <f>IFERROR(VLOOKUP(QR$1,'Renta Mixta Agresivo'!$B$35:$C$57,2,FALSE),0%)</f>
        <v>0</v>
      </c>
      <c r="QS11" s="5">
        <f>IFERROR(VLOOKUP(QS$1,'Renta Mixta Agresivo'!$B$35:$C$57,2,FALSE),0%)</f>
        <v>0</v>
      </c>
      <c r="QT11" s="5">
        <f>IFERROR(VLOOKUP(QT$1,'Renta Mixta Agresivo'!$B$35:$C$57,2,FALSE),0%)</f>
        <v>0</v>
      </c>
      <c r="QU11" s="5">
        <f>IFERROR(VLOOKUP(QU$1,'Renta Mixta Agresivo'!$B$35:$C$57,2,FALSE),0%)</f>
        <v>0</v>
      </c>
      <c r="QV11" s="5">
        <f>IFERROR(VLOOKUP(QV$1,'Renta Mixta Agresivo'!$B$35:$C$57,2,FALSE),0%)</f>
        <v>0</v>
      </c>
      <c r="QW11" s="5">
        <f>IFERROR(VLOOKUP(QW$1,'Renta Mixta Agresivo'!$B$35:$C$57,2,FALSE),0%)</f>
        <v>0</v>
      </c>
      <c r="QX11" s="5">
        <f>IFERROR(VLOOKUP(QX$1,'Renta Mixta Agresivo'!$B$35:$C$57,2,FALSE),0%)</f>
        <v>0</v>
      </c>
      <c r="QY11" s="5">
        <f>IFERROR(VLOOKUP(QY$1,'Renta Mixta Agresivo'!$B$35:$C$57,2,FALSE),0%)</f>
        <v>0</v>
      </c>
      <c r="QZ11" s="5">
        <f>IFERROR(VLOOKUP(QZ$1,'Renta Mixta Agresivo'!$B$35:$C$57,2,FALSE),0%)</f>
        <v>0</v>
      </c>
      <c r="RA11" s="5">
        <f>IFERROR(VLOOKUP(RA$1,'Renta Mixta Agresivo'!$B$35:$C$57,2,FALSE),0%)</f>
        <v>0</v>
      </c>
      <c r="RB11" s="5">
        <f>IFERROR(VLOOKUP(RB$1,'Renta Mixta Agresivo'!$B$35:$C$57,2,FALSE),0%)</f>
        <v>0</v>
      </c>
      <c r="RC11" s="5">
        <f>IFERROR(VLOOKUP(RC$1,'Renta Mixta Agresivo'!$B$35:$C$57,2,FALSE),0%)</f>
        <v>0</v>
      </c>
      <c r="RD11" s="5">
        <f>IFERROR(VLOOKUP(RD$1,'Renta Mixta Agresivo'!$B$35:$C$57,2,FALSE),0%)</f>
        <v>0</v>
      </c>
      <c r="RE11" s="5">
        <f>IFERROR(VLOOKUP(RE$1,'Renta Mixta Agresivo'!$B$35:$C$57,2,FALSE),0%)</f>
        <v>0</v>
      </c>
      <c r="RF11" s="5">
        <f>IFERROR(VLOOKUP(RF$1,'Renta Mixta Agresivo'!$B$35:$C$57,2,FALSE),0%)</f>
        <v>0</v>
      </c>
      <c r="RG11" s="5">
        <f>IFERROR(VLOOKUP(RG$1,'Renta Mixta Agresivo'!$B$35:$C$57,2,FALSE),0%)</f>
        <v>0</v>
      </c>
      <c r="RH11" s="5">
        <f>IFERROR(VLOOKUP(RH$1,'Renta Mixta Agresivo'!$B$35:$C$57,2,FALSE),0%)</f>
        <v>0</v>
      </c>
      <c r="RI11" s="5">
        <f>IFERROR(VLOOKUP(RI$1,'Renta Mixta Agresivo'!$B$35:$C$57,2,FALSE),0%)</f>
        <v>0</v>
      </c>
      <c r="RJ11" s="5">
        <f>IFERROR(VLOOKUP(RJ$1,'Renta Mixta Agresivo'!$B$35:$C$57,2,FALSE),0%)</f>
        <v>0</v>
      </c>
      <c r="RK11" s="5">
        <f>IFERROR(VLOOKUP(RK$1,'Renta Mixta Agresivo'!$B$35:$C$57,2,FALSE),0%)</f>
        <v>0</v>
      </c>
      <c r="RL11" s="5">
        <f>IFERROR(VLOOKUP(RL$1,'Renta Mixta Agresivo'!$B$35:$C$57,2,FALSE),0%)</f>
        <v>0</v>
      </c>
      <c r="RM11" s="5">
        <f>IFERROR(VLOOKUP(RM$1,'Renta Mixta Agresivo'!$B$35:$C$57,2,FALSE),0%)</f>
        <v>0</v>
      </c>
      <c r="RN11" s="5">
        <f>IFERROR(VLOOKUP(RN$1,'Renta Mixta Agresivo'!$B$35:$C$57,2,FALSE),0%)</f>
        <v>0</v>
      </c>
      <c r="RO11" s="5">
        <f>IFERROR(VLOOKUP(RO$1,'Renta Mixta Agresivo'!$B$35:$C$57,2,FALSE),0%)</f>
        <v>0</v>
      </c>
      <c r="RP11" s="5">
        <f>IFERROR(VLOOKUP(RP$1,'Renta Mixta Agresivo'!$B$35:$C$57,2,FALSE),0%)</f>
        <v>0</v>
      </c>
      <c r="RQ11" s="5">
        <f>IFERROR(VLOOKUP(RQ$1,'Renta Mixta Agresivo'!$B$35:$C$57,2,FALSE),0%)</f>
        <v>0</v>
      </c>
      <c r="RR11" s="5">
        <f>IFERROR(VLOOKUP(RR$1,'Renta Mixta Agresivo'!$B$35:$C$57,2,FALSE),0%)</f>
        <v>0</v>
      </c>
      <c r="RS11" s="5">
        <f>IFERROR(VLOOKUP(RS$1,'Renta Mixta Agresivo'!$B$35:$C$57,2,FALSE),0%)</f>
        <v>0</v>
      </c>
      <c r="RT11" s="5">
        <f>IFERROR(VLOOKUP(RT$1,'Renta Mixta Agresivo'!$B$35:$C$57,2,FALSE),0%)</f>
        <v>0</v>
      </c>
      <c r="RU11" s="5">
        <f>IFERROR(VLOOKUP(RU$1,'Renta Mixta Agresivo'!$B$35:$C$57,2,FALSE),0%)</f>
        <v>0</v>
      </c>
      <c r="RV11" s="5">
        <f>IFERROR(VLOOKUP(RV$1,'Renta Mixta Agresivo'!$B$35:$C$57,2,FALSE),0%)</f>
        <v>0</v>
      </c>
      <c r="RW11" s="5">
        <f>IFERROR(VLOOKUP(RW$1,'Renta Mixta Agresivo'!$B$35:$C$57,2,FALSE),0%)</f>
        <v>0</v>
      </c>
      <c r="RX11" s="5">
        <f>IFERROR(VLOOKUP(RX$1,'Renta Mixta Agresivo'!$B$35:$C$57,2,FALSE),0%)</f>
        <v>0</v>
      </c>
      <c r="RY11" s="5">
        <f>IFERROR(VLOOKUP(RY$1,'Renta Mixta Agresivo'!$B$35:$C$57,2,FALSE),0%)</f>
        <v>0</v>
      </c>
      <c r="RZ11" s="5">
        <f>IFERROR(VLOOKUP(RZ$1,'Renta Mixta Agresivo'!$B$35:$C$57,2,FALSE),0%)</f>
        <v>0</v>
      </c>
      <c r="SA11" s="5">
        <f>IFERROR(VLOOKUP(SA$1,'Renta Mixta Agresivo'!$B$35:$C$57,2,FALSE),0%)</f>
        <v>0</v>
      </c>
      <c r="SB11" s="5">
        <f>IFERROR(VLOOKUP(SB$1,'Renta Mixta Agresivo'!$B$35:$C$57,2,FALSE),0%)</f>
        <v>0</v>
      </c>
      <c r="SC11" s="5">
        <f>IFERROR(VLOOKUP(SC$1,'Renta Mixta Agresivo'!$B$35:$C$57,2,FALSE),0%)</f>
        <v>0</v>
      </c>
      <c r="SD11" s="5">
        <f>IFERROR(VLOOKUP(SD$1,'Renta Mixta Agresivo'!$B$35:$C$57,2,FALSE),0%)</f>
        <v>0</v>
      </c>
      <c r="SE11" s="5">
        <f>IFERROR(VLOOKUP(SE$1,'Renta Mixta Agresivo'!$B$35:$C$57,2,FALSE),0%)</f>
        <v>0</v>
      </c>
      <c r="SF11" s="5">
        <f>IFERROR(VLOOKUP(SF$1,'Renta Mixta Agresivo'!$B$35:$C$57,2,FALSE),0%)</f>
        <v>0</v>
      </c>
      <c r="SG11" s="5">
        <f>IFERROR(VLOOKUP(SG$1,'Renta Mixta Agresivo'!$B$35:$C$57,2,FALSE),0%)</f>
        <v>0</v>
      </c>
      <c r="SH11" s="5">
        <f>IFERROR(VLOOKUP(SH$1,'Renta Mixta Agresivo'!$B$35:$C$57,2,FALSE),0%)</f>
        <v>0</v>
      </c>
      <c r="SI11" s="5">
        <f>IFERROR(VLOOKUP(SI$1,'Renta Mixta Agresivo'!$B$35:$C$57,2,FALSE),0%)</f>
        <v>0</v>
      </c>
      <c r="SJ11" s="5">
        <f>IFERROR(VLOOKUP(SJ$1,'Renta Mixta Agresivo'!$B$35:$C$57,2,FALSE),0%)</f>
        <v>0</v>
      </c>
      <c r="SK11" s="5">
        <f>IFERROR(VLOOKUP(SK$1,'Renta Mixta Agresivo'!$B$35:$C$57,2,FALSE),0%)</f>
        <v>0</v>
      </c>
      <c r="SL11" s="5">
        <f>IFERROR(VLOOKUP(SL$1,'Renta Mixta Agresivo'!$B$35:$C$57,2,FALSE),0%)</f>
        <v>0</v>
      </c>
      <c r="SM11" s="5">
        <f>IFERROR(VLOOKUP(SM$1,'Renta Mixta Agresivo'!$B$35:$C$57,2,FALSE),0%)</f>
        <v>0</v>
      </c>
      <c r="SN11" s="5">
        <f>IFERROR(VLOOKUP(SN$1,'Renta Mixta Agresivo'!$B$35:$C$57,2,FALSE),0%)</f>
        <v>0</v>
      </c>
      <c r="SO11" s="5">
        <f>IFERROR(VLOOKUP(SO$1,'Renta Mixta Agresivo'!$B$35:$C$57,2,FALSE),0%)</f>
        <v>0</v>
      </c>
      <c r="SP11" s="5">
        <f>IFERROR(VLOOKUP(SP$1,'Renta Mixta Agresivo'!$B$35:$C$57,2,FALSE),0%)</f>
        <v>0</v>
      </c>
      <c r="SQ11" s="5">
        <f>IFERROR(VLOOKUP(SQ$1,'Renta Mixta Agresivo'!$B$35:$C$57,2,FALSE),0%)</f>
        <v>0</v>
      </c>
      <c r="SR11" s="5">
        <f>IFERROR(VLOOKUP(SR$1,'Renta Mixta Agresivo'!$B$35:$C$57,2,FALSE),0%)</f>
        <v>0</v>
      </c>
      <c r="SS11" s="5">
        <f>IFERROR(VLOOKUP(SS$1,'Renta Mixta Agresivo'!$B$35:$C$57,2,FALSE),0%)</f>
        <v>0</v>
      </c>
      <c r="ST11" s="5">
        <f>IFERROR(VLOOKUP(ST$1,'Renta Mixta Agresivo'!$B$35:$C$57,2,FALSE),0%)</f>
        <v>0</v>
      </c>
      <c r="SU11" s="5">
        <f>IFERROR(VLOOKUP(SU$1,'Renta Mixta Agresivo'!$B$35:$C$57,2,FALSE),0%)</f>
        <v>0</v>
      </c>
      <c r="SV11" s="5">
        <f>IFERROR(VLOOKUP(SV$1,'Renta Mixta Agresivo'!$B$35:$C$57,2,FALSE),0%)</f>
        <v>0</v>
      </c>
      <c r="SW11" s="5">
        <f>IFERROR(VLOOKUP(SW$1,'Renta Mixta Agresivo'!$B$35:$C$57,2,FALSE),0%)</f>
        <v>0</v>
      </c>
      <c r="SX11" s="5">
        <f>IFERROR(VLOOKUP(SX$1,'Renta Mixta Agresivo'!$B$35:$C$57,2,FALSE),0%)</f>
        <v>0</v>
      </c>
      <c r="SY11" s="5">
        <f>IFERROR(VLOOKUP(SY$1,'Renta Mixta Agresivo'!$B$35:$C$57,2,FALSE),0%)</f>
        <v>0</v>
      </c>
      <c r="SZ11" s="5">
        <f>IFERROR(VLOOKUP(SZ$1,'Renta Mixta Agresivo'!$B$35:$C$57,2,FALSE),0%)</f>
        <v>0</v>
      </c>
      <c r="TA11" s="5">
        <f>IFERROR(VLOOKUP(TA$1,'Renta Mixta Agresivo'!$B$35:$C$57,2,FALSE),0%)</f>
        <v>0</v>
      </c>
      <c r="TB11" s="5">
        <f>IFERROR(VLOOKUP(TB$1,'Renta Mixta Agresivo'!$B$35:$C$57,2,FALSE),0%)</f>
        <v>0</v>
      </c>
      <c r="TC11" s="5">
        <f>IFERROR(VLOOKUP(TC$1,'Renta Mixta Agresivo'!$B$35:$C$57,2,FALSE),0%)</f>
        <v>0</v>
      </c>
      <c r="TD11" s="5">
        <f>IFERROR(VLOOKUP(TD$1,'Renta Mixta Agresivo'!$B$35:$C$57,2,FALSE),0%)</f>
        <v>0</v>
      </c>
      <c r="TE11" s="5">
        <f>IFERROR(VLOOKUP(TE$1,'Renta Mixta Agresivo'!$B$35:$C$57,2,FALSE),0%)</f>
        <v>0</v>
      </c>
      <c r="TF11" s="5">
        <f>IFERROR(VLOOKUP(TF$1,'Renta Mixta Agresivo'!$B$35:$C$57,2,FALSE),0%)</f>
        <v>0</v>
      </c>
      <c r="TG11" s="5">
        <f>IFERROR(VLOOKUP(TG$1,'Renta Mixta Agresivo'!$B$35:$C$57,2,FALSE),0%)</f>
        <v>0</v>
      </c>
      <c r="TH11" s="5">
        <f>IFERROR(VLOOKUP(TH$1,'Renta Mixta Agresivo'!$B$35:$C$57,2,FALSE),0%)</f>
        <v>0</v>
      </c>
      <c r="TI11" s="5">
        <f>IFERROR(VLOOKUP(TI$1,'Renta Mixta Agresivo'!$B$35:$C$57,2,FALSE),0%)</f>
        <v>0</v>
      </c>
      <c r="TJ11" s="5">
        <f>IFERROR(VLOOKUP(TJ$1,'Renta Mixta Agresivo'!$B$35:$C$57,2,FALSE),0%)</f>
        <v>0</v>
      </c>
      <c r="TK11" s="5">
        <f>IFERROR(VLOOKUP(TK$1,'Renta Mixta Agresivo'!$B$35:$C$57,2,FALSE),0%)</f>
        <v>0</v>
      </c>
      <c r="TL11" s="5">
        <f>IFERROR(VLOOKUP(TL$1,'Renta Mixta Agresivo'!$B$35:$C$57,2,FALSE),0%)</f>
        <v>0</v>
      </c>
      <c r="TM11" s="5">
        <f>IFERROR(VLOOKUP(TM$1,'Renta Mixta Agresivo'!$B$35:$C$57,2,FALSE),0%)</f>
        <v>0</v>
      </c>
      <c r="TN11" s="5">
        <f>IFERROR(VLOOKUP(TN$1,'Renta Mixta Agresivo'!$B$35:$C$57,2,FALSE),0%)</f>
        <v>0</v>
      </c>
      <c r="TO11" s="5">
        <f>IFERROR(VLOOKUP(TO$1,'Renta Mixta Agresivo'!$B$35:$C$57,2,FALSE),0%)</f>
        <v>0</v>
      </c>
      <c r="TP11" s="5">
        <f>IFERROR(VLOOKUP(TP$1,'Renta Mixta Agresivo'!$B$35:$C$57,2,FALSE),0%)</f>
        <v>0</v>
      </c>
      <c r="TQ11" s="5">
        <f>IFERROR(VLOOKUP(TQ$1,'Renta Mixta Agresivo'!$B$35:$C$57,2,FALSE),0%)</f>
        <v>0</v>
      </c>
      <c r="TR11" s="5">
        <f>IFERROR(VLOOKUP(TR$1,'Renta Mixta Agresivo'!$B$35:$C$57,2,FALSE),0%)</f>
        <v>0</v>
      </c>
      <c r="TS11" s="5">
        <f>IFERROR(VLOOKUP(TS$1,'Renta Mixta Agresivo'!$B$35:$C$57,2,FALSE),0%)</f>
        <v>0</v>
      </c>
      <c r="TT11" s="5">
        <f>IFERROR(VLOOKUP(TT$1,'Renta Mixta Agresivo'!$B$35:$C$57,2,FALSE),0%)</f>
        <v>0</v>
      </c>
      <c r="TU11" s="5">
        <f>IFERROR(VLOOKUP(TU$1,'Renta Mixta Agresivo'!$B$35:$C$57,2,FALSE),0%)</f>
        <v>0</v>
      </c>
      <c r="TV11" s="5">
        <f>IFERROR(VLOOKUP(TV$1,'Renta Mixta Agresivo'!$B$35:$C$57,2,FALSE),0%)</f>
        <v>0</v>
      </c>
      <c r="TW11" s="5">
        <f>IFERROR(VLOOKUP(TW$1,'Renta Mixta Agresivo'!$B$35:$C$57,2,FALSE),0%)</f>
        <v>0</v>
      </c>
      <c r="TX11" s="5">
        <f>IFERROR(VLOOKUP(TX$1,'Renta Mixta Agresivo'!$B$35:$C$57,2,FALSE),0%)</f>
        <v>0</v>
      </c>
      <c r="TY11" s="5">
        <f>IFERROR(VLOOKUP(TY$1,'Renta Mixta Agresivo'!$B$35:$C$57,2,FALSE),0%)</f>
        <v>0</v>
      </c>
      <c r="TZ11" s="5">
        <f>IFERROR(VLOOKUP(TZ$1,'Renta Mixta Agresivo'!$B$35:$C$57,2,FALSE),0%)</f>
        <v>0</v>
      </c>
      <c r="UA11" s="5">
        <f>IFERROR(VLOOKUP(UA$1,'Renta Mixta Agresivo'!$B$35:$C$57,2,FALSE),0%)</f>
        <v>0</v>
      </c>
      <c r="UB11" s="5">
        <f>IFERROR(VLOOKUP(UB$1,'Renta Mixta Agresivo'!$B$35:$C$57,2,FALSE),0%)</f>
        <v>0</v>
      </c>
      <c r="UC11" s="5">
        <f>IFERROR(VLOOKUP(UC$1,'Renta Mixta Agresivo'!$B$35:$C$57,2,FALSE),0%)</f>
        <v>0</v>
      </c>
      <c r="UD11" s="5">
        <f>IFERROR(VLOOKUP(UD$1,'Renta Mixta Agresivo'!$B$35:$C$57,2,FALSE),0%)</f>
        <v>0</v>
      </c>
      <c r="UE11" s="5">
        <f>IFERROR(VLOOKUP(UE$1,'Renta Mixta Agresivo'!$B$35:$C$57,2,FALSE),0%)</f>
        <v>0</v>
      </c>
      <c r="UF11" s="5">
        <f>IFERROR(VLOOKUP(UF$1,'Renta Mixta Agresivo'!$B$35:$C$57,2,FALSE),0%)</f>
        <v>0</v>
      </c>
      <c r="UG11" s="5">
        <f>IFERROR(VLOOKUP(UG$1,'Renta Mixta Agresivo'!$B$35:$C$57,2,FALSE),0%)</f>
        <v>0</v>
      </c>
      <c r="UH11" s="5">
        <f>IFERROR(VLOOKUP(UH$1,'Renta Mixta Agresivo'!$B$35:$C$57,2,FALSE),0%)</f>
        <v>0</v>
      </c>
      <c r="UI11" s="5">
        <f>IFERROR(VLOOKUP(UI$1,'Renta Mixta Agresivo'!$B$35:$C$57,2,FALSE),0%)</f>
        <v>0</v>
      </c>
      <c r="UJ11" s="5">
        <f>IFERROR(VLOOKUP(UJ$1,'Renta Mixta Agresivo'!$B$35:$C$57,2,FALSE),0%)</f>
        <v>0</v>
      </c>
      <c r="UK11" s="5">
        <f>IFERROR(VLOOKUP(UK$1,'Renta Mixta Agresivo'!$B$35:$C$57,2,FALSE),0%)</f>
        <v>0</v>
      </c>
      <c r="UL11" s="5">
        <f>IFERROR(VLOOKUP(UL$1,'Renta Mixta Agresivo'!$B$35:$C$57,2,FALSE),0%)</f>
        <v>0</v>
      </c>
      <c r="UM11" s="5">
        <f>IFERROR(VLOOKUP(UM$1,'Renta Mixta Agresivo'!$B$35:$C$57,2,FALSE),0%)</f>
        <v>0</v>
      </c>
      <c r="UN11" s="5">
        <f>IFERROR(VLOOKUP(UN$1,'Renta Mixta Agresivo'!$B$35:$C$57,2,FALSE),0%)</f>
        <v>0</v>
      </c>
      <c r="UO11" s="5">
        <f>IFERROR(VLOOKUP(UO$1,'Renta Mixta Agresivo'!$B$35:$C$57,2,FALSE),0%)</f>
        <v>0</v>
      </c>
      <c r="UP11" s="5">
        <f>IFERROR(VLOOKUP(UP$1,'Renta Mixta Agresivo'!$B$35:$C$57,2,FALSE),0%)</f>
        <v>0</v>
      </c>
      <c r="UQ11" s="5">
        <f>IFERROR(VLOOKUP(UQ$1,'Renta Mixta Agresivo'!$B$35:$C$57,2,FALSE),0%)</f>
        <v>0</v>
      </c>
      <c r="UR11" s="5">
        <f>IFERROR(VLOOKUP(UR$1,'Renta Mixta Agresivo'!$B$35:$C$57,2,FALSE),0%)</f>
        <v>0</v>
      </c>
      <c r="US11" s="5">
        <f>IFERROR(VLOOKUP(US$1,'Renta Mixta Agresivo'!$B$35:$C$57,2,FALSE),0%)</f>
        <v>0</v>
      </c>
      <c r="UT11" s="5">
        <f>IFERROR(VLOOKUP(UT$1,'Renta Mixta Agresivo'!$B$35:$C$57,2,FALSE),0%)</f>
        <v>0</v>
      </c>
      <c r="UU11" s="5">
        <f>IFERROR(VLOOKUP(UU$1,'Renta Mixta Agresivo'!$B$35:$C$57,2,FALSE),0%)</f>
        <v>0</v>
      </c>
      <c r="UV11" s="5">
        <f>IFERROR(VLOOKUP(UV$1,'Renta Mixta Agresivo'!$B$35:$C$57,2,FALSE),0%)</f>
        <v>0</v>
      </c>
      <c r="UW11" s="5">
        <f>IFERROR(VLOOKUP(UW$1,'Renta Mixta Agresivo'!$B$35:$C$57,2,FALSE),0%)</f>
        <v>0.01219506093</v>
      </c>
      <c r="UX11" s="5">
        <f>IFERROR(VLOOKUP(UX$1,'Renta Mixta Agresivo'!$B$35:$C$57,2,FALSE),0%)</f>
        <v>0</v>
      </c>
      <c r="UY11" s="5">
        <f>IFERROR(VLOOKUP(UY$1,'Renta Mixta Agresivo'!$B$35:$C$57,2,FALSE),0%)</f>
        <v>0</v>
      </c>
      <c r="UZ11" s="5">
        <f>IFERROR(VLOOKUP(UZ$1,'Renta Mixta Agresivo'!$B$35:$C$57,2,FALSE),0%)</f>
        <v>0</v>
      </c>
      <c r="VA11" s="5">
        <f>IFERROR(VLOOKUP(VA$1,'Renta Mixta Agresivo'!$B$35:$C$57,2,FALSE),0%)</f>
        <v>0</v>
      </c>
      <c r="VB11" s="5">
        <f>IFERROR(VLOOKUP(VB$1,'Renta Mixta Agresivo'!$B$35:$C$57,2,FALSE),0%)</f>
        <v>0</v>
      </c>
      <c r="VC11" s="5">
        <f>IFERROR(VLOOKUP(VC$1,'Renta Mixta Agresivo'!$B$35:$C$57,2,FALSE),0%)</f>
        <v>0</v>
      </c>
      <c r="VD11" s="5">
        <f>IFERROR(VLOOKUP(VD$1,'Renta Mixta Agresivo'!$B$35:$C$57,2,FALSE),0%)</f>
        <v>0</v>
      </c>
      <c r="VE11" s="5">
        <f>IFERROR(VLOOKUP(VE$1,'Renta Mixta Agresivo'!$B$35:$C$57,2,FALSE),0%)</f>
        <v>0</v>
      </c>
      <c r="VF11" s="5">
        <f>IFERROR(VLOOKUP(VF$1,'Renta Mixta Agresivo'!$B$35:$C$57,2,FALSE),0%)</f>
        <v>0</v>
      </c>
      <c r="VG11" s="5">
        <f>IFERROR(VLOOKUP(VG$1,'Renta Mixta Agresivo'!$B$35:$C$57,2,FALSE),0%)</f>
        <v>0</v>
      </c>
      <c r="VH11" s="5">
        <f>IFERROR(VLOOKUP(VH$1,'Renta Mixta Agresivo'!$B$35:$C$57,2,FALSE),0%)</f>
        <v>0</v>
      </c>
      <c r="VI11" s="5">
        <f>IFERROR(VLOOKUP(VI$1,'Renta Mixta Agresivo'!$B$35:$C$57,2,FALSE),0%)</f>
        <v>0</v>
      </c>
      <c r="VJ11" s="5">
        <f>IFERROR(VLOOKUP(VJ$1,'Renta Mixta Agresivo'!$B$35:$C$57,2,FALSE),0%)</f>
        <v>0</v>
      </c>
      <c r="VK11" s="5">
        <f>IFERROR(VLOOKUP(VK$1,'Renta Mixta Agresivo'!$B$35:$C$57,2,FALSE),0%)</f>
        <v>0</v>
      </c>
      <c r="VL11" s="5">
        <f>IFERROR(VLOOKUP(VL$1,'Renta Mixta Agresivo'!$B$35:$C$57,2,FALSE),0%)</f>
        <v>0</v>
      </c>
      <c r="VM11" s="5">
        <f>IFERROR(VLOOKUP(VM$1,'Renta Mixta Agresivo'!$B$35:$C$57,2,FALSE),0%)</f>
        <v>0</v>
      </c>
      <c r="VN11" s="5">
        <f>IFERROR(VLOOKUP(VN$1,'Renta Mixta Agresivo'!$B$35:$C$57,2,FALSE),0%)</f>
        <v>0</v>
      </c>
      <c r="VO11" s="5">
        <f>IFERROR(VLOOKUP(VO$1,'Renta Mixta Agresivo'!$B$35:$C$57,2,FALSE),0%)</f>
        <v>0</v>
      </c>
      <c r="VP11" s="5">
        <f>IFERROR(VLOOKUP(VP$1,'Renta Mixta Agresivo'!$B$35:$C$57,2,FALSE),0%)</f>
        <v>0</v>
      </c>
      <c r="VQ11" s="5">
        <f>IFERROR(VLOOKUP(VQ$1,'Renta Mixta Agresivo'!$B$35:$C$57,2,FALSE),0%)</f>
        <v>0</v>
      </c>
      <c r="VR11" s="5">
        <f>IFERROR(VLOOKUP(VR$1,'Renta Mixta Agresivo'!$B$35:$C$57,2,FALSE),0%)</f>
        <v>0</v>
      </c>
      <c r="VS11" s="5">
        <f>IFERROR(VLOOKUP(VS$1,'Renta Mixta Agresivo'!$B$35:$C$57,2,FALSE),0%)</f>
        <v>0</v>
      </c>
      <c r="VT11" s="5">
        <f>IFERROR(VLOOKUP(VT$1,'Renta Mixta Agresivo'!$B$35:$C$57,2,FALSE),0%)</f>
        <v>0.08660493907</v>
      </c>
      <c r="VU11" s="5">
        <f>IFERROR(VLOOKUP(VU$1,'Renta Mixta Agresivo'!$B$35:$C$57,2,FALSE),0%)</f>
        <v>0</v>
      </c>
      <c r="VV11" s="5">
        <f>IFERROR(VLOOKUP(VV$1,'Renta Mixta Agresivo'!$B$35:$C$57,2,FALSE),0%)</f>
        <v>0</v>
      </c>
      <c r="VW11" s="5">
        <f>IFERROR(VLOOKUP(VW$1,'Renta Mixta Agresivo'!$B$35:$C$57,2,FALSE),0%)</f>
        <v>0</v>
      </c>
      <c r="VX11" s="5">
        <f>IFERROR(VLOOKUP(VX$1,'Renta Mixta Agresivo'!$B$35:$C$57,2,FALSE),0%)</f>
        <v>0</v>
      </c>
      <c r="VY11" s="5">
        <f>IFERROR(VLOOKUP(VY$1,'Renta Mixta Agresivo'!$B$35:$C$57,2,FALSE),0%)</f>
        <v>0</v>
      </c>
      <c r="VZ11" s="5">
        <f>IFERROR(VLOOKUP(VZ$1,'Renta Mixta Agresivo'!$B$35:$C$57,2,FALSE),0%)</f>
        <v>0</v>
      </c>
      <c r="WA11" s="5">
        <f>IFERROR(VLOOKUP(WA$1,'Renta Mixta Agresivo'!$B$35:$C$57,2,FALSE),0%)</f>
        <v>0</v>
      </c>
      <c r="WB11" s="5">
        <f>IFERROR(VLOOKUP(WB$1,'Renta Mixta Agresivo'!$B$35:$C$57,2,FALSE),0%)</f>
        <v>0</v>
      </c>
      <c r="WC11" s="5">
        <f>IFERROR(VLOOKUP(WC$1,'Renta Mixta Agresivo'!$B$35:$C$57,2,FALSE),0%)</f>
        <v>0</v>
      </c>
      <c r="WD11" s="5">
        <f>IFERROR(VLOOKUP(WD$1,'Renta Mixta Agresivo'!$B$35:$C$57,2,FALSE),0%)</f>
        <v>0</v>
      </c>
      <c r="WE11" s="5">
        <f>IFERROR(VLOOKUP(WE$1,'Renta Mixta Agresivo'!$B$35:$C$57,2,FALSE),0%)</f>
        <v>0</v>
      </c>
      <c r="WF11" s="5">
        <f>IFERROR(VLOOKUP(WF$1,'Renta Mixta Agresivo'!$B$35:$C$57,2,FALSE),0%)</f>
        <v>0</v>
      </c>
      <c r="WG11" s="5">
        <f>IFERROR(VLOOKUP(WG$1,'Renta Mixta Agresivo'!$B$35:$C$57,2,FALSE),0%)</f>
        <v>0</v>
      </c>
      <c r="WH11" s="5">
        <f>IFERROR(VLOOKUP(WH$1,'Renta Mixta Agresivo'!$B$35:$C$57,2,FALSE),0%)</f>
        <v>0</v>
      </c>
      <c r="WI11" s="5">
        <f>IFERROR(VLOOKUP(WI$1,'Renta Mixta Agresivo'!$B$35:$C$57,2,FALSE),0%)</f>
        <v>0</v>
      </c>
      <c r="WJ11" s="5">
        <f>IFERROR(VLOOKUP(WJ$1,'Renta Mixta Agresivo'!$B$35:$C$57,2,FALSE),0%)</f>
        <v>0</v>
      </c>
      <c r="WK11" s="5">
        <f>IFERROR(VLOOKUP(WK$1,'Renta Mixta Agresivo'!$B$35:$C$57,2,FALSE),0%)</f>
        <v>0</v>
      </c>
      <c r="WL11" s="5">
        <f>IFERROR(VLOOKUP(WL$1,'Renta Mixta Agresivo'!$B$35:$C$57,2,FALSE),0%)</f>
        <v>0</v>
      </c>
      <c r="WM11" s="5">
        <f>IFERROR(VLOOKUP(WM$1,'Renta Mixta Agresivo'!$B$35:$C$57,2,FALSE),0%)</f>
        <v>0</v>
      </c>
      <c r="WN11" s="5">
        <f>IFERROR(VLOOKUP(WN$1,'Renta Mixta Agresivo'!$B$35:$C$57,2,FALSE),0%)</f>
        <v>0</v>
      </c>
      <c r="WO11" s="5">
        <f>IFERROR(VLOOKUP(WO$1,'Renta Mixta Agresivo'!$B$35:$C$57,2,FALSE),0%)</f>
        <v>0</v>
      </c>
      <c r="WP11" s="5">
        <f>IFERROR(VLOOKUP(WP$1,'Renta Mixta Agresivo'!$B$35:$C$57,2,FALSE),0%)</f>
        <v>0</v>
      </c>
      <c r="WQ11" s="5">
        <f>IFERROR(VLOOKUP(WQ$1,'Renta Mixta Agresivo'!$B$35:$C$57,2,FALSE),0%)</f>
        <v>0</v>
      </c>
      <c r="WR11" s="5">
        <f>IFERROR(VLOOKUP(WR$1,'Renta Mixta Agresivo'!$B$35:$C$57,2,FALSE),0%)</f>
        <v>0</v>
      </c>
      <c r="WS11" s="5">
        <f>IFERROR(VLOOKUP(WS$1,'Renta Mixta Agresivo'!$B$35:$C$57,2,FALSE),0%)</f>
        <v>0</v>
      </c>
      <c r="WT11" s="5">
        <f>IFERROR(VLOOKUP(WT$1,'Renta Mixta Agresivo'!$B$35:$C$57,2,FALSE),0%)</f>
        <v>0</v>
      </c>
      <c r="WU11" s="5">
        <f>IFERROR(VLOOKUP(WU$1,'Renta Mixta Agresivo'!$B$35:$C$57,2,FALSE),0%)</f>
        <v>0</v>
      </c>
      <c r="WV11" s="5">
        <f>IFERROR(VLOOKUP(WV$1,'Renta Mixta Agresivo'!$B$35:$C$57,2,FALSE),0%)</f>
        <v>0</v>
      </c>
      <c r="WW11" s="5">
        <f>IFERROR(VLOOKUP(WW$1,'Renta Mixta Agresivo'!$B$35:$C$57,2,FALSE),0%)</f>
        <v>0</v>
      </c>
      <c r="WX11" s="5">
        <f>IFERROR(VLOOKUP(WX$1,'Renta Mixta Agresivo'!$B$35:$C$57,2,FALSE),0%)</f>
        <v>0</v>
      </c>
      <c r="WY11" s="5">
        <f>IFERROR(VLOOKUP(WY$1,'Renta Mixta Agresivo'!$B$35:$C$57,2,FALSE),0%)</f>
        <v>0</v>
      </c>
      <c r="WZ11" s="5">
        <f>IFERROR(VLOOKUP(WZ$1,'Renta Mixta Agresivo'!$B$35:$C$57,2,FALSE),0%)</f>
        <v>0</v>
      </c>
      <c r="XA11" s="5">
        <f>IFERROR(VLOOKUP(XA$1,'Renta Mixta Agresivo'!$B$35:$C$57,2,FALSE),0%)</f>
        <v>0</v>
      </c>
      <c r="XB11" s="5">
        <f>IFERROR(VLOOKUP(XB$1,'Renta Mixta Agresivo'!$B$35:$C$57,2,FALSE),0%)</f>
        <v>0</v>
      </c>
      <c r="XC11" s="5">
        <f>IFERROR(VLOOKUP(XC$1,'Renta Mixta Agresivo'!$B$35:$C$57,2,FALSE),0%)</f>
        <v>0</v>
      </c>
      <c r="XD11" s="5">
        <f>IFERROR(VLOOKUP(XD$1,'Renta Mixta Agresivo'!$B$35:$C$57,2,FALSE),0%)</f>
        <v>0</v>
      </c>
      <c r="XE11" s="5">
        <f>IFERROR(VLOOKUP(XE$1,'Renta Mixta Agresivo'!$B$35:$C$57,2,FALSE),0%)</f>
        <v>0</v>
      </c>
      <c r="XF11" s="5">
        <f>IFERROR(VLOOKUP(XF$1,'Renta Mixta Agresivo'!$B$35:$C$57,2,FALSE),0%)</f>
        <v>0</v>
      </c>
      <c r="XG11" s="5">
        <f>IFERROR(VLOOKUP(XG$1,'Renta Mixta Agresivo'!$B$35:$C$57,2,FALSE),0%)</f>
        <v>0</v>
      </c>
      <c r="XH11" s="5">
        <f>IFERROR(VLOOKUP(XH$1,'Renta Mixta Agresivo'!$B$35:$C$57,2,FALSE),0%)</f>
        <v>0</v>
      </c>
      <c r="XI11" s="5">
        <f>IFERROR(VLOOKUP(XI$1,'Renta Mixta Agresivo'!$B$35:$C$57,2,FALSE),0%)</f>
        <v>0</v>
      </c>
      <c r="XJ11" s="5">
        <f>IFERROR(VLOOKUP(XJ$1,'Renta Mixta Agresivo'!$B$35:$C$57,2,FALSE),0%)</f>
        <v>0</v>
      </c>
      <c r="XK11" s="5">
        <f>IFERROR(VLOOKUP(XK$1,'Renta Mixta Agresivo'!$B$35:$C$57,2,FALSE),0%)</f>
        <v>0</v>
      </c>
      <c r="XL11" s="5">
        <f>IFERROR(VLOOKUP(XL$1,'Renta Mixta Agresivo'!$B$35:$C$57,2,FALSE),0%)</f>
        <v>0</v>
      </c>
      <c r="XM11" s="5">
        <f>IFERROR(VLOOKUP(XM$1,'Renta Mixta Agresivo'!$B$35:$C$57,2,FALSE),0%)</f>
        <v>0</v>
      </c>
      <c r="XN11" s="5">
        <f>IFERROR(VLOOKUP(XN$1,'Renta Mixta Agresivo'!$B$35:$C$57,2,FALSE),0%)</f>
        <v>0</v>
      </c>
      <c r="XO11" s="5">
        <f>IFERROR(VLOOKUP(XO$1,'Renta Mixta Agresivo'!$B$35:$C$57,2,FALSE),0%)</f>
        <v>0</v>
      </c>
      <c r="XP11" s="5">
        <f>IFERROR(VLOOKUP(XP$1,'Renta Mixta Agresivo'!$B$35:$C$57,2,FALSE),0%)</f>
        <v>0</v>
      </c>
      <c r="XQ11" s="5">
        <f>IFERROR(VLOOKUP(XQ$1,'Renta Mixta Agresivo'!$B$35:$C$57,2,FALSE),0%)</f>
        <v>0</v>
      </c>
      <c r="XR11" s="5">
        <f>IFERROR(VLOOKUP(XR$1,'Renta Mixta Agresivo'!$B$35:$C$57,2,FALSE),0%)</f>
        <v>0.05276823446</v>
      </c>
      <c r="XS11" s="5">
        <f>IFERROR(VLOOKUP(XS$1,'Renta Mixta Agresivo'!$B$35:$C$57,2,FALSE),0%)</f>
        <v>0</v>
      </c>
      <c r="XT11" s="5">
        <f>IFERROR(VLOOKUP(XT$1,'Renta Mixta Agresivo'!$B$35:$C$57,2,FALSE),0%)</f>
        <v>0</v>
      </c>
      <c r="XU11" s="5">
        <f>IFERROR(VLOOKUP(XU$1,'Renta Mixta Agresivo'!$B$35:$C$57,2,FALSE),0%)</f>
        <v>0</v>
      </c>
      <c r="XV11" s="5">
        <f>IFERROR(VLOOKUP(XV$1,'Renta Mixta Agresivo'!$B$35:$C$57,2,FALSE),0%)</f>
        <v>0</v>
      </c>
      <c r="XW11" s="5">
        <f>IFERROR(VLOOKUP(XW$1,'Renta Mixta Agresivo'!$B$35:$C$57,2,FALSE),0%)</f>
        <v>0</v>
      </c>
      <c r="XX11" s="5">
        <f>IFERROR(VLOOKUP(XX$1,'Renta Mixta Agresivo'!$B$35:$C$57,2,FALSE),0%)</f>
        <v>0</v>
      </c>
      <c r="XY11" s="5">
        <f>IFERROR(VLOOKUP(XY$1,'Renta Mixta Agresivo'!$B$35:$C$57,2,FALSE),0%)</f>
        <v>0</v>
      </c>
      <c r="XZ11" s="5">
        <f>IFERROR(VLOOKUP(XZ$1,'Renta Mixta Agresivo'!$B$35:$C$57,2,FALSE),0%)</f>
        <v>0</v>
      </c>
      <c r="YA11" s="5">
        <f>IFERROR(VLOOKUP(YA$1,'Renta Mixta Agresivo'!$B$35:$C$57,2,FALSE),0%)</f>
        <v>0</v>
      </c>
      <c r="YB11" s="5">
        <f>IFERROR(VLOOKUP(YB$1,'Renta Mixta Agresivo'!$B$35:$C$57,2,FALSE),0%)</f>
        <v>0</v>
      </c>
      <c r="YC11" s="5">
        <f>IFERROR(VLOOKUP(YC$1,'Renta Mixta Agresivo'!$B$35:$C$57,2,FALSE),0%)</f>
        <v>0</v>
      </c>
      <c r="YD11" s="5">
        <f>IFERROR(VLOOKUP(YD$1,'Renta Mixta Agresivo'!$B$35:$C$57,2,FALSE),0%)</f>
        <v>0</v>
      </c>
      <c r="YE11" s="5">
        <f>IFERROR(VLOOKUP(YE$1,'Renta Mixta Agresivo'!$B$35:$C$57,2,FALSE),0%)</f>
        <v>0.0275</v>
      </c>
      <c r="YF11" s="5">
        <f>IFERROR(VLOOKUP(YF$1,'Renta Mixta Agresivo'!$B$35:$C$57,2,FALSE),0%)</f>
        <v>0</v>
      </c>
      <c r="YG11" s="5">
        <f>IFERROR(VLOOKUP(YG$1,'Renta Mixta Agresivo'!$B$35:$C$57,2,FALSE),0%)</f>
        <v>0</v>
      </c>
      <c r="YH11" s="5">
        <f>IFERROR(VLOOKUP(YH$1,'Renta Mixta Agresivo'!$B$35:$C$57,2,FALSE),0%)</f>
        <v>0</v>
      </c>
      <c r="YI11" s="5">
        <f>IFERROR(VLOOKUP(YI$1,'Renta Mixta Agresivo'!$B$35:$C$57,2,FALSE),0%)</f>
        <v>0</v>
      </c>
      <c r="YJ11" s="5">
        <f>IFERROR(VLOOKUP(YJ$1,'Renta Mixta Agresivo'!$B$35:$C$57,2,FALSE),0%)</f>
        <v>0</v>
      </c>
      <c r="YK11" s="5">
        <f>IFERROR(VLOOKUP(YK$1,'Renta Mixta Agresivo'!$B$35:$C$57,2,FALSE),0%)</f>
        <v>0</v>
      </c>
      <c r="YL11" s="5">
        <f>IFERROR(VLOOKUP(YL$1,'Renta Mixta Agresivo'!$B$35:$C$57,2,FALSE),0%)</f>
        <v>0</v>
      </c>
      <c r="YM11" s="5">
        <f>IFERROR(VLOOKUP(YM$1,'Renta Mixta Agresivo'!$B$35:$C$57,2,FALSE),0%)</f>
        <v>0</v>
      </c>
      <c r="YN11" s="5">
        <f>IFERROR(VLOOKUP(YN$1,'Renta Mixta Agresivo'!$B$35:$C$57,2,FALSE),0%)</f>
        <v>0</v>
      </c>
      <c r="YO11" s="5">
        <f>IFERROR(VLOOKUP(YO$1,'Renta Mixta Agresivo'!$B$35:$C$57,2,FALSE),0%)</f>
        <v>0</v>
      </c>
      <c r="YP11" s="5">
        <f>IFERROR(VLOOKUP(YP$1,'Renta Mixta Agresivo'!$B$35:$C$57,2,FALSE),0%)</f>
        <v>0</v>
      </c>
      <c r="YQ11" s="5">
        <f>IFERROR(VLOOKUP(YQ$1,'Renta Mixta Agresivo'!$B$35:$C$57,2,FALSE),0%)</f>
        <v>0</v>
      </c>
      <c r="YR11" s="5">
        <f>IFERROR(VLOOKUP(YR$1,'Renta Mixta Agresivo'!$B$35:$C$57,2,FALSE),0%)</f>
        <v>0</v>
      </c>
      <c r="YS11" s="5">
        <f>IFERROR(VLOOKUP(YS$1,'Renta Mixta Agresivo'!$B$35:$C$57,2,FALSE),0%)</f>
        <v>0</v>
      </c>
      <c r="YT11" s="5">
        <f>IFERROR(VLOOKUP(YT$1,'Renta Mixta Agresivo'!$B$35:$C$57,2,FALSE),0%)</f>
        <v>0</v>
      </c>
      <c r="YU11" s="5">
        <f>IFERROR(VLOOKUP(YU$1,'Renta Mixta Agresivo'!$B$35:$C$57,2,FALSE),0%)</f>
        <v>0</v>
      </c>
      <c r="YV11" s="5">
        <f>IFERROR(VLOOKUP(YV$1,'Renta Mixta Agresivo'!$B$35:$C$57,2,FALSE),0%)</f>
        <v>0</v>
      </c>
      <c r="YW11" s="5">
        <f>IFERROR(VLOOKUP(YW$1,'Renta Mixta Agresivo'!$B$35:$C$57,2,FALSE),0%)</f>
        <v>0</v>
      </c>
      <c r="YX11" s="5">
        <f>IFERROR(VLOOKUP(YX$1,'Renta Mixta Agresivo'!$B$35:$C$57,2,FALSE),0%)</f>
        <v>0</v>
      </c>
      <c r="YY11" s="5">
        <f>IFERROR(VLOOKUP(YY$1,'Renta Mixta Agresivo'!$B$35:$C$57,2,FALSE),0%)</f>
        <v>0</v>
      </c>
      <c r="YZ11" s="5">
        <f>IFERROR(VLOOKUP(YZ$1,'Renta Mixta Agresivo'!$B$35:$C$57,2,FALSE),0%)</f>
        <v>0</v>
      </c>
      <c r="ZA11" s="5">
        <f>IFERROR(VLOOKUP(ZA$1,'Renta Mixta Agresivo'!$B$35:$C$57,2,FALSE),0%)</f>
        <v>0</v>
      </c>
      <c r="ZB11" s="5">
        <f>IFERROR(VLOOKUP(ZB$1,'Renta Mixta Agresivo'!$B$35:$C$57,2,FALSE),0%)</f>
        <v>0</v>
      </c>
      <c r="ZC11" s="5">
        <f>IFERROR(VLOOKUP(ZC$1,'Renta Mixta Agresivo'!$B$35:$C$57,2,FALSE),0%)</f>
        <v>0</v>
      </c>
      <c r="ZD11" s="5">
        <f>IFERROR(VLOOKUP(ZD$1,'Renta Mixta Agresivo'!$B$35:$C$57,2,FALSE),0%)</f>
        <v>0</v>
      </c>
      <c r="ZE11" s="5">
        <f>IFERROR(VLOOKUP(ZE$1,'Renta Mixta Agresivo'!$B$35:$C$57,2,FALSE),0%)</f>
        <v>0</v>
      </c>
      <c r="ZF11" s="5">
        <f>IFERROR(VLOOKUP(ZF$1,'Renta Mixta Agresivo'!$B$35:$C$57,2,FALSE),0%)</f>
        <v>0</v>
      </c>
      <c r="ZG11" s="5">
        <f>IFERROR(VLOOKUP(ZG$1,'Renta Mixta Agresivo'!$B$35:$C$57,2,FALSE),0%)</f>
        <v>0</v>
      </c>
      <c r="ZH11" s="5">
        <f>IFERROR(VLOOKUP(ZH$1,'Renta Mixta Agresivo'!$B$35:$C$57,2,FALSE),0%)</f>
        <v>0</v>
      </c>
      <c r="ZI11" s="5">
        <f>IFERROR(VLOOKUP(ZI$1,'Renta Mixta Agresivo'!$B$35:$C$57,2,FALSE),0%)</f>
        <v>0</v>
      </c>
      <c r="ZJ11" s="5">
        <f>IFERROR(VLOOKUP(ZJ$1,'Renta Mixta Agresivo'!$B$35:$C$57,2,FALSE),0%)</f>
        <v>0</v>
      </c>
      <c r="ZK11" s="5">
        <f>IFERROR(VLOOKUP(ZK$1,'Renta Mixta Agresivo'!$B$35:$C$57,2,FALSE),0%)</f>
        <v>0</v>
      </c>
      <c r="ZL11" s="5">
        <f>IFERROR(VLOOKUP(ZL$1,'Renta Mixta Agresivo'!$B$35:$C$57,2,FALSE),0%)</f>
        <v>0</v>
      </c>
      <c r="ZM11" s="5">
        <f>IFERROR(VLOOKUP(ZM$1,'Renta Mixta Agresivo'!$B$35:$C$57,2,FALSE),0%)</f>
        <v>0</v>
      </c>
      <c r="ZN11" s="5">
        <f>IFERROR(VLOOKUP(ZN$1,'Renta Mixta Agresivo'!$B$35:$C$57,2,FALSE),0%)</f>
        <v>0</v>
      </c>
      <c r="ZO11" s="5">
        <f>IFERROR(VLOOKUP(ZO$1,'Renta Mixta Agresivo'!$B$35:$C$57,2,FALSE),0%)</f>
        <v>0</v>
      </c>
      <c r="ZP11" s="5">
        <f>IFERROR(VLOOKUP(ZP$1,'Renta Mixta Agresivo'!$B$35:$C$57,2,FALSE),0%)</f>
        <v>0</v>
      </c>
      <c r="ZQ11" s="5">
        <f>IFERROR(VLOOKUP(ZQ$1,'Renta Mixta Agresivo'!$B$35:$C$57,2,FALSE),0%)</f>
        <v>0</v>
      </c>
      <c r="ZR11" s="5">
        <f>IFERROR(VLOOKUP(ZR$1,'Renta Mixta Agresivo'!$B$35:$C$57,2,FALSE),0%)</f>
        <v>0</v>
      </c>
      <c r="ZS11" s="5">
        <f>IFERROR(VLOOKUP(ZS$1,'Renta Mixta Agresivo'!$B$35:$C$57,2,FALSE),0%)</f>
        <v>0</v>
      </c>
      <c r="ZT11" s="5">
        <f>IFERROR(VLOOKUP(ZT$1,'Renta Mixta Agresivo'!$B$35:$C$57,2,FALSE),0%)</f>
        <v>0</v>
      </c>
      <c r="ZU11" s="5">
        <f>IFERROR(VLOOKUP(ZU$1,'Renta Mixta Agresivo'!$B$35:$C$57,2,FALSE),0%)</f>
        <v>0</v>
      </c>
      <c r="ZV11" s="5">
        <f>IFERROR(VLOOKUP(ZV$1,'Renta Mixta Agresivo'!$B$35:$C$57,2,FALSE),0%)</f>
        <v>0</v>
      </c>
      <c r="ZW11" s="5">
        <f>IFERROR(VLOOKUP(ZW$1,'Renta Mixta Agresivo'!$B$35:$C$57,2,FALSE),0%)</f>
        <v>0</v>
      </c>
      <c r="ZX11" s="5">
        <f>IFERROR(VLOOKUP(ZX$1,'Renta Mixta Agresivo'!$B$35:$C$57,2,FALSE),0%)</f>
        <v>0</v>
      </c>
      <c r="ZY11" s="5">
        <f>IFERROR(VLOOKUP(ZY$1,'Renta Mixta Agresivo'!$B$35:$C$57,2,FALSE),0%)</f>
        <v>0</v>
      </c>
      <c r="ZZ11" s="5">
        <f>IFERROR(VLOOKUP(ZZ$1,'Renta Mixta Agresivo'!$B$35:$C$57,2,FALSE),0%)</f>
        <v>0</v>
      </c>
      <c r="AAA11" s="5">
        <f>IFERROR(VLOOKUP(AAA$1,'Renta Mixta Agresivo'!$B$35:$C$57,2,FALSE),0%)</f>
        <v>0</v>
      </c>
      <c r="AAB11" s="5">
        <f>IFERROR(VLOOKUP(AAB$1,'Renta Mixta Agresivo'!$B$35:$C$57,2,FALSE),0%)</f>
        <v>0</v>
      </c>
      <c r="AAC11" s="5">
        <f>IFERROR(VLOOKUP(AAC$1,'Renta Mixta Agresivo'!$B$35:$C$57,2,FALSE),0%)</f>
        <v>0</v>
      </c>
      <c r="AAD11" s="5">
        <f>IFERROR(VLOOKUP(AAD$1,'Renta Mixta Agresivo'!$B$35:$C$57,2,FALSE),0%)</f>
        <v>0</v>
      </c>
      <c r="AAE11" s="5">
        <f>IFERROR(VLOOKUP(AAE$1,'Renta Mixta Agresivo'!$B$35:$C$57,2,FALSE),0%)</f>
        <v>0</v>
      </c>
      <c r="AAF11" s="5">
        <f>IFERROR(VLOOKUP(AAF$1,'Renta Mixta Agresivo'!$B$35:$C$57,2,FALSE),0%)</f>
        <v>0</v>
      </c>
      <c r="AAG11" s="5">
        <f>IFERROR(VLOOKUP(AAG$1,'Renta Mixta Agresivo'!$B$35:$C$57,2,FALSE),0%)</f>
        <v>0</v>
      </c>
      <c r="AAH11" s="5">
        <f>IFERROR(VLOOKUP(AAH$1,'Renta Mixta Agresivo'!$B$35:$C$57,2,FALSE),0%)</f>
        <v>0</v>
      </c>
      <c r="AAI11" s="5">
        <f>IFERROR(VLOOKUP(AAI$1,'Renta Mixta Agresivo'!$B$35:$C$57,2,FALSE),0%)</f>
        <v>0</v>
      </c>
      <c r="AAJ11" s="5">
        <f>IFERROR(VLOOKUP(AAJ$1,'Renta Mixta Agresivo'!$B$35:$C$57,2,FALSE),0%)</f>
        <v>0</v>
      </c>
      <c r="AAK11" s="5">
        <f>IFERROR(VLOOKUP(AAK$1,'Renta Mixta Agresivo'!$B$35:$C$57,2,FALSE),0%)</f>
        <v>0</v>
      </c>
      <c r="AAL11" s="5">
        <f>IFERROR(VLOOKUP(AAL$1,'Renta Mixta Agresivo'!$B$35:$C$57,2,FALSE),0%)</f>
        <v>0</v>
      </c>
      <c r="AAM11" s="5">
        <f>IFERROR(VLOOKUP(AAM$1,'Renta Mixta Agresivo'!$B$35:$C$57,2,FALSE),0%)</f>
        <v>0</v>
      </c>
      <c r="AAN11" s="5">
        <f>IFERROR(VLOOKUP(AAN$1,'Renta Mixta Agresivo'!$B$35:$C$57,2,FALSE),0%)</f>
        <v>0</v>
      </c>
      <c r="AAO11" s="5">
        <f>IFERROR(VLOOKUP(AAO$1,'Renta Mixta Agresivo'!$B$35:$C$57,2,FALSE),0%)</f>
        <v>0</v>
      </c>
      <c r="AAP11" s="5">
        <f>IFERROR(VLOOKUP(AAP$1,'Renta Mixta Agresivo'!$B$35:$C$57,2,FALSE),0%)</f>
        <v>0</v>
      </c>
      <c r="AAQ11" s="5">
        <f>IFERROR(VLOOKUP(AAQ$1,'Renta Mixta Agresivo'!$B$35:$C$57,2,FALSE),0%)</f>
        <v>0</v>
      </c>
      <c r="AAR11" s="5">
        <f>IFERROR(VLOOKUP(AAR$1,'Renta Mixta Agresivo'!$B$35:$C$57,2,FALSE),0%)</f>
        <v>0</v>
      </c>
      <c r="AAS11" s="5">
        <f>IFERROR(VLOOKUP(AAS$1,'Renta Mixta Agresivo'!$B$35:$C$57,2,FALSE),0%)</f>
        <v>0</v>
      </c>
      <c r="AAT11" s="5">
        <f>IFERROR(VLOOKUP(AAT$1,'Renta Mixta Agresivo'!$B$35:$C$57,2,FALSE),0%)</f>
        <v>0</v>
      </c>
      <c r="AAU11" s="5">
        <f>IFERROR(VLOOKUP(AAU$1,'Renta Mixta Agresivo'!$B$35:$C$57,2,FALSE),0%)</f>
        <v>0</v>
      </c>
      <c r="AAV11" s="5">
        <f>IFERROR(VLOOKUP(AAV$1,'Renta Mixta Agresivo'!$B$35:$C$57,2,FALSE),0%)</f>
        <v>0</v>
      </c>
      <c r="AAW11" s="5">
        <f>IFERROR(VLOOKUP(AAW$1,'Renta Mixta Agresivo'!$B$35:$C$57,2,FALSE),0%)</f>
        <v>0</v>
      </c>
      <c r="AAX11" s="5">
        <f>IFERROR(VLOOKUP(AAX$1,'Renta Mixta Agresivo'!$B$35:$C$57,2,FALSE),0%)</f>
        <v>0</v>
      </c>
      <c r="AAY11" s="5">
        <f>IFERROR(VLOOKUP(AAY$1,'Renta Mixta Agresivo'!$B$35:$C$57,2,FALSE),0%)</f>
        <v>0</v>
      </c>
      <c r="AAZ11" s="5">
        <f>IFERROR(VLOOKUP(AAZ$1,'Renta Mixta Agresivo'!$B$35:$C$57,2,FALSE),0%)</f>
        <v>0</v>
      </c>
      <c r="ABA11" s="5">
        <f>IFERROR(VLOOKUP(ABA$1,'Renta Mixta Agresivo'!$B$35:$C$57,2,FALSE),0%)</f>
        <v>0</v>
      </c>
      <c r="ABB11" s="5">
        <f>IFERROR(VLOOKUP(ABB$1,'Renta Mixta Agresivo'!$B$35:$C$57,2,FALSE),0%)</f>
        <v>0</v>
      </c>
      <c r="ABC11" s="5">
        <f>IFERROR(VLOOKUP(ABC$1,'Renta Mixta Agresivo'!$B$35:$C$57,2,FALSE),0%)</f>
        <v>0</v>
      </c>
      <c r="ABD11" s="5">
        <f>IFERROR(VLOOKUP(ABD$1,'Renta Mixta Agresivo'!$B$35:$C$57,2,FALSE),0%)</f>
        <v>0</v>
      </c>
      <c r="ABE11" s="5">
        <f>IFERROR(VLOOKUP(ABE$1,'Renta Mixta Agresivo'!$B$35:$C$57,2,FALSE),0%)</f>
        <v>0</v>
      </c>
      <c r="ABF11" s="5">
        <f>IFERROR(VLOOKUP(ABF$1,'Renta Mixta Agresivo'!$B$35:$C$57,2,FALSE),0%)</f>
        <v>0</v>
      </c>
      <c r="ABG11" s="5">
        <f>IFERROR(VLOOKUP(ABG$1,'Renta Mixta Agresivo'!$B$35:$C$57,2,FALSE),0%)</f>
        <v>0</v>
      </c>
      <c r="ABH11" s="5">
        <f>IFERROR(VLOOKUP(ABH$1,'Renta Mixta Agresivo'!$B$35:$C$57,2,FALSE),0%)</f>
        <v>0</v>
      </c>
      <c r="ABI11" s="5">
        <f>IFERROR(VLOOKUP(ABI$1,'Renta Mixta Agresivo'!$B$35:$C$57,2,FALSE),0%)</f>
        <v>0</v>
      </c>
      <c r="ABJ11" s="5">
        <f>IFERROR(VLOOKUP(ABJ$1,'Renta Mixta Agresivo'!$B$35:$C$57,2,FALSE),0%)</f>
        <v>0</v>
      </c>
      <c r="ABK11" s="5">
        <f>IFERROR(VLOOKUP(ABK$1,'Renta Mixta Agresivo'!$B$35:$C$57,2,FALSE),0%)</f>
        <v>0</v>
      </c>
      <c r="ABL11" s="5">
        <f>IFERROR(VLOOKUP(ABL$1,'Renta Mixta Agresivo'!$B$35:$C$57,2,FALSE),0%)</f>
        <v>0</v>
      </c>
      <c r="ABM11" s="5">
        <f>IFERROR(VLOOKUP(ABM$1,'Renta Mixta Agresivo'!$B$35:$C$57,2,FALSE),0%)</f>
        <v>0</v>
      </c>
      <c r="ABN11" s="5">
        <f>IFERROR(VLOOKUP(ABN$1,'Renta Mixta Agresivo'!$B$35:$C$57,2,FALSE),0%)</f>
        <v>0</v>
      </c>
      <c r="ABO11" s="5">
        <f>IFERROR(VLOOKUP(ABO$1,'Renta Mixta Agresivo'!$B$35:$C$57,2,FALSE),0%)</f>
        <v>0</v>
      </c>
      <c r="ABP11" s="5">
        <f>IFERROR(VLOOKUP(ABP$1,'Renta Mixta Agresivo'!$B$35:$C$57,2,FALSE),0%)</f>
        <v>0</v>
      </c>
      <c r="ABQ11" s="5">
        <f>IFERROR(VLOOKUP(ABQ$1,'Renta Mixta Agresivo'!$B$35:$C$57,2,FALSE),0%)</f>
        <v>0</v>
      </c>
      <c r="ABR11" s="5">
        <f>IFERROR(VLOOKUP(ABR$1,'Renta Mixta Agresivo'!$B$35:$C$57,2,FALSE),0%)</f>
        <v>0</v>
      </c>
      <c r="ABS11" s="5">
        <f>IFERROR(VLOOKUP(ABS$1,'Renta Mixta Agresivo'!$B$35:$C$57,2,FALSE),0%)</f>
        <v>0</v>
      </c>
      <c r="ABT11" s="5">
        <f>IFERROR(VLOOKUP(ABT$1,'Renta Mixta Agresivo'!$B$35:$C$57,2,FALSE),0%)</f>
        <v>0</v>
      </c>
      <c r="ABU11" s="5">
        <f>IFERROR(VLOOKUP(ABU$1,'Renta Mixta Agresivo'!$B$35:$C$57,2,FALSE),0%)</f>
        <v>0</v>
      </c>
      <c r="ABV11" s="5">
        <f>IFERROR(VLOOKUP(ABV$1,'Renta Mixta Agresivo'!$B$35:$C$57,2,FALSE),0%)</f>
        <v>0</v>
      </c>
      <c r="ABW11" s="5">
        <f>IFERROR(VLOOKUP(ABW$1,'Renta Mixta Agresivo'!$B$35:$C$57,2,FALSE),0%)</f>
        <v>0</v>
      </c>
      <c r="ABX11" s="5">
        <f>IFERROR(VLOOKUP(ABX$1,'Renta Mixta Agresivo'!$B$35:$C$57,2,FALSE),0%)</f>
        <v>0</v>
      </c>
      <c r="ABY11" s="5">
        <f>IFERROR(VLOOKUP(ABY$1,'Renta Mixta Agresivo'!$B$35:$C$57,2,FALSE),0%)</f>
        <v>0</v>
      </c>
      <c r="ABZ11" s="5">
        <f>IFERROR(VLOOKUP(ABZ$1,'Renta Mixta Agresivo'!$B$35:$C$57,2,FALSE),0%)</f>
        <v>0</v>
      </c>
      <c r="ACA11" s="5">
        <f>IFERROR(VLOOKUP(ACA$1,'Renta Mixta Agresivo'!$B$35:$C$57,2,FALSE),0%)</f>
        <v>0</v>
      </c>
      <c r="ACB11" s="5">
        <f>IFERROR(VLOOKUP(ACB$1,'Renta Mixta Agresivo'!$B$35:$C$57,2,FALSE),0%)</f>
        <v>0</v>
      </c>
      <c r="ACC11" s="5">
        <f>IFERROR(VLOOKUP(ACC$1,'Renta Mixta Agresivo'!$B$35:$C$57,2,FALSE),0%)</f>
        <v>0</v>
      </c>
      <c r="ACD11" s="5">
        <f>IFERROR(VLOOKUP(ACD$1,'Renta Mixta Agresivo'!$B$35:$C$57,2,FALSE),0%)</f>
        <v>0</v>
      </c>
      <c r="ACE11" s="5">
        <f>IFERROR(VLOOKUP(ACE$1,'Renta Mixta Agresivo'!$B$35:$C$57,2,FALSE),0%)</f>
        <v>0</v>
      </c>
      <c r="ACF11" s="5">
        <f>IFERROR(VLOOKUP(ACF$1,'Renta Mixta Agresivo'!$B$35:$C$57,2,FALSE),0%)</f>
        <v>0</v>
      </c>
      <c r="ACG11" s="5">
        <f>IFERROR(VLOOKUP(ACG$1,'Renta Mixta Agresivo'!$B$35:$C$57,2,FALSE),0%)</f>
        <v>0</v>
      </c>
      <c r="ACH11" s="5">
        <f>IFERROR(VLOOKUP(ACH$1,'Renta Mixta Agresivo'!$B$35:$C$57,2,FALSE),0%)</f>
        <v>0</v>
      </c>
      <c r="ACI11" s="5">
        <f>IFERROR(VLOOKUP(ACI$1,'Renta Mixta Agresivo'!$B$35:$C$57,2,FALSE),0%)</f>
        <v>0</v>
      </c>
      <c r="ACJ11" s="5">
        <f>IFERROR(VLOOKUP(ACJ$1,'Renta Mixta Agresivo'!$B$35:$C$57,2,FALSE),0%)</f>
        <v>0</v>
      </c>
      <c r="ACK11" s="5">
        <f>IFERROR(VLOOKUP(ACK$1,'Renta Mixta Agresivo'!$B$35:$C$57,2,FALSE),0%)</f>
        <v>0</v>
      </c>
      <c r="ACL11" s="5">
        <f>IFERROR(VLOOKUP(ACL$1,'Renta Mixta Agresivo'!$B$35:$C$57,2,FALSE),0%)</f>
        <v>0</v>
      </c>
      <c r="ACM11" s="5">
        <f>IFERROR(VLOOKUP(ACM$1,'Renta Mixta Agresivo'!$B$35:$C$57,2,FALSE),0%)</f>
        <v>0.03037843468</v>
      </c>
      <c r="ACN11" s="5">
        <f>IFERROR(VLOOKUP(ACN$1,'Renta Mixta Agresivo'!$B$35:$C$57,2,FALSE),0%)</f>
        <v>0</v>
      </c>
      <c r="ACO11" s="5">
        <f>IFERROR(VLOOKUP(ACO$1,'Renta Mixta Agresivo'!$B$35:$C$57,2,FALSE),0%)</f>
        <v>0</v>
      </c>
      <c r="ACP11" s="5">
        <f>IFERROR(VLOOKUP(ACP$1,'Renta Mixta Agresivo'!$B$35:$C$57,2,FALSE),0%)</f>
        <v>0</v>
      </c>
      <c r="ACQ11" s="5">
        <f>IFERROR(VLOOKUP(ACQ$1,'Renta Mixta Agresivo'!$B$35:$C$57,2,FALSE),0%)</f>
        <v>0</v>
      </c>
      <c r="ACR11" s="5">
        <f>IFERROR(VLOOKUP(ACR$1,'Renta Mixta Agresivo'!$B$35:$C$57,2,FALSE),0%)</f>
        <v>0</v>
      </c>
      <c r="ACS11" s="5">
        <f>IFERROR(VLOOKUP(ACS$1,'Renta Mixta Agresivo'!$B$35:$C$57,2,FALSE),0%)</f>
        <v>0</v>
      </c>
      <c r="ACT11" s="5">
        <f>IFERROR(VLOOKUP(ACT$1,'Renta Mixta Agresivo'!$B$35:$C$57,2,FALSE),0%)</f>
        <v>0</v>
      </c>
      <c r="ACU11" s="5">
        <f>IFERROR(VLOOKUP(ACU$1,'Renta Mixta Agresivo'!$B$35:$C$57,2,FALSE),0%)</f>
        <v>0</v>
      </c>
      <c r="ACV11" s="5">
        <f>IFERROR(VLOOKUP(ACV$1,'Renta Mixta Agresivo'!$B$35:$C$57,2,FALSE),0%)</f>
        <v>0</v>
      </c>
      <c r="ACW11" s="5">
        <f>IFERROR(VLOOKUP(ACW$1,'Renta Mixta Agresivo'!$B$35:$C$57,2,FALSE),0%)</f>
        <v>0</v>
      </c>
      <c r="ACX11" s="5">
        <f>IFERROR(VLOOKUP(ACX$1,'Renta Mixta Agresivo'!$B$35:$C$57,2,FALSE),0%)</f>
        <v>0</v>
      </c>
      <c r="ACY11" s="5">
        <f>IFERROR(VLOOKUP(ACY$1,'Renta Mixta Agresivo'!$B$35:$C$57,2,FALSE),0%)</f>
        <v>0</v>
      </c>
      <c r="ACZ11" s="5">
        <f>IFERROR(VLOOKUP(ACZ$1,'Renta Mixta Agresivo'!$B$35:$C$57,2,FALSE),0%)</f>
        <v>0</v>
      </c>
      <c r="ADA11" s="5">
        <f>IFERROR(VLOOKUP(ADA$1,'Renta Mixta Agresivo'!$B$35:$C$57,2,FALSE),0%)</f>
        <v>0</v>
      </c>
      <c r="ADB11" s="5">
        <f>IFERROR(VLOOKUP(ADB$1,'Renta Mixta Agresivo'!$B$35:$C$57,2,FALSE),0%)</f>
        <v>0</v>
      </c>
      <c r="ADC11" s="5">
        <f>IFERROR(VLOOKUP(ADC$1,'Renta Mixta Agresivo'!$B$35:$C$57,2,FALSE),0%)</f>
        <v>0</v>
      </c>
      <c r="ADD11" s="5">
        <f>IFERROR(VLOOKUP(ADD$1,'Renta Mixta Agresivo'!$B$35:$C$57,2,FALSE),0%)</f>
        <v>0</v>
      </c>
      <c r="ADE11" s="5">
        <f>IFERROR(VLOOKUP(ADE$1,'Renta Mixta Agresivo'!$B$35:$C$57,2,FALSE),0%)</f>
        <v>0</v>
      </c>
      <c r="ADF11" s="5">
        <f>IFERROR(VLOOKUP(ADF$1,'Renta Mixta Agresivo'!$B$35:$C$57,2,FALSE),0%)</f>
        <v>0</v>
      </c>
      <c r="ADG11" s="5">
        <f>IFERROR(VLOOKUP(ADG$1,'Renta Mixta Agresivo'!$B$35:$C$57,2,FALSE),0%)</f>
        <v>0</v>
      </c>
      <c r="ADH11" s="5">
        <f>IFERROR(VLOOKUP(ADH$1,'Renta Mixta Agresivo'!$B$35:$C$57,2,FALSE),0%)</f>
        <v>0</v>
      </c>
      <c r="ADI11" s="5">
        <f>IFERROR(VLOOKUP(ADI$1,'Renta Mixta Agresivo'!$B$35:$C$57,2,FALSE),0%)</f>
        <v>0</v>
      </c>
      <c r="ADJ11" s="5">
        <f>IFERROR(VLOOKUP(ADJ$1,'Renta Mixta Agresivo'!$B$35:$C$57,2,FALSE),0%)</f>
        <v>0</v>
      </c>
      <c r="ADK11" s="5">
        <f>IFERROR(VLOOKUP(ADK$1,'Renta Mixta Agresivo'!$B$35:$C$57,2,FALSE),0%)</f>
        <v>0</v>
      </c>
      <c r="ADL11" s="5">
        <f>IFERROR(VLOOKUP(ADL$1,'Renta Mixta Agresivo'!$B$35:$C$57,2,FALSE),0%)</f>
        <v>0</v>
      </c>
      <c r="ADM11" s="5">
        <f>IFERROR(VLOOKUP(ADM$1,'Renta Mixta Agresivo'!$B$35:$C$57,2,FALSE),0%)</f>
        <v>0</v>
      </c>
      <c r="ADN11" s="5">
        <f>IFERROR(VLOOKUP(ADN$1,'Renta Mixta Agresivo'!$B$35:$C$57,2,FALSE),0%)</f>
        <v>0</v>
      </c>
      <c r="ADO11" s="5">
        <f>IFERROR(VLOOKUP(ADO$1,'Renta Mixta Agresivo'!$B$35:$C$57,2,FALSE),0%)</f>
        <v>0</v>
      </c>
      <c r="ADP11" s="5">
        <f>IFERROR(VLOOKUP(ADP$1,'Renta Mixta Agresivo'!$B$35:$C$57,2,FALSE),0%)</f>
        <v>0</v>
      </c>
      <c r="ADQ11" s="5">
        <f>IFERROR(VLOOKUP(ADQ$1,'Renta Mixta Agresivo'!$B$35:$C$57,2,FALSE),0%)</f>
        <v>0</v>
      </c>
      <c r="ADR11" s="5">
        <f>IFERROR(VLOOKUP(ADR$1,'Renta Mixta Agresivo'!$B$35:$C$57,2,FALSE),0%)</f>
        <v>0</v>
      </c>
      <c r="ADS11" s="5">
        <f>IFERROR(VLOOKUP(ADS$1,'Renta Mixta Agresivo'!$B$35:$C$57,2,FALSE),0%)</f>
        <v>0</v>
      </c>
      <c r="ADT11" s="5">
        <f>IFERROR(VLOOKUP(ADT$1,'Renta Mixta Agresivo'!$B$35:$C$57,2,FALSE),0%)</f>
        <v>0</v>
      </c>
      <c r="ADU11" s="5">
        <f>IFERROR(VLOOKUP(ADU$1,'Renta Mixta Agresivo'!$B$35:$C$57,2,FALSE),0%)</f>
        <v>0</v>
      </c>
      <c r="ADV11" s="5">
        <f>IFERROR(VLOOKUP(ADV$1,'Renta Mixta Agresivo'!$B$35:$C$57,2,FALSE),0%)</f>
        <v>0</v>
      </c>
      <c r="ADW11" s="5">
        <f>IFERROR(VLOOKUP(ADW$1,'Renta Mixta Agresivo'!$B$35:$C$57,2,FALSE),0%)</f>
        <v>0</v>
      </c>
      <c r="ADX11" s="5">
        <f>IFERROR(VLOOKUP(ADX$1,'Renta Mixta Agresivo'!$B$35:$C$57,2,FALSE),0%)</f>
        <v>0</v>
      </c>
      <c r="ADY11" s="5">
        <f>IFERROR(VLOOKUP(ADY$1,'Renta Mixta Agresivo'!$B$35:$C$57,2,FALSE),0%)</f>
        <v>0</v>
      </c>
      <c r="ADZ11" s="5">
        <f>IFERROR(VLOOKUP(ADZ$1,'Renta Mixta Agresivo'!$B$35:$C$57,2,FALSE),0%)</f>
        <v>0</v>
      </c>
      <c r="AEA11" s="5">
        <f>IFERROR(VLOOKUP(AEA$1,'Renta Mixta Agresivo'!$B$35:$C$57,2,FALSE),0%)</f>
        <v>0</v>
      </c>
      <c r="AEB11" s="5">
        <f>IFERROR(VLOOKUP(AEB$1,'Renta Mixta Agresivo'!$B$35:$C$57,2,FALSE),0%)</f>
        <v>0</v>
      </c>
      <c r="AEC11" s="5">
        <f>IFERROR(VLOOKUP(AEC$1,'Renta Mixta Agresivo'!$B$35:$C$57,2,FALSE),0%)</f>
        <v>0</v>
      </c>
      <c r="AED11" s="5">
        <f>IFERROR(VLOOKUP(AED$1,'Renta Mixta Agresivo'!$B$35:$C$57,2,FALSE),0%)</f>
        <v>0</v>
      </c>
      <c r="AEE11" s="5">
        <f>IFERROR(VLOOKUP(AEE$1,'Renta Mixta Agresivo'!$B$35:$C$57,2,FALSE),0%)</f>
        <v>0</v>
      </c>
      <c r="AEF11" s="5">
        <f>IFERROR(VLOOKUP(AEF$1,'Renta Mixta Agresivo'!$B$35:$C$57,2,FALSE),0%)</f>
        <v>0</v>
      </c>
      <c r="AEG11" s="5">
        <f>IFERROR(VLOOKUP(AEG$1,'Renta Mixta Agresivo'!$B$35:$C$57,2,FALSE),0%)</f>
        <v>0.074</v>
      </c>
      <c r="AEH11" s="5">
        <f>IFERROR(VLOOKUP(AEH$1,'Renta Mixta Agresivo'!$B$35:$C$57,2,FALSE),0%)</f>
        <v>0</v>
      </c>
      <c r="AEI11" s="5">
        <f>IFERROR(VLOOKUP(AEI$1,'Renta Mixta Agresivo'!$B$35:$C$57,2,FALSE),0%)</f>
        <v>0</v>
      </c>
      <c r="AEJ11" s="5">
        <f>IFERROR(VLOOKUP(AEJ$1,'Renta Mixta Agresivo'!$B$35:$C$57,2,FALSE),0%)</f>
        <v>0</v>
      </c>
      <c r="AEK11" s="5">
        <f>IFERROR(VLOOKUP(AEK$1,'Renta Mixta Agresivo'!$B$35:$C$57,2,FALSE),0%)</f>
        <v>0</v>
      </c>
      <c r="AEL11" s="5">
        <f>IFERROR(VLOOKUP(AEL$1,'Renta Mixta Agresivo'!$B$35:$C$57,2,FALSE),0%)</f>
        <v>0</v>
      </c>
      <c r="AEM11" s="5">
        <f>IFERROR(VLOOKUP(AEM$1,'Renta Mixta Agresivo'!$B$35:$C$57,2,FALSE),0%)</f>
        <v>0</v>
      </c>
      <c r="AEN11" s="5">
        <f>IFERROR(VLOOKUP(AEN$1,'Renta Mixta Agresivo'!$B$35:$C$57,2,FALSE),0%)</f>
        <v>0</v>
      </c>
      <c r="AEO11" s="5">
        <f>IFERROR(VLOOKUP(AEO$1,'Renta Mixta Agresivo'!$B$35:$C$57,2,FALSE),0%)</f>
        <v>0</v>
      </c>
      <c r="AEP11" s="5">
        <f>IFERROR(VLOOKUP(AEP$1,'Renta Mixta Agresivo'!$B$35:$C$57,2,FALSE),0%)</f>
        <v>0</v>
      </c>
      <c r="AEQ11" s="5">
        <f>IFERROR(VLOOKUP(AEQ$1,'Renta Mixta Agresivo'!$B$35:$C$57,2,FALSE),0%)</f>
        <v>0</v>
      </c>
      <c r="AER11" s="5">
        <f>IFERROR(VLOOKUP(AER$1,'Renta Mixta Agresivo'!$B$35:$C$57,2,FALSE),0%)</f>
        <v>0</v>
      </c>
      <c r="AES11" s="5">
        <f>IFERROR(VLOOKUP(AES$1,'Renta Mixta Agresivo'!$B$35:$C$57,2,FALSE),0%)</f>
        <v>0</v>
      </c>
      <c r="AET11" s="5">
        <f>IFERROR(VLOOKUP(AET$1,'Renta Mixta Agresivo'!$B$35:$C$57,2,FALSE),0%)</f>
        <v>0</v>
      </c>
      <c r="AEU11" s="5">
        <f>IFERROR(VLOOKUP(AEU$1,'Renta Mixta Agresivo'!$B$35:$C$57,2,FALSE),0%)</f>
        <v>0</v>
      </c>
      <c r="AEV11" s="5">
        <f>IFERROR(VLOOKUP(AEV$1,'Renta Mixta Agresivo'!$B$35:$C$57,2,FALSE),0%)</f>
        <v>0</v>
      </c>
      <c r="AEW11" s="5">
        <f>IFERROR(VLOOKUP(AEW$1,'Renta Mixta Agresivo'!$B$35:$C$57,2,FALSE),0%)</f>
        <v>0</v>
      </c>
      <c r="AEX11" s="5">
        <f>IFERROR(VLOOKUP(AEX$1,'Renta Mixta Agresivo'!$B$35:$C$57,2,FALSE),0%)</f>
        <v>0</v>
      </c>
      <c r="AEY11" s="5">
        <f>IFERROR(VLOOKUP(AEY$1,'Renta Mixta Agresivo'!$B$35:$C$57,2,FALSE),0%)</f>
        <v>0</v>
      </c>
      <c r="AEZ11" s="5">
        <f>IFERROR(VLOOKUP(AEZ$1,'Renta Mixta Agresivo'!$B$35:$C$57,2,FALSE),0%)</f>
        <v>0</v>
      </c>
      <c r="AFA11" s="5">
        <f>IFERROR(VLOOKUP(AFA$1,'Renta Mixta Agresivo'!$B$35:$C$57,2,FALSE),0%)</f>
        <v>0</v>
      </c>
      <c r="AFB11" s="5">
        <f>IFERROR(VLOOKUP(AFB$1,'Renta Mixta Agresivo'!$B$35:$C$57,2,FALSE),0%)</f>
        <v>0</v>
      </c>
      <c r="AFC11" s="5">
        <f>IFERROR(VLOOKUP(AFC$1,'Renta Mixta Agresivo'!$B$35:$C$57,2,FALSE),0%)</f>
        <v>0</v>
      </c>
      <c r="AFD11" s="5">
        <f>IFERROR(VLOOKUP(AFD$1,'Renta Mixta Agresivo'!$B$35:$C$57,2,FALSE),0%)</f>
        <v>0</v>
      </c>
      <c r="AFE11" s="5">
        <f>IFERROR(VLOOKUP(AFE$1,'Renta Mixta Agresivo'!$B$35:$C$57,2,FALSE),0%)</f>
        <v>0</v>
      </c>
      <c r="AFF11" s="5">
        <f>IFERROR(VLOOKUP(AFF$1,'Renta Mixta Agresivo'!$B$35:$C$57,2,FALSE),0%)</f>
        <v>0</v>
      </c>
      <c r="AFG11" s="5">
        <f>IFERROR(VLOOKUP(AFG$1,'Renta Mixta Agresivo'!$B$35:$C$57,2,FALSE),0%)</f>
        <v>0</v>
      </c>
      <c r="AFH11" s="5">
        <f>IFERROR(VLOOKUP(AFH$1,'Renta Mixta Agresivo'!$B$35:$C$57,2,FALSE),0%)</f>
        <v>0</v>
      </c>
      <c r="AFI11" s="5">
        <f>IFERROR(VLOOKUP(AFI$1,'Renta Mixta Agresivo'!$B$35:$C$57,2,FALSE),0%)</f>
        <v>0</v>
      </c>
      <c r="AFJ11" s="5">
        <f>IFERROR(VLOOKUP(AFJ$1,'Renta Mixta Agresivo'!$B$35:$C$57,2,FALSE),0%)</f>
        <v>0</v>
      </c>
      <c r="AFK11" s="5">
        <f>IFERROR(VLOOKUP(AFK$1,'Renta Mixta Agresivo'!$B$35:$C$57,2,FALSE),0%)</f>
        <v>0</v>
      </c>
      <c r="AFL11" s="5">
        <f>IFERROR(VLOOKUP(AFL$1,'Renta Mixta Agresivo'!$B$35:$C$57,2,FALSE),0%)</f>
        <v>0</v>
      </c>
      <c r="AFM11" s="5">
        <f>IFERROR(VLOOKUP(AFM$1,'Renta Mixta Agresivo'!$B$35:$C$57,2,FALSE),0%)</f>
        <v>0</v>
      </c>
      <c r="AFN11" s="5">
        <f>IFERROR(VLOOKUP(AFN$1,'Renta Mixta Agresivo'!$B$35:$C$57,2,FALSE),0%)</f>
        <v>0</v>
      </c>
      <c r="AFO11" s="5">
        <f>IFERROR(VLOOKUP(AFO$1,'Renta Mixta Agresivo'!$B$35:$C$57,2,FALSE),0%)</f>
        <v>0</v>
      </c>
      <c r="AFP11" s="5">
        <f>IFERROR(VLOOKUP(AFP$1,'Renta Mixta Agresivo'!$B$35:$C$57,2,FALSE),0%)</f>
        <v>0</v>
      </c>
      <c r="AFQ11" s="5">
        <f>IFERROR(VLOOKUP(AFQ$1,'Renta Mixta Agresivo'!$B$35:$C$57,2,FALSE),0%)</f>
        <v>0</v>
      </c>
      <c r="AFR11" s="5">
        <f>IFERROR(VLOOKUP(AFR$1,'Renta Mixta Agresivo'!$B$35:$C$57,2,FALSE),0%)</f>
        <v>0</v>
      </c>
      <c r="AFS11" s="5">
        <f>IFERROR(VLOOKUP(AFS$1,'Renta Mixta Agresivo'!$B$35:$C$57,2,FALSE),0%)</f>
        <v>0</v>
      </c>
      <c r="AFT11" s="5">
        <f>IFERROR(VLOOKUP(AFT$1,'Renta Mixta Agresivo'!$B$35:$C$57,2,FALSE),0%)</f>
        <v>0</v>
      </c>
      <c r="AFU11" s="5">
        <f>IFERROR(VLOOKUP(AFU$1,'Renta Mixta Agresivo'!$B$35:$C$57,2,FALSE),0%)</f>
        <v>0</v>
      </c>
      <c r="AFV11" s="5">
        <f>IFERROR(VLOOKUP(AFV$1,'Renta Mixta Agresivo'!$B$35:$C$57,2,FALSE),0%)</f>
        <v>0</v>
      </c>
      <c r="AFW11" s="5">
        <f>IFERROR(VLOOKUP(AFW$1,'Renta Mixta Agresivo'!$B$35:$C$57,2,FALSE),0%)</f>
        <v>0</v>
      </c>
      <c r="AFX11" s="5">
        <f>IFERROR(VLOOKUP(AFX$1,'Renta Mixta Agresivo'!$B$35:$C$57,2,FALSE),0%)</f>
        <v>0</v>
      </c>
      <c r="AFY11" s="5">
        <f>IFERROR(VLOOKUP(AFY$1,'Renta Mixta Agresivo'!$B$35:$C$57,2,FALSE),0%)</f>
        <v>0</v>
      </c>
      <c r="AFZ11" s="5">
        <f>IFERROR(VLOOKUP(AFZ$1,'Renta Mixta Agresivo'!$B$35:$C$57,2,FALSE),0%)</f>
        <v>0</v>
      </c>
      <c r="AGA11" s="5">
        <f>IFERROR(VLOOKUP(AGA$1,'Renta Mixta Agresivo'!$B$35:$C$57,2,FALSE),0%)</f>
        <v>0</v>
      </c>
      <c r="AGB11" s="5">
        <f>IFERROR(VLOOKUP(AGB$1,'Renta Mixta Agresivo'!$B$35:$C$57,2,FALSE),0%)</f>
        <v>0</v>
      </c>
      <c r="AGC11" s="5">
        <f>IFERROR(VLOOKUP(AGC$1,'Renta Mixta Agresivo'!$B$35:$C$57,2,FALSE),0%)</f>
        <v>0</v>
      </c>
      <c r="AGD11" s="5">
        <f>IFERROR(VLOOKUP(AGD$1,'Renta Mixta Agresivo'!$B$35:$C$57,2,FALSE),0%)</f>
        <v>0</v>
      </c>
      <c r="AGE11" s="5">
        <f>IFERROR(VLOOKUP(AGE$1,'Renta Mixta Agresivo'!$B$35:$C$57,2,FALSE),0%)</f>
        <v>0</v>
      </c>
      <c r="AGF11" s="5">
        <f>IFERROR(VLOOKUP(AGF$1,'Renta Mixta Agresivo'!$B$35:$C$57,2,FALSE),0%)</f>
        <v>0</v>
      </c>
      <c r="AGG11" s="5">
        <f>IFERROR(VLOOKUP(AGG$1,'Renta Mixta Agresivo'!$B$35:$C$57,2,FALSE),0%)</f>
        <v>0</v>
      </c>
      <c r="AGH11" s="5">
        <f>IFERROR(VLOOKUP(AGH$1,'Renta Mixta Agresivo'!$B$35:$C$57,2,FALSE),0%)</f>
        <v>0</v>
      </c>
      <c r="AGI11" s="5">
        <f>IFERROR(VLOOKUP(AGI$1,'Renta Mixta Agresivo'!$B$35:$C$57,2,FALSE),0%)</f>
        <v>0</v>
      </c>
      <c r="AGJ11" s="5">
        <f>IFERROR(VLOOKUP(AGJ$1,'Renta Mixta Agresivo'!$B$35:$C$57,2,FALSE),0%)</f>
        <v>0</v>
      </c>
      <c r="AGK11" s="5">
        <f>IFERROR(VLOOKUP(AGK$1,'Renta Mixta Agresivo'!$B$35:$C$57,2,FALSE),0%)</f>
        <v>0</v>
      </c>
      <c r="AGL11" s="5">
        <f>IFERROR(VLOOKUP(AGL$1,'Renta Mixta Agresivo'!$B$35:$C$57,2,FALSE),0%)</f>
        <v>0</v>
      </c>
      <c r="AGM11" s="5">
        <f>IFERROR(VLOOKUP(AGM$1,'Renta Mixta Agresivo'!$B$35:$C$57,2,FALSE),0%)</f>
        <v>0</v>
      </c>
      <c r="AGN11" s="5">
        <f>IFERROR(VLOOKUP(AGN$1,'Renta Mixta Agresivo'!$B$35:$C$57,2,FALSE),0%)</f>
        <v>0</v>
      </c>
      <c r="AGO11" s="5">
        <f>IFERROR(VLOOKUP(AGO$1,'Renta Mixta Agresivo'!$B$35:$C$57,2,FALSE),0%)</f>
        <v>0</v>
      </c>
      <c r="AGP11" s="5">
        <f>IFERROR(VLOOKUP(AGP$1,'Renta Mixta Agresivo'!$B$35:$C$57,2,FALSE),0%)</f>
        <v>0</v>
      </c>
      <c r="AGQ11" s="5">
        <f>IFERROR(VLOOKUP(AGQ$1,'Renta Mixta Agresivo'!$B$35:$C$57,2,FALSE),0%)</f>
        <v>0</v>
      </c>
      <c r="AGR11" s="5">
        <f>IFERROR(VLOOKUP(AGR$1,'Renta Mixta Agresivo'!$B$35:$C$57,2,FALSE),0%)</f>
        <v>0</v>
      </c>
      <c r="AGS11" s="5">
        <f>IFERROR(VLOOKUP(AGS$1,'Renta Mixta Agresivo'!$B$35:$C$57,2,FALSE),0%)</f>
        <v>0</v>
      </c>
      <c r="AGT11" s="5">
        <f>IFERROR(VLOOKUP(AGT$1,'Renta Mixta Agresivo'!$B$35:$C$57,2,FALSE),0%)</f>
        <v>0</v>
      </c>
      <c r="AGU11" s="5">
        <f>IFERROR(VLOOKUP(AGU$1,'Renta Mixta Agresivo'!$B$35:$C$57,2,FALSE),0%)</f>
        <v>0</v>
      </c>
      <c r="AGV11" s="5">
        <f>IFERROR(VLOOKUP(AGV$1,'Renta Mixta Agresivo'!$B$35:$C$57,2,FALSE),0%)</f>
        <v>0</v>
      </c>
      <c r="AGW11" s="5">
        <f>IFERROR(VLOOKUP(AGW$1,'Renta Mixta Agresivo'!$B$35:$C$57,2,FALSE),0%)</f>
        <v>0</v>
      </c>
      <c r="AGX11" s="5">
        <f>IFERROR(VLOOKUP(AGX$1,'Renta Mixta Agresivo'!$B$35:$C$57,2,FALSE),0%)</f>
        <v>0</v>
      </c>
      <c r="AGY11" s="5">
        <f>IFERROR(VLOOKUP(AGY$1,'Renta Mixta Agresivo'!$B$35:$C$57,2,FALSE),0%)</f>
        <v>0</v>
      </c>
      <c r="AGZ11" s="5">
        <f>IFERROR(VLOOKUP(AGZ$1,'Renta Mixta Agresivo'!$B$35:$C$57,2,FALSE),0%)</f>
        <v>0</v>
      </c>
      <c r="AHA11" s="5">
        <f>IFERROR(VLOOKUP(AHA$1,'Renta Mixta Agresivo'!$B$35:$C$57,2,FALSE),0%)</f>
        <v>0</v>
      </c>
      <c r="AHB11" s="5">
        <f>IFERROR(VLOOKUP(AHB$1,'Renta Mixta Agresivo'!$B$35:$C$57,2,FALSE),0%)</f>
        <v>0</v>
      </c>
      <c r="AHC11" s="5">
        <f>IFERROR(VLOOKUP(AHC$1,'Renta Mixta Agresivo'!$B$35:$C$57,2,FALSE),0%)</f>
        <v>0</v>
      </c>
      <c r="AHD11" s="5">
        <f>IFERROR(VLOOKUP(AHD$1,'Renta Mixta Agresivo'!$B$35:$C$57,2,FALSE),0%)</f>
        <v>0</v>
      </c>
      <c r="AHE11" s="5">
        <f>IFERROR(VLOOKUP(AHE$1,'Renta Mixta Agresivo'!$B$35:$C$57,2,FALSE),0%)</f>
        <v>0</v>
      </c>
      <c r="AHF11" s="5">
        <f>IFERROR(VLOOKUP(AHF$1,'Renta Mixta Agresivo'!$B$35:$C$57,2,FALSE),0%)</f>
        <v>0</v>
      </c>
      <c r="AHG11" s="5">
        <f>IFERROR(VLOOKUP(AHG$1,'Renta Mixta Agresivo'!$B$35:$C$57,2,FALSE),0%)</f>
        <v>0</v>
      </c>
      <c r="AHH11" s="5">
        <f>IFERROR(VLOOKUP(AHH$1,'Renta Mixta Agresivo'!$B$35:$C$57,2,FALSE),0%)</f>
        <v>0</v>
      </c>
      <c r="AHI11" s="5">
        <f>IFERROR(VLOOKUP(AHI$1,'Renta Mixta Agresivo'!$B$35:$C$57,2,FALSE),0%)</f>
        <v>0</v>
      </c>
      <c r="AHJ11" s="5">
        <f>IFERROR(VLOOKUP(AHJ$1,'Renta Mixta Agresivo'!$B$35:$C$57,2,FALSE),0%)</f>
        <v>0</v>
      </c>
      <c r="AHK11" s="5">
        <f>IFERROR(VLOOKUP(AHK$1,'Renta Mixta Agresivo'!$B$35:$C$57,2,FALSE),0%)</f>
        <v>0</v>
      </c>
      <c r="AHL11" s="5">
        <f>IFERROR(VLOOKUP(AHL$1,'Renta Mixta Agresivo'!$B$35:$C$57,2,FALSE),0%)</f>
        <v>0</v>
      </c>
      <c r="AHM11" s="5">
        <f>IFERROR(VLOOKUP(AHM$1,'Renta Mixta Agresivo'!$B$35:$C$57,2,FALSE),0%)</f>
        <v>0</v>
      </c>
      <c r="AHN11" s="5">
        <f>IFERROR(VLOOKUP(AHN$1,'Renta Mixta Agresivo'!$B$35:$C$57,2,FALSE),0%)</f>
        <v>0</v>
      </c>
      <c r="AHO11" s="5">
        <f>IFERROR(VLOOKUP(AHO$1,'Renta Mixta Agresivo'!$B$35:$C$57,2,FALSE),0%)</f>
        <v>0</v>
      </c>
      <c r="AHP11" s="5">
        <f>IFERROR(VLOOKUP(AHP$1,'Renta Mixta Agresivo'!$B$35:$C$57,2,FALSE),0%)</f>
        <v>0</v>
      </c>
      <c r="AHQ11" s="5">
        <f>IFERROR(VLOOKUP(AHQ$1,'Renta Mixta Agresivo'!$B$35:$C$57,2,FALSE),0%)</f>
        <v>0</v>
      </c>
      <c r="AHR11" s="5">
        <f>IFERROR(VLOOKUP(AHR$1,'Renta Mixta Agresivo'!$B$35:$C$57,2,FALSE),0%)</f>
        <v>0</v>
      </c>
      <c r="AHS11" s="5">
        <f>IFERROR(VLOOKUP(AHS$1,'Renta Mixta Agresivo'!$B$35:$C$57,2,FALSE),0%)</f>
        <v>0</v>
      </c>
      <c r="AHT11" s="5">
        <f>IFERROR(VLOOKUP(AHT$1,'Renta Mixta Agresivo'!$B$35:$C$57,2,FALSE),0%)</f>
        <v>0</v>
      </c>
      <c r="AHU11" s="5">
        <f>IFERROR(VLOOKUP(AHU$1,'Renta Mixta Agresivo'!$B$35:$C$57,2,FALSE),0%)</f>
        <v>0</v>
      </c>
      <c r="AHV11" s="5">
        <f>IFERROR(VLOOKUP(AHV$1,'Renta Mixta Agresivo'!$B$35:$C$57,2,FALSE),0%)</f>
        <v>0</v>
      </c>
      <c r="AHW11" s="5">
        <f>IFERROR(VLOOKUP(AHW$1,'Renta Mixta Agresivo'!$B$35:$C$57,2,FALSE),0%)</f>
        <v>0</v>
      </c>
      <c r="AHX11" s="5">
        <f>IFERROR(VLOOKUP(AHX$1,'Renta Mixta Agresivo'!$B$35:$C$57,2,FALSE),0%)</f>
        <v>0</v>
      </c>
      <c r="AHY11" s="5">
        <f>IFERROR(VLOOKUP(AHY$1,'Renta Mixta Agresivo'!$B$35:$C$57,2,FALSE),0%)</f>
        <v>0</v>
      </c>
      <c r="AHZ11" s="5">
        <f>IFERROR(VLOOKUP(AHZ$1,'Renta Mixta Agresivo'!$B$35:$C$57,2,FALSE),0%)</f>
        <v>0</v>
      </c>
      <c r="AIA11" s="5">
        <f>IFERROR(VLOOKUP(AIA$1,'Renta Mixta Agresivo'!$B$35:$C$57,2,FALSE),0%)</f>
        <v>0</v>
      </c>
      <c r="AIB11" s="5">
        <f>IFERROR(VLOOKUP(AIB$1,'Renta Mixta Agresivo'!$B$35:$C$57,2,FALSE),0%)</f>
        <v>0</v>
      </c>
      <c r="AIC11" s="5">
        <f>IFERROR(VLOOKUP(AIC$1,'Renta Mixta Agresivo'!$B$35:$C$57,2,FALSE),0%)</f>
        <v>0</v>
      </c>
      <c r="AID11" s="5">
        <f>IFERROR(VLOOKUP(AID$1,'Renta Mixta Agresivo'!$B$35:$C$57,2,FALSE),0%)</f>
        <v>0</v>
      </c>
      <c r="AIE11" s="5">
        <f>IFERROR(VLOOKUP(AIE$1,'Renta Mixta Agresivo'!$B$35:$C$57,2,FALSE),0%)</f>
        <v>0</v>
      </c>
      <c r="AIF11" s="5">
        <f>IFERROR(VLOOKUP(AIF$1,'Renta Mixta Agresivo'!$B$35:$C$57,2,FALSE),0%)</f>
        <v>0</v>
      </c>
      <c r="AIG11" s="5">
        <f>IFERROR(VLOOKUP(AIG$1,'Renta Mixta Agresivo'!$B$35:$C$57,2,FALSE),0%)</f>
        <v>0</v>
      </c>
      <c r="AIH11" s="5">
        <f>IFERROR(VLOOKUP(AIH$1,'Renta Mixta Agresivo'!$B$35:$C$57,2,FALSE),0%)</f>
        <v>0</v>
      </c>
      <c r="AII11" s="5">
        <f>IFERROR(VLOOKUP(AII$1,'Renta Mixta Agresivo'!$B$35:$C$57,2,FALSE),0%)</f>
        <v>0</v>
      </c>
      <c r="AIJ11" s="5">
        <f>IFERROR(VLOOKUP(AIJ$1,'Renta Mixta Agresivo'!$B$35:$C$57,2,FALSE),0%)</f>
        <v>0</v>
      </c>
      <c r="AIK11" s="5">
        <f>IFERROR(VLOOKUP(AIK$1,'Renta Mixta Agresivo'!$B$35:$C$57,2,FALSE),0%)</f>
        <v>0</v>
      </c>
      <c r="AIL11" s="5">
        <f>IFERROR(VLOOKUP(AIL$1,'Renta Mixta Agresivo'!$B$35:$C$57,2,FALSE),0%)</f>
        <v>0</v>
      </c>
      <c r="AIM11" s="5">
        <f>IFERROR(VLOOKUP(AIM$1,'Renta Mixta Agresivo'!$B$35:$C$57,2,FALSE),0%)</f>
        <v>0</v>
      </c>
      <c r="AIN11" s="5">
        <f>IFERROR(VLOOKUP(AIN$1,'Renta Mixta Agresivo'!$B$35:$C$57,2,FALSE),0%)</f>
        <v>0</v>
      </c>
      <c r="AIO11" s="5">
        <f>IFERROR(VLOOKUP(AIO$1,'Renta Mixta Agresivo'!$B$35:$C$57,2,FALSE),0%)</f>
        <v>0</v>
      </c>
      <c r="AIP11" s="5">
        <f>IFERROR(VLOOKUP(AIP$1,'Renta Mixta Agresivo'!$B$35:$C$57,2,FALSE),0%)</f>
        <v>0</v>
      </c>
      <c r="AIQ11" s="5">
        <f>IFERROR(VLOOKUP(AIQ$1,'Renta Mixta Agresivo'!$B$35:$C$57,2,FALSE),0%)</f>
        <v>0</v>
      </c>
      <c r="AIR11" s="5">
        <f>IFERROR(VLOOKUP(AIR$1,'Renta Mixta Agresivo'!$B$35:$C$57,2,FALSE),0%)</f>
        <v>0</v>
      </c>
      <c r="AIS11" s="5">
        <f>IFERROR(VLOOKUP(AIS$1,'Renta Mixta Agresivo'!$B$35:$C$57,2,FALSE),0%)</f>
        <v>0</v>
      </c>
      <c r="AIT11" s="5">
        <f>IFERROR(VLOOKUP(AIT$1,'Renta Mixta Agresivo'!$B$35:$C$57,2,FALSE),0%)</f>
        <v>0</v>
      </c>
      <c r="AIU11" s="5">
        <f>IFERROR(VLOOKUP(AIU$1,'Renta Mixta Agresivo'!$B$35:$C$57,2,FALSE),0%)</f>
        <v>0</v>
      </c>
      <c r="AIV11" s="5">
        <f>IFERROR(VLOOKUP(AIV$1,'Renta Mixta Agresivo'!$B$35:$C$57,2,FALSE),0%)</f>
        <v>0</v>
      </c>
      <c r="AIW11" s="5">
        <f>IFERROR(VLOOKUP(AIW$1,'Renta Mixta Agresivo'!$B$35:$C$57,2,FALSE),0%)</f>
        <v>0</v>
      </c>
      <c r="AIX11" s="5">
        <f>IFERROR(VLOOKUP(AIX$1,'Renta Mixta Agresivo'!$B$35:$C$57,2,FALSE),0%)</f>
        <v>0</v>
      </c>
      <c r="AIY11" s="5">
        <f>IFERROR(VLOOKUP(AIY$1,'Renta Mixta Agresivo'!$B$35:$C$57,2,FALSE),0%)</f>
        <v>0</v>
      </c>
      <c r="AIZ11" s="5">
        <f>IFERROR(VLOOKUP(AIZ$1,'Renta Mixta Agresivo'!$B$35:$C$57,2,FALSE),0%)</f>
        <v>0</v>
      </c>
      <c r="AJA11" s="5">
        <f>IFERROR(VLOOKUP(AJA$1,'Renta Mixta Agresivo'!$B$35:$C$57,2,FALSE),0%)</f>
        <v>0</v>
      </c>
      <c r="AJB11" s="5">
        <f>IFERROR(VLOOKUP(AJB$1,'Renta Mixta Agresivo'!$B$35:$C$57,2,FALSE),0%)</f>
        <v>0</v>
      </c>
      <c r="AJC11" s="5">
        <f>IFERROR(VLOOKUP(AJC$1,'Renta Mixta Agresivo'!$B$35:$C$57,2,FALSE),0%)</f>
        <v>0</v>
      </c>
      <c r="AJD11" s="5">
        <f>IFERROR(VLOOKUP(AJD$1,'Renta Mixta Agresivo'!$B$35:$C$57,2,FALSE),0%)</f>
        <v>0</v>
      </c>
      <c r="AJE11" s="5">
        <f>IFERROR(VLOOKUP(AJE$1,'Renta Mixta Agresivo'!$B$35:$C$57,2,FALSE),0%)</f>
        <v>0</v>
      </c>
      <c r="AJF11" s="5">
        <f>IFERROR(VLOOKUP(AJF$1,'Renta Mixta Agresivo'!$B$35:$C$57,2,FALSE),0%)</f>
        <v>0</v>
      </c>
      <c r="AJG11" s="5">
        <f>IFERROR(VLOOKUP(AJG$1,'Renta Mixta Agresivo'!$B$35:$C$57,2,FALSE),0%)</f>
        <v>0</v>
      </c>
      <c r="AJH11" s="5">
        <f>IFERROR(VLOOKUP(AJH$1,'Renta Mixta Agresivo'!$B$35:$C$57,2,FALSE),0%)</f>
        <v>0</v>
      </c>
      <c r="AJI11" s="5">
        <f>IFERROR(VLOOKUP(AJI$1,'Renta Mixta Agresivo'!$B$35:$C$57,2,FALSE),0%)</f>
        <v>0</v>
      </c>
      <c r="AJJ11" s="5">
        <f>IFERROR(VLOOKUP(AJJ$1,'Renta Mixta Agresivo'!$B$35:$C$57,2,FALSE),0%)</f>
        <v>0</v>
      </c>
      <c r="AJK11" s="5">
        <f>IFERROR(VLOOKUP(AJK$1,'Renta Mixta Agresivo'!$B$35:$C$57,2,FALSE),0%)</f>
        <v>0</v>
      </c>
      <c r="AJL11" s="5">
        <f>IFERROR(VLOOKUP(AJL$1,'Renta Mixta Agresivo'!$B$35:$C$57,2,FALSE),0%)</f>
        <v>0</v>
      </c>
      <c r="AJM11" s="5">
        <f>IFERROR(VLOOKUP(AJM$1,'Renta Mixta Agresivo'!$B$35:$C$57,2,FALSE),0%)</f>
        <v>0</v>
      </c>
      <c r="AJN11" s="5">
        <f>IFERROR(VLOOKUP(AJN$1,'Renta Mixta Agresivo'!$B$35:$C$57,2,FALSE),0%)</f>
        <v>0</v>
      </c>
      <c r="AJO11" s="5">
        <f>IFERROR(VLOOKUP(AJO$1,'Renta Mixta Agresivo'!$B$35:$C$57,2,FALSE),0%)</f>
        <v>0</v>
      </c>
      <c r="AJP11" s="5">
        <f>IFERROR(VLOOKUP(AJP$1,'Renta Mixta Agresivo'!$B$35:$C$57,2,FALSE),0%)</f>
        <v>0</v>
      </c>
      <c r="AJQ11" s="5">
        <f>IFERROR(VLOOKUP(AJQ$1,'Renta Mixta Agresivo'!$B$35:$C$57,2,FALSE),0%)</f>
        <v>0</v>
      </c>
      <c r="AJR11" s="5">
        <f>IFERROR(VLOOKUP(AJR$1,'Renta Mixta Agresivo'!$B$35:$C$57,2,FALSE),0%)</f>
        <v>0</v>
      </c>
      <c r="AJS11" s="5">
        <f>IFERROR(VLOOKUP(AJS$1,'Renta Mixta Agresivo'!$B$35:$C$57,2,FALSE),0%)</f>
        <v>0</v>
      </c>
      <c r="AJT11" s="5">
        <f>IFERROR(VLOOKUP(AJT$1,'Renta Mixta Agresivo'!$B$35:$C$57,2,FALSE),0%)</f>
        <v>0</v>
      </c>
      <c r="AJU11" s="5">
        <f>IFERROR(VLOOKUP(AJU$1,'Renta Mixta Agresivo'!$B$35:$C$57,2,FALSE),0%)</f>
        <v>0</v>
      </c>
      <c r="AJV11" s="5">
        <f>IFERROR(VLOOKUP(AJV$1,'Renta Mixta Agresivo'!$B$35:$C$57,2,FALSE),0%)</f>
        <v>0</v>
      </c>
      <c r="AJW11" s="5">
        <f>IFERROR(VLOOKUP(AJW$1,'Renta Mixta Agresivo'!$B$35:$C$57,2,FALSE),0%)</f>
        <v>0</v>
      </c>
      <c r="AJX11" s="5">
        <f>IFERROR(VLOOKUP(AJX$1,'Renta Mixta Agresivo'!$B$35:$C$57,2,FALSE),0%)</f>
        <v>0</v>
      </c>
      <c r="AJY11" s="5">
        <f>IFERROR(VLOOKUP(AJY$1,'Renta Mixta Agresivo'!$B$35:$C$57,2,FALSE),0%)</f>
        <v>0</v>
      </c>
      <c r="AJZ11" s="5">
        <f>IFERROR(VLOOKUP(AJZ$1,'Renta Mixta Agresivo'!$B$35:$C$57,2,FALSE),0%)</f>
        <v>0</v>
      </c>
      <c r="AKA11" s="5">
        <f>IFERROR(VLOOKUP(AKA$1,'Renta Mixta Agresivo'!$B$35:$C$57,2,FALSE),0%)</f>
        <v>0</v>
      </c>
      <c r="AKB11" s="5">
        <f>IFERROR(VLOOKUP(AKB$1,'Renta Mixta Agresivo'!$B$35:$C$57,2,FALSE),0%)</f>
        <v>0</v>
      </c>
      <c r="AKC11" s="5">
        <f>IFERROR(VLOOKUP(AKC$1,'Renta Mixta Agresivo'!$B$35:$C$57,2,FALSE),0%)</f>
        <v>0</v>
      </c>
      <c r="AKD11" s="5">
        <f>IFERROR(VLOOKUP(AKD$1,'Renta Mixta Agresivo'!$B$35:$C$57,2,FALSE),0%)</f>
        <v>0</v>
      </c>
      <c r="AKE11" s="5">
        <f>IFERROR(VLOOKUP(AKE$1,'Renta Mixta Agresivo'!$B$35:$C$57,2,FALSE),0%)</f>
        <v>0</v>
      </c>
      <c r="AKF11" s="5">
        <f>IFERROR(VLOOKUP(AKF$1,'Renta Mixta Agresivo'!$B$35:$C$57,2,FALSE),0%)</f>
        <v>0</v>
      </c>
      <c r="AKG11" s="5">
        <f>IFERROR(VLOOKUP(AKG$1,'Renta Mixta Agresivo'!$B$35:$C$57,2,FALSE),0%)</f>
        <v>0</v>
      </c>
      <c r="AKH11" s="5">
        <f>IFERROR(VLOOKUP(AKH$1,'Renta Mixta Agresivo'!$B$35:$C$57,2,FALSE),0%)</f>
        <v>0</v>
      </c>
      <c r="AKI11" s="5">
        <f>IFERROR(VLOOKUP(AKI$1,'Renta Mixta Agresivo'!$B$35:$C$57,2,FALSE),0%)</f>
        <v>0</v>
      </c>
      <c r="AKJ11" s="5">
        <f>IFERROR(VLOOKUP(AKJ$1,'Renta Mixta Agresivo'!$B$35:$C$57,2,FALSE),0%)</f>
        <v>0</v>
      </c>
      <c r="AKK11" s="5">
        <f>IFERROR(VLOOKUP(AKK$1,'Renta Mixta Agresivo'!$B$35:$C$57,2,FALSE),0%)</f>
        <v>0</v>
      </c>
      <c r="AKL11" s="5">
        <f>IFERROR(VLOOKUP(AKL$1,'Renta Mixta Agresivo'!$B$35:$C$57,2,FALSE),0%)</f>
        <v>0</v>
      </c>
      <c r="AKM11" s="5">
        <f>IFERROR(VLOOKUP(AKM$1,'Renta Mixta Agresivo'!$B$35:$C$57,2,FALSE),0%)</f>
        <v>0</v>
      </c>
      <c r="AKN11" s="5">
        <f>IFERROR(VLOOKUP(AKN$1,'Renta Mixta Agresivo'!$B$35:$C$57,2,FALSE),0%)</f>
        <v>0</v>
      </c>
      <c r="AKO11" s="5">
        <f>IFERROR(VLOOKUP(AKO$1,'Renta Mixta Agresivo'!$B$35:$C$57,2,FALSE),0%)</f>
        <v>0</v>
      </c>
      <c r="AKP11" s="5">
        <f>IFERROR(VLOOKUP(AKP$1,'Renta Mixta Agresivo'!$B$35:$C$57,2,FALSE),0%)</f>
        <v>0</v>
      </c>
      <c r="AKQ11" s="5">
        <f>IFERROR(VLOOKUP(AKQ$1,'Renta Mixta Agresivo'!$B$35:$C$57,2,FALSE),0%)</f>
        <v>0</v>
      </c>
      <c r="AKR11" s="5">
        <f>IFERROR(VLOOKUP(AKR$1,'Renta Mixta Agresivo'!$B$35:$C$57,2,FALSE),0%)</f>
        <v>0</v>
      </c>
      <c r="AKS11" s="5">
        <f>IFERROR(VLOOKUP(AKS$1,'Renta Mixta Agresivo'!$B$35:$C$57,2,FALSE),0%)</f>
        <v>0</v>
      </c>
      <c r="AKT11" s="5">
        <f>IFERROR(VLOOKUP(AKT$1,'Renta Mixta Agresivo'!$B$35:$C$57,2,FALSE),0%)</f>
        <v>0</v>
      </c>
      <c r="AKU11" s="5">
        <f>IFERROR(VLOOKUP(AKU$1,'Renta Mixta Agresivo'!$B$35:$C$57,2,FALSE),0%)</f>
        <v>0</v>
      </c>
      <c r="AKV11" s="5">
        <f>IFERROR(VLOOKUP(AKV$1,'Renta Mixta Agresivo'!$B$35:$C$57,2,FALSE),0%)</f>
        <v>0</v>
      </c>
      <c r="AKW11" s="5">
        <f>IFERROR(VLOOKUP(AKW$1,'Renta Mixta Agresivo'!$B$35:$C$57,2,FALSE),0%)</f>
        <v>0</v>
      </c>
      <c r="AKX11" s="5">
        <f>IFERROR(VLOOKUP(AKX$1,'Renta Mixta Agresivo'!$B$35:$C$57,2,FALSE),0%)</f>
        <v>0</v>
      </c>
      <c r="AKY11" s="5">
        <f>IFERROR(VLOOKUP(AKY$1,'Renta Mixta Agresivo'!$B$35:$C$57,2,FALSE),0%)</f>
        <v>0</v>
      </c>
      <c r="AKZ11" s="5">
        <f>IFERROR(VLOOKUP(AKZ$1,'Renta Mixta Agresivo'!$B$35:$C$57,2,FALSE),0%)</f>
        <v>0</v>
      </c>
      <c r="ALA11" s="5">
        <f>IFERROR(VLOOKUP(ALA$1,'Renta Mixta Agresivo'!$B$35:$C$57,2,FALSE),0%)</f>
        <v>0</v>
      </c>
      <c r="ALB11" s="5">
        <f>IFERROR(VLOOKUP(ALB$1,'Renta Mixta Agresivo'!$B$35:$C$57,2,FALSE),0%)</f>
        <v>0</v>
      </c>
      <c r="ALC11" s="5">
        <f>IFERROR(VLOOKUP(ALC$1,'Renta Mixta Agresivo'!$B$35:$C$57,2,FALSE),0%)</f>
        <v>0</v>
      </c>
      <c r="ALD11" s="5">
        <f>IFERROR(VLOOKUP(ALD$1,'Renta Mixta Agresivo'!$B$35:$C$57,2,FALSE),0%)</f>
        <v>0</v>
      </c>
      <c r="ALE11" s="5">
        <f>IFERROR(VLOOKUP(ALE$1,'Renta Mixta Agresivo'!$B$35:$C$57,2,FALSE),0%)</f>
        <v>0</v>
      </c>
      <c r="ALF11" s="5">
        <f>IFERROR(VLOOKUP(ALF$1,'Renta Mixta Agresivo'!$B$35:$C$57,2,FALSE),0%)</f>
        <v>0</v>
      </c>
      <c r="ALG11" s="5">
        <f>IFERROR(VLOOKUP(ALG$1,'Renta Mixta Agresivo'!$B$35:$C$57,2,FALSE),0%)</f>
        <v>0</v>
      </c>
      <c r="ALH11" s="5">
        <f>IFERROR(VLOOKUP(ALH$1,'Renta Mixta Agresivo'!$B$35:$C$57,2,FALSE),0%)</f>
        <v>0</v>
      </c>
      <c r="ALI11" s="5">
        <f>IFERROR(VLOOKUP(ALI$1,'Renta Mixta Agresivo'!$B$35:$C$57,2,FALSE),0%)</f>
        <v>0</v>
      </c>
      <c r="ALJ11" s="5">
        <f>IFERROR(VLOOKUP(ALJ$1,'Renta Mixta Agresivo'!$B$35:$C$57,2,FALSE),0%)</f>
        <v>0</v>
      </c>
      <c r="ALK11" s="5">
        <f>IFERROR(VLOOKUP(ALK$1,'Renta Mixta Agresivo'!$B$35:$C$57,2,FALSE),0%)</f>
        <v>0</v>
      </c>
      <c r="ALL11" s="5">
        <f>IFERROR(VLOOKUP(ALL$1,'Renta Mixta Agresivo'!$B$35:$C$57,2,FALSE),0%)</f>
        <v>0</v>
      </c>
      <c r="ALM11" s="5">
        <f>IFERROR(VLOOKUP(ALM$1,'Renta Mixta Agresivo'!$B$35:$C$57,2,FALSE),0%)</f>
        <v>0</v>
      </c>
      <c r="ALN11" s="5">
        <f>IFERROR(VLOOKUP(ALN$1,'Renta Mixta Agresivo'!$B$35:$C$57,2,FALSE),0%)</f>
        <v>0</v>
      </c>
      <c r="ALO11" s="5">
        <f>IFERROR(VLOOKUP(ALO$1,'Renta Mixta Agresivo'!$B$35:$C$57,2,FALSE),0%)</f>
        <v>0</v>
      </c>
      <c r="ALP11" s="5">
        <f>IFERROR(VLOOKUP(ALP$1,'Renta Mixta Agresivo'!$B$35:$C$57,2,FALSE),0%)</f>
        <v>0</v>
      </c>
      <c r="ALQ11" s="5">
        <f>IFERROR(VLOOKUP(ALQ$1,'Renta Mixta Agresivo'!$B$35:$C$57,2,FALSE),0%)</f>
        <v>0</v>
      </c>
      <c r="ALR11" s="5">
        <f>IFERROR(VLOOKUP(ALR$1,'Renta Mixta Agresivo'!$B$35:$C$57,2,FALSE),0%)</f>
        <v>0</v>
      </c>
      <c r="ALS11" s="5">
        <f>IFERROR(VLOOKUP(ALS$1,'Renta Mixta Agresivo'!$B$35:$C$57,2,FALSE),0%)</f>
        <v>0</v>
      </c>
      <c r="ALT11" s="5">
        <f>IFERROR(VLOOKUP(ALT$1,'Renta Mixta Agresivo'!$B$35:$C$57,2,FALSE),0%)</f>
        <v>0</v>
      </c>
      <c r="ALU11" s="5">
        <f>IFERROR(VLOOKUP(ALU$1,'Renta Mixta Agresivo'!$B$35:$C$57,2,FALSE),0%)</f>
        <v>0</v>
      </c>
      <c r="ALV11" s="5">
        <f>IFERROR(VLOOKUP(ALV$1,'Renta Mixta Agresivo'!$B$35:$C$57,2,FALSE),0%)</f>
        <v>0</v>
      </c>
      <c r="ALW11" s="5">
        <f>IFERROR(VLOOKUP(ALW$1,'Renta Mixta Agresivo'!$B$35:$C$57,2,FALSE),0%)</f>
        <v>0</v>
      </c>
      <c r="ALX11" s="5">
        <f>IFERROR(VLOOKUP(ALX$1,'Renta Mixta Agresivo'!$B$35:$C$57,2,FALSE),0%)</f>
        <v>0</v>
      </c>
      <c r="ALY11" s="5">
        <f>IFERROR(VLOOKUP(ALY$1,'Renta Mixta Agresivo'!$B$35:$C$57,2,FALSE),0%)</f>
        <v>0</v>
      </c>
      <c r="ALZ11" s="5">
        <f>IFERROR(VLOOKUP(ALZ$1,'Renta Mixta Agresivo'!$B$35:$C$57,2,FALSE),0%)</f>
        <v>0</v>
      </c>
      <c r="AMA11" s="5">
        <f>IFERROR(VLOOKUP(AMA$1,'Renta Mixta Agresivo'!$B$35:$C$57,2,FALSE),0%)</f>
        <v>0</v>
      </c>
      <c r="AMB11" s="5">
        <f>IFERROR(VLOOKUP(AMB$1,'Renta Mixta Agresivo'!$B$35:$C$57,2,FALSE),0%)</f>
        <v>0</v>
      </c>
      <c r="AMC11" s="5">
        <f>IFERROR(VLOOKUP(AMC$1,'Renta Mixta Agresivo'!$B$35:$C$57,2,FALSE),0%)</f>
        <v>0</v>
      </c>
      <c r="AMD11" s="5">
        <f>IFERROR(VLOOKUP(AMD$1,'Renta Mixta Agresivo'!$B$35:$C$57,2,FALSE),0%)</f>
        <v>0</v>
      </c>
      <c r="AME11" s="5">
        <f>IFERROR(VLOOKUP(AME$1,'Renta Mixta Agresivo'!$B$35:$C$57,2,FALSE),0%)</f>
        <v>0</v>
      </c>
      <c r="AMF11" s="5">
        <f>IFERROR(VLOOKUP(AMF$1,'Renta Mixta Agresivo'!$B$35:$C$57,2,FALSE),0%)</f>
        <v>0</v>
      </c>
      <c r="AMG11" s="5">
        <f>IFERROR(VLOOKUP(AMG$1,'Renta Mixta Agresivo'!$B$35:$C$57,2,FALSE),0%)</f>
        <v>0</v>
      </c>
      <c r="AMH11" s="5">
        <f>IFERROR(VLOOKUP(AMH$1,'Renta Mixta Agresivo'!$B$35:$C$57,2,FALSE),0%)</f>
        <v>0</v>
      </c>
      <c r="AMI11" s="5">
        <f>IFERROR(VLOOKUP(AMI$1,'Renta Mixta Agresivo'!$B$35:$C$57,2,FALSE),0%)</f>
        <v>0</v>
      </c>
      <c r="AMJ11" s="5">
        <f>IFERROR(VLOOKUP(AMJ$1,'Renta Mixta Agresivo'!$B$35:$C$57,2,FALSE),0%)</f>
        <v>0</v>
      </c>
      <c r="AMK11" s="5">
        <f>IFERROR(VLOOKUP(AMK$1,'Renta Mixta Agresivo'!$B$35:$C$57,2,FALSE),0%)</f>
        <v>0</v>
      </c>
      <c r="AML11" s="5">
        <f>IFERROR(VLOOKUP(AML$1,'Renta Mixta Agresivo'!$B$35:$C$57,2,FALSE),0%)</f>
        <v>0</v>
      </c>
      <c r="AMM11" s="5">
        <f>IFERROR(VLOOKUP(AMM$1,'Renta Mixta Agresivo'!$B$35:$C$57,2,FALSE),0%)</f>
        <v>0</v>
      </c>
      <c r="AMN11" s="5">
        <f>IFERROR(VLOOKUP(AMN$1,'Renta Mixta Agresivo'!$B$35:$C$57,2,FALSE),0%)</f>
        <v>0</v>
      </c>
      <c r="AMO11" s="5">
        <f>IFERROR(VLOOKUP(AMO$1,'Renta Mixta Agresivo'!$B$35:$C$57,2,FALSE),0%)</f>
        <v>0</v>
      </c>
      <c r="AMP11" s="5">
        <f>IFERROR(VLOOKUP(AMP$1,'Renta Mixta Agresivo'!$B$35:$C$57,2,FALSE),0%)</f>
        <v>0</v>
      </c>
      <c r="AMQ11" s="5">
        <f>IFERROR(VLOOKUP(AMQ$1,'Renta Mixta Agresivo'!$B$35:$C$57,2,FALSE),0%)</f>
        <v>0</v>
      </c>
      <c r="AMR11" s="5">
        <f>IFERROR(VLOOKUP(AMR$1,'Renta Mixta Agresivo'!$B$35:$C$57,2,FALSE),0%)</f>
        <v>0</v>
      </c>
      <c r="AMS11" s="5">
        <f>IFERROR(VLOOKUP(AMS$1,'Renta Mixta Agresivo'!$B$35:$C$57,2,FALSE),0%)</f>
        <v>0</v>
      </c>
      <c r="AMT11" s="5">
        <f>IFERROR(VLOOKUP(AMT$1,'Renta Mixta Agresivo'!$B$35:$C$57,2,FALSE),0%)</f>
        <v>0</v>
      </c>
      <c r="AMU11" s="5">
        <f>IFERROR(VLOOKUP(AMU$1,'Renta Mixta Agresivo'!$B$35:$C$57,2,FALSE),0%)</f>
        <v>0</v>
      </c>
      <c r="AMV11" s="5">
        <f>IFERROR(VLOOKUP(AMV$1,'Renta Mixta Agresivo'!$B$35:$C$57,2,FALSE),0%)</f>
        <v>0</v>
      </c>
      <c r="AMW11" s="5">
        <f>IFERROR(VLOOKUP(AMW$1,'Renta Mixta Agresivo'!$B$35:$C$57,2,FALSE),0%)</f>
        <v>0</v>
      </c>
      <c r="AMX11" s="5">
        <f>IFERROR(VLOOKUP(AMX$1,'Renta Mixta Agresivo'!$B$35:$C$57,2,FALSE),0%)</f>
        <v>0</v>
      </c>
      <c r="AMY11" s="5">
        <f>IFERROR(VLOOKUP(AMY$1,'Renta Mixta Agresivo'!$B$35:$C$57,2,FALSE),0%)</f>
        <v>0</v>
      </c>
      <c r="AMZ11" s="5">
        <f>IFERROR(VLOOKUP(AMZ$1,'Renta Mixta Agresivo'!$B$35:$C$57,2,FALSE),0%)</f>
        <v>0</v>
      </c>
      <c r="ANA11" s="5">
        <f>IFERROR(VLOOKUP(ANA$1,'Renta Mixta Agresivo'!$B$35:$C$57,2,FALSE),0%)</f>
        <v>0</v>
      </c>
      <c r="ANB11" s="5">
        <f>IFERROR(VLOOKUP(ANB$1,'Renta Mixta Agresivo'!$B$35:$C$57,2,FALSE),0%)</f>
        <v>0</v>
      </c>
      <c r="ANC11" s="5">
        <f>IFERROR(VLOOKUP(ANC$1,'Renta Mixta Agresivo'!$B$35:$C$57,2,FALSE),0%)</f>
        <v>0</v>
      </c>
      <c r="AND11" s="5">
        <f>IFERROR(VLOOKUP(AND$1,'Renta Mixta Agresivo'!$B$35:$C$57,2,FALSE),0%)</f>
        <v>0</v>
      </c>
      <c r="ANE11" s="5">
        <f>IFERROR(VLOOKUP(ANE$1,'Renta Mixta Agresivo'!$B$35:$C$57,2,FALSE),0%)</f>
        <v>0</v>
      </c>
      <c r="ANF11" s="5">
        <f>IFERROR(VLOOKUP(ANF$1,'Renta Mixta Agresivo'!$B$35:$C$57,2,FALSE),0%)</f>
        <v>0</v>
      </c>
      <c r="ANG11" s="5">
        <f>IFERROR(VLOOKUP(ANG$1,'Renta Mixta Agresivo'!$B$35:$C$57,2,FALSE),0%)</f>
        <v>0</v>
      </c>
      <c r="ANH11" s="5">
        <f>IFERROR(VLOOKUP(ANH$1,'Renta Mixta Agresivo'!$B$35:$C$57,2,FALSE),0%)</f>
        <v>0</v>
      </c>
      <c r="ANI11" s="5">
        <f>IFERROR(VLOOKUP(ANI$1,'Renta Mixta Agresivo'!$B$35:$C$57,2,FALSE),0%)</f>
        <v>0</v>
      </c>
      <c r="ANJ11" s="5">
        <f>IFERROR(VLOOKUP(ANJ$1,'Renta Mixta Agresivo'!$B$35:$C$57,2,FALSE),0%)</f>
        <v>0</v>
      </c>
      <c r="ANK11" s="5">
        <f>IFERROR(VLOOKUP(ANK$1,'Renta Mixta Agresivo'!$B$35:$C$57,2,FALSE),0%)</f>
        <v>0</v>
      </c>
      <c r="ANL11" s="5">
        <f>IFERROR(VLOOKUP(ANL$1,'Renta Mixta Agresivo'!$B$35:$C$57,2,FALSE),0%)</f>
        <v>0</v>
      </c>
      <c r="ANM11" s="5">
        <f>IFERROR(VLOOKUP(ANM$1,'Renta Mixta Agresivo'!$B$35:$C$57,2,FALSE),0%)</f>
        <v>0</v>
      </c>
      <c r="ANN11" s="5">
        <f>IFERROR(VLOOKUP(ANN$1,'Renta Mixta Agresivo'!$B$35:$C$57,2,FALSE),0%)</f>
        <v>0</v>
      </c>
      <c r="ANO11" s="5">
        <f>IFERROR(VLOOKUP(ANO$1,'Renta Mixta Agresivo'!$B$35:$C$57,2,FALSE),0%)</f>
        <v>0</v>
      </c>
      <c r="ANP11" s="5">
        <f>IFERROR(VLOOKUP(ANP$1,'Renta Mixta Agresivo'!$B$35:$C$57,2,FALSE),0%)</f>
        <v>0</v>
      </c>
      <c r="ANQ11" s="5">
        <f>IFERROR(VLOOKUP(ANQ$1,'Renta Mixta Agresivo'!$B$35:$C$57,2,FALSE),0%)</f>
        <v>0</v>
      </c>
      <c r="ANR11" s="5">
        <f>IFERROR(VLOOKUP(ANR$1,'Renta Mixta Agresivo'!$B$35:$C$57,2,FALSE),0%)</f>
        <v>0</v>
      </c>
      <c r="ANS11" s="5">
        <f>IFERROR(VLOOKUP(ANS$1,'Renta Mixta Agresivo'!$B$35:$C$57,2,FALSE),0%)</f>
        <v>0</v>
      </c>
      <c r="ANT11" s="5">
        <f>IFERROR(VLOOKUP(ANT$1,'Renta Mixta Agresivo'!$B$35:$C$57,2,FALSE),0%)</f>
        <v>0</v>
      </c>
      <c r="ANU11" s="5">
        <f>IFERROR(VLOOKUP(ANU$1,'Renta Mixta Agresivo'!$B$35:$C$57,2,FALSE),0%)</f>
        <v>0</v>
      </c>
      <c r="ANV11" s="5">
        <f>IFERROR(VLOOKUP(ANV$1,'Renta Mixta Agresivo'!$B$35:$C$57,2,FALSE),0%)</f>
        <v>0</v>
      </c>
      <c r="ANW11" s="5">
        <f>IFERROR(VLOOKUP(ANW$1,'Renta Mixta Agresivo'!$B$35:$C$57,2,FALSE),0%)</f>
        <v>0</v>
      </c>
      <c r="ANX11" s="5">
        <f>IFERROR(VLOOKUP(ANX$1,'Renta Mixta Agresivo'!$B$35:$C$57,2,FALSE),0%)</f>
        <v>0</v>
      </c>
      <c r="ANY11" s="5">
        <f>IFERROR(VLOOKUP(ANY$1,'Renta Mixta Agresivo'!$B$35:$C$57,2,FALSE),0%)</f>
        <v>0</v>
      </c>
      <c r="ANZ11" s="5">
        <f>IFERROR(VLOOKUP(ANZ$1,'Renta Mixta Agresivo'!$B$35:$C$57,2,FALSE),0%)</f>
        <v>0</v>
      </c>
      <c r="AOA11" s="5">
        <f>IFERROR(VLOOKUP(AOA$1,'Renta Mixta Agresivo'!$B$35:$C$57,2,FALSE),0%)</f>
        <v>0</v>
      </c>
      <c r="AOB11" s="5">
        <f>IFERROR(VLOOKUP(AOB$1,'Renta Mixta Agresivo'!$B$35:$C$57,2,FALSE),0%)</f>
        <v>0</v>
      </c>
      <c r="AOC11" s="5">
        <f>IFERROR(VLOOKUP(AOC$1,'Renta Mixta Agresivo'!$B$35:$C$57,2,FALSE),0%)</f>
        <v>0</v>
      </c>
      <c r="AOD11" s="5">
        <f>IFERROR(VLOOKUP(AOD$1,'Renta Mixta Agresivo'!$B$35:$C$57,2,FALSE),0%)</f>
        <v>0</v>
      </c>
      <c r="AOE11" s="5">
        <f>IFERROR(VLOOKUP(AOE$1,'Renta Mixta Agresivo'!$B$35:$C$57,2,FALSE),0%)</f>
        <v>0</v>
      </c>
      <c r="AOF11" s="5">
        <f>IFERROR(VLOOKUP(AOF$1,'Renta Mixta Agresivo'!$B$35:$C$57,2,FALSE),0%)</f>
        <v>0</v>
      </c>
      <c r="AOG11" s="5">
        <f>IFERROR(VLOOKUP(AOG$1,'Renta Mixta Agresivo'!$B$35:$C$57,2,FALSE),0%)</f>
        <v>0</v>
      </c>
      <c r="AOH11" s="5">
        <f>IFERROR(VLOOKUP(AOH$1,'Renta Mixta Agresivo'!$B$35:$C$57,2,FALSE),0%)</f>
        <v>0</v>
      </c>
      <c r="AOI11" s="5">
        <f>IFERROR(VLOOKUP(AOI$1,'Renta Mixta Agresivo'!$B$35:$C$57,2,FALSE),0%)</f>
        <v>0</v>
      </c>
      <c r="AOJ11" s="5">
        <f>IFERROR(VLOOKUP(AOJ$1,'Renta Mixta Agresivo'!$B$35:$C$57,2,FALSE),0%)</f>
        <v>0</v>
      </c>
      <c r="AOK11" s="5">
        <f>IFERROR(VLOOKUP(AOK$1,'Renta Mixta Agresivo'!$B$35:$C$57,2,FALSE),0%)</f>
        <v>0</v>
      </c>
      <c r="AOL11" s="5">
        <f>IFERROR(VLOOKUP(AOL$1,'Renta Mixta Agresivo'!$B$35:$C$57,2,FALSE),0%)</f>
        <v>0</v>
      </c>
      <c r="AOM11" s="5">
        <f>IFERROR(VLOOKUP(AOM$1,'Renta Mixta Agresivo'!$B$35:$C$57,2,FALSE),0%)</f>
        <v>0</v>
      </c>
      <c r="AON11" s="5">
        <f>IFERROR(VLOOKUP(AON$1,'Renta Mixta Agresivo'!$B$35:$C$57,2,FALSE),0%)</f>
        <v>0</v>
      </c>
      <c r="AOO11" s="5">
        <f>IFERROR(VLOOKUP(AOO$1,'Renta Mixta Agresivo'!$B$35:$C$57,2,FALSE),0%)</f>
        <v>0</v>
      </c>
      <c r="AOP11" s="5">
        <f>IFERROR(VLOOKUP(AOP$1,'Renta Mixta Agresivo'!$B$35:$C$57,2,FALSE),0%)</f>
        <v>0</v>
      </c>
      <c r="AOQ11" s="5">
        <f>IFERROR(VLOOKUP(AOQ$1,'Renta Mixta Agresivo'!$B$35:$C$57,2,FALSE),0%)</f>
        <v>0</v>
      </c>
      <c r="AOR11" s="5">
        <f>IFERROR(VLOOKUP(AOR$1,'Renta Mixta Agresivo'!$B$35:$C$57,2,FALSE),0%)</f>
        <v>0</v>
      </c>
      <c r="AOS11" s="5">
        <f>IFERROR(VLOOKUP(AOS$1,'Renta Mixta Agresivo'!$B$35:$C$57,2,FALSE),0%)</f>
        <v>0</v>
      </c>
      <c r="AOT11" s="5">
        <f>IFERROR(VLOOKUP(AOT$1,'Renta Mixta Agresivo'!$B$35:$C$57,2,FALSE),0%)</f>
        <v>0</v>
      </c>
      <c r="AOU11" s="5">
        <f>IFERROR(VLOOKUP(AOU$1,'Renta Mixta Agresivo'!$B$35:$C$57,2,FALSE),0%)</f>
        <v>0</v>
      </c>
      <c r="AOV11" s="5">
        <f>IFERROR(VLOOKUP(AOV$1,'Renta Mixta Agresivo'!$B$35:$C$57,2,FALSE),0%)</f>
        <v>0</v>
      </c>
      <c r="AOW11" s="5">
        <f>IFERROR(VLOOKUP(AOW$1,'Renta Mixta Agresivo'!$B$35:$C$57,2,FALSE),0%)</f>
        <v>0</v>
      </c>
      <c r="AOX11" s="5">
        <f>IFERROR(VLOOKUP(AOX$1,'Renta Mixta Agresivo'!$B$35:$C$57,2,FALSE),0%)</f>
        <v>0</v>
      </c>
      <c r="AOY11" s="5">
        <f>IFERROR(VLOOKUP(AOY$1,'Renta Mixta Agresivo'!$B$35:$C$57,2,FALSE),0%)</f>
        <v>0</v>
      </c>
      <c r="AOZ11" s="5">
        <f>IFERROR(VLOOKUP(AOZ$1,'Renta Mixta Agresivo'!$B$35:$C$57,2,FALSE),0%)</f>
        <v>0</v>
      </c>
      <c r="APA11" s="5">
        <f>IFERROR(VLOOKUP(APA$1,'Renta Mixta Agresivo'!$B$35:$C$57,2,FALSE),0%)</f>
        <v>0</v>
      </c>
      <c r="APB11" s="5">
        <f>IFERROR(VLOOKUP(APB$1,'Renta Mixta Agresivo'!$B$35:$C$57,2,FALSE),0%)</f>
        <v>0</v>
      </c>
      <c r="APC11" s="5">
        <f>IFERROR(VLOOKUP(APC$1,'Renta Mixta Agresivo'!$B$35:$C$57,2,FALSE),0%)</f>
        <v>0</v>
      </c>
      <c r="APD11" s="5">
        <f>IFERROR(VLOOKUP(APD$1,'Renta Mixta Agresivo'!$B$35:$C$57,2,FALSE),0%)</f>
        <v>0</v>
      </c>
      <c r="APE11" s="5">
        <f>IFERROR(VLOOKUP(APE$1,'Renta Mixta Agresivo'!$B$35:$C$57,2,FALSE),0%)</f>
        <v>0</v>
      </c>
      <c r="APF11" s="5">
        <f>IFERROR(VLOOKUP(APF$1,'Renta Mixta Agresivo'!$B$35:$C$57,2,FALSE),0%)</f>
        <v>0</v>
      </c>
      <c r="APG11" s="5">
        <f>IFERROR(VLOOKUP(APG$1,'Renta Mixta Agresivo'!$B$35:$C$57,2,FALSE),0%)</f>
        <v>0</v>
      </c>
      <c r="APH11" s="5">
        <f>IFERROR(VLOOKUP(APH$1,'Renta Mixta Agresivo'!$B$35:$C$57,2,FALSE),0%)</f>
        <v>0</v>
      </c>
      <c r="API11" s="5">
        <f>IFERROR(VLOOKUP(API$1,'Renta Mixta Agresivo'!$B$35:$C$57,2,FALSE),0%)</f>
        <v>0</v>
      </c>
      <c r="APJ11" s="5">
        <f>IFERROR(VLOOKUP(APJ$1,'Renta Mixta Agresivo'!$B$35:$C$57,2,FALSE),0%)</f>
        <v>0</v>
      </c>
      <c r="APK11" s="5">
        <f>IFERROR(VLOOKUP(APK$1,'Renta Mixta Agresivo'!$B$35:$C$57,2,FALSE),0%)</f>
        <v>0</v>
      </c>
      <c r="APL11" s="5">
        <f>IFERROR(VLOOKUP(APL$1,'Renta Mixta Agresivo'!$B$35:$C$57,2,FALSE),0%)</f>
        <v>0</v>
      </c>
      <c r="APM11" s="5">
        <f>IFERROR(VLOOKUP(APM$1,'Renta Mixta Agresivo'!$B$35:$C$57,2,FALSE),0%)</f>
        <v>0</v>
      </c>
      <c r="APN11" s="5">
        <f>IFERROR(VLOOKUP(APN$1,'Renta Mixta Agresivo'!$B$35:$C$57,2,FALSE),0%)</f>
        <v>0</v>
      </c>
      <c r="APO11" s="5">
        <f>IFERROR(VLOOKUP(APO$1,'Renta Mixta Agresivo'!$B$35:$C$57,2,FALSE),0%)</f>
        <v>0</v>
      </c>
      <c r="APP11" s="5">
        <f>IFERROR(VLOOKUP(APP$1,'Renta Mixta Agresivo'!$B$35:$C$57,2,FALSE),0%)</f>
        <v>0</v>
      </c>
      <c r="APQ11" s="5">
        <f>IFERROR(VLOOKUP(APQ$1,'Renta Mixta Agresivo'!$B$35:$C$57,2,FALSE),0%)</f>
        <v>0</v>
      </c>
      <c r="APR11" s="5">
        <f>IFERROR(VLOOKUP(APR$1,'Renta Mixta Agresivo'!$B$35:$C$57,2,FALSE),0%)</f>
        <v>0</v>
      </c>
      <c r="APS11" s="5">
        <f>IFERROR(VLOOKUP(APS$1,'Renta Mixta Agresivo'!$B$35:$C$57,2,FALSE),0%)</f>
        <v>0</v>
      </c>
      <c r="APT11" s="5">
        <f>IFERROR(VLOOKUP(APT$1,'Renta Mixta Agresivo'!$B$35:$C$57,2,FALSE),0%)</f>
        <v>0</v>
      </c>
      <c r="APU11" s="5">
        <f>IFERROR(VLOOKUP(APU$1,'Renta Mixta Agresivo'!$B$35:$C$57,2,FALSE),0%)</f>
        <v>0</v>
      </c>
      <c r="APV11" s="5">
        <f>IFERROR(VLOOKUP(APV$1,'Renta Mixta Agresivo'!$B$35:$C$57,2,FALSE),0%)</f>
        <v>0</v>
      </c>
      <c r="APW11" s="5">
        <f>IFERROR(VLOOKUP(APW$1,'Renta Mixta Agresivo'!$B$35:$C$57,2,FALSE),0%)</f>
        <v>0</v>
      </c>
      <c r="APX11" s="5">
        <f>IFERROR(VLOOKUP(APX$1,'Renta Mixta Agresivo'!$B$35:$C$57,2,FALSE),0%)</f>
        <v>0</v>
      </c>
      <c r="APY11" s="5">
        <f>IFERROR(VLOOKUP(APY$1,'Renta Mixta Agresivo'!$B$35:$C$57,2,FALSE),0%)</f>
        <v>0</v>
      </c>
      <c r="APZ11" s="5">
        <f>IFERROR(VLOOKUP(APZ$1,'Renta Mixta Agresivo'!$B$35:$C$57,2,FALSE),0%)</f>
        <v>0</v>
      </c>
      <c r="AQA11" s="5">
        <f>IFERROR(VLOOKUP(AQA$1,'Renta Mixta Agresivo'!$B$35:$C$57,2,FALSE),0%)</f>
        <v>0</v>
      </c>
      <c r="AQB11" s="5">
        <f>IFERROR(VLOOKUP(AQB$1,'Renta Mixta Agresivo'!$B$35:$C$57,2,FALSE),0%)</f>
        <v>0</v>
      </c>
      <c r="AQC11" s="5">
        <f>IFERROR(VLOOKUP(AQC$1,'Renta Mixta Agresivo'!$B$35:$C$57,2,FALSE),0%)</f>
        <v>0</v>
      </c>
      <c r="AQD11" s="5">
        <f>IFERROR(VLOOKUP(AQD$1,'Renta Mixta Agresivo'!$B$35:$C$57,2,FALSE),0%)</f>
        <v>0</v>
      </c>
      <c r="AQE11" s="5">
        <f>IFERROR(VLOOKUP(AQE$1,'Renta Mixta Agresivo'!$B$35:$C$57,2,FALSE),0%)</f>
        <v>0</v>
      </c>
      <c r="AQF11" s="5">
        <f>IFERROR(VLOOKUP(AQF$1,'Renta Mixta Agresivo'!$B$35:$C$57,2,FALSE),0%)</f>
        <v>0</v>
      </c>
      <c r="AQG11" s="5">
        <f>IFERROR(VLOOKUP(AQG$1,'Renta Mixta Agresivo'!$B$35:$C$57,2,FALSE),0%)</f>
        <v>0</v>
      </c>
      <c r="AQH11" s="5">
        <f>IFERROR(VLOOKUP(AQH$1,'Renta Mixta Agresivo'!$B$35:$C$57,2,FALSE),0%)</f>
        <v>0</v>
      </c>
      <c r="AQI11" s="5">
        <f>IFERROR(VLOOKUP(AQI$1,'Renta Mixta Agresivo'!$B$35:$C$57,2,FALSE),0%)</f>
        <v>0</v>
      </c>
      <c r="AQJ11" s="5">
        <f>IFERROR(VLOOKUP(AQJ$1,'Renta Mixta Agresivo'!$B$35:$C$57,2,FALSE),0%)</f>
        <v>0</v>
      </c>
      <c r="AQK11" s="5">
        <f>IFERROR(VLOOKUP(AQK$1,'Renta Mixta Agresivo'!$B$35:$C$57,2,FALSE),0%)</f>
        <v>0</v>
      </c>
      <c r="AQL11" s="5">
        <f>IFERROR(VLOOKUP(AQL$1,'Renta Mixta Agresivo'!$B$35:$C$57,2,FALSE),0%)</f>
        <v>0</v>
      </c>
      <c r="AQM11" s="5">
        <f>IFERROR(VLOOKUP(AQM$1,'Renta Mixta Agresivo'!$B$35:$C$57,2,FALSE),0%)</f>
        <v>0</v>
      </c>
      <c r="AQN11" s="5">
        <f>IFERROR(VLOOKUP(AQN$1,'Renta Mixta Agresivo'!$B$35:$C$57,2,FALSE),0%)</f>
        <v>0</v>
      </c>
      <c r="AQO11" s="5">
        <f>IFERROR(VLOOKUP(AQO$1,'Renta Mixta Agresivo'!$B$35:$C$57,2,FALSE),0%)</f>
        <v>0</v>
      </c>
      <c r="AQP11" s="5">
        <f>IFERROR(VLOOKUP(AQP$1,'Renta Mixta Agresivo'!$B$35:$C$57,2,FALSE),0%)</f>
        <v>0</v>
      </c>
      <c r="AQQ11" s="5">
        <f>IFERROR(VLOOKUP(AQQ$1,'Renta Mixta Agresivo'!$B$35:$C$57,2,FALSE),0%)</f>
        <v>0</v>
      </c>
      <c r="AQR11" s="5">
        <f>IFERROR(VLOOKUP(AQR$1,'Renta Mixta Agresivo'!$B$35:$C$57,2,FALSE),0%)</f>
        <v>0</v>
      </c>
      <c r="AQS11" s="5">
        <f>IFERROR(VLOOKUP(AQS$1,'Renta Mixta Agresivo'!$B$35:$C$57,2,FALSE),0%)</f>
        <v>0</v>
      </c>
      <c r="AQT11" s="5">
        <f>IFERROR(VLOOKUP(AQT$1,'Renta Mixta Agresivo'!$B$35:$C$57,2,FALSE),0%)</f>
        <v>0</v>
      </c>
      <c r="AQU11" s="5">
        <f>IFERROR(VLOOKUP(AQU$1,'Renta Mixta Agresivo'!$B$35:$C$57,2,FALSE),0%)</f>
        <v>0.02766050747</v>
      </c>
      <c r="AQV11" s="5">
        <f>IFERROR(VLOOKUP(AQV$1,'Renta Mixta Agresivo'!$B$35:$C$57,2,FALSE),0%)</f>
        <v>0</v>
      </c>
      <c r="AQW11" s="5">
        <f>IFERROR(VLOOKUP(AQW$1,'Renta Mixta Agresivo'!$B$35:$C$57,2,FALSE),0%)</f>
        <v>0</v>
      </c>
      <c r="AQX11" s="5">
        <f>IFERROR(VLOOKUP(AQX$1,'Renta Mixta Agresivo'!$B$35:$C$57,2,FALSE),0%)</f>
        <v>0</v>
      </c>
      <c r="AQY11" s="5">
        <f>IFERROR(VLOOKUP(AQY$1,'Renta Mixta Agresivo'!$B$35:$C$57,2,FALSE),0%)</f>
        <v>0</v>
      </c>
      <c r="AQZ11" s="5">
        <f>IFERROR(VLOOKUP(AQZ$1,'Renta Mixta Agresivo'!$B$35:$C$57,2,FALSE),0%)</f>
        <v>0</v>
      </c>
      <c r="ARA11" s="5">
        <f>IFERROR(VLOOKUP(ARA$1,'Renta Mixta Agresivo'!$B$35:$C$57,2,FALSE),0%)</f>
        <v>0</v>
      </c>
      <c r="ARB11" s="5">
        <f>IFERROR(VLOOKUP(ARB$1,'Renta Mixta Agresivo'!$B$35:$C$57,2,FALSE),0%)</f>
        <v>0</v>
      </c>
      <c r="ARC11" s="5">
        <f>IFERROR(VLOOKUP(ARC$1,'Renta Mixta Agresivo'!$B$35:$C$57,2,FALSE),0%)</f>
        <v>0</v>
      </c>
      <c r="ARD11" s="5">
        <f>IFERROR(VLOOKUP(ARD$1,'Renta Mixta Agresivo'!$B$35:$C$57,2,FALSE),0%)</f>
        <v>0</v>
      </c>
      <c r="ARE11" s="5">
        <f>IFERROR(VLOOKUP(ARE$1,'Renta Mixta Agresivo'!$B$35:$C$57,2,FALSE),0%)</f>
        <v>0</v>
      </c>
      <c r="ARF11" s="5">
        <f>IFERROR(VLOOKUP(ARF$1,'Renta Mixta Agresivo'!$B$35:$C$57,2,FALSE),0%)</f>
        <v>0</v>
      </c>
      <c r="ARG11" s="5">
        <f>IFERROR(VLOOKUP(ARG$1,'Renta Mixta Agresivo'!$B$35:$C$57,2,FALSE),0%)</f>
        <v>0</v>
      </c>
      <c r="ARH11" s="5">
        <f>IFERROR(VLOOKUP(ARH$1,'Renta Mixta Agresivo'!$B$35:$C$57,2,FALSE),0%)</f>
        <v>0</v>
      </c>
      <c r="ARI11" s="5">
        <f>IFERROR(VLOOKUP(ARI$1,'Renta Mixta Agresivo'!$B$35:$C$57,2,FALSE),0%)</f>
        <v>0</v>
      </c>
      <c r="ARJ11" s="5">
        <f>IFERROR(VLOOKUP(ARJ$1,'Renta Mixta Agresivo'!$B$35:$C$57,2,FALSE),0%)</f>
        <v>0</v>
      </c>
      <c r="ARK11" s="5">
        <f>IFERROR(VLOOKUP(ARK$1,'Renta Mixta Agresivo'!$B$35:$C$57,2,FALSE),0%)</f>
        <v>0</v>
      </c>
      <c r="ARL11" s="5">
        <f>IFERROR(VLOOKUP(ARL$1,'Renta Mixta Agresivo'!$B$35:$C$57,2,FALSE),0%)</f>
        <v>0</v>
      </c>
      <c r="ARM11" s="5">
        <f>IFERROR(VLOOKUP(ARM$1,'Renta Mixta Agresivo'!$B$35:$C$57,2,FALSE),0%)</f>
        <v>0</v>
      </c>
      <c r="ARN11" s="5">
        <f>IFERROR(VLOOKUP(ARN$1,'Renta Mixta Agresivo'!$B$35:$C$57,2,FALSE),0%)</f>
        <v>0</v>
      </c>
      <c r="ARO11" s="5">
        <f>IFERROR(VLOOKUP(ARO$1,'Renta Mixta Agresivo'!$B$35:$C$57,2,FALSE),0%)</f>
        <v>0</v>
      </c>
      <c r="ARP11" s="5">
        <f>IFERROR(VLOOKUP(ARP$1,'Renta Mixta Agresivo'!$B$35:$C$57,2,FALSE),0%)</f>
        <v>0</v>
      </c>
      <c r="ARQ11" s="5">
        <f>IFERROR(VLOOKUP(ARQ$1,'Renta Mixta Agresivo'!$B$35:$C$57,2,FALSE),0%)</f>
        <v>0</v>
      </c>
      <c r="ARR11" s="5">
        <f>IFERROR(VLOOKUP(ARR$1,'Renta Mixta Agresivo'!$B$35:$C$57,2,FALSE),0%)</f>
        <v>0</v>
      </c>
      <c r="ARS11" s="5">
        <f>IFERROR(VLOOKUP(ARS$1,'Renta Mixta Agresivo'!$B$35:$C$57,2,FALSE),0%)</f>
        <v>0</v>
      </c>
      <c r="ART11" s="5">
        <f>IFERROR(VLOOKUP(ART$1,'Renta Mixta Agresivo'!$B$35:$C$57,2,FALSE),0%)</f>
        <v>0</v>
      </c>
      <c r="ARU11" s="5">
        <f>IFERROR(VLOOKUP(ARU$1,'Renta Mixta Agresivo'!$B$35:$C$57,2,FALSE),0%)</f>
        <v>0</v>
      </c>
      <c r="ARV11" s="5">
        <f>IFERROR(VLOOKUP(ARV$1,'Renta Mixta Agresivo'!$B$35:$C$57,2,FALSE),0%)</f>
        <v>0</v>
      </c>
      <c r="ARW11" s="5">
        <f>IFERROR(VLOOKUP(ARW$1,'Renta Mixta Agresivo'!$B$35:$C$57,2,FALSE),0%)</f>
        <v>0</v>
      </c>
      <c r="ARX11" s="5">
        <f>IFERROR(VLOOKUP(ARX$1,'Renta Mixta Agresivo'!$B$35:$C$57,2,FALSE),0%)</f>
        <v>0</v>
      </c>
      <c r="ARY11" s="5">
        <f>IFERROR(VLOOKUP(ARY$1,'Renta Mixta Agresivo'!$B$35:$C$57,2,FALSE),0%)</f>
        <v>0</v>
      </c>
      <c r="ARZ11" s="5">
        <f>IFERROR(VLOOKUP(ARZ$1,'Renta Mixta Agresivo'!$B$35:$C$57,2,FALSE),0%)</f>
        <v>0</v>
      </c>
      <c r="ASA11" s="5">
        <f>IFERROR(VLOOKUP(ASA$1,'Renta Mixta Agresivo'!$B$35:$C$57,2,FALSE),0%)</f>
        <v>0</v>
      </c>
      <c r="ASB11" s="5">
        <f>IFERROR(VLOOKUP(ASB$1,'Renta Mixta Agresivo'!$B$35:$C$57,2,FALSE),0%)</f>
        <v>0</v>
      </c>
      <c r="ASC11" s="5">
        <f>IFERROR(VLOOKUP(ASC$1,'Renta Mixta Agresivo'!$B$35:$C$57,2,FALSE),0%)</f>
        <v>0</v>
      </c>
      <c r="ASD11" s="5">
        <f>IFERROR(VLOOKUP(ASD$1,'Renta Mixta Agresivo'!$B$35:$C$57,2,FALSE),0%)</f>
        <v>0</v>
      </c>
      <c r="ASE11" s="5">
        <f>IFERROR(VLOOKUP(ASE$1,'Renta Mixta Agresivo'!$B$35:$C$57,2,FALSE),0%)</f>
        <v>0</v>
      </c>
      <c r="ASF11" s="5">
        <f>IFERROR(VLOOKUP(ASF$1,'Renta Mixta Agresivo'!$B$35:$C$57,2,FALSE),0%)</f>
        <v>0</v>
      </c>
      <c r="ASG11" s="5">
        <f>IFERROR(VLOOKUP(ASG$1,'Renta Mixta Agresivo'!$B$35:$C$57,2,FALSE),0%)</f>
        <v>0</v>
      </c>
      <c r="ASH11" s="5">
        <f>IFERROR(VLOOKUP(ASH$1,'Renta Mixta Agresivo'!$B$35:$C$57,2,FALSE),0%)</f>
        <v>0</v>
      </c>
      <c r="ASI11" s="5">
        <f>IFERROR(VLOOKUP(ASI$1,'Renta Mixta Agresivo'!$B$35:$C$57,2,FALSE),0%)</f>
        <v>0</v>
      </c>
      <c r="ASJ11" s="5">
        <f>IFERROR(VLOOKUP(ASJ$1,'Renta Mixta Agresivo'!$B$35:$C$57,2,FALSE),0%)</f>
        <v>0</v>
      </c>
      <c r="ASK11" s="5">
        <f>IFERROR(VLOOKUP(ASK$1,'Renta Mixta Agresivo'!$B$35:$C$57,2,FALSE),0%)</f>
        <v>0</v>
      </c>
      <c r="ASL11" s="5">
        <f>IFERROR(VLOOKUP(ASL$1,'Renta Mixta Agresivo'!$B$35:$C$57,2,FALSE),0%)</f>
        <v>0</v>
      </c>
      <c r="ASM11" s="5">
        <f>IFERROR(VLOOKUP(ASM$1,'Renta Mixta Agresivo'!$B$35:$C$57,2,FALSE),0%)</f>
        <v>0</v>
      </c>
      <c r="ASN11" s="5">
        <f>IFERROR(VLOOKUP(ASN$1,'Renta Mixta Agresivo'!$B$35:$C$57,2,FALSE),0%)</f>
        <v>0</v>
      </c>
      <c r="ASO11" s="5">
        <f>IFERROR(VLOOKUP(ASO$1,'Renta Mixta Agresivo'!$B$35:$C$57,2,FALSE),0%)</f>
        <v>0</v>
      </c>
      <c r="ASP11" s="5">
        <f>IFERROR(VLOOKUP(ASP$1,'Renta Mixta Agresivo'!$B$35:$C$57,2,FALSE),0%)</f>
        <v>0</v>
      </c>
      <c r="ASQ11" s="5">
        <f>IFERROR(VLOOKUP(ASQ$1,'Renta Mixta Agresivo'!$B$35:$C$57,2,FALSE),0%)</f>
        <v>0</v>
      </c>
      <c r="ASR11" s="5">
        <f>IFERROR(VLOOKUP(ASR$1,'Renta Mixta Agresivo'!$B$35:$C$57,2,FALSE),0%)</f>
        <v>0</v>
      </c>
      <c r="ASS11" s="5">
        <f>IFERROR(VLOOKUP(ASS$1,'Renta Mixta Agresivo'!$B$35:$C$57,2,FALSE),0%)</f>
        <v>0</v>
      </c>
      <c r="AST11" s="5">
        <f>IFERROR(VLOOKUP(AST$1,'Renta Mixta Agresivo'!$B$35:$C$57,2,FALSE),0%)</f>
        <v>0</v>
      </c>
      <c r="ASU11" s="5">
        <f>IFERROR(VLOOKUP(ASU$1,'Renta Mixta Agresivo'!$B$35:$C$57,2,FALSE),0%)</f>
        <v>0</v>
      </c>
      <c r="ASV11" s="5">
        <f>IFERROR(VLOOKUP(ASV$1,'Renta Mixta Agresivo'!$B$35:$C$57,2,FALSE),0%)</f>
        <v>0</v>
      </c>
      <c r="ASW11" s="5">
        <f>IFERROR(VLOOKUP(ASW$1,'Renta Mixta Agresivo'!$B$35:$C$57,2,FALSE),0%)</f>
        <v>0</v>
      </c>
      <c r="ASX11" s="5">
        <f>IFERROR(VLOOKUP(ASX$1,'Renta Mixta Agresivo'!$B$35:$C$57,2,FALSE),0%)</f>
        <v>0</v>
      </c>
      <c r="ASY11" s="5">
        <f>IFERROR(VLOOKUP(ASY$1,'Renta Mixta Agresivo'!$B$35:$C$57,2,FALSE),0%)</f>
        <v>0</v>
      </c>
      <c r="ASZ11" s="5">
        <f>IFERROR(VLOOKUP(ASZ$1,'Renta Mixta Agresivo'!$B$35:$C$57,2,FALSE),0%)</f>
        <v>0</v>
      </c>
      <c r="ATA11" s="5">
        <f>IFERROR(VLOOKUP(ATA$1,'Renta Mixta Agresivo'!$B$35:$C$57,2,FALSE),0%)</f>
        <v>0</v>
      </c>
      <c r="ATB11" s="5">
        <f>IFERROR(VLOOKUP(ATB$1,'Renta Mixta Agresivo'!$B$35:$C$57,2,FALSE),0%)</f>
        <v>0</v>
      </c>
      <c r="ATC11" s="5">
        <f>IFERROR(VLOOKUP(ATC$1,'Renta Mixta Agresivo'!$B$35:$C$57,2,FALSE),0%)</f>
        <v>0</v>
      </c>
      <c r="ATD11" s="5">
        <f>IFERROR(VLOOKUP(ATD$1,'Renta Mixta Agresivo'!$B$35:$C$57,2,FALSE),0%)</f>
        <v>0</v>
      </c>
      <c r="ATE11" s="5">
        <f>IFERROR(VLOOKUP(ATE$1,'Renta Mixta Agresivo'!$B$35:$C$57,2,FALSE),0%)</f>
        <v>0</v>
      </c>
      <c r="ATF11" s="5">
        <f>IFERROR(VLOOKUP(ATF$1,'Renta Mixta Agresivo'!$B$35:$C$57,2,FALSE),0%)</f>
        <v>0</v>
      </c>
      <c r="ATG11" s="5">
        <f>IFERROR(VLOOKUP(ATG$1,'Renta Mixta Agresivo'!$B$35:$C$57,2,FALSE),0%)</f>
        <v>0</v>
      </c>
      <c r="ATH11" s="5">
        <f>IFERROR(VLOOKUP(ATH$1,'Renta Mixta Agresivo'!$B$35:$C$57,2,FALSE),0%)</f>
        <v>0</v>
      </c>
      <c r="ATI11" s="5">
        <f>IFERROR(VLOOKUP(ATI$1,'Renta Mixta Agresivo'!$B$35:$C$57,2,FALSE),0%)</f>
        <v>0</v>
      </c>
      <c r="ATJ11" s="5">
        <f>IFERROR(VLOOKUP(ATJ$1,'Renta Mixta Agresivo'!$B$35:$C$57,2,FALSE),0%)</f>
        <v>0</v>
      </c>
      <c r="ATK11" s="5">
        <f>IFERROR(VLOOKUP(ATK$1,'Renta Mixta Agresivo'!$B$35:$C$57,2,FALSE),0%)</f>
        <v>0</v>
      </c>
      <c r="ATL11" s="5">
        <f>IFERROR(VLOOKUP(ATL$1,'Renta Mixta Agresivo'!$B$35:$C$57,2,FALSE),0%)</f>
        <v>0</v>
      </c>
      <c r="ATM11" s="5">
        <f>IFERROR(VLOOKUP(ATM$1,'Renta Mixta Agresivo'!$B$35:$C$57,2,FALSE),0%)</f>
        <v>0</v>
      </c>
      <c r="ATN11" s="5">
        <f>IFERROR(VLOOKUP(ATN$1,'Renta Mixta Agresivo'!$B$35:$C$57,2,FALSE),0%)</f>
        <v>0</v>
      </c>
      <c r="ATO11" s="5">
        <f>IFERROR(VLOOKUP(ATO$1,'Renta Mixta Agresivo'!$B$35:$C$57,2,FALSE),0%)</f>
        <v>0</v>
      </c>
      <c r="ATP11" s="5">
        <f>IFERROR(VLOOKUP(ATP$1,'Renta Mixta Agresivo'!$B$35:$C$57,2,FALSE),0%)</f>
        <v>0</v>
      </c>
      <c r="ATQ11" s="5">
        <f>IFERROR(VLOOKUP(ATQ$1,'Renta Mixta Agresivo'!$B$35:$C$57,2,FALSE),0%)</f>
        <v>0</v>
      </c>
      <c r="ATR11" s="5">
        <f>IFERROR(VLOOKUP(ATR$1,'Renta Mixta Agresivo'!$B$35:$C$57,2,FALSE),0%)</f>
        <v>0</v>
      </c>
      <c r="ATS11" s="5">
        <f>IFERROR(VLOOKUP(ATS$1,'Renta Mixta Agresivo'!$B$35:$C$57,2,FALSE),0%)</f>
        <v>0</v>
      </c>
      <c r="ATT11" s="5">
        <f>IFERROR(VLOOKUP(ATT$1,'Renta Mixta Agresivo'!$B$35:$C$57,2,FALSE),0%)</f>
        <v>0</v>
      </c>
      <c r="ATU11" s="5">
        <f>IFERROR(VLOOKUP(ATU$1,'Renta Mixta Agresivo'!$B$35:$C$57,2,FALSE),0%)</f>
        <v>0</v>
      </c>
      <c r="ATV11" s="5">
        <f>IFERROR(VLOOKUP(ATV$1,'Renta Mixta Agresivo'!$B$35:$C$57,2,FALSE),0%)</f>
        <v>0</v>
      </c>
      <c r="ATW11" s="5">
        <f>IFERROR(VLOOKUP(ATW$1,'Renta Mixta Agresivo'!$B$35:$C$57,2,FALSE),0%)</f>
        <v>0</v>
      </c>
      <c r="ATX11" s="5">
        <f>IFERROR(VLOOKUP(ATX$1,'Renta Mixta Agresivo'!$B$35:$C$57,2,FALSE),0%)</f>
        <v>0</v>
      </c>
      <c r="ATY11" s="5">
        <f>IFERROR(VLOOKUP(ATY$1,'Renta Mixta Agresivo'!$B$35:$C$57,2,FALSE),0%)</f>
        <v>0</v>
      </c>
      <c r="ATZ11" s="5">
        <f>IFERROR(VLOOKUP(ATZ$1,'Renta Mixta Agresivo'!$B$35:$C$57,2,FALSE),0%)</f>
        <v>0</v>
      </c>
      <c r="AUA11" s="5">
        <f>IFERROR(VLOOKUP(AUA$1,'Renta Mixta Agresivo'!$B$35:$C$57,2,FALSE),0%)</f>
        <v>0</v>
      </c>
      <c r="AUB11" s="5">
        <f>IFERROR(VLOOKUP(AUB$1,'Renta Mixta Agresivo'!$B$35:$C$57,2,FALSE),0%)</f>
        <v>0</v>
      </c>
      <c r="AUC11" s="5">
        <f>IFERROR(VLOOKUP(AUC$1,'Renta Mixta Agresivo'!$B$35:$C$57,2,FALSE),0%)</f>
        <v>0</v>
      </c>
      <c r="AUD11" s="5">
        <f>IFERROR(VLOOKUP(AUD$1,'Renta Mixta Agresivo'!$B$35:$C$57,2,FALSE),0%)</f>
        <v>0</v>
      </c>
      <c r="AUE11" s="5">
        <f>IFERROR(VLOOKUP(AUE$1,'Renta Mixta Agresivo'!$B$35:$C$57,2,FALSE),0%)</f>
        <v>0</v>
      </c>
      <c r="AUF11" s="5">
        <f>IFERROR(VLOOKUP(AUF$1,'Renta Mixta Agresivo'!$B$35:$C$57,2,FALSE),0%)</f>
        <v>0</v>
      </c>
      <c r="AUG11" s="5">
        <f>IFERROR(VLOOKUP(AUG$1,'Renta Mixta Agresivo'!$B$35:$C$57,2,FALSE),0%)</f>
        <v>0</v>
      </c>
      <c r="AUH11" s="5">
        <f>IFERROR(VLOOKUP(AUH$1,'Renta Mixta Agresivo'!$B$35:$C$57,2,FALSE),0%)</f>
        <v>0</v>
      </c>
      <c r="AUI11" s="5">
        <f>IFERROR(VLOOKUP(AUI$1,'Renta Mixta Agresivo'!$B$35:$C$57,2,FALSE),0%)</f>
        <v>0</v>
      </c>
      <c r="AUJ11" s="5">
        <f>IFERROR(VLOOKUP(AUJ$1,'Renta Mixta Agresivo'!$B$35:$C$57,2,FALSE),0%)</f>
        <v>0</v>
      </c>
      <c r="AUK11" s="5">
        <f>IFERROR(VLOOKUP(AUK$1,'Renta Mixta Agresivo'!$B$35:$C$57,2,FALSE),0%)</f>
        <v>0</v>
      </c>
      <c r="AUL11" s="5">
        <f>IFERROR(VLOOKUP(AUL$1,'Renta Mixta Agresivo'!$B$35:$C$57,2,FALSE),0%)</f>
        <v>0</v>
      </c>
      <c r="AUM11" s="5">
        <f>IFERROR(VLOOKUP(AUM$1,'Renta Mixta Agresivo'!$B$35:$C$57,2,FALSE),0%)</f>
        <v>0</v>
      </c>
      <c r="AUN11" s="5">
        <f>IFERROR(VLOOKUP(AUN$1,'Renta Mixta Agresivo'!$B$35:$C$57,2,FALSE),0%)</f>
        <v>0</v>
      </c>
      <c r="AUO11" s="5">
        <f>IFERROR(VLOOKUP(AUO$1,'Renta Mixta Agresivo'!$B$35:$C$57,2,FALSE),0%)</f>
        <v>0</v>
      </c>
      <c r="AUP11" s="5">
        <f>IFERROR(VLOOKUP(AUP$1,'Renta Mixta Agresivo'!$B$35:$C$57,2,FALSE),0%)</f>
        <v>0</v>
      </c>
      <c r="AUQ11" s="5">
        <f>IFERROR(VLOOKUP(AUQ$1,'Renta Mixta Agresivo'!$B$35:$C$57,2,FALSE),0%)</f>
        <v>0</v>
      </c>
      <c r="AUR11" s="5">
        <f>IFERROR(VLOOKUP(AUR$1,'Renta Mixta Agresivo'!$B$35:$C$57,2,FALSE),0%)</f>
        <v>0</v>
      </c>
      <c r="AUS11" s="5">
        <f>IFERROR(VLOOKUP(AUS$1,'Renta Mixta Agresivo'!$B$35:$C$57,2,FALSE),0%)</f>
        <v>0</v>
      </c>
      <c r="AUT11" s="5">
        <f>IFERROR(VLOOKUP(AUT$1,'Renta Mixta Agresivo'!$B$35:$C$57,2,FALSE),0%)</f>
        <v>0</v>
      </c>
      <c r="AUU11" s="5">
        <f>IFERROR(VLOOKUP(AUU$1,'Renta Mixta Agresivo'!$B$35:$C$57,2,FALSE),0%)</f>
        <v>0</v>
      </c>
      <c r="AUV11" s="5">
        <f>IFERROR(VLOOKUP(AUV$1,'Renta Mixta Agresivo'!$B$35:$C$57,2,FALSE),0%)</f>
        <v>0</v>
      </c>
      <c r="AUW11" s="5">
        <f>IFERROR(VLOOKUP(AUW$1,'Renta Mixta Agresivo'!$B$35:$C$57,2,FALSE),0%)</f>
        <v>0</v>
      </c>
      <c r="AUX11" s="5">
        <f>IFERROR(VLOOKUP(AUX$1,'Renta Mixta Agresivo'!$B$35:$C$57,2,FALSE),0%)</f>
        <v>0</v>
      </c>
      <c r="AUY11" s="5">
        <f>IFERROR(VLOOKUP(AUY$1,'Renta Mixta Agresivo'!$B$35:$C$57,2,FALSE),0%)</f>
        <v>0</v>
      </c>
      <c r="AUZ11" s="5">
        <f>IFERROR(VLOOKUP(AUZ$1,'Renta Mixta Agresivo'!$B$35:$C$57,2,FALSE),0%)</f>
        <v>0</v>
      </c>
      <c r="AVA11" s="5">
        <f>IFERROR(VLOOKUP(AVA$1,'Renta Mixta Agresivo'!$B$35:$C$57,2,FALSE),0%)</f>
        <v>0</v>
      </c>
      <c r="AVB11" s="5">
        <f>IFERROR(VLOOKUP(AVB$1,'Renta Mixta Agresivo'!$B$35:$C$57,2,FALSE),0%)</f>
        <v>0</v>
      </c>
      <c r="AVC11" s="5">
        <f>IFERROR(VLOOKUP(AVC$1,'Renta Mixta Agresivo'!$B$35:$C$57,2,FALSE),0%)</f>
        <v>0</v>
      </c>
      <c r="AVD11" s="5">
        <f>IFERROR(VLOOKUP(AVD$1,'Renta Mixta Agresivo'!$B$35:$C$57,2,FALSE),0%)</f>
        <v>0</v>
      </c>
      <c r="AVE11" s="5">
        <f>IFERROR(VLOOKUP(AVE$1,'Renta Mixta Agresivo'!$B$35:$C$57,2,FALSE),0%)</f>
        <v>0</v>
      </c>
      <c r="AVF11" s="5">
        <f>IFERROR(VLOOKUP(AVF$1,'Renta Mixta Agresivo'!$B$35:$C$57,2,FALSE),0%)</f>
        <v>0</v>
      </c>
      <c r="AVG11" s="5">
        <f>IFERROR(VLOOKUP(AVG$1,'Renta Mixta Agresivo'!$B$35:$C$57,2,FALSE),0%)</f>
        <v>0</v>
      </c>
      <c r="AVH11" s="5">
        <f>IFERROR(VLOOKUP(AVH$1,'Renta Mixta Agresivo'!$B$35:$C$57,2,FALSE),0%)</f>
        <v>0</v>
      </c>
      <c r="AVI11" s="5">
        <f>IFERROR(VLOOKUP(AVI$1,'Renta Mixta Agresivo'!$B$35:$C$57,2,FALSE),0%)</f>
        <v>0</v>
      </c>
      <c r="AVJ11" s="5">
        <f>IFERROR(VLOOKUP(AVJ$1,'Renta Mixta Agresivo'!$B$35:$C$57,2,FALSE),0%)</f>
        <v>0</v>
      </c>
      <c r="AVK11" s="5">
        <f>IFERROR(VLOOKUP(AVK$1,'Renta Mixta Agresivo'!$B$35:$C$57,2,FALSE),0%)</f>
        <v>0</v>
      </c>
      <c r="AVL11" s="5">
        <f>IFERROR(VLOOKUP(AVL$1,'Renta Mixta Agresivo'!$B$35:$C$57,2,FALSE),0%)</f>
        <v>0</v>
      </c>
      <c r="AVM11" s="5">
        <f>IFERROR(VLOOKUP(AVM$1,'Renta Mixta Agresivo'!$B$35:$C$57,2,FALSE),0%)</f>
        <v>0</v>
      </c>
      <c r="AVN11" s="5">
        <f>IFERROR(VLOOKUP(AVN$1,'Renta Mixta Agresivo'!$B$35:$C$57,2,FALSE),0%)</f>
        <v>0</v>
      </c>
      <c r="AVO11" s="5">
        <f>IFERROR(VLOOKUP(AVO$1,'Renta Mixta Agresivo'!$B$35:$C$57,2,FALSE),0%)</f>
        <v>0</v>
      </c>
      <c r="AVP11" s="5">
        <f>IFERROR(VLOOKUP(AVP$1,'Renta Mixta Agresivo'!$B$35:$C$57,2,FALSE),0%)</f>
        <v>0</v>
      </c>
      <c r="AVQ11" s="5">
        <f>IFERROR(VLOOKUP(AVQ$1,'Renta Mixta Agresivo'!$B$35:$C$57,2,FALSE),0%)</f>
        <v>0</v>
      </c>
      <c r="AVR11" s="5">
        <f>IFERROR(VLOOKUP(AVR$1,'Renta Mixta Agresivo'!$B$35:$C$57,2,FALSE),0%)</f>
        <v>0</v>
      </c>
      <c r="AVS11" s="5">
        <f>IFERROR(VLOOKUP(AVS$1,'Renta Mixta Agresivo'!$B$35:$C$57,2,FALSE),0%)</f>
        <v>0</v>
      </c>
      <c r="AVT11" s="5">
        <f>IFERROR(VLOOKUP(AVT$1,'Renta Mixta Agresivo'!$B$35:$C$57,2,FALSE),0%)</f>
        <v>0</v>
      </c>
      <c r="AVU11" s="5">
        <f>IFERROR(VLOOKUP(AVU$1,'Renta Mixta Agresivo'!$B$35:$C$57,2,FALSE),0%)</f>
        <v>0</v>
      </c>
      <c r="AVV11" s="5">
        <f>IFERROR(VLOOKUP(AVV$1,'Renta Mixta Agresivo'!$B$35:$C$57,2,FALSE),0%)</f>
        <v>0</v>
      </c>
      <c r="AVW11" s="5">
        <f>IFERROR(VLOOKUP(AVW$1,'Renta Mixta Agresivo'!$B$35:$C$57,2,FALSE),0%)</f>
        <v>0</v>
      </c>
      <c r="AVX11" s="5">
        <f>IFERROR(VLOOKUP(AVX$1,'Renta Mixta Agresivo'!$B$35:$C$57,2,FALSE),0%)</f>
        <v>0</v>
      </c>
      <c r="AVY11" s="5">
        <f>IFERROR(VLOOKUP(AVY$1,'Renta Mixta Agresivo'!$B$35:$C$57,2,FALSE),0%)</f>
        <v>0</v>
      </c>
      <c r="AVZ11" s="5">
        <f>IFERROR(VLOOKUP(AVZ$1,'Renta Mixta Agresivo'!$B$35:$C$57,2,FALSE),0%)</f>
        <v>0</v>
      </c>
      <c r="AWA11" s="5">
        <f>IFERROR(VLOOKUP(AWA$1,'Renta Mixta Agresivo'!$B$35:$C$57,2,FALSE),0%)</f>
        <v>0</v>
      </c>
      <c r="AWB11" s="5">
        <f>IFERROR(VLOOKUP(AWB$1,'Renta Mixta Agresivo'!$B$35:$C$57,2,FALSE),0%)</f>
        <v>0</v>
      </c>
      <c r="AWC11" s="5">
        <f>IFERROR(VLOOKUP(AWC$1,'Renta Mixta Agresivo'!$B$35:$C$57,2,FALSE),0%)</f>
        <v>0</v>
      </c>
      <c r="AWD11" s="5">
        <f>IFERROR(VLOOKUP(AWD$1,'Renta Mixta Agresivo'!$B$35:$C$57,2,FALSE),0%)</f>
        <v>0</v>
      </c>
      <c r="AWE11" s="5">
        <f>IFERROR(VLOOKUP(AWE$1,'Renta Mixta Agresivo'!$B$35:$C$57,2,FALSE),0%)</f>
        <v>0</v>
      </c>
      <c r="AWF11" s="5">
        <f>IFERROR(VLOOKUP(AWF$1,'Renta Mixta Agresivo'!$B$35:$C$57,2,FALSE),0%)</f>
        <v>0</v>
      </c>
      <c r="AWG11" s="5">
        <f>IFERROR(VLOOKUP(AWG$1,'Renta Mixta Agresivo'!$B$35:$C$57,2,FALSE),0%)</f>
        <v>0</v>
      </c>
      <c r="AWH11" s="5">
        <f>IFERROR(VLOOKUP(AWH$1,'Renta Mixta Agresivo'!$B$35:$C$57,2,FALSE),0%)</f>
        <v>0</v>
      </c>
      <c r="AWI11" s="5">
        <f>IFERROR(VLOOKUP(AWI$1,'Renta Mixta Agresivo'!$B$35:$C$57,2,FALSE),0%)</f>
        <v>0</v>
      </c>
      <c r="AWJ11" s="5">
        <f>IFERROR(VLOOKUP(AWJ$1,'Renta Mixta Agresivo'!$B$35:$C$57,2,FALSE),0%)</f>
        <v>0</v>
      </c>
      <c r="AWK11" s="5">
        <f>IFERROR(VLOOKUP(AWK$1,'Renta Mixta Agresivo'!$B$35:$C$57,2,FALSE),0%)</f>
        <v>0</v>
      </c>
      <c r="AWL11" s="5">
        <f>IFERROR(VLOOKUP(AWL$1,'Renta Mixta Agresivo'!$B$35:$C$57,2,FALSE),0%)</f>
        <v>0</v>
      </c>
      <c r="AWM11" s="5">
        <f>IFERROR(VLOOKUP(AWM$1,'Renta Mixta Agresivo'!$B$35:$C$57,2,FALSE),0%)</f>
        <v>0</v>
      </c>
      <c r="AWN11" s="5">
        <f>IFERROR(VLOOKUP(AWN$1,'Renta Mixta Agresivo'!$B$35:$C$57,2,FALSE),0%)</f>
        <v>0</v>
      </c>
      <c r="AWO11" s="5">
        <f>IFERROR(VLOOKUP(AWO$1,'Renta Mixta Agresivo'!$B$35:$C$57,2,FALSE),0%)</f>
        <v>0</v>
      </c>
      <c r="AWP11" s="5">
        <f>IFERROR(VLOOKUP(AWP$1,'Renta Mixta Agresivo'!$B$35:$C$57,2,FALSE),0%)</f>
        <v>0</v>
      </c>
      <c r="AWQ11" s="5">
        <f>IFERROR(VLOOKUP(AWQ$1,'Renta Mixta Agresivo'!$B$35:$C$57,2,FALSE),0%)</f>
        <v>0</v>
      </c>
      <c r="AWR11" s="5">
        <f>IFERROR(VLOOKUP(AWR$1,'Renta Mixta Agresivo'!$B$35:$C$57,2,FALSE),0%)</f>
        <v>0</v>
      </c>
      <c r="AWS11" s="5">
        <f>IFERROR(VLOOKUP(AWS$1,'Renta Mixta Agresivo'!$B$35:$C$57,2,FALSE),0%)</f>
        <v>0</v>
      </c>
      <c r="AWT11" s="5">
        <f>IFERROR(VLOOKUP(AWT$1,'Renta Mixta Agresivo'!$B$35:$C$57,2,FALSE),0%)</f>
        <v>0</v>
      </c>
      <c r="AWU11" s="5">
        <f>IFERROR(VLOOKUP(AWU$1,'Renta Mixta Agresivo'!$B$35:$C$57,2,FALSE),0%)</f>
        <v>0</v>
      </c>
      <c r="AWV11" s="5">
        <f>IFERROR(VLOOKUP(AWV$1,'Renta Mixta Agresivo'!$B$35:$C$57,2,FALSE),0%)</f>
        <v>0</v>
      </c>
      <c r="AWW11" s="5">
        <f>IFERROR(VLOOKUP(AWW$1,'Renta Mixta Agresivo'!$B$35:$C$57,2,FALSE),0%)</f>
        <v>0</v>
      </c>
      <c r="AWX11" s="5">
        <f>IFERROR(VLOOKUP(AWX$1,'Renta Mixta Agresivo'!$B$35:$C$57,2,FALSE),0%)</f>
        <v>0</v>
      </c>
      <c r="AWY11" s="5">
        <f>IFERROR(VLOOKUP(AWY$1,'Renta Mixta Agresivo'!$B$35:$C$57,2,FALSE),0%)</f>
        <v>0</v>
      </c>
      <c r="AWZ11" s="5">
        <f>IFERROR(VLOOKUP(AWZ$1,'Renta Mixta Agresivo'!$B$35:$C$57,2,FALSE),0%)</f>
        <v>0</v>
      </c>
      <c r="AXA11" s="5">
        <f>IFERROR(VLOOKUP(AXA$1,'Renta Mixta Agresivo'!$B$35:$C$57,2,FALSE),0%)</f>
        <v>0</v>
      </c>
      <c r="AXB11" s="5">
        <f>IFERROR(VLOOKUP(AXB$1,'Renta Mixta Agresivo'!$B$35:$C$57,2,FALSE),0%)</f>
        <v>0</v>
      </c>
      <c r="AXC11" s="5">
        <f>IFERROR(VLOOKUP(AXC$1,'Renta Mixta Agresivo'!$B$35:$C$57,2,FALSE),0%)</f>
        <v>0</v>
      </c>
      <c r="AXD11" s="5">
        <f>IFERROR(VLOOKUP(AXD$1,'Renta Mixta Agresivo'!$B$35:$C$57,2,FALSE),0%)</f>
        <v>0</v>
      </c>
      <c r="AXE11" s="5">
        <f>IFERROR(VLOOKUP(AXE$1,'Renta Mixta Agresivo'!$B$35:$C$57,2,FALSE),0%)</f>
        <v>0</v>
      </c>
      <c r="AXF11" s="5">
        <f>IFERROR(VLOOKUP(AXF$1,'Renta Mixta Agresivo'!$B$35:$C$57,2,FALSE),0%)</f>
        <v>0</v>
      </c>
      <c r="AXG11" s="5">
        <f>IFERROR(VLOOKUP(AXG$1,'Renta Mixta Agresivo'!$B$35:$C$57,2,FALSE),0%)</f>
        <v>0</v>
      </c>
      <c r="AXH11" s="5">
        <f>IFERROR(VLOOKUP(AXH$1,'Renta Mixta Agresivo'!$B$35:$C$57,2,FALSE),0%)</f>
        <v>0</v>
      </c>
      <c r="AXI11" s="5">
        <f>IFERROR(VLOOKUP(AXI$1,'Renta Mixta Agresivo'!$B$35:$C$57,2,FALSE),0%)</f>
        <v>0</v>
      </c>
      <c r="AXJ11" s="5">
        <f>IFERROR(VLOOKUP(AXJ$1,'Renta Mixta Agresivo'!$B$35:$C$57,2,FALSE),0%)</f>
        <v>0</v>
      </c>
      <c r="AXK11" s="5">
        <f>IFERROR(VLOOKUP(AXK$1,'Renta Mixta Agresivo'!$B$35:$C$57,2,FALSE),0%)</f>
        <v>0</v>
      </c>
      <c r="AXL11" s="5">
        <f>IFERROR(VLOOKUP(AXL$1,'Renta Mixta Agresivo'!$B$35:$C$57,2,FALSE),0%)</f>
        <v>0</v>
      </c>
      <c r="AXM11" s="5">
        <f>IFERROR(VLOOKUP(AXM$1,'Renta Mixta Agresivo'!$B$35:$C$57,2,FALSE),0%)</f>
        <v>0</v>
      </c>
      <c r="AXN11" s="5">
        <f>IFERROR(VLOOKUP(AXN$1,'Renta Mixta Agresivo'!$B$35:$C$57,2,FALSE),0%)</f>
        <v>0</v>
      </c>
      <c r="AXO11" s="5">
        <f>IFERROR(VLOOKUP(AXO$1,'Renta Mixta Agresivo'!$B$35:$C$57,2,FALSE),0%)</f>
        <v>0</v>
      </c>
      <c r="AXP11" s="5">
        <f>IFERROR(VLOOKUP(AXP$1,'Renta Mixta Agresivo'!$B$35:$C$57,2,FALSE),0%)</f>
        <v>0</v>
      </c>
      <c r="AXQ11" s="5">
        <f>IFERROR(VLOOKUP(AXQ$1,'Renta Mixta Agresivo'!$B$35:$C$57,2,FALSE),0%)</f>
        <v>0</v>
      </c>
      <c r="AXR11" s="5">
        <f>IFERROR(VLOOKUP(AXR$1,'Renta Mixta Agresivo'!$B$35:$C$57,2,FALSE),0%)</f>
        <v>0</v>
      </c>
      <c r="AXS11" s="5">
        <f>IFERROR(VLOOKUP(AXS$1,'Renta Mixta Agresivo'!$B$35:$C$57,2,FALSE),0%)</f>
        <v>0</v>
      </c>
      <c r="AXT11" s="5">
        <f>IFERROR(VLOOKUP(AXT$1,'Renta Mixta Agresivo'!$B$35:$C$57,2,FALSE),0%)</f>
        <v>0</v>
      </c>
      <c r="AXU11" s="5">
        <f>IFERROR(VLOOKUP(AXU$1,'Renta Mixta Agresivo'!$B$35:$C$57,2,FALSE),0%)</f>
        <v>0</v>
      </c>
      <c r="AXV11" s="5">
        <f>IFERROR(VLOOKUP(AXV$1,'Renta Mixta Agresivo'!$B$35:$C$57,2,FALSE),0%)</f>
        <v>0</v>
      </c>
      <c r="AXW11" s="5">
        <f>IFERROR(VLOOKUP(AXW$1,'Renta Mixta Agresivo'!$B$35:$C$57,2,FALSE),0%)</f>
        <v>0</v>
      </c>
      <c r="AXX11" s="5">
        <f>IFERROR(VLOOKUP(AXX$1,'Renta Mixta Agresivo'!$B$35:$C$57,2,FALSE),0%)</f>
        <v>0</v>
      </c>
      <c r="AXY11" s="5">
        <f>IFERROR(VLOOKUP(AXY$1,'Renta Mixta Agresivo'!$B$35:$C$57,2,FALSE),0%)</f>
        <v>0</v>
      </c>
      <c r="AXZ11" s="5">
        <f>IFERROR(VLOOKUP(AXZ$1,'Renta Mixta Agresivo'!$B$35:$C$57,2,FALSE),0%)</f>
        <v>0</v>
      </c>
      <c r="AYA11" s="5">
        <f>IFERROR(VLOOKUP(AYA$1,'Renta Mixta Agresivo'!$B$35:$C$57,2,FALSE),0%)</f>
        <v>0</v>
      </c>
      <c r="AYB11" s="5">
        <f>IFERROR(VLOOKUP(AYB$1,'Renta Mixta Agresivo'!$B$35:$C$57,2,FALSE),0%)</f>
        <v>0</v>
      </c>
      <c r="AYC11" s="5">
        <f>IFERROR(VLOOKUP(AYC$1,'Renta Mixta Agresivo'!$B$35:$C$57,2,FALSE),0%)</f>
        <v>0</v>
      </c>
      <c r="AYD11" s="5">
        <f>IFERROR(VLOOKUP(AYD$1,'Renta Mixta Agresivo'!$B$35:$C$57,2,FALSE),0%)</f>
        <v>0</v>
      </c>
      <c r="AYE11" s="5">
        <f>IFERROR(VLOOKUP(AYE$1,'Renta Mixta Agresivo'!$B$35:$C$57,2,FALSE),0%)</f>
        <v>0</v>
      </c>
      <c r="AYF11" s="5">
        <f>IFERROR(VLOOKUP(AYF$1,'Renta Mixta Agresivo'!$B$35:$C$57,2,FALSE),0%)</f>
        <v>0</v>
      </c>
      <c r="AYG11" s="5">
        <f>IFERROR(VLOOKUP(AYG$1,'Renta Mixta Agresivo'!$B$35:$C$57,2,FALSE),0%)</f>
        <v>0</v>
      </c>
      <c r="AYH11" s="5">
        <f>IFERROR(VLOOKUP(AYH$1,'Renta Mixta Agresivo'!$B$35:$C$57,2,FALSE),0%)</f>
        <v>0</v>
      </c>
      <c r="AYI11" s="5">
        <f>IFERROR(VLOOKUP(AYI$1,'Renta Mixta Agresivo'!$B$35:$C$57,2,FALSE),0%)</f>
        <v>0</v>
      </c>
      <c r="AYJ11" s="5">
        <f>IFERROR(VLOOKUP(AYJ$1,'Renta Mixta Agresivo'!$B$35:$C$57,2,FALSE),0%)</f>
        <v>0</v>
      </c>
      <c r="AYK11" s="5">
        <f>IFERROR(VLOOKUP(AYK$1,'Renta Mixta Agresivo'!$B$35:$C$57,2,FALSE),0%)</f>
        <v>0</v>
      </c>
      <c r="AYL11" s="5">
        <f>IFERROR(VLOOKUP(AYL$1,'Renta Mixta Agresivo'!$B$35:$C$57,2,FALSE),0%)</f>
        <v>0</v>
      </c>
      <c r="AYM11" s="5">
        <f>IFERROR(VLOOKUP(AYM$1,'Renta Mixta Agresivo'!$B$35:$C$57,2,FALSE),0%)</f>
        <v>0</v>
      </c>
      <c r="AYN11" s="5">
        <f>IFERROR(VLOOKUP(AYN$1,'Renta Mixta Agresivo'!$B$35:$C$57,2,FALSE),0%)</f>
        <v>0</v>
      </c>
      <c r="AYO11" s="5">
        <f>IFERROR(VLOOKUP(AYO$1,'Renta Mixta Agresivo'!$B$35:$C$57,2,FALSE),0%)</f>
        <v>0</v>
      </c>
      <c r="AYP11" s="5">
        <f>IFERROR(VLOOKUP(AYP$1,'Renta Mixta Agresivo'!$B$35:$C$57,2,FALSE),0%)</f>
        <v>0</v>
      </c>
      <c r="AYQ11" s="5">
        <f>IFERROR(VLOOKUP(AYQ$1,'Renta Mixta Agresivo'!$B$35:$C$57,2,FALSE),0%)</f>
        <v>0</v>
      </c>
      <c r="AYR11" s="5">
        <f>IFERROR(VLOOKUP(AYR$1,'Renta Mixta Agresivo'!$B$35:$C$57,2,FALSE),0%)</f>
        <v>0</v>
      </c>
      <c r="AYS11" s="5">
        <f>IFERROR(VLOOKUP(AYS$1,'Renta Mixta Agresivo'!$B$35:$C$57,2,FALSE),0%)</f>
        <v>0</v>
      </c>
      <c r="AYT11" s="5">
        <f>IFERROR(VLOOKUP(AYT$1,'Renta Mixta Agresivo'!$B$35:$C$57,2,FALSE),0%)</f>
        <v>0</v>
      </c>
      <c r="AYU11" s="5">
        <f>IFERROR(VLOOKUP(AYU$1,'Renta Mixta Agresivo'!$B$35:$C$57,2,FALSE),0%)</f>
        <v>0</v>
      </c>
      <c r="AYV11" s="5">
        <f>IFERROR(VLOOKUP(AYV$1,'Renta Mixta Agresivo'!$B$35:$C$57,2,FALSE),0%)</f>
        <v>0</v>
      </c>
      <c r="AYW11" s="5">
        <f>IFERROR(VLOOKUP(AYW$1,'Renta Mixta Agresivo'!$B$35:$C$57,2,FALSE),0%)</f>
        <v>0</v>
      </c>
      <c r="AYX11" s="5">
        <f>IFERROR(VLOOKUP(AYX$1,'Renta Mixta Agresivo'!$B$35:$C$57,2,FALSE),0%)</f>
        <v>0</v>
      </c>
      <c r="AYY11" s="5">
        <f>IFERROR(VLOOKUP(AYY$1,'Renta Mixta Agresivo'!$B$35:$C$57,2,FALSE),0%)</f>
        <v>0</v>
      </c>
      <c r="AYZ11" s="5">
        <f>IFERROR(VLOOKUP(AYZ$1,'Renta Mixta Agresivo'!$B$35:$C$57,2,FALSE),0%)</f>
        <v>0</v>
      </c>
      <c r="AZA11" s="5">
        <f>IFERROR(VLOOKUP(AZA$1,'Renta Mixta Agresivo'!$B$35:$C$57,2,FALSE),0%)</f>
        <v>0</v>
      </c>
      <c r="AZB11" s="5">
        <f>IFERROR(VLOOKUP(AZB$1,'Renta Mixta Agresivo'!$B$35:$C$57,2,FALSE),0%)</f>
        <v>0</v>
      </c>
      <c r="AZC11" s="5">
        <f>IFERROR(VLOOKUP(AZC$1,'Renta Mixta Agresivo'!$B$35:$C$57,2,FALSE),0%)</f>
        <v>0</v>
      </c>
      <c r="AZD11" s="5">
        <f>IFERROR(VLOOKUP(AZD$1,'Renta Mixta Agresivo'!$B$35:$C$57,2,FALSE),0%)</f>
        <v>0</v>
      </c>
      <c r="AZE11" s="5">
        <f>IFERROR(VLOOKUP(AZE$1,'Renta Mixta Agresivo'!$B$35:$C$57,2,FALSE),0%)</f>
        <v>0</v>
      </c>
      <c r="AZF11" s="5">
        <f>IFERROR(VLOOKUP(AZF$1,'Renta Mixta Agresivo'!$B$35:$C$57,2,FALSE),0%)</f>
        <v>0</v>
      </c>
      <c r="AZG11" s="5">
        <f>IFERROR(VLOOKUP(AZG$1,'Renta Mixta Agresivo'!$B$35:$C$57,2,FALSE),0%)</f>
        <v>0</v>
      </c>
      <c r="AZH11" s="5">
        <f>IFERROR(VLOOKUP(AZH$1,'Renta Mixta Agresivo'!$B$35:$C$57,2,FALSE),0%)</f>
        <v>0</v>
      </c>
      <c r="AZI11" s="5">
        <f>IFERROR(VLOOKUP(AZI$1,'Renta Mixta Agresivo'!$B$35:$C$57,2,FALSE),0%)</f>
        <v>0</v>
      </c>
      <c r="AZJ11" s="5">
        <f>IFERROR(VLOOKUP(AZJ$1,'Renta Mixta Agresivo'!$B$35:$C$57,2,FALSE),0%)</f>
        <v>0</v>
      </c>
      <c r="AZK11" s="5">
        <f>IFERROR(VLOOKUP(AZK$1,'Renta Mixta Agresivo'!$B$35:$C$57,2,FALSE),0%)</f>
        <v>0</v>
      </c>
      <c r="AZL11" s="5">
        <f>IFERROR(VLOOKUP(AZL$1,'Renta Mixta Agresivo'!$B$35:$C$57,2,FALSE),0%)</f>
        <v>0</v>
      </c>
      <c r="AZM11" s="5">
        <f>IFERROR(VLOOKUP(AZM$1,'Renta Mixta Agresivo'!$B$35:$C$57,2,FALSE),0%)</f>
        <v>0</v>
      </c>
      <c r="AZN11" s="5">
        <f>IFERROR(VLOOKUP(AZN$1,'Renta Mixta Agresivo'!$B$35:$C$57,2,FALSE),0%)</f>
        <v>0</v>
      </c>
      <c r="AZO11" s="5">
        <f>IFERROR(VLOOKUP(AZO$1,'Renta Mixta Agresivo'!$B$35:$C$57,2,FALSE),0%)</f>
        <v>0</v>
      </c>
      <c r="AZP11" s="5">
        <f>IFERROR(VLOOKUP(AZP$1,'Renta Mixta Agresivo'!$B$35:$C$57,2,FALSE),0%)</f>
        <v>0</v>
      </c>
      <c r="AZQ11" s="5">
        <f>IFERROR(VLOOKUP(AZQ$1,'Renta Mixta Agresivo'!$B$35:$C$57,2,FALSE),0%)</f>
        <v>0</v>
      </c>
      <c r="AZR11" s="5">
        <f>IFERROR(VLOOKUP(AZR$1,'Renta Mixta Agresivo'!$B$35:$C$57,2,FALSE),0%)</f>
        <v>0</v>
      </c>
      <c r="AZS11" s="5">
        <f>IFERROR(VLOOKUP(AZS$1,'Renta Mixta Agresivo'!$B$35:$C$57,2,FALSE),0%)</f>
        <v>0</v>
      </c>
      <c r="AZT11" s="5">
        <f>IFERROR(VLOOKUP(AZT$1,'Renta Mixta Agresivo'!$B$35:$C$57,2,FALSE),0%)</f>
        <v>0</v>
      </c>
      <c r="AZU11" s="5">
        <f>IFERROR(VLOOKUP(AZU$1,'Renta Mixta Agresivo'!$B$35:$C$57,2,FALSE),0%)</f>
        <v>0</v>
      </c>
      <c r="AZV11" s="5">
        <f>IFERROR(VLOOKUP(AZV$1,'Renta Mixta Agresivo'!$B$35:$C$57,2,FALSE),0%)</f>
        <v>0</v>
      </c>
      <c r="AZW11" s="5">
        <f>IFERROR(VLOOKUP(AZW$1,'Renta Mixta Agresivo'!$B$35:$C$57,2,FALSE),0%)</f>
        <v>0</v>
      </c>
      <c r="AZX11" s="5">
        <f>IFERROR(VLOOKUP(AZX$1,'Renta Mixta Agresivo'!$B$35:$C$57,2,FALSE),0%)</f>
        <v>0</v>
      </c>
      <c r="AZY11" s="5">
        <f>IFERROR(VLOOKUP(AZY$1,'Renta Mixta Agresivo'!$B$35:$C$57,2,FALSE),0%)</f>
        <v>0</v>
      </c>
      <c r="AZZ11" s="5">
        <f>IFERROR(VLOOKUP(AZZ$1,'Renta Mixta Agresivo'!$B$35:$C$57,2,FALSE),0%)</f>
        <v>0</v>
      </c>
      <c r="BAA11" s="5">
        <f>IFERROR(VLOOKUP(BAA$1,'Renta Mixta Agresivo'!$B$35:$C$57,2,FALSE),0%)</f>
        <v>0</v>
      </c>
      <c r="BAB11" s="5">
        <f>IFERROR(VLOOKUP(BAB$1,'Renta Mixta Agresivo'!$B$35:$C$57,2,FALSE),0%)</f>
        <v>0</v>
      </c>
      <c r="BAC11" s="5">
        <f>IFERROR(VLOOKUP(BAC$1,'Renta Mixta Agresivo'!$B$35:$C$57,2,FALSE),0%)</f>
        <v>0</v>
      </c>
      <c r="BAD11" s="5">
        <f>IFERROR(VLOOKUP(BAD$1,'Renta Mixta Agresivo'!$B$35:$C$57,2,FALSE),0%)</f>
        <v>0</v>
      </c>
      <c r="BAE11" s="5">
        <f>IFERROR(VLOOKUP(BAE$1,'Renta Mixta Agresivo'!$B$35:$C$57,2,FALSE),0%)</f>
        <v>0</v>
      </c>
      <c r="BAF11" s="5">
        <f>IFERROR(VLOOKUP(BAF$1,'Renta Mixta Agresivo'!$B$35:$C$57,2,FALSE),0%)</f>
        <v>0</v>
      </c>
      <c r="BAG11" s="5">
        <f>IFERROR(VLOOKUP(BAG$1,'Renta Mixta Agresivo'!$B$35:$C$57,2,FALSE),0%)</f>
        <v>0</v>
      </c>
      <c r="BAH11" s="5">
        <f>IFERROR(VLOOKUP(BAH$1,'Renta Mixta Agresivo'!$B$35:$C$57,2,FALSE),0%)</f>
        <v>0</v>
      </c>
      <c r="BAI11" s="5">
        <f>IFERROR(VLOOKUP(BAI$1,'Renta Mixta Agresivo'!$B$35:$C$57,2,FALSE),0%)</f>
        <v>0</v>
      </c>
      <c r="BAJ11" s="5">
        <f>IFERROR(VLOOKUP(BAJ$1,'Renta Mixta Agresivo'!$B$35:$C$57,2,FALSE),0%)</f>
        <v>0</v>
      </c>
      <c r="BAK11" s="5">
        <f>IFERROR(VLOOKUP(BAK$1,'Renta Mixta Agresivo'!$B$35:$C$57,2,FALSE),0%)</f>
        <v>0</v>
      </c>
      <c r="BAL11" s="5">
        <f>IFERROR(VLOOKUP(BAL$1,'Renta Mixta Agresivo'!$B$35:$C$57,2,FALSE),0%)</f>
        <v>0</v>
      </c>
      <c r="BAM11" s="5">
        <f>IFERROR(VLOOKUP(BAM$1,'Renta Mixta Agresivo'!$B$35:$C$57,2,FALSE),0%)</f>
        <v>0</v>
      </c>
      <c r="BAN11" s="5">
        <f>IFERROR(VLOOKUP(BAN$1,'Renta Mixta Agresivo'!$B$35:$C$57,2,FALSE),0%)</f>
        <v>0</v>
      </c>
      <c r="BAO11" s="5">
        <f>IFERROR(VLOOKUP(BAO$1,'Renta Mixta Agresivo'!$B$35:$C$57,2,FALSE),0%)</f>
        <v>0</v>
      </c>
      <c r="BAP11" s="5">
        <f>IFERROR(VLOOKUP(BAP$1,'Renta Mixta Agresivo'!$B$35:$C$57,2,FALSE),0%)</f>
        <v>0</v>
      </c>
      <c r="BAQ11" s="5">
        <f>IFERROR(VLOOKUP(BAQ$1,'Renta Mixta Agresivo'!$B$35:$C$57,2,FALSE),0%)</f>
        <v>0</v>
      </c>
      <c r="BAR11" s="5">
        <f>IFERROR(VLOOKUP(BAR$1,'Renta Mixta Agresivo'!$B$35:$C$57,2,FALSE),0%)</f>
        <v>0</v>
      </c>
      <c r="BAS11" s="5">
        <f>IFERROR(VLOOKUP(BAS$1,'Renta Mixta Agresivo'!$B$35:$C$57,2,FALSE),0%)</f>
        <v>0</v>
      </c>
      <c r="BAT11" s="5">
        <f>IFERROR(VLOOKUP(BAT$1,'Renta Mixta Agresivo'!$B$35:$C$57,2,FALSE),0%)</f>
        <v>0</v>
      </c>
      <c r="BAU11" s="5">
        <f>IFERROR(VLOOKUP(BAU$1,'Renta Mixta Agresivo'!$B$35:$C$57,2,FALSE),0%)</f>
        <v>0</v>
      </c>
      <c r="BAV11" s="5">
        <f>IFERROR(VLOOKUP(BAV$1,'Renta Mixta Agresivo'!$B$35:$C$57,2,FALSE),0%)</f>
        <v>0</v>
      </c>
      <c r="BAW11" s="5">
        <f>IFERROR(VLOOKUP(BAW$1,'Renta Mixta Agresivo'!$B$35:$C$57,2,FALSE),0%)</f>
        <v>0</v>
      </c>
      <c r="BAX11" s="5">
        <f>IFERROR(VLOOKUP(BAX$1,'Renta Mixta Agresivo'!$B$35:$C$57,2,FALSE),0%)</f>
        <v>0</v>
      </c>
      <c r="BAY11" s="5">
        <f>IFERROR(VLOOKUP(BAY$1,'Renta Mixta Agresivo'!$B$35:$C$57,2,FALSE),0%)</f>
        <v>0</v>
      </c>
      <c r="BAZ11" s="5">
        <f>IFERROR(VLOOKUP(BAZ$1,'Renta Mixta Agresivo'!$B$35:$C$57,2,FALSE),0%)</f>
        <v>0</v>
      </c>
      <c r="BBA11" s="5">
        <f>IFERROR(VLOOKUP(BBA$1,'Renta Mixta Agresivo'!$B$35:$C$57,2,FALSE),0%)</f>
        <v>0</v>
      </c>
      <c r="BBB11" s="5">
        <f>IFERROR(VLOOKUP(BBB$1,'Renta Mixta Agresivo'!$B$35:$C$57,2,FALSE),0%)</f>
        <v>0</v>
      </c>
      <c r="BBC11" s="5">
        <f>IFERROR(VLOOKUP(BBC$1,'Renta Mixta Agresivo'!$B$35:$C$57,2,FALSE),0%)</f>
        <v>0</v>
      </c>
      <c r="BBD11" s="5">
        <f>IFERROR(VLOOKUP(BBD$1,'Renta Mixta Agresivo'!$B$35:$C$57,2,FALSE),0%)</f>
        <v>0</v>
      </c>
      <c r="BBE11" s="5">
        <f>IFERROR(VLOOKUP(BBE$1,'Renta Mixta Agresivo'!$B$35:$C$57,2,FALSE),0%)</f>
        <v>0</v>
      </c>
      <c r="BBF11" s="5">
        <f>IFERROR(VLOOKUP(BBF$1,'Renta Mixta Agresivo'!$B$35:$C$57,2,FALSE),0%)</f>
        <v>0</v>
      </c>
      <c r="BBG11" s="5">
        <f>IFERROR(VLOOKUP(BBG$1,'Renta Mixta Agresivo'!$B$35:$C$57,2,FALSE),0%)</f>
        <v>0</v>
      </c>
      <c r="BBH11" s="5">
        <f>IFERROR(VLOOKUP(BBH$1,'Renta Mixta Agresivo'!$B$35:$C$57,2,FALSE),0%)</f>
        <v>0</v>
      </c>
      <c r="BBI11" s="5">
        <f>IFERROR(VLOOKUP(BBI$1,'Renta Mixta Agresivo'!$B$35:$C$57,2,FALSE),0%)</f>
        <v>0</v>
      </c>
      <c r="BBJ11" s="5">
        <f>IFERROR(VLOOKUP(BBJ$1,'Renta Mixta Agresivo'!$B$35:$C$57,2,FALSE),0%)</f>
        <v>0</v>
      </c>
      <c r="BBK11" s="5">
        <f>IFERROR(VLOOKUP(BBK$1,'Renta Mixta Agresivo'!$B$35:$C$57,2,FALSE),0%)</f>
        <v>0</v>
      </c>
      <c r="BBL11" s="5">
        <f>IFERROR(VLOOKUP(BBL$1,'Renta Mixta Agresivo'!$B$35:$C$57,2,FALSE),0%)</f>
        <v>0</v>
      </c>
      <c r="BBM11" s="5">
        <f>IFERROR(VLOOKUP(BBM$1,'Renta Mixta Agresivo'!$B$35:$C$57,2,FALSE),0%)</f>
        <v>0</v>
      </c>
      <c r="BBN11" s="5">
        <f>IFERROR(VLOOKUP(BBN$1,'Renta Mixta Agresivo'!$B$35:$C$57,2,FALSE),0%)</f>
        <v>0</v>
      </c>
      <c r="BBO11" s="5">
        <f>IFERROR(VLOOKUP(BBO$1,'Renta Mixta Agresivo'!$B$35:$C$57,2,FALSE),0%)</f>
        <v>0</v>
      </c>
      <c r="BBP11" s="5">
        <f>IFERROR(VLOOKUP(BBP$1,'Renta Mixta Agresivo'!$B$35:$C$57,2,FALSE),0%)</f>
        <v>0</v>
      </c>
      <c r="BBQ11" s="5">
        <f>IFERROR(VLOOKUP(BBQ$1,'Renta Mixta Agresivo'!$B$35:$C$57,2,FALSE),0%)</f>
        <v>0</v>
      </c>
      <c r="BBR11" s="5">
        <f>IFERROR(VLOOKUP(BBR$1,'Renta Mixta Agresivo'!$B$35:$C$57,2,FALSE),0%)</f>
        <v>0</v>
      </c>
      <c r="BBS11" s="5">
        <f>IFERROR(VLOOKUP(BBS$1,'Renta Mixta Agresivo'!$B$35:$C$57,2,FALSE),0%)</f>
        <v>0</v>
      </c>
      <c r="BBT11" s="5">
        <f>IFERROR(VLOOKUP(BBT$1,'Renta Mixta Agresivo'!$B$35:$C$57,2,FALSE),0%)</f>
        <v>0</v>
      </c>
      <c r="BBU11" s="5">
        <f>IFERROR(VLOOKUP(BBU$1,'Renta Mixta Agresivo'!$B$35:$C$57,2,FALSE),0%)</f>
        <v>0</v>
      </c>
      <c r="BBV11" s="5">
        <f>IFERROR(VLOOKUP(BBV$1,'Renta Mixta Agresivo'!$B$35:$C$57,2,FALSE),0%)</f>
        <v>0</v>
      </c>
      <c r="BBW11" s="5">
        <f>IFERROR(VLOOKUP(BBW$1,'Renta Mixta Agresivo'!$B$35:$C$57,2,FALSE),0%)</f>
        <v>0</v>
      </c>
      <c r="BBX11" s="5">
        <f>IFERROR(VLOOKUP(BBX$1,'Renta Mixta Agresivo'!$B$35:$C$57,2,FALSE),0%)</f>
        <v>0</v>
      </c>
      <c r="BBY11" s="5">
        <f>IFERROR(VLOOKUP(BBY$1,'Renta Mixta Agresivo'!$B$35:$C$57,2,FALSE),0%)</f>
        <v>0</v>
      </c>
      <c r="BBZ11" s="5">
        <f>IFERROR(VLOOKUP(BBZ$1,'Renta Mixta Agresivo'!$B$35:$C$57,2,FALSE),0%)</f>
        <v>0</v>
      </c>
      <c r="BCA11" s="5">
        <f>IFERROR(VLOOKUP(BCA$1,'Renta Mixta Agresivo'!$B$35:$C$57,2,FALSE),0%)</f>
        <v>0</v>
      </c>
      <c r="BCB11" s="5">
        <f>IFERROR(VLOOKUP(BCB$1,'Renta Mixta Agresivo'!$B$35:$C$57,2,FALSE),0%)</f>
        <v>0</v>
      </c>
      <c r="BCC11" s="5">
        <f>IFERROR(VLOOKUP(BCC$1,'Renta Mixta Agresivo'!$B$35:$C$57,2,FALSE),0%)</f>
        <v>0</v>
      </c>
      <c r="BCD11" s="5">
        <f>IFERROR(VLOOKUP(BCD$1,'Renta Mixta Agresivo'!$B$35:$C$57,2,FALSE),0%)</f>
        <v>0</v>
      </c>
      <c r="BCE11" s="5">
        <f>IFERROR(VLOOKUP(BCE$1,'Renta Mixta Agresivo'!$B$35:$C$57,2,FALSE),0%)</f>
        <v>0</v>
      </c>
      <c r="BCF11" s="5">
        <f>IFERROR(VLOOKUP(BCF$1,'Renta Mixta Agresivo'!$B$35:$C$57,2,FALSE),0%)</f>
        <v>0</v>
      </c>
      <c r="BCG11" s="5">
        <f>IFERROR(VLOOKUP(BCG$1,'Renta Mixta Agresivo'!$B$35:$C$57,2,FALSE),0%)</f>
        <v>0</v>
      </c>
      <c r="BCH11" s="5">
        <f>IFERROR(VLOOKUP(BCH$1,'Renta Mixta Agresivo'!$B$35:$C$57,2,FALSE),0%)</f>
        <v>0</v>
      </c>
      <c r="BCI11" s="5">
        <f>IFERROR(VLOOKUP(BCI$1,'Renta Mixta Agresivo'!$B$35:$C$57,2,FALSE),0%)</f>
        <v>0</v>
      </c>
      <c r="BCJ11" s="5">
        <f>IFERROR(VLOOKUP(BCJ$1,'Renta Mixta Agresivo'!$B$35:$C$57,2,FALSE),0%)</f>
        <v>0</v>
      </c>
      <c r="BCK11" s="5">
        <f>IFERROR(VLOOKUP(BCK$1,'Renta Mixta Agresivo'!$B$35:$C$57,2,FALSE),0%)</f>
        <v>0</v>
      </c>
      <c r="BCL11" s="5">
        <f>IFERROR(VLOOKUP(BCL$1,'Renta Mixta Agresivo'!$B$35:$C$57,2,FALSE),0%)</f>
        <v>0</v>
      </c>
      <c r="BCM11" s="5">
        <f>IFERROR(VLOOKUP(BCM$1,'Renta Mixta Agresivo'!$B$35:$C$57,2,FALSE),0%)</f>
        <v>0.0343</v>
      </c>
      <c r="BCN11" s="5">
        <f>IFERROR(VLOOKUP(BCN$1,'Renta Mixta Agresivo'!$B$35:$C$57,2,FALSE),0%)</f>
        <v>0</v>
      </c>
      <c r="BCO11" s="5">
        <f>IFERROR(VLOOKUP(BCO$1,'Renta Mixta Agresivo'!$B$35:$C$57,2,FALSE),0%)</f>
        <v>0</v>
      </c>
      <c r="BCP11" s="5">
        <f>IFERROR(VLOOKUP(BCP$1,'Renta Mixta Agresivo'!$B$35:$C$57,2,FALSE),0%)</f>
        <v>0</v>
      </c>
      <c r="BCQ11" s="5">
        <f>IFERROR(VLOOKUP(BCQ$1,'Renta Mixta Agresivo'!$B$35:$C$57,2,FALSE),0%)</f>
        <v>0</v>
      </c>
      <c r="BCR11" s="5">
        <f>IFERROR(VLOOKUP(BCR$1,'Renta Mixta Agresivo'!$B$35:$C$57,2,FALSE),0%)</f>
        <v>0</v>
      </c>
      <c r="BCS11" s="5">
        <f>IFERROR(VLOOKUP(BCS$1,'Renta Mixta Agresivo'!$B$35:$C$57,2,FALSE),0%)</f>
        <v>0</v>
      </c>
      <c r="BCT11" s="5">
        <f>IFERROR(VLOOKUP(BCT$1,'Renta Mixta Agresivo'!$B$35:$C$57,2,FALSE),0%)</f>
        <v>0</v>
      </c>
      <c r="BCU11" s="5">
        <f>IFERROR(VLOOKUP(BCU$1,'Renta Mixta Agresivo'!$B$35:$C$57,2,FALSE),0%)</f>
        <v>0</v>
      </c>
      <c r="BCV11" s="5">
        <f>IFERROR(VLOOKUP(BCV$1,'Renta Mixta Agresivo'!$B$35:$C$57,2,FALSE),0%)</f>
        <v>0</v>
      </c>
      <c r="BCW11" s="5">
        <f>IFERROR(VLOOKUP(BCW$1,'Renta Mixta Agresivo'!$B$35:$C$57,2,FALSE),0%)</f>
        <v>0</v>
      </c>
      <c r="BCX11" s="5">
        <f>IFERROR(VLOOKUP(BCX$1,'Renta Mixta Agresivo'!$B$35:$C$57,2,FALSE),0%)</f>
        <v>0</v>
      </c>
      <c r="BCY11" s="5">
        <f>IFERROR(VLOOKUP(BCY$1,'Renta Mixta Agresivo'!$B$35:$C$57,2,FALSE),0%)</f>
        <v>0</v>
      </c>
      <c r="BCZ11" s="5">
        <f>IFERROR(VLOOKUP(BCZ$1,'Renta Mixta Agresivo'!$B$35:$C$57,2,FALSE),0%)</f>
        <v>0</v>
      </c>
      <c r="BDA11" s="5">
        <f>IFERROR(VLOOKUP(BDA$1,'Renta Mixta Agresivo'!$B$35:$C$57,2,FALSE),0%)</f>
        <v>0</v>
      </c>
      <c r="BDB11" s="5">
        <f>IFERROR(VLOOKUP(BDB$1,'Renta Mixta Agresivo'!$B$35:$C$57,2,FALSE),0%)</f>
        <v>0</v>
      </c>
      <c r="BDC11" s="5">
        <f>IFERROR(VLOOKUP(BDC$1,'Renta Mixta Agresivo'!$B$35:$C$57,2,FALSE),0%)</f>
        <v>0</v>
      </c>
      <c r="BDD11" s="5">
        <f>IFERROR(VLOOKUP(BDD$1,'Renta Mixta Agresivo'!$B$35:$C$57,2,FALSE),0%)</f>
        <v>0</v>
      </c>
      <c r="BDE11" s="5">
        <f>IFERROR(VLOOKUP(BDE$1,'Renta Mixta Agresivo'!$B$35:$C$57,2,FALSE),0%)</f>
        <v>0</v>
      </c>
      <c r="BDF11" s="5">
        <f>IFERROR(VLOOKUP(BDF$1,'Renta Mixta Agresivo'!$B$35:$C$57,2,FALSE),0%)</f>
        <v>0</v>
      </c>
      <c r="BDG11" s="5">
        <f>IFERROR(VLOOKUP(BDG$1,'Renta Mixta Agresivo'!$B$35:$C$57,2,FALSE),0%)</f>
        <v>0</v>
      </c>
      <c r="BDH11" s="5">
        <f>IFERROR(VLOOKUP(BDH$1,'Renta Mixta Agresivo'!$B$35:$C$57,2,FALSE),0%)</f>
        <v>0</v>
      </c>
      <c r="BDI11" s="5">
        <f>IFERROR(VLOOKUP(BDI$1,'Renta Mixta Agresivo'!$B$35:$C$57,2,FALSE),0%)</f>
        <v>0</v>
      </c>
      <c r="BDJ11" s="5">
        <f>IFERROR(VLOOKUP(BDJ$1,'Renta Mixta Agresivo'!$B$35:$C$57,2,FALSE),0%)</f>
        <v>0</v>
      </c>
      <c r="BDK11" s="5">
        <f>IFERROR(VLOOKUP(BDK$1,'Renta Mixta Agresivo'!$B$35:$C$57,2,FALSE),0%)</f>
        <v>0</v>
      </c>
      <c r="BDL11" s="5">
        <f>IFERROR(VLOOKUP(BDL$1,'Renta Mixta Agresivo'!$B$35:$C$57,2,FALSE),0%)</f>
        <v>0</v>
      </c>
      <c r="BDM11" s="5">
        <f>IFERROR(VLOOKUP(BDM$1,'Renta Mixta Agresivo'!$B$35:$C$57,2,FALSE),0%)</f>
        <v>0</v>
      </c>
      <c r="BDN11" s="5">
        <f>IFERROR(VLOOKUP(BDN$1,'Renta Mixta Agresivo'!$B$35:$C$57,2,FALSE),0%)</f>
        <v>0</v>
      </c>
      <c r="BDO11" s="5">
        <f>IFERROR(VLOOKUP(BDO$1,'Renta Mixta Agresivo'!$B$35:$C$57,2,FALSE),0%)</f>
        <v>0</v>
      </c>
      <c r="BDP11" s="5">
        <f>IFERROR(VLOOKUP(BDP$1,'Renta Mixta Agresivo'!$B$35:$C$57,2,FALSE),0%)</f>
        <v>0</v>
      </c>
      <c r="BDQ11" s="5">
        <f>IFERROR(VLOOKUP(BDQ$1,'Renta Mixta Agresivo'!$B$35:$C$57,2,FALSE),0%)</f>
        <v>0</v>
      </c>
      <c r="BDR11" s="5">
        <f>IFERROR(VLOOKUP(BDR$1,'Renta Mixta Agresivo'!$B$35:$C$57,2,FALSE),0%)</f>
        <v>0</v>
      </c>
      <c r="BDS11" s="5">
        <f>IFERROR(VLOOKUP(BDS$1,'Renta Mixta Agresivo'!$B$35:$C$57,2,FALSE),0%)</f>
        <v>0</v>
      </c>
      <c r="BDT11" s="5">
        <f>IFERROR(VLOOKUP(BDT$1,'Renta Mixta Agresivo'!$B$35:$C$57,2,FALSE),0%)</f>
        <v>0</v>
      </c>
      <c r="BDU11" s="5">
        <f>IFERROR(VLOOKUP(BDU$1,'Renta Mixta Agresivo'!$B$35:$C$57,2,FALSE),0%)</f>
        <v>0</v>
      </c>
      <c r="BDV11" s="5">
        <f>IFERROR(VLOOKUP(BDV$1,'Renta Mixta Agresivo'!$B$35:$C$57,2,FALSE),0%)</f>
        <v>0</v>
      </c>
      <c r="BDW11" s="5">
        <f>IFERROR(VLOOKUP(BDW$1,'Renta Mixta Agresivo'!$B$35:$C$57,2,FALSE),0%)</f>
        <v>0</v>
      </c>
      <c r="BDX11" s="5">
        <f>IFERROR(VLOOKUP(BDX$1,'Renta Mixta Agresivo'!$B$35:$C$57,2,FALSE),0%)</f>
        <v>0</v>
      </c>
      <c r="BDY11" s="5">
        <f>IFERROR(VLOOKUP(BDY$1,'Renta Mixta Agresivo'!$B$35:$C$57,2,FALSE),0%)</f>
        <v>0</v>
      </c>
      <c r="BDZ11" s="5">
        <f>IFERROR(VLOOKUP(BDZ$1,'Renta Mixta Agresivo'!$B$35:$C$57,2,FALSE),0%)</f>
        <v>0</v>
      </c>
      <c r="BEA11" s="5">
        <f>IFERROR(VLOOKUP(BEA$1,'Renta Mixta Agresivo'!$B$35:$C$57,2,FALSE),0%)</f>
        <v>0</v>
      </c>
      <c r="BEB11" s="5">
        <f>IFERROR(VLOOKUP(BEB$1,'Renta Mixta Agresivo'!$B$35:$C$57,2,FALSE),0%)</f>
        <v>0</v>
      </c>
      <c r="BEC11" s="5">
        <f>IFERROR(VLOOKUP(BEC$1,'Renta Mixta Agresivo'!$B$35:$C$57,2,FALSE),0%)</f>
        <v>0</v>
      </c>
      <c r="BED11" s="5">
        <f>IFERROR(VLOOKUP(BED$1,'Renta Mixta Agresivo'!$B$35:$C$57,2,FALSE),0%)</f>
        <v>0</v>
      </c>
      <c r="BEE11" s="5">
        <f>IFERROR(VLOOKUP(BEE$1,'Renta Mixta Agresivo'!$B$35:$C$57,2,FALSE),0%)</f>
        <v>0</v>
      </c>
      <c r="BEF11" s="5">
        <f>IFERROR(VLOOKUP(BEF$1,'Renta Mixta Agresivo'!$B$35:$C$57,2,FALSE),0%)</f>
        <v>0</v>
      </c>
      <c r="BEG11" s="5">
        <f>IFERROR(VLOOKUP(BEG$1,'Renta Mixta Agresivo'!$B$35:$C$57,2,FALSE),0%)</f>
        <v>0</v>
      </c>
      <c r="BEH11" s="5">
        <f>IFERROR(VLOOKUP(BEH$1,'Renta Mixta Agresivo'!$B$35:$C$57,2,FALSE),0%)</f>
        <v>0</v>
      </c>
      <c r="BEI11" s="5">
        <f>IFERROR(VLOOKUP(BEI$1,'Renta Mixta Agresivo'!$B$35:$C$57,2,FALSE),0%)</f>
        <v>0</v>
      </c>
      <c r="BEJ11" s="5">
        <f>IFERROR(VLOOKUP(BEJ$1,'Renta Mixta Agresivo'!$B$35:$C$57,2,FALSE),0%)</f>
        <v>0</v>
      </c>
      <c r="BEK11" s="5">
        <f>IFERROR(VLOOKUP(BEK$1,'Renta Mixta Agresivo'!$B$35:$C$57,2,FALSE),0%)</f>
        <v>0</v>
      </c>
      <c r="BEL11" s="5">
        <f>IFERROR(VLOOKUP(BEL$1,'Renta Mixta Agresivo'!$B$35:$C$57,2,FALSE),0%)</f>
        <v>0</v>
      </c>
      <c r="BEM11" s="5">
        <f>IFERROR(VLOOKUP(BEM$1,'Renta Mixta Agresivo'!$B$35:$C$57,2,FALSE),0%)</f>
        <v>0</v>
      </c>
      <c r="BEN11" s="5">
        <f>IFERROR(VLOOKUP(BEN$1,'Renta Mixta Agresivo'!$B$35:$C$57,2,FALSE),0%)</f>
        <v>0</v>
      </c>
      <c r="BEO11" s="5">
        <f>IFERROR(VLOOKUP(BEO$1,'Renta Mixta Agresivo'!$B$35:$C$57,2,FALSE),0%)</f>
        <v>0</v>
      </c>
      <c r="BEP11" s="5">
        <f>IFERROR(VLOOKUP(BEP$1,'Renta Mixta Agresivo'!$B$35:$C$57,2,FALSE),0%)</f>
        <v>0</v>
      </c>
      <c r="BEQ11" s="5">
        <f>IFERROR(VLOOKUP(BEQ$1,'Renta Mixta Agresivo'!$B$35:$C$57,2,FALSE),0%)</f>
        <v>0</v>
      </c>
      <c r="BER11" s="5">
        <f>IFERROR(VLOOKUP(BER$1,'Renta Mixta Agresivo'!$B$35:$C$57,2,FALSE),0%)</f>
        <v>0</v>
      </c>
      <c r="BES11" s="5">
        <f>IFERROR(VLOOKUP(BES$1,'Renta Mixta Agresivo'!$B$35:$C$57,2,FALSE),0%)</f>
        <v>0</v>
      </c>
      <c r="BET11" s="5">
        <f>IFERROR(VLOOKUP(BET$1,'Renta Mixta Agresivo'!$B$35:$C$57,2,FALSE),0%)</f>
        <v>0</v>
      </c>
      <c r="BEU11" s="5">
        <f>IFERROR(VLOOKUP(BEU$1,'Renta Mixta Agresivo'!$B$35:$C$57,2,FALSE),0%)</f>
        <v>0</v>
      </c>
      <c r="BEV11" s="5">
        <f>IFERROR(VLOOKUP(BEV$1,'Renta Mixta Agresivo'!$B$35:$C$57,2,FALSE),0%)</f>
        <v>0</v>
      </c>
      <c r="BEW11" s="5">
        <f>IFERROR(VLOOKUP(BEW$1,'Renta Mixta Agresivo'!$B$35:$C$57,2,FALSE),0%)</f>
        <v>0</v>
      </c>
      <c r="BEX11" s="5">
        <f>IFERROR(VLOOKUP(BEX$1,'Renta Mixta Agresivo'!$B$35:$C$57,2,FALSE),0%)</f>
        <v>0</v>
      </c>
      <c r="BEY11" s="5">
        <f>IFERROR(VLOOKUP(BEY$1,'Renta Mixta Agresivo'!$B$35:$C$57,2,FALSE),0%)</f>
        <v>0.05143760101</v>
      </c>
      <c r="BEZ11" s="5">
        <f>IFERROR(VLOOKUP(BEZ$1,'Renta Mixta Agresivo'!$B$35:$C$57,2,FALSE),0%)</f>
        <v>0</v>
      </c>
      <c r="BFA11" s="5">
        <f>IFERROR(VLOOKUP(BFA$1,'Renta Mixta Agresivo'!$B$35:$C$57,2,FALSE),0%)</f>
        <v>0</v>
      </c>
      <c r="BFB11" s="5">
        <f>IFERROR(VLOOKUP(BFB$1,'Renta Mixta Agresivo'!$B$35:$C$57,2,FALSE),0%)</f>
        <v>0</v>
      </c>
      <c r="BFC11" s="5">
        <f>IFERROR(VLOOKUP(BFC$1,'Renta Mixta Agresivo'!$B$35:$C$57,2,FALSE),0%)</f>
        <v>0</v>
      </c>
      <c r="BFD11" s="5">
        <f>IFERROR(VLOOKUP(BFD$1,'Renta Mixta Agresivo'!$B$35:$C$57,2,FALSE),0%)</f>
        <v>0</v>
      </c>
      <c r="BFE11" s="5">
        <f>IFERROR(VLOOKUP(BFE$1,'Renta Mixta Agresivo'!$B$35:$C$57,2,FALSE),0%)</f>
        <v>0</v>
      </c>
      <c r="BFF11" s="5">
        <f>IFERROR(VLOOKUP(BFF$1,'Renta Mixta Agresivo'!$B$35:$C$57,2,FALSE),0%)</f>
        <v>0</v>
      </c>
      <c r="BFG11" s="5">
        <f>IFERROR(VLOOKUP(BFG$1,'Renta Mixta Agresivo'!$B$35:$C$57,2,FALSE),0%)</f>
        <v>0</v>
      </c>
      <c r="BFH11" s="5">
        <f>IFERROR(VLOOKUP(BFH$1,'Renta Mixta Agresivo'!$B$35:$C$57,2,FALSE),0%)</f>
        <v>0</v>
      </c>
      <c r="BFI11" s="5">
        <f>IFERROR(VLOOKUP(BFI$1,'Renta Mixta Agresivo'!$B$35:$C$57,2,FALSE),0%)</f>
        <v>0</v>
      </c>
      <c r="BFJ11" s="5">
        <f>IFERROR(VLOOKUP(BFJ$1,'Renta Mixta Agresivo'!$B$35:$C$57,2,FALSE),0%)</f>
        <v>0</v>
      </c>
      <c r="BFK11" s="5">
        <f>IFERROR(VLOOKUP(BFK$1,'Renta Mixta Agresivo'!$B$35:$C$57,2,FALSE),0%)</f>
        <v>0</v>
      </c>
      <c r="BFL11" s="5">
        <f>IFERROR(VLOOKUP(BFL$1,'Renta Mixta Agresivo'!$B$35:$C$57,2,FALSE),0%)</f>
        <v>0</v>
      </c>
      <c r="BFM11" s="5">
        <f>IFERROR(VLOOKUP(BFM$1,'Renta Mixta Agresivo'!$B$35:$C$57,2,FALSE),0%)</f>
        <v>0</v>
      </c>
      <c r="BFN11" s="5">
        <f>IFERROR(VLOOKUP(BFN$1,'Renta Mixta Agresivo'!$B$35:$C$57,2,FALSE),0%)</f>
        <v>0</v>
      </c>
      <c r="BFO11" s="5">
        <f>IFERROR(VLOOKUP(BFO$1,'Renta Mixta Agresivo'!$B$35:$C$57,2,FALSE),0%)</f>
        <v>0</v>
      </c>
      <c r="BFP11" s="5">
        <f>IFERROR(VLOOKUP(BFP$1,'Renta Mixta Agresivo'!$B$35:$C$57,2,FALSE),0%)</f>
        <v>0</v>
      </c>
      <c r="BFQ11" s="5">
        <f>IFERROR(VLOOKUP(BFQ$1,'Renta Mixta Agresivo'!$B$35:$C$57,2,FALSE),0%)</f>
        <v>0</v>
      </c>
      <c r="BFR11" s="5">
        <f>IFERROR(VLOOKUP(BFR$1,'Renta Mixta Agresivo'!$B$35:$C$57,2,FALSE),0%)</f>
        <v>0</v>
      </c>
      <c r="BFS11" s="5">
        <f>IFERROR(VLOOKUP(BFS$1,'Renta Mixta Agresivo'!$B$35:$C$57,2,FALSE),0%)</f>
        <v>0</v>
      </c>
      <c r="BFT11" s="5">
        <f>IFERROR(VLOOKUP(BFT$1,'Renta Mixta Agresivo'!$B$35:$C$57,2,FALSE),0%)</f>
        <v>0</v>
      </c>
      <c r="BFU11" s="5">
        <f>IFERROR(VLOOKUP(BFU$1,'Renta Mixta Agresivo'!$B$35:$C$57,2,FALSE),0%)</f>
        <v>0</v>
      </c>
      <c r="BFV11" s="5">
        <f>IFERROR(VLOOKUP(BFV$1,'Renta Mixta Agresivo'!$B$35:$C$57,2,FALSE),0%)</f>
        <v>0</v>
      </c>
      <c r="BFW11" s="5">
        <f>IFERROR(VLOOKUP(BFW$1,'Renta Mixta Agresivo'!$B$35:$C$57,2,FALSE),0%)</f>
        <v>0</v>
      </c>
      <c r="BFX11" s="5">
        <f>IFERROR(VLOOKUP(BFX$1,'Renta Mixta Agresivo'!$B$35:$C$57,2,FALSE),0%)</f>
        <v>0</v>
      </c>
      <c r="BFY11" s="5">
        <f>IFERROR(VLOOKUP(BFY$1,'Renta Mixta Agresivo'!$B$35:$C$57,2,FALSE),0%)</f>
        <v>0</v>
      </c>
      <c r="BFZ11" s="5">
        <f>IFERROR(VLOOKUP(BFZ$1,'Renta Mixta Agresivo'!$B$35:$C$57,2,FALSE),0%)</f>
        <v>0</v>
      </c>
      <c r="BGA11" s="5">
        <f>IFERROR(VLOOKUP(BGA$1,'Renta Mixta Agresivo'!$B$35:$C$57,2,FALSE),0%)</f>
        <v>0</v>
      </c>
      <c r="BGB11" s="5">
        <f>IFERROR(VLOOKUP(BGB$1,'Renta Mixta Agresivo'!$B$35:$C$57,2,FALSE),0%)</f>
        <v>0</v>
      </c>
      <c r="BGC11" s="5">
        <f>IFERROR(VLOOKUP(BGC$1,'Renta Mixta Agresivo'!$B$35:$C$57,2,FALSE),0%)</f>
        <v>0</v>
      </c>
      <c r="BGD11" s="5">
        <f>IFERROR(VLOOKUP(BGD$1,'Renta Mixta Agresivo'!$B$35:$C$57,2,FALSE),0%)</f>
        <v>0</v>
      </c>
      <c r="BGE11" s="5">
        <f>IFERROR(VLOOKUP(BGE$1,'Renta Mixta Agresivo'!$B$35:$C$57,2,FALSE),0%)</f>
        <v>0</v>
      </c>
      <c r="BGF11" s="5">
        <f>IFERROR(VLOOKUP(BGF$1,'Renta Mixta Agresivo'!$B$35:$C$57,2,FALSE),0%)</f>
        <v>0</v>
      </c>
      <c r="BGG11" s="5">
        <f>IFERROR(VLOOKUP(BGG$1,'Renta Mixta Agresivo'!$B$35:$C$57,2,FALSE),0%)</f>
        <v>0</v>
      </c>
      <c r="BGH11" s="5">
        <f>IFERROR(VLOOKUP(BGH$1,'Renta Mixta Agresivo'!$B$35:$C$57,2,FALSE),0%)</f>
        <v>0</v>
      </c>
      <c r="BGI11" s="5">
        <f>IFERROR(VLOOKUP(BGI$1,'Renta Mixta Agresivo'!$B$35:$C$57,2,FALSE),0%)</f>
        <v>0</v>
      </c>
      <c r="BGJ11" s="5">
        <f>IFERROR(VLOOKUP(BGJ$1,'Renta Mixta Agresivo'!$B$35:$C$57,2,FALSE),0%)</f>
        <v>0</v>
      </c>
      <c r="BGK11" s="5">
        <f>IFERROR(VLOOKUP(BGK$1,'Renta Mixta Agresivo'!$B$35:$C$57,2,FALSE),0%)</f>
        <v>0</v>
      </c>
      <c r="BGL11" s="5">
        <f>IFERROR(VLOOKUP(BGL$1,'Renta Mixta Agresivo'!$B$35:$C$57,2,FALSE),0%)</f>
        <v>0</v>
      </c>
      <c r="BGM11" s="5">
        <f>IFERROR(VLOOKUP(BGM$1,'Renta Mixta Agresivo'!$B$35:$C$57,2,FALSE),0%)</f>
        <v>0</v>
      </c>
      <c r="BGN11" s="5">
        <f>IFERROR(VLOOKUP(BGN$1,'Renta Mixta Agresivo'!$B$35:$C$57,2,FALSE),0%)</f>
        <v>0.0140241358</v>
      </c>
      <c r="BGO11" s="5">
        <f>IFERROR(VLOOKUP(BGO$1,'Renta Mixta Agresivo'!$B$35:$C$57,2,FALSE),0%)</f>
        <v>0</v>
      </c>
      <c r="BGP11" s="5">
        <f>IFERROR(VLOOKUP(BGP$1,'Renta Mixta Agresivo'!$B$35:$C$57,2,FALSE),0%)</f>
        <v>0</v>
      </c>
      <c r="BGQ11" s="5">
        <f>IFERROR(VLOOKUP(BGQ$1,'Renta Mixta Agresivo'!$B$35:$C$57,2,FALSE),0%)</f>
        <v>0</v>
      </c>
      <c r="BGR11" s="5">
        <f>IFERROR(VLOOKUP(BGR$1,'Renta Mixta Agresivo'!$B$35:$C$57,2,FALSE),0%)</f>
        <v>0</v>
      </c>
      <c r="BGS11" s="5">
        <f>IFERROR(VLOOKUP(BGS$1,'Renta Mixta Agresivo'!$B$35:$C$57,2,FALSE),0%)</f>
        <v>0</v>
      </c>
      <c r="BGT11" s="5">
        <f>IFERROR(VLOOKUP(BGT$1,'Renta Mixta Agresivo'!$B$35:$C$57,2,FALSE),0%)</f>
        <v>0</v>
      </c>
      <c r="BGU11" s="5">
        <f>IFERROR(VLOOKUP(BGU$1,'Renta Mixta Agresivo'!$B$35:$C$57,2,FALSE),0%)</f>
        <v>0</v>
      </c>
      <c r="BGV11" s="5">
        <f>IFERROR(VLOOKUP(BGV$1,'Renta Mixta Agresivo'!$B$35:$C$57,2,FALSE),0%)</f>
        <v>0</v>
      </c>
      <c r="BGW11" s="5">
        <f>IFERROR(VLOOKUP(BGW$1,'Renta Mixta Agresivo'!$B$35:$C$57,2,FALSE),0%)</f>
        <v>0</v>
      </c>
      <c r="BGX11" s="5">
        <f>IFERROR(VLOOKUP(BGX$1,'Renta Mixta Agresivo'!$B$35:$C$57,2,FALSE),0%)</f>
        <v>0</v>
      </c>
      <c r="BGY11" s="5">
        <f>IFERROR(VLOOKUP(BGY$1,'Renta Mixta Agresivo'!$B$35:$C$57,2,FALSE),0%)</f>
        <v>0</v>
      </c>
      <c r="BGZ11" s="5">
        <f>IFERROR(VLOOKUP(BGZ$1,'Renta Mixta Agresivo'!$B$35:$C$57,2,FALSE),0%)</f>
        <v>0</v>
      </c>
      <c r="BHA11" s="5">
        <f>IFERROR(VLOOKUP(BHA$1,'Renta Mixta Agresivo'!$B$35:$C$57,2,FALSE),0%)</f>
        <v>0</v>
      </c>
      <c r="BHB11" s="5">
        <f>IFERROR(VLOOKUP(BHB$1,'Renta Mixta Agresivo'!$B$35:$C$57,2,FALSE),0%)</f>
        <v>0</v>
      </c>
      <c r="BHC11" s="5">
        <f>IFERROR(VLOOKUP(BHC$1,'Renta Mixta Agresivo'!$B$35:$C$57,2,FALSE),0%)</f>
        <v>0</v>
      </c>
      <c r="BHD11" s="5">
        <f>IFERROR(VLOOKUP(BHD$1,'Renta Mixta Agresivo'!$B$35:$C$57,2,FALSE),0%)</f>
        <v>0</v>
      </c>
      <c r="BHE11" s="5">
        <f>IFERROR(VLOOKUP(BHE$1,'Renta Mixta Agresivo'!$B$35:$C$57,2,FALSE),0%)</f>
        <v>0</v>
      </c>
      <c r="BHF11" s="5">
        <f>IFERROR(VLOOKUP(BHF$1,'Renta Mixta Agresivo'!$B$35:$C$57,2,FALSE),0%)</f>
        <v>0</v>
      </c>
      <c r="BHG11" s="5">
        <f>IFERROR(VLOOKUP(BHG$1,'Renta Mixta Agresivo'!$B$35:$C$57,2,FALSE),0%)</f>
        <v>0</v>
      </c>
      <c r="BHH11" s="5">
        <f>IFERROR(VLOOKUP(BHH$1,'Renta Mixta Agresivo'!$B$35:$C$57,2,FALSE),0%)</f>
        <v>0</v>
      </c>
      <c r="BHI11" s="5">
        <f>IFERROR(VLOOKUP(BHI$1,'Renta Mixta Agresivo'!$B$35:$C$57,2,FALSE),0%)</f>
        <v>0</v>
      </c>
      <c r="BHJ11" s="5">
        <f>IFERROR(VLOOKUP(BHJ$1,'Renta Mixta Agresivo'!$B$35:$C$57,2,FALSE),0%)</f>
        <v>0</v>
      </c>
      <c r="BHK11" s="5">
        <f>IFERROR(VLOOKUP(BHK$1,'Renta Mixta Agresivo'!$B$35:$C$57,2,FALSE),0%)</f>
        <v>0</v>
      </c>
      <c r="BHL11" s="5">
        <f>IFERROR(VLOOKUP(BHL$1,'Renta Mixta Agresivo'!$B$35:$C$57,2,FALSE),0%)</f>
        <v>0</v>
      </c>
      <c r="BHM11" s="5">
        <f>IFERROR(VLOOKUP(BHM$1,'Renta Mixta Agresivo'!$B$35:$C$57,2,FALSE),0%)</f>
        <v>0</v>
      </c>
      <c r="BHN11" s="5">
        <f>IFERROR(VLOOKUP(BHN$1,'Renta Mixta Agresivo'!$B$35:$C$57,2,FALSE),0%)</f>
        <v>0</v>
      </c>
      <c r="BHO11" s="5">
        <f>IFERROR(VLOOKUP(BHO$1,'Renta Mixta Agresivo'!$B$35:$C$57,2,FALSE),0%)</f>
        <v>0</v>
      </c>
      <c r="BHP11" s="5">
        <f>IFERROR(VLOOKUP(BHP$1,'Renta Mixta Agresivo'!$B$35:$C$57,2,FALSE),0%)</f>
        <v>0</v>
      </c>
      <c r="BHQ11" s="5">
        <f>IFERROR(VLOOKUP(BHQ$1,'Renta Mixta Agresivo'!$B$35:$C$57,2,FALSE),0%)</f>
        <v>0</v>
      </c>
      <c r="BHR11" s="5">
        <f>IFERROR(VLOOKUP(BHR$1,'Renta Mixta Agresivo'!$B$35:$C$57,2,FALSE),0%)</f>
        <v>0</v>
      </c>
      <c r="BHS11" s="5">
        <f>IFERROR(VLOOKUP(BHS$1,'Renta Mixta Agresivo'!$B$35:$C$57,2,FALSE),0%)</f>
        <v>0</v>
      </c>
      <c r="BHT11" s="5">
        <f>IFERROR(VLOOKUP(BHT$1,'Renta Mixta Agresivo'!$B$35:$C$57,2,FALSE),0%)</f>
        <v>0</v>
      </c>
      <c r="BHU11" s="5">
        <f>IFERROR(VLOOKUP(BHU$1,'Renta Mixta Agresivo'!$B$35:$C$57,2,FALSE),0%)</f>
        <v>0</v>
      </c>
      <c r="BHV11" s="5">
        <f>IFERROR(VLOOKUP(BHV$1,'Renta Mixta Agresivo'!$B$35:$C$57,2,FALSE),0%)</f>
        <v>0</v>
      </c>
      <c r="BHW11" s="5">
        <f>IFERROR(VLOOKUP(BHW$1,'Renta Mixta Agresivo'!$B$35:$C$57,2,FALSE),0%)</f>
        <v>0</v>
      </c>
      <c r="BHX11" s="5">
        <f>IFERROR(VLOOKUP(BHX$1,'Renta Mixta Agresivo'!$B$35:$C$57,2,FALSE),0%)</f>
        <v>0</v>
      </c>
      <c r="BHY11" s="5">
        <f>IFERROR(VLOOKUP(BHY$1,'Renta Mixta Agresivo'!$B$35:$C$57,2,FALSE),0%)</f>
        <v>0</v>
      </c>
      <c r="BHZ11" s="5">
        <f>IFERROR(VLOOKUP(BHZ$1,'Renta Mixta Agresivo'!$B$35:$C$57,2,FALSE),0%)</f>
        <v>0</v>
      </c>
      <c r="BIA11" s="5">
        <f>IFERROR(VLOOKUP(BIA$1,'Renta Mixta Agresivo'!$B$35:$C$57,2,FALSE),0%)</f>
        <v>0</v>
      </c>
      <c r="BIB11" s="5">
        <f>IFERROR(VLOOKUP(BIB$1,'Renta Mixta Agresivo'!$B$35:$C$57,2,FALSE),0%)</f>
        <v>0</v>
      </c>
      <c r="BIC11" s="5">
        <f>IFERROR(VLOOKUP(BIC$1,'Renta Mixta Agresivo'!$B$35:$C$57,2,FALSE),0%)</f>
        <v>0</v>
      </c>
      <c r="BID11" s="5">
        <f>IFERROR(VLOOKUP(BID$1,'Renta Mixta Agresivo'!$B$35:$C$57,2,FALSE),0%)</f>
        <v>0</v>
      </c>
      <c r="BIE11" s="5">
        <f>IFERROR(VLOOKUP(BIE$1,'Renta Mixta Agresivo'!$B$35:$C$57,2,FALSE),0%)</f>
        <v>0</v>
      </c>
      <c r="BIF11" s="5">
        <f>IFERROR(VLOOKUP(BIF$1,'Renta Mixta Agresivo'!$B$35:$C$57,2,FALSE),0%)</f>
        <v>0</v>
      </c>
      <c r="BIG11" s="5">
        <f>IFERROR(VLOOKUP(BIG$1,'Renta Mixta Agresivo'!$B$35:$C$57,2,FALSE),0%)</f>
        <v>0</v>
      </c>
      <c r="BIH11" s="5">
        <f>IFERROR(VLOOKUP(BIH$1,'Renta Mixta Agresivo'!$B$35:$C$57,2,FALSE),0%)</f>
        <v>0</v>
      </c>
      <c r="BII11" s="5">
        <f>IFERROR(VLOOKUP(BII$1,'Renta Mixta Agresivo'!$B$35:$C$57,2,FALSE),0%)</f>
        <v>0</v>
      </c>
      <c r="BIJ11" s="5">
        <f>IFERROR(VLOOKUP(BIJ$1,'Renta Mixta Agresivo'!$B$35:$C$57,2,FALSE),0%)</f>
        <v>0</v>
      </c>
      <c r="BIK11" s="5">
        <f>IFERROR(VLOOKUP(BIK$1,'Renta Mixta Agresivo'!$B$35:$C$57,2,FALSE),0%)</f>
        <v>0</v>
      </c>
      <c r="BIL11" s="5">
        <f>IFERROR(VLOOKUP(BIL$1,'Renta Mixta Agresivo'!$B$35:$C$57,2,FALSE),0%)</f>
        <v>0</v>
      </c>
      <c r="BIM11" s="5">
        <f>IFERROR(VLOOKUP(BIM$1,'Renta Mixta Agresivo'!$B$35:$C$57,2,FALSE),0%)</f>
        <v>0</v>
      </c>
      <c r="BIN11" s="5">
        <f>IFERROR(VLOOKUP(BIN$1,'Renta Mixta Agresivo'!$B$35:$C$57,2,FALSE),0%)</f>
        <v>0</v>
      </c>
      <c r="BIO11" s="5">
        <f>IFERROR(VLOOKUP(BIO$1,'Renta Mixta Agresivo'!$B$35:$C$57,2,FALSE),0%)</f>
        <v>0</v>
      </c>
      <c r="BIP11" s="5">
        <f>IFERROR(VLOOKUP(BIP$1,'Renta Mixta Agresivo'!$B$35:$C$57,2,FALSE),0%)</f>
        <v>0</v>
      </c>
      <c r="BIQ11" s="5">
        <f>IFERROR(VLOOKUP(BIQ$1,'Renta Mixta Agresivo'!$B$35:$C$57,2,FALSE),0%)</f>
        <v>0</v>
      </c>
      <c r="BIR11" s="5">
        <f>IFERROR(VLOOKUP(BIR$1,'Renta Mixta Agresivo'!$B$35:$C$57,2,FALSE),0%)</f>
        <v>0</v>
      </c>
      <c r="BIS11" s="5">
        <f>IFERROR(VLOOKUP(BIS$1,'Renta Mixta Agresivo'!$B$35:$C$57,2,FALSE),0%)</f>
        <v>0</v>
      </c>
      <c r="BIT11" s="5">
        <f>IFERROR(VLOOKUP(BIT$1,'Renta Mixta Agresivo'!$B$35:$C$57,2,FALSE),0%)</f>
        <v>0</v>
      </c>
      <c r="BIU11" s="5">
        <f>IFERROR(VLOOKUP(BIU$1,'Renta Mixta Agresivo'!$B$35:$C$57,2,FALSE),0%)</f>
        <v>0</v>
      </c>
      <c r="BIV11" s="5">
        <f>IFERROR(VLOOKUP(BIV$1,'Renta Mixta Agresivo'!$B$35:$C$57,2,FALSE),0%)</f>
        <v>0</v>
      </c>
      <c r="BIW11" s="5">
        <f>IFERROR(VLOOKUP(BIW$1,'Renta Mixta Agresivo'!$B$35:$C$57,2,FALSE),0%)</f>
        <v>0</v>
      </c>
      <c r="BIX11" s="5">
        <f>IFERROR(VLOOKUP(BIX$1,'Renta Mixta Agresivo'!$B$35:$C$57,2,FALSE),0%)</f>
        <v>0</v>
      </c>
      <c r="BIY11" s="5">
        <f>IFERROR(VLOOKUP(BIY$1,'Renta Mixta Agresivo'!$B$35:$C$57,2,FALSE),0%)</f>
        <v>0</v>
      </c>
      <c r="BIZ11" s="5">
        <f>IFERROR(VLOOKUP(BIZ$1,'Renta Mixta Agresivo'!$B$35:$C$57,2,FALSE),0%)</f>
        <v>0</v>
      </c>
      <c r="BJA11" s="5">
        <f>IFERROR(VLOOKUP(BJA$1,'Renta Mixta Agresivo'!$B$35:$C$57,2,FALSE),0%)</f>
        <v>0</v>
      </c>
      <c r="BJB11" s="5">
        <f>IFERROR(VLOOKUP(BJB$1,'Renta Mixta Agresivo'!$B$35:$C$57,2,FALSE),0%)</f>
        <v>0</v>
      </c>
      <c r="BJC11" s="5">
        <f>IFERROR(VLOOKUP(BJC$1,'Renta Mixta Agresivo'!$B$35:$C$57,2,FALSE),0%)</f>
        <v>0</v>
      </c>
      <c r="BJD11" s="5">
        <f>IFERROR(VLOOKUP(BJD$1,'Renta Mixta Agresivo'!$B$35:$C$57,2,FALSE),0%)</f>
        <v>0</v>
      </c>
      <c r="BJE11" s="5">
        <f>IFERROR(VLOOKUP(BJE$1,'Renta Mixta Agresivo'!$B$35:$C$57,2,FALSE),0%)</f>
        <v>0</v>
      </c>
      <c r="BJF11" s="5">
        <f>IFERROR(VLOOKUP(BJF$1,'Renta Mixta Agresivo'!$B$35:$C$57,2,FALSE),0%)</f>
        <v>0</v>
      </c>
      <c r="BJG11" s="5">
        <f>IFERROR(VLOOKUP(BJG$1,'Renta Mixta Agresivo'!$B$35:$C$57,2,FALSE),0%)</f>
        <v>0</v>
      </c>
      <c r="BJH11" s="5">
        <f>IFERROR(VLOOKUP(BJH$1,'Renta Mixta Agresivo'!$B$35:$C$57,2,FALSE),0%)</f>
        <v>0</v>
      </c>
      <c r="BJI11" s="5">
        <f>IFERROR(VLOOKUP(BJI$1,'Renta Mixta Agresivo'!$B$35:$C$57,2,FALSE),0%)</f>
        <v>0</v>
      </c>
      <c r="BJJ11" s="5">
        <f>IFERROR(VLOOKUP(BJJ$1,'Renta Mixta Agresivo'!$B$35:$C$57,2,FALSE),0%)</f>
        <v>0</v>
      </c>
      <c r="BJK11" s="5">
        <f>IFERROR(VLOOKUP(BJK$1,'Renta Mixta Agresivo'!$B$35:$C$57,2,FALSE),0%)</f>
        <v>0</v>
      </c>
      <c r="BJL11" s="5">
        <f>IFERROR(VLOOKUP(BJL$1,'Renta Mixta Agresivo'!$B$35:$C$57,2,FALSE),0%)</f>
        <v>0</v>
      </c>
      <c r="BJM11" s="5">
        <f>IFERROR(VLOOKUP(BJM$1,'Renta Mixta Agresivo'!$B$35:$C$57,2,FALSE),0%)</f>
        <v>0</v>
      </c>
      <c r="BJN11" s="5">
        <f>IFERROR(VLOOKUP(BJN$1,'Renta Mixta Agresivo'!$B$35:$C$57,2,FALSE),0%)</f>
        <v>0</v>
      </c>
      <c r="BJO11" s="5">
        <f>IFERROR(VLOOKUP(BJO$1,'Renta Mixta Agresivo'!$B$35:$C$57,2,FALSE),0%)</f>
        <v>0</v>
      </c>
      <c r="BJP11" s="5">
        <f>IFERROR(VLOOKUP(BJP$1,'Renta Mixta Agresivo'!$B$35:$C$57,2,FALSE),0%)</f>
        <v>0</v>
      </c>
      <c r="BJQ11" s="5">
        <f>IFERROR(VLOOKUP(BJQ$1,'Renta Mixta Agresivo'!$B$35:$C$57,2,FALSE),0%)</f>
        <v>0</v>
      </c>
      <c r="BJR11" s="5">
        <f>IFERROR(VLOOKUP(BJR$1,'Renta Mixta Agresivo'!$B$35:$C$57,2,FALSE),0%)</f>
        <v>0</v>
      </c>
      <c r="BJS11" s="5">
        <f>IFERROR(VLOOKUP(BJS$1,'Renta Mixta Agresivo'!$B$35:$C$57,2,FALSE),0%)</f>
        <v>0</v>
      </c>
      <c r="BJT11" s="5">
        <f>IFERROR(VLOOKUP(BJT$1,'Renta Mixta Agresivo'!$B$35:$C$57,2,FALSE),0%)</f>
        <v>0</v>
      </c>
      <c r="BJU11" s="5">
        <f>IFERROR(VLOOKUP(BJU$1,'Renta Mixta Agresivo'!$B$35:$C$57,2,FALSE),0%)</f>
        <v>0</v>
      </c>
      <c r="BJV11" s="5">
        <f>IFERROR(VLOOKUP(BJV$1,'Renta Mixta Agresivo'!$B$35:$C$57,2,FALSE),0%)</f>
        <v>0</v>
      </c>
      <c r="BJW11" s="5">
        <f>IFERROR(VLOOKUP(BJW$1,'Renta Mixta Agresivo'!$B$35:$C$57,2,FALSE),0%)</f>
        <v>0</v>
      </c>
      <c r="BJX11" s="5">
        <f>IFERROR(VLOOKUP(BJX$1,'Renta Mixta Agresivo'!$B$35:$C$57,2,FALSE),0%)</f>
        <v>0</v>
      </c>
      <c r="BJY11" s="5">
        <f>IFERROR(VLOOKUP(BJY$1,'Renta Mixta Agresivo'!$B$35:$C$57,2,FALSE),0%)</f>
        <v>0</v>
      </c>
      <c r="BJZ11" s="5">
        <f>IFERROR(VLOOKUP(BJZ$1,'Renta Mixta Agresivo'!$B$35:$C$57,2,FALSE),0%)</f>
        <v>0</v>
      </c>
      <c r="BKA11" s="5">
        <f>IFERROR(VLOOKUP(BKA$1,'Renta Mixta Agresivo'!$B$35:$C$57,2,FALSE),0%)</f>
        <v>0</v>
      </c>
      <c r="BKB11" s="5">
        <f>IFERROR(VLOOKUP(BKB$1,'Renta Mixta Agresivo'!$B$35:$C$57,2,FALSE),0%)</f>
        <v>0</v>
      </c>
      <c r="BKC11" s="5">
        <f>IFERROR(VLOOKUP(BKC$1,'Renta Mixta Agresivo'!$B$35:$C$57,2,FALSE),0%)</f>
        <v>0</v>
      </c>
      <c r="BKD11" s="5">
        <f>IFERROR(VLOOKUP(BKD$1,'Renta Mixta Agresivo'!$B$35:$C$57,2,FALSE),0%)</f>
        <v>0</v>
      </c>
      <c r="BKE11" s="5">
        <f>IFERROR(VLOOKUP(BKE$1,'Renta Mixta Agresivo'!$B$35:$C$57,2,FALSE),0%)</f>
        <v>0</v>
      </c>
      <c r="BKF11" s="5">
        <f>IFERROR(VLOOKUP(BKF$1,'Renta Mixta Agresivo'!$B$35:$C$57,2,FALSE),0%)</f>
        <v>0</v>
      </c>
      <c r="BKG11" s="5">
        <f>IFERROR(VLOOKUP(BKG$1,'Renta Mixta Agresivo'!$B$35:$C$57,2,FALSE),0%)</f>
        <v>0</v>
      </c>
      <c r="BKH11" s="5">
        <f>IFERROR(VLOOKUP(BKH$1,'Renta Mixta Agresivo'!$B$35:$C$57,2,FALSE),0%)</f>
        <v>0</v>
      </c>
      <c r="BKI11" s="5">
        <f>IFERROR(VLOOKUP(BKI$1,'Renta Mixta Agresivo'!$B$35:$C$57,2,FALSE),0%)</f>
        <v>0</v>
      </c>
      <c r="BKJ11" s="5">
        <f>IFERROR(VLOOKUP(BKJ$1,'Renta Mixta Agresivo'!$B$35:$C$57,2,FALSE),0%)</f>
        <v>0</v>
      </c>
      <c r="BKK11" s="5">
        <f>IFERROR(VLOOKUP(BKK$1,'Renta Mixta Agresivo'!$B$35:$C$57,2,FALSE),0%)</f>
        <v>0</v>
      </c>
      <c r="BKL11" s="5">
        <f>IFERROR(VLOOKUP(BKL$1,'Renta Mixta Agresivo'!$B$35:$C$57,2,FALSE),0%)</f>
        <v>0</v>
      </c>
      <c r="BKM11" s="5">
        <f>IFERROR(VLOOKUP(BKM$1,'Renta Mixta Agresivo'!$B$35:$C$57,2,FALSE),0%)</f>
        <v>0</v>
      </c>
      <c r="BKN11" s="5">
        <f>IFERROR(VLOOKUP(BKN$1,'Renta Mixta Agresivo'!$B$35:$C$57,2,FALSE),0%)</f>
        <v>0</v>
      </c>
      <c r="BKO11" s="5">
        <f>IFERROR(VLOOKUP(BKO$1,'Renta Mixta Agresivo'!$B$35:$C$57,2,FALSE),0%)</f>
        <v>0.07708008459</v>
      </c>
      <c r="BKP11" s="5">
        <f>IFERROR(VLOOKUP(BKP$1,'Renta Mixta Agresivo'!$B$35:$C$57,2,FALSE),0%)</f>
        <v>0</v>
      </c>
      <c r="BKQ11" s="5">
        <f>IFERROR(VLOOKUP(BKQ$1,'Renta Mixta Agresivo'!$B$35:$C$57,2,FALSE),0%)</f>
        <v>0</v>
      </c>
      <c r="BKR11" s="5">
        <f>IFERROR(VLOOKUP(BKR$1,'Renta Mixta Agresivo'!$B$35:$C$57,2,FALSE),0%)</f>
        <v>0</v>
      </c>
      <c r="BKS11" s="5">
        <f>IFERROR(VLOOKUP(BKS$1,'Renta Mixta Agresivo'!$B$35:$C$57,2,FALSE),0%)</f>
        <v>0</v>
      </c>
      <c r="BKT11" s="5">
        <f>IFERROR(VLOOKUP(BKT$1,'Renta Mixta Agresivo'!$B$35:$C$57,2,FALSE),0%)</f>
        <v>0</v>
      </c>
      <c r="BKU11" s="5">
        <f>IFERROR(VLOOKUP(BKU$1,'Renta Mixta Agresivo'!$B$35:$C$57,2,FALSE),0%)</f>
        <v>0</v>
      </c>
      <c r="BKV11" s="5">
        <f>IFERROR(VLOOKUP(BKV$1,'Renta Mixta Agresivo'!$B$35:$C$57,2,FALSE),0%)</f>
        <v>0</v>
      </c>
      <c r="BKW11" s="5">
        <f>IFERROR(VLOOKUP(BKW$1,'Renta Mixta Agresivo'!$B$35:$C$57,2,FALSE),0%)</f>
        <v>0</v>
      </c>
      <c r="BKX11" s="5">
        <f>IFERROR(VLOOKUP(BKX$1,'Renta Mixta Agresivo'!$B$35:$C$57,2,FALSE),0%)</f>
        <v>0</v>
      </c>
      <c r="BKY11" s="5">
        <f>IFERROR(VLOOKUP(BKY$1,'Renta Mixta Agresivo'!$B$35:$C$57,2,FALSE),0%)</f>
        <v>0</v>
      </c>
      <c r="BKZ11" s="5">
        <f>IFERROR(VLOOKUP(BKZ$1,'Renta Mixta Agresivo'!$B$35:$C$57,2,FALSE),0%)</f>
        <v>0</v>
      </c>
      <c r="BLA11" s="5">
        <f>IFERROR(VLOOKUP(BLA$1,'Renta Mixta Agresivo'!$B$35:$C$57,2,FALSE),0%)</f>
        <v>0</v>
      </c>
      <c r="BLB11" s="5">
        <f>IFERROR(VLOOKUP(BLB$1,'Renta Mixta Agresivo'!$B$35:$C$57,2,FALSE),0%)</f>
        <v>0</v>
      </c>
      <c r="BLC11" s="5">
        <f>IFERROR(VLOOKUP(BLC$1,'Renta Mixta Agresivo'!$B$35:$C$57,2,FALSE),0%)</f>
        <v>0</v>
      </c>
      <c r="BLD11" s="5">
        <f>IFERROR(VLOOKUP(BLD$1,'Renta Mixta Agresivo'!$B$35:$C$57,2,FALSE),0%)</f>
        <v>0</v>
      </c>
      <c r="BLE11" s="5">
        <f>IFERROR(VLOOKUP(BLE$1,'Renta Mixta Agresivo'!$B$35:$C$57,2,FALSE),0%)</f>
        <v>0</v>
      </c>
      <c r="BLF11" s="5">
        <f>IFERROR(VLOOKUP(BLF$1,'Renta Mixta Agresivo'!$B$35:$C$57,2,FALSE),0%)</f>
        <v>0</v>
      </c>
      <c r="BLG11" s="5">
        <f>IFERROR(VLOOKUP(BLG$1,'Renta Mixta Agresivo'!$B$35:$C$57,2,FALSE),0%)</f>
        <v>0</v>
      </c>
      <c r="BLH11" s="5">
        <f>IFERROR(VLOOKUP(BLH$1,'Renta Mixta Agresivo'!$B$35:$C$57,2,FALSE),0%)</f>
        <v>0</v>
      </c>
      <c r="BLI11" s="5">
        <f>IFERROR(VLOOKUP(BLI$1,'Renta Mixta Agresivo'!$B$35:$C$57,2,FALSE),0%)</f>
        <v>0</v>
      </c>
      <c r="BLJ11" s="5">
        <f>IFERROR(VLOOKUP(BLJ$1,'Renta Mixta Agresivo'!$B$35:$C$57,2,FALSE),0%)</f>
        <v>0</v>
      </c>
      <c r="BLK11" s="5">
        <f>IFERROR(VLOOKUP(BLK$1,'Renta Mixta Agresivo'!$B$35:$C$57,2,FALSE),0%)</f>
        <v>0</v>
      </c>
      <c r="BLL11" s="5">
        <f>IFERROR(VLOOKUP(BLL$1,'Renta Mixta Agresivo'!$B$35:$C$57,2,FALSE),0%)</f>
        <v>0</v>
      </c>
      <c r="BLM11" s="5">
        <f>IFERROR(VLOOKUP(BLM$1,'Renta Mixta Agresivo'!$B$35:$C$57,2,FALSE),0%)</f>
        <v>0</v>
      </c>
      <c r="BLN11" s="5">
        <f>IFERROR(VLOOKUP(BLN$1,'Renta Mixta Agresivo'!$B$35:$C$57,2,FALSE),0%)</f>
        <v>0</v>
      </c>
      <c r="BLO11" s="5">
        <f>IFERROR(VLOOKUP(BLO$1,'Renta Mixta Agresivo'!$B$35:$C$57,2,FALSE),0%)</f>
        <v>0</v>
      </c>
      <c r="BLP11" s="5">
        <f>IFERROR(VLOOKUP(BLP$1,'Renta Mixta Agresivo'!$B$35:$C$57,2,FALSE),0%)</f>
        <v>0</v>
      </c>
      <c r="BLQ11" s="5">
        <f>IFERROR(VLOOKUP(BLQ$1,'Renta Mixta Agresivo'!$B$35:$C$57,2,FALSE),0%)</f>
        <v>0</v>
      </c>
      <c r="BLR11" s="5">
        <f>IFERROR(VLOOKUP(BLR$1,'Renta Mixta Agresivo'!$B$35:$C$57,2,FALSE),0%)</f>
        <v>0</v>
      </c>
      <c r="BLS11" s="5">
        <f>IFERROR(VLOOKUP(BLS$1,'Renta Mixta Agresivo'!$B$35:$C$57,2,FALSE),0%)</f>
        <v>0</v>
      </c>
      <c r="BLT11" s="5">
        <f>IFERROR(VLOOKUP(BLT$1,'Renta Mixta Agresivo'!$B$35:$C$57,2,FALSE),0%)</f>
        <v>0</v>
      </c>
      <c r="BLU11" s="5">
        <f>IFERROR(VLOOKUP(BLU$1,'Renta Mixta Agresivo'!$B$35:$C$57,2,FALSE),0%)</f>
        <v>0</v>
      </c>
      <c r="BLV11" s="5">
        <f>IFERROR(VLOOKUP(BLV$1,'Renta Mixta Agresivo'!$B$35:$C$57,2,FALSE),0%)</f>
        <v>0</v>
      </c>
      <c r="BLW11" s="5">
        <f>IFERROR(VLOOKUP(BLW$1,'Renta Mixta Agresivo'!$B$35:$C$57,2,FALSE),0%)</f>
        <v>0</v>
      </c>
      <c r="BLX11" s="5">
        <f>IFERROR(VLOOKUP(BLX$1,'Renta Mixta Agresivo'!$B$35:$C$57,2,FALSE),0%)</f>
        <v>0</v>
      </c>
      <c r="BLY11" s="5">
        <f>IFERROR(VLOOKUP(BLY$1,'Renta Mixta Agresivo'!$B$35:$C$57,2,FALSE),0%)</f>
        <v>0</v>
      </c>
      <c r="BLZ11" s="5">
        <f>IFERROR(VLOOKUP(BLZ$1,'Renta Mixta Agresivo'!$B$35:$C$57,2,FALSE),0%)</f>
        <v>0</v>
      </c>
      <c r="BMA11" s="5">
        <f>IFERROR(VLOOKUP(BMA$1,'Renta Mixta Agresivo'!$B$35:$C$57,2,FALSE),0%)</f>
        <v>0</v>
      </c>
      <c r="BMB11" s="5">
        <f>IFERROR(VLOOKUP(BMB$1,'Renta Mixta Agresivo'!$B$35:$C$57,2,FALSE),0%)</f>
        <v>0</v>
      </c>
      <c r="BMC11" s="5">
        <f>IFERROR(VLOOKUP(BMC$1,'Renta Mixta Agresivo'!$B$35:$C$57,2,FALSE),0%)</f>
        <v>0</v>
      </c>
      <c r="BMD11" s="5">
        <f>IFERROR(VLOOKUP(BMD$1,'Renta Mixta Agresivo'!$B$35:$C$57,2,FALSE),0%)</f>
        <v>0</v>
      </c>
      <c r="BME11" s="5">
        <f>IFERROR(VLOOKUP(BME$1,'Renta Mixta Agresivo'!$B$35:$C$57,2,FALSE),0%)</f>
        <v>0</v>
      </c>
      <c r="BMF11" s="5">
        <f>IFERROR(VLOOKUP(BMF$1,'Renta Mixta Agresivo'!$B$35:$C$57,2,FALSE),0%)</f>
        <v>0</v>
      </c>
      <c r="BMG11" s="5">
        <f>IFERROR(VLOOKUP(BMG$1,'Renta Mixta Agresivo'!$B$35:$C$57,2,FALSE),0%)</f>
        <v>0</v>
      </c>
      <c r="BMH11" s="5">
        <f>IFERROR(VLOOKUP(BMH$1,'Renta Mixta Agresivo'!$B$35:$C$57,2,FALSE),0%)</f>
        <v>0</v>
      </c>
      <c r="BMI11" s="5">
        <f>IFERROR(VLOOKUP(BMI$1,'Renta Mixta Agresivo'!$B$35:$C$57,2,FALSE),0%)</f>
        <v>0</v>
      </c>
      <c r="BMJ11" s="5">
        <f>IFERROR(VLOOKUP(BMJ$1,'Renta Mixta Agresivo'!$B$35:$C$57,2,FALSE),0%)</f>
        <v>0</v>
      </c>
      <c r="BMK11" s="5">
        <f>IFERROR(VLOOKUP(BMK$1,'Renta Mixta Agresivo'!$B$35:$C$57,2,FALSE),0%)</f>
        <v>0</v>
      </c>
      <c r="BML11" s="5">
        <f>IFERROR(VLOOKUP(BML$1,'Renta Mixta Agresivo'!$B$35:$C$57,2,FALSE),0%)</f>
        <v>0</v>
      </c>
      <c r="BMM11" s="5">
        <f>IFERROR(VLOOKUP(BMM$1,'Renta Mixta Agresivo'!$B$35:$C$57,2,FALSE),0%)</f>
        <v>0</v>
      </c>
      <c r="BMN11" s="5">
        <f>IFERROR(VLOOKUP(BMN$1,'Renta Mixta Agresivo'!$B$35:$C$57,2,FALSE),0%)</f>
        <v>0</v>
      </c>
      <c r="BMO11" s="5">
        <f>IFERROR(VLOOKUP(BMO$1,'Renta Mixta Agresivo'!$B$35:$C$57,2,FALSE),0%)</f>
        <v>0</v>
      </c>
      <c r="BMP11" s="5">
        <f>IFERROR(VLOOKUP(BMP$1,'Renta Mixta Agresivo'!$B$35:$C$57,2,FALSE),0%)</f>
        <v>0</v>
      </c>
      <c r="BMQ11" s="5">
        <f>IFERROR(VLOOKUP(BMQ$1,'Renta Mixta Agresivo'!$B$35:$C$57,2,FALSE),0%)</f>
        <v>0</v>
      </c>
      <c r="BMR11" s="5">
        <f>IFERROR(VLOOKUP(BMR$1,'Renta Mixta Agresivo'!$B$35:$C$57,2,FALSE),0%)</f>
        <v>0</v>
      </c>
      <c r="BMS11" s="5">
        <f>IFERROR(VLOOKUP(BMS$1,'Renta Mixta Agresivo'!$B$35:$C$57,2,FALSE),0%)</f>
        <v>0</v>
      </c>
      <c r="BMT11" s="5">
        <f>IFERROR(VLOOKUP(BMT$1,'Renta Mixta Agresivo'!$B$35:$C$57,2,FALSE),0%)</f>
        <v>0</v>
      </c>
      <c r="BMU11" s="5">
        <f>IFERROR(VLOOKUP(BMU$1,'Renta Mixta Agresivo'!$B$35:$C$57,2,FALSE),0%)</f>
        <v>0</v>
      </c>
      <c r="BMV11" s="5">
        <f>IFERROR(VLOOKUP(BMV$1,'Renta Mixta Agresivo'!$B$35:$C$57,2,FALSE),0%)</f>
        <v>0</v>
      </c>
      <c r="BMW11" s="5">
        <f>IFERROR(VLOOKUP(BMW$1,'Renta Mixta Agresivo'!$B$35:$C$57,2,FALSE),0%)</f>
        <v>0</v>
      </c>
      <c r="BMX11" s="5">
        <f>IFERROR(VLOOKUP(BMX$1,'Renta Mixta Agresivo'!$B$35:$C$57,2,FALSE),0%)</f>
        <v>0</v>
      </c>
      <c r="BMY11" s="5">
        <f>IFERROR(VLOOKUP(BMY$1,'Renta Mixta Agresivo'!$B$35:$C$57,2,FALSE),0%)</f>
        <v>0</v>
      </c>
      <c r="BMZ11" s="5">
        <f>IFERROR(VLOOKUP(BMZ$1,'Renta Mixta Agresivo'!$B$35:$C$57,2,FALSE),0%)</f>
        <v>0</v>
      </c>
      <c r="BNA11" s="5">
        <f>IFERROR(VLOOKUP(BNA$1,'Renta Mixta Agresivo'!$B$35:$C$57,2,FALSE),0%)</f>
        <v>0</v>
      </c>
      <c r="BNB11" s="5">
        <f>IFERROR(VLOOKUP(BNB$1,'Renta Mixta Agresivo'!$B$35:$C$57,2,FALSE),0%)</f>
        <v>0</v>
      </c>
      <c r="BNC11" s="5">
        <f>IFERROR(VLOOKUP(BNC$1,'Renta Mixta Agresivo'!$B$35:$C$57,2,FALSE),0%)</f>
        <v>0</v>
      </c>
      <c r="BND11" s="5">
        <f>IFERROR(VLOOKUP(BND$1,'Renta Mixta Agresivo'!$B$35:$C$57,2,FALSE),0%)</f>
        <v>0</v>
      </c>
      <c r="BNE11" s="5">
        <f>IFERROR(VLOOKUP(BNE$1,'Renta Mixta Agresivo'!$B$35:$C$57,2,FALSE),0%)</f>
        <v>0</v>
      </c>
      <c r="BNF11" s="5">
        <f>IFERROR(VLOOKUP(BNF$1,'Renta Mixta Agresivo'!$B$35:$C$57,2,FALSE),0%)</f>
        <v>0</v>
      </c>
      <c r="BNG11" s="5">
        <f>IFERROR(VLOOKUP(BNG$1,'Renta Mixta Agresivo'!$B$35:$C$57,2,FALSE),0%)</f>
        <v>0</v>
      </c>
      <c r="BNH11" s="5">
        <f>IFERROR(VLOOKUP(BNH$1,'Renta Mixta Agresivo'!$B$35:$C$57,2,FALSE),0%)</f>
        <v>0</v>
      </c>
      <c r="BNI11" s="5">
        <f>IFERROR(VLOOKUP(BNI$1,'Renta Mixta Agresivo'!$B$35:$C$57,2,FALSE),0%)</f>
        <v>0</v>
      </c>
      <c r="BNJ11" s="5">
        <f>IFERROR(VLOOKUP(BNJ$1,'Renta Mixta Agresivo'!$B$35:$C$57,2,FALSE),0%)</f>
        <v>0</v>
      </c>
      <c r="BNK11" s="5">
        <f>IFERROR(VLOOKUP(BNK$1,'Renta Mixta Agresivo'!$B$35:$C$57,2,FALSE),0%)</f>
        <v>0</v>
      </c>
      <c r="BNL11" s="5">
        <f>IFERROR(VLOOKUP(BNL$1,'Renta Mixta Agresivo'!$B$35:$C$57,2,FALSE),0%)</f>
        <v>0</v>
      </c>
      <c r="BNM11" s="5">
        <f>IFERROR(VLOOKUP(BNM$1,'Renta Mixta Agresivo'!$B$35:$C$57,2,FALSE),0%)</f>
        <v>0</v>
      </c>
      <c r="BNN11" s="5">
        <f>IFERROR(VLOOKUP(BNN$1,'Renta Mixta Agresivo'!$B$35:$C$57,2,FALSE),0%)</f>
        <v>0</v>
      </c>
      <c r="BNO11" s="5">
        <f>IFERROR(VLOOKUP(BNO$1,'Renta Mixta Agresivo'!$B$35:$C$57,2,FALSE),0%)</f>
        <v>0</v>
      </c>
      <c r="BNP11" s="5">
        <f>IFERROR(VLOOKUP(BNP$1,'Renta Mixta Agresivo'!$B$35:$C$57,2,FALSE),0%)</f>
        <v>0</v>
      </c>
      <c r="BNQ11" s="5">
        <f>IFERROR(VLOOKUP(BNQ$1,'Renta Mixta Agresivo'!$B$35:$C$57,2,FALSE),0%)</f>
        <v>0</v>
      </c>
      <c r="BNR11" s="5">
        <f>IFERROR(VLOOKUP(BNR$1,'Renta Mixta Agresivo'!$B$35:$C$57,2,FALSE),0%)</f>
        <v>0</v>
      </c>
      <c r="BNS11" s="5">
        <f>IFERROR(VLOOKUP(BNS$1,'Renta Mixta Agresivo'!$B$35:$C$57,2,FALSE),0%)</f>
        <v>0</v>
      </c>
      <c r="BNT11" s="5">
        <f>IFERROR(VLOOKUP(BNT$1,'Renta Mixta Agresivo'!$B$35:$C$57,2,FALSE),0%)</f>
        <v>0</v>
      </c>
      <c r="BNU11" s="5">
        <f>IFERROR(VLOOKUP(BNU$1,'Renta Mixta Agresivo'!$B$35:$C$57,2,FALSE),0%)</f>
        <v>0</v>
      </c>
      <c r="BNV11" s="5">
        <f>IFERROR(VLOOKUP(BNV$1,'Renta Mixta Agresivo'!$B$35:$C$57,2,FALSE),0%)</f>
        <v>0</v>
      </c>
      <c r="BNW11" s="5">
        <f>IFERROR(VLOOKUP(BNW$1,'Renta Mixta Agresivo'!$B$35:$C$57,2,FALSE),0%)</f>
        <v>0</v>
      </c>
      <c r="BNX11" s="5">
        <f>IFERROR(VLOOKUP(BNX$1,'Renta Mixta Agresivo'!$B$35:$C$57,2,FALSE),0%)</f>
        <v>0</v>
      </c>
      <c r="BNY11" s="5">
        <f>IFERROR(VLOOKUP(BNY$1,'Renta Mixta Agresivo'!$B$35:$C$57,2,FALSE),0%)</f>
        <v>0</v>
      </c>
      <c r="BNZ11" s="5">
        <f>IFERROR(VLOOKUP(BNZ$1,'Renta Mixta Agresivo'!$B$35:$C$57,2,FALSE),0%)</f>
        <v>0</v>
      </c>
      <c r="BOA11" s="5">
        <f>IFERROR(VLOOKUP(BOA$1,'Renta Mixta Agresivo'!$B$35:$C$57,2,FALSE),0%)</f>
        <v>0</v>
      </c>
      <c r="BOB11" s="5">
        <f>IFERROR(VLOOKUP(BOB$1,'Renta Mixta Agresivo'!$B$35:$C$57,2,FALSE),0%)</f>
        <v>0</v>
      </c>
      <c r="BOC11" s="5">
        <f>IFERROR(VLOOKUP(BOC$1,'Renta Mixta Agresivo'!$B$35:$C$57,2,FALSE),0%)</f>
        <v>0</v>
      </c>
      <c r="BOD11" s="5">
        <f>IFERROR(VLOOKUP(BOD$1,'Renta Mixta Agresivo'!$B$35:$C$57,2,FALSE),0%)</f>
        <v>0</v>
      </c>
      <c r="BOE11" s="5">
        <f>IFERROR(VLOOKUP(BOE$1,'Renta Mixta Agresivo'!$B$35:$C$57,2,FALSE),0%)</f>
        <v>0</v>
      </c>
      <c r="BOF11" s="5">
        <f>IFERROR(VLOOKUP(BOF$1,'Renta Mixta Agresivo'!$B$35:$C$57,2,FALSE),0%)</f>
        <v>0</v>
      </c>
      <c r="BOG11" s="5">
        <f>IFERROR(VLOOKUP(BOG$1,'Renta Mixta Agresivo'!$B$35:$C$57,2,FALSE),0%)</f>
        <v>0</v>
      </c>
      <c r="BOH11" s="5">
        <f>IFERROR(VLOOKUP(BOH$1,'Renta Mixta Agresivo'!$B$35:$C$57,2,FALSE),0%)</f>
        <v>0</v>
      </c>
      <c r="BOI11" s="5">
        <f>IFERROR(VLOOKUP(BOI$1,'Renta Mixta Agresivo'!$B$35:$C$57,2,FALSE),0%)</f>
        <v>0</v>
      </c>
      <c r="BOJ11" s="5">
        <f>IFERROR(VLOOKUP(BOJ$1,'Renta Mixta Agresivo'!$B$35:$C$57,2,FALSE),0%)</f>
        <v>0</v>
      </c>
      <c r="BOK11" s="5">
        <f>IFERROR(VLOOKUP(BOK$1,'Renta Mixta Agresivo'!$B$35:$C$57,2,FALSE),0%)</f>
        <v>0</v>
      </c>
      <c r="BOL11" s="5">
        <f>IFERROR(VLOOKUP(BOL$1,'Renta Mixta Agresivo'!$B$35:$C$57,2,FALSE),0%)</f>
        <v>0</v>
      </c>
      <c r="BOM11" s="5">
        <f>IFERROR(VLOOKUP(BOM$1,'Renta Mixta Agresivo'!$B$35:$C$57,2,FALSE),0%)</f>
        <v>0</v>
      </c>
      <c r="BON11" s="5">
        <f>IFERROR(VLOOKUP(BON$1,'Renta Mixta Agresivo'!$B$35:$C$57,2,FALSE),0%)</f>
        <v>0</v>
      </c>
      <c r="BOO11" s="5">
        <f>IFERROR(VLOOKUP(BOO$1,'Renta Mixta Agresivo'!$B$35:$C$57,2,FALSE),0%)</f>
        <v>0</v>
      </c>
      <c r="BOP11" s="5">
        <f>IFERROR(VLOOKUP(BOP$1,'Renta Mixta Agresivo'!$B$35:$C$57,2,FALSE),0%)</f>
        <v>0</v>
      </c>
      <c r="BOQ11" s="5">
        <f>IFERROR(VLOOKUP(BOQ$1,'Renta Mixta Agresivo'!$B$35:$C$57,2,FALSE),0%)</f>
        <v>0</v>
      </c>
      <c r="BOR11" s="5">
        <f>IFERROR(VLOOKUP(BOR$1,'Renta Mixta Agresivo'!$B$35:$C$57,2,FALSE),0%)</f>
        <v>0.1320823144</v>
      </c>
      <c r="BOS11" s="5">
        <f>IFERROR(VLOOKUP(BOS$1,'Renta Mixta Agresivo'!$B$35:$C$57,2,FALSE),0%)</f>
        <v>0</v>
      </c>
      <c r="BOT11" s="5">
        <f>IFERROR(VLOOKUP(BOT$1,'Renta Mixta Agresivo'!$B$35:$C$57,2,FALSE),0%)</f>
        <v>0</v>
      </c>
      <c r="BOU11" s="5">
        <f>IFERROR(VLOOKUP(BOU$1,'Renta Mixta Agresivo'!$B$35:$C$57,2,FALSE),0%)</f>
        <v>0</v>
      </c>
      <c r="BOV11" s="5">
        <f>IFERROR(VLOOKUP(BOV$1,'Renta Mixta Agresivo'!$B$35:$C$57,2,FALSE),0%)</f>
        <v>0</v>
      </c>
      <c r="BOW11" s="5">
        <f>IFERROR(VLOOKUP(BOW$1,'Renta Mixta Agresivo'!$B$35:$C$57,2,FALSE),0%)</f>
        <v>0</v>
      </c>
      <c r="BOX11" s="5">
        <f>IFERROR(VLOOKUP(BOX$1,'Renta Mixta Agresivo'!$B$35:$C$57,2,FALSE),0%)</f>
        <v>0</v>
      </c>
      <c r="BOY11" s="5">
        <f>IFERROR(VLOOKUP(BOY$1,'Renta Mixta Agresivo'!$B$35:$C$57,2,FALSE),0%)</f>
        <v>0</v>
      </c>
      <c r="BOZ11" s="5">
        <f>IFERROR(VLOOKUP(BOZ$1,'Renta Mixta Agresivo'!$B$35:$C$57,2,FALSE),0%)</f>
        <v>0</v>
      </c>
      <c r="BPA11" s="5">
        <f>IFERROR(VLOOKUP(BPA$1,'Renta Mixta Agresivo'!$B$35:$C$57,2,FALSE),0%)</f>
        <v>0</v>
      </c>
      <c r="BPB11" s="5">
        <f>IFERROR(VLOOKUP(BPB$1,'Renta Mixta Agresivo'!$B$35:$C$57,2,FALSE),0%)</f>
        <v>0</v>
      </c>
      <c r="BPC11" s="5">
        <f>IFERROR(VLOOKUP(BPC$1,'Renta Mixta Agresivo'!$B$35:$C$57,2,FALSE),0%)</f>
        <v>0</v>
      </c>
      <c r="BPD11" s="5">
        <f>IFERROR(VLOOKUP(BPD$1,'Renta Mixta Agresivo'!$B$35:$C$57,2,FALSE),0%)</f>
        <v>0</v>
      </c>
      <c r="BPE11" s="5">
        <f>IFERROR(VLOOKUP(BPE$1,'Renta Mixta Agresivo'!$B$35:$C$57,2,FALSE),0%)</f>
        <v>0</v>
      </c>
      <c r="BPF11" s="5">
        <f>IFERROR(VLOOKUP(BPF$1,'Renta Mixta Agresivo'!$B$35:$C$57,2,FALSE),0%)</f>
        <v>0</v>
      </c>
      <c r="BPG11" s="5">
        <f>IFERROR(VLOOKUP(BPG$1,'Renta Mixta Agresivo'!$B$35:$C$57,2,FALSE),0%)</f>
        <v>0</v>
      </c>
      <c r="BPH11" s="5">
        <f>IFERROR(VLOOKUP(BPH$1,'Renta Mixta Agresivo'!$B$35:$C$57,2,FALSE),0%)</f>
        <v>0</v>
      </c>
      <c r="BPI11" s="5">
        <f>IFERROR(VLOOKUP(BPI$1,'Renta Mixta Agresivo'!$B$35:$C$57,2,FALSE),0%)</f>
        <v>0</v>
      </c>
      <c r="BPJ11" s="5">
        <f>IFERROR(VLOOKUP(BPJ$1,'Renta Mixta Agresivo'!$B$35:$C$57,2,FALSE),0%)</f>
        <v>0</v>
      </c>
      <c r="BPK11" s="5">
        <f>IFERROR(VLOOKUP(BPK$1,'Renta Mixta Agresivo'!$B$35:$C$57,2,FALSE),0%)</f>
        <v>0</v>
      </c>
      <c r="BPL11" s="5">
        <f>IFERROR(VLOOKUP(BPL$1,'Renta Mixta Agresivo'!$B$35:$C$57,2,FALSE),0%)</f>
        <v>0</v>
      </c>
      <c r="BPM11" s="5">
        <f>IFERROR(VLOOKUP(BPM$1,'Renta Mixta Agresivo'!$B$35:$C$57,2,FALSE),0%)</f>
        <v>0</v>
      </c>
      <c r="BPN11" s="5">
        <f>IFERROR(VLOOKUP(BPN$1,'Renta Mixta Agresivo'!$B$35:$C$57,2,FALSE),0%)</f>
        <v>0</v>
      </c>
      <c r="BPO11" s="5">
        <f>IFERROR(VLOOKUP(BPO$1,'Renta Mixta Agresivo'!$B$35:$C$57,2,FALSE),0%)</f>
        <v>0</v>
      </c>
      <c r="BPP11" s="5">
        <f>IFERROR(VLOOKUP(BPP$1,'Renta Mixta Agresivo'!$B$35:$C$57,2,FALSE),0%)</f>
        <v>0</v>
      </c>
      <c r="BPQ11" s="5">
        <f>IFERROR(VLOOKUP(BPQ$1,'Renta Mixta Agresivo'!$B$35:$C$57,2,FALSE),0%)</f>
        <v>0</v>
      </c>
      <c r="BPR11" s="5">
        <f>IFERROR(VLOOKUP(BPR$1,'Renta Mixta Agresivo'!$B$35:$C$57,2,FALSE),0%)</f>
        <v>0</v>
      </c>
      <c r="BPS11" s="5">
        <f>IFERROR(VLOOKUP(BPS$1,'Renta Mixta Agresivo'!$B$35:$C$57,2,FALSE),0%)</f>
        <v>0</v>
      </c>
      <c r="BPT11" s="5">
        <f>IFERROR(VLOOKUP(BPT$1,'Renta Mixta Agresivo'!$B$35:$C$57,2,FALSE),0%)</f>
        <v>0</v>
      </c>
      <c r="BPU11" s="5">
        <f>IFERROR(VLOOKUP(BPU$1,'Renta Mixta Agresivo'!$B$35:$C$57,2,FALSE),0%)</f>
        <v>0</v>
      </c>
      <c r="BPV11" s="5">
        <f>IFERROR(VLOOKUP(BPV$1,'Renta Mixta Agresivo'!$B$35:$C$57,2,FALSE),0%)</f>
        <v>0</v>
      </c>
      <c r="BPW11" s="5">
        <f>IFERROR(VLOOKUP(BPW$1,'Renta Mixta Agresivo'!$B$35:$C$57,2,FALSE),0%)</f>
        <v>0</v>
      </c>
      <c r="BPX11" s="5">
        <f>IFERROR(VLOOKUP(BPX$1,'Renta Mixta Agresivo'!$B$35:$C$57,2,FALSE),0%)</f>
        <v>0</v>
      </c>
      <c r="BPY11" s="5">
        <f>IFERROR(VLOOKUP(BPY$1,'Renta Mixta Agresivo'!$B$35:$C$57,2,FALSE),0%)</f>
        <v>0</v>
      </c>
      <c r="BPZ11" s="5">
        <f>IFERROR(VLOOKUP(BPZ$1,'Renta Mixta Agresivo'!$B$35:$C$57,2,FALSE),0%)</f>
        <v>0</v>
      </c>
      <c r="BQA11" s="5">
        <f>IFERROR(VLOOKUP(BQA$1,'Renta Mixta Agresivo'!$B$35:$C$57,2,FALSE),0%)</f>
        <v>0</v>
      </c>
      <c r="BQB11" s="5">
        <f>IFERROR(VLOOKUP(BQB$1,'Renta Mixta Agresivo'!$B$35:$C$57,2,FALSE),0%)</f>
        <v>0</v>
      </c>
      <c r="BQC11" s="5">
        <f>IFERROR(VLOOKUP(BQC$1,'Renta Mixta Agresivo'!$B$35:$C$57,2,FALSE),0%)</f>
        <v>0</v>
      </c>
      <c r="BQD11" s="5">
        <f>IFERROR(VLOOKUP(BQD$1,'Renta Mixta Agresivo'!$B$35:$C$57,2,FALSE),0%)</f>
        <v>0</v>
      </c>
      <c r="BQE11" s="5">
        <f>IFERROR(VLOOKUP(BQE$1,'Renta Mixta Agresivo'!$B$35:$C$57,2,FALSE),0%)</f>
        <v>0</v>
      </c>
      <c r="BQF11" s="5">
        <f>IFERROR(VLOOKUP(BQF$1,'Renta Mixta Agresivo'!$B$35:$C$57,2,FALSE),0%)</f>
        <v>0</v>
      </c>
      <c r="BQG11" s="5">
        <f>IFERROR(VLOOKUP(BQG$1,'Renta Mixta Agresivo'!$B$35:$C$57,2,FALSE),0%)</f>
        <v>0.05532156532</v>
      </c>
      <c r="BQH11" s="5">
        <f>IFERROR(VLOOKUP(BQH$1,'Renta Mixta Agresivo'!$B$35:$C$57,2,FALSE),0%)</f>
        <v>0</v>
      </c>
      <c r="BQI11" s="5">
        <f>IFERROR(VLOOKUP(BQI$1,'Renta Mixta Agresivo'!$B$35:$C$57,2,FALSE),0%)</f>
        <v>0</v>
      </c>
      <c r="BQJ11" s="5">
        <f>IFERROR(VLOOKUP(BQJ$1,'Renta Mixta Agresivo'!$B$35:$C$57,2,FALSE),0%)</f>
        <v>0</v>
      </c>
      <c r="BQK11" s="5">
        <f>IFERROR(VLOOKUP(BQK$1,'Renta Mixta Agresivo'!$B$35:$C$57,2,FALSE),0%)</f>
        <v>0</v>
      </c>
      <c r="BQL11" s="5">
        <f>IFERROR(VLOOKUP(BQL$1,'Renta Mixta Agresivo'!$B$35:$C$57,2,FALSE),0%)</f>
        <v>0.02921156396</v>
      </c>
      <c r="BQM11" s="5">
        <f>IFERROR(VLOOKUP(BQM$1,'Renta Mixta Agresivo'!$B$35:$C$57,2,FALSE),0%)</f>
        <v>0</v>
      </c>
      <c r="BQN11" s="5">
        <f>IFERROR(VLOOKUP(BQN$1,'Renta Mixta Agresivo'!$B$35:$C$57,2,FALSE),0%)</f>
        <v>0</v>
      </c>
      <c r="BQO11" s="5">
        <f>IFERROR(VLOOKUP(BQO$1,'Renta Mixta Agresivo'!$B$35:$C$57,2,FALSE),0%)</f>
        <v>0</v>
      </c>
      <c r="BQP11" s="5">
        <f>IFERROR(VLOOKUP(BQP$1,'Renta Mixta Agresivo'!$B$35:$C$57,2,FALSE),0%)</f>
        <v>0</v>
      </c>
      <c r="BQQ11" s="5">
        <f>IFERROR(VLOOKUP(BQQ$1,'Renta Mixta Agresivo'!$B$35:$C$57,2,FALSE),0%)</f>
        <v>0</v>
      </c>
      <c r="BQR11" s="5">
        <f>IFERROR(VLOOKUP(BQR$1,'Renta Mixta Agresivo'!$B$35:$C$57,2,FALSE),0%)</f>
        <v>0</v>
      </c>
      <c r="BQS11" s="5">
        <f>IFERROR(VLOOKUP(BQS$1,'Renta Mixta Agresivo'!$B$35:$C$57,2,FALSE),0%)</f>
        <v>0</v>
      </c>
      <c r="BQT11" s="5">
        <f>IFERROR(VLOOKUP(BQT$1,'Renta Mixta Agresivo'!$B$35:$C$57,2,FALSE),0%)</f>
        <v>0</v>
      </c>
      <c r="BQU11" s="5">
        <f>IFERROR(VLOOKUP(BQU$1,'Renta Mixta Agresivo'!$B$35:$C$57,2,FALSE),0%)</f>
        <v>0</v>
      </c>
      <c r="BQV11" s="5">
        <f>IFERROR(VLOOKUP(BQV$1,'Renta Mixta Agresivo'!$B$35:$C$57,2,FALSE),0%)</f>
        <v>0</v>
      </c>
      <c r="BQW11" s="5">
        <f>IFERROR(VLOOKUP(BQW$1,'Renta Mixta Agresivo'!$B$35:$C$57,2,FALSE),0%)</f>
        <v>0</v>
      </c>
      <c r="BQX11" s="5">
        <f>IFERROR(VLOOKUP(BQX$1,'Renta Mixta Agresivo'!$B$35:$C$57,2,FALSE),0%)</f>
        <v>0</v>
      </c>
      <c r="BQY11" s="5">
        <f>IFERROR(VLOOKUP(BQY$1,'Renta Mixta Agresivo'!$B$35:$C$57,2,FALSE),0%)</f>
        <v>0</v>
      </c>
      <c r="BQZ11" s="5">
        <f>IFERROR(VLOOKUP(BQZ$1,'Renta Mixta Agresivo'!$B$35:$C$57,2,FALSE),0%)</f>
        <v>0</v>
      </c>
      <c r="BRA11" s="5">
        <f>IFERROR(VLOOKUP(BRA$1,'Renta Mixta Agresivo'!$B$35:$C$57,2,FALSE),0%)</f>
        <v>0</v>
      </c>
      <c r="BRB11" s="5">
        <f>IFERROR(VLOOKUP(BRB$1,'Renta Mixta Agresivo'!$B$35:$C$57,2,FALSE),0%)</f>
        <v>0</v>
      </c>
      <c r="BRC11" s="5">
        <f>IFERROR(VLOOKUP(BRC$1,'Renta Mixta Agresivo'!$B$35:$C$57,2,FALSE),0%)</f>
        <v>0</v>
      </c>
      <c r="BRD11" s="5">
        <f>IFERROR(VLOOKUP(BRD$1,'Renta Mixta Agresivo'!$B$35:$C$57,2,FALSE),0%)</f>
        <v>0</v>
      </c>
      <c r="BRE11" s="5">
        <f>IFERROR(VLOOKUP(BRE$1,'Renta Mixta Agresivo'!$B$35:$C$57,2,FALSE),0%)</f>
        <v>0</v>
      </c>
      <c r="BRF11" s="5">
        <f>IFERROR(VLOOKUP(BRF$1,'Renta Mixta Agresivo'!$B$35:$C$57,2,FALSE),0%)</f>
        <v>0</v>
      </c>
      <c r="BRG11" s="5">
        <f>IFERROR(VLOOKUP(BRG$1,'Renta Mixta Agresivo'!$B$35:$C$57,2,FALSE),0%)</f>
        <v>0</v>
      </c>
      <c r="BRH11" s="5">
        <f>IFERROR(VLOOKUP(BRH$1,'Renta Mixta Agresivo'!$B$35:$C$57,2,FALSE),0%)</f>
        <v>0</v>
      </c>
      <c r="BRI11" s="5">
        <f>IFERROR(VLOOKUP(BRI$1,'Renta Mixta Agresivo'!$B$35:$C$57,2,FALSE),0%)</f>
        <v>0</v>
      </c>
      <c r="BRJ11" s="5">
        <f>IFERROR(VLOOKUP(BRJ$1,'Renta Mixta Agresivo'!$B$35:$C$57,2,FALSE),0%)</f>
        <v>0</v>
      </c>
      <c r="BRK11" s="5">
        <f>IFERROR(VLOOKUP(BRK$1,'Renta Mixta Agresivo'!$B$35:$C$57,2,FALSE),0%)</f>
        <v>0</v>
      </c>
      <c r="BRL11" s="5">
        <f>IFERROR(VLOOKUP(BRL$1,'Renta Mixta Agresivo'!$B$35:$C$57,2,FALSE),0%)</f>
        <v>0</v>
      </c>
      <c r="BRM11" s="5">
        <f>IFERROR(VLOOKUP(BRM$1,'Renta Mixta Agresivo'!$B$35:$C$57,2,FALSE),0%)</f>
        <v>0</v>
      </c>
      <c r="BRN11" s="5">
        <f>IFERROR(VLOOKUP(BRN$1,'Renta Mixta Agresivo'!$B$35:$C$57,2,FALSE),0%)</f>
        <v>0</v>
      </c>
      <c r="BRO11" s="5">
        <f>IFERROR(VLOOKUP(BRO$1,'Renta Mixta Agresivo'!$B$35:$C$57,2,FALSE),0%)</f>
        <v>0</v>
      </c>
      <c r="BRP11" s="5">
        <f>IFERROR(VLOOKUP(BRP$1,'Renta Mixta Agresivo'!$B$35:$C$57,2,FALSE),0%)</f>
        <v>0</v>
      </c>
      <c r="BRQ11" s="5">
        <f>IFERROR(VLOOKUP(BRQ$1,'Renta Mixta Agresivo'!$B$35:$C$57,2,FALSE),0%)</f>
        <v>0</v>
      </c>
      <c r="BRR11" s="5">
        <f>IFERROR(VLOOKUP(BRR$1,'Renta Mixta Agresivo'!$B$35:$C$57,2,FALSE),0%)</f>
        <v>0</v>
      </c>
      <c r="BRS11" s="5">
        <f>IFERROR(VLOOKUP(BRS$1,'Renta Mixta Agresivo'!$B$35:$C$57,2,FALSE),0%)</f>
        <v>0</v>
      </c>
      <c r="BRT11" s="5">
        <f>IFERROR(VLOOKUP(BRT$1,'Renta Mixta Agresivo'!$B$35:$C$57,2,FALSE),0%)</f>
        <v>0</v>
      </c>
      <c r="BRU11" s="5">
        <f>IFERROR(VLOOKUP(BRU$1,'Renta Mixta Agresivo'!$B$35:$C$57,2,FALSE),0%)</f>
        <v>0</v>
      </c>
      <c r="BRV11" s="5">
        <f>IFERROR(VLOOKUP(BRV$1,'Renta Mixta Agresivo'!$B$35:$C$57,2,FALSE),0%)</f>
        <v>0</v>
      </c>
      <c r="BRW11" s="5">
        <f>IFERROR(VLOOKUP(BRW$1,'Renta Mixta Agresivo'!$B$35:$C$57,2,FALSE),0%)</f>
        <v>0</v>
      </c>
      <c r="BRX11" s="5">
        <f>IFERROR(VLOOKUP(BRX$1,'Renta Mixta Agresivo'!$B$35:$C$57,2,FALSE),0%)</f>
        <v>0</v>
      </c>
      <c r="BRY11" s="5">
        <f>IFERROR(VLOOKUP(BRY$1,'Renta Mixta Agresivo'!$B$35:$C$57,2,FALSE),0%)</f>
        <v>0</v>
      </c>
      <c r="BRZ11" s="5">
        <f>IFERROR(VLOOKUP(BRZ$1,'Renta Mixta Agresivo'!$B$35:$C$57,2,FALSE),0%)</f>
        <v>0</v>
      </c>
      <c r="BSA11" s="5">
        <f>IFERROR(VLOOKUP(BSA$1,'Renta Mixta Agresivo'!$B$35:$C$57,2,FALSE),0%)</f>
        <v>0</v>
      </c>
      <c r="BSB11" s="5">
        <f>IFERROR(VLOOKUP(BSB$1,'Renta Mixta Agresivo'!$B$35:$C$57,2,FALSE),0%)</f>
        <v>0</v>
      </c>
      <c r="BSC11" s="5">
        <f>IFERROR(VLOOKUP(BSC$1,'Renta Mixta Agresivo'!$B$35:$C$57,2,FALSE),0%)</f>
        <v>0</v>
      </c>
      <c r="BSD11" s="5">
        <f>IFERROR(VLOOKUP(BSD$1,'Renta Mixta Agresivo'!$B$35:$C$57,2,FALSE),0%)</f>
        <v>0</v>
      </c>
      <c r="BSE11" s="5">
        <f>IFERROR(VLOOKUP(BSE$1,'Renta Mixta Agresivo'!$B$35:$C$57,2,FALSE),0%)</f>
        <v>0</v>
      </c>
      <c r="BSF11" s="5">
        <f>IFERROR(VLOOKUP(BSF$1,'Renta Mixta Agresivo'!$B$35:$C$57,2,FALSE),0%)</f>
        <v>0</v>
      </c>
      <c r="BSG11" s="5">
        <f>IFERROR(VLOOKUP(BSG$1,'Renta Mixta Agresivo'!$B$35:$C$57,2,FALSE),0%)</f>
        <v>0</v>
      </c>
      <c r="BSH11" s="5">
        <f>IFERROR(VLOOKUP(BSH$1,'Renta Mixta Agresivo'!$B$35:$C$57,2,FALSE),0%)</f>
        <v>0</v>
      </c>
      <c r="BSI11" s="5">
        <f>IFERROR(VLOOKUP(BSI$1,'Renta Mixta Agresivo'!$B$35:$C$57,2,FALSE),0%)</f>
        <v>0</v>
      </c>
      <c r="BSJ11" s="5">
        <f>IFERROR(VLOOKUP(BSJ$1,'Renta Mixta Agresivo'!$B$35:$C$57,2,FALSE),0%)</f>
        <v>0</v>
      </c>
      <c r="BSK11" s="5">
        <f>IFERROR(VLOOKUP(BSK$1,'Renta Mixta Agresivo'!$B$35:$C$57,2,FALSE),0%)</f>
        <v>0</v>
      </c>
      <c r="BSL11" s="5">
        <f>IFERROR(VLOOKUP(BSL$1,'Renta Mixta Agresivo'!$B$35:$C$57,2,FALSE),0%)</f>
        <v>0</v>
      </c>
      <c r="BSM11" s="5">
        <f>IFERROR(VLOOKUP(BSM$1,'Renta Mixta Agresivo'!$B$35:$C$57,2,FALSE),0%)</f>
        <v>0</v>
      </c>
      <c r="BSN11" s="5">
        <f>IFERROR(VLOOKUP(BSN$1,'Renta Mixta Agresivo'!$B$35:$C$57,2,FALSE),0%)</f>
        <v>0</v>
      </c>
      <c r="BSO11" s="5">
        <f>IFERROR(VLOOKUP(BSO$1,'Renta Mixta Agresivo'!$B$35:$C$57,2,FALSE),0%)</f>
        <v>0</v>
      </c>
      <c r="BSP11" s="5">
        <f>IFERROR(VLOOKUP(BSP$1,'Renta Mixta Agresivo'!$B$35:$C$57,2,FALSE),0%)</f>
        <v>0</v>
      </c>
      <c r="BSQ11" s="5">
        <f>IFERROR(VLOOKUP(BSQ$1,'Renta Mixta Agresivo'!$B$35:$C$57,2,FALSE),0%)</f>
        <v>0</v>
      </c>
      <c r="BSR11" s="5">
        <f>IFERROR(VLOOKUP(BSR$1,'Renta Mixta Agresivo'!$B$35:$C$57,2,FALSE),0%)</f>
        <v>0</v>
      </c>
      <c r="BSS11" s="5">
        <f>IFERROR(VLOOKUP(BSS$1,'Renta Mixta Agresivo'!$B$35:$C$57,2,FALSE),0%)</f>
        <v>0</v>
      </c>
      <c r="BST11" s="5">
        <f>IFERROR(VLOOKUP(BST$1,'Renta Mixta Agresivo'!$B$35:$C$57,2,FALSE),0%)</f>
        <v>0</v>
      </c>
      <c r="BSU11" s="5">
        <f>IFERROR(VLOOKUP(BSU$1,'Renta Mixta Agresivo'!$B$35:$C$57,2,FALSE),0%)</f>
        <v>0</v>
      </c>
      <c r="BSV11" s="5">
        <f>IFERROR(VLOOKUP(BSV$1,'Renta Mixta Agresivo'!$B$35:$C$57,2,FALSE),0%)</f>
        <v>0</v>
      </c>
      <c r="BSW11" s="5">
        <f>IFERROR(VLOOKUP(BSW$1,'Renta Mixta Agresivo'!$B$35:$C$57,2,FALSE),0%)</f>
        <v>0</v>
      </c>
      <c r="BSX11" s="5">
        <f>IFERROR(VLOOKUP(BSX$1,'Renta Mixta Agresivo'!$B$35:$C$57,2,FALSE),0%)</f>
        <v>0</v>
      </c>
      <c r="BSY11" s="5">
        <f>IFERROR(VLOOKUP(BSY$1,'Renta Mixta Agresivo'!$B$35:$C$57,2,FALSE),0%)</f>
        <v>0</v>
      </c>
      <c r="BSZ11" s="5">
        <f>IFERROR(VLOOKUP(BSZ$1,'Renta Mixta Agresivo'!$B$35:$C$57,2,FALSE),0%)</f>
        <v>0</v>
      </c>
      <c r="BTA11" s="5">
        <f>IFERROR(VLOOKUP(BTA$1,'Renta Mixta Agresivo'!$B$35:$C$57,2,FALSE),0%)</f>
        <v>0</v>
      </c>
      <c r="BTB11" s="5">
        <f>IFERROR(VLOOKUP(BTB$1,'Renta Mixta Agresivo'!$B$35:$C$57,2,FALSE),0%)</f>
        <v>0</v>
      </c>
      <c r="BTC11" s="5">
        <f>IFERROR(VLOOKUP(BTC$1,'Renta Mixta Agresivo'!$B$35:$C$57,2,FALSE),0%)</f>
        <v>0</v>
      </c>
      <c r="BTD11" s="5">
        <f>IFERROR(VLOOKUP(BTD$1,'Renta Mixta Agresivo'!$B$35:$C$57,2,FALSE),0%)</f>
        <v>0</v>
      </c>
      <c r="BTE11" s="5">
        <f>IFERROR(VLOOKUP(BTE$1,'Renta Mixta Agresivo'!$B$35:$C$57,2,FALSE),0%)</f>
        <v>0</v>
      </c>
      <c r="BTF11" s="5">
        <f>IFERROR(VLOOKUP(BTF$1,'Renta Mixta Agresivo'!$B$35:$C$57,2,FALSE),0%)</f>
        <v>0</v>
      </c>
      <c r="BTG11" s="5">
        <f>IFERROR(VLOOKUP(BTG$1,'Renta Mixta Agresivo'!$B$35:$C$57,2,FALSE),0%)</f>
        <v>0</v>
      </c>
      <c r="BTH11" s="5">
        <f>IFERROR(VLOOKUP(BTH$1,'Renta Mixta Agresivo'!$B$35:$C$57,2,FALSE),0%)</f>
        <v>0</v>
      </c>
      <c r="BTI11" s="5">
        <f>IFERROR(VLOOKUP(BTI$1,'Renta Mixta Agresivo'!$B$35:$C$57,2,FALSE),0%)</f>
        <v>0</v>
      </c>
      <c r="BTJ11" s="5">
        <f>IFERROR(VLOOKUP(BTJ$1,'Renta Mixta Agresivo'!$B$35:$C$57,2,FALSE),0%)</f>
        <v>0</v>
      </c>
      <c r="BTK11" s="5">
        <f>IFERROR(VLOOKUP(BTK$1,'Renta Mixta Agresivo'!$B$35:$C$57,2,FALSE),0%)</f>
        <v>0</v>
      </c>
      <c r="BTL11" s="5">
        <f>IFERROR(VLOOKUP(BTL$1,'Renta Mixta Agresivo'!$B$35:$C$57,2,FALSE),0%)</f>
        <v>0</v>
      </c>
      <c r="BTM11" s="5">
        <f>IFERROR(VLOOKUP(BTM$1,'Renta Mixta Agresivo'!$B$35:$C$57,2,FALSE),0%)</f>
        <v>0</v>
      </c>
      <c r="BTN11" s="5">
        <f>IFERROR(VLOOKUP(BTN$1,'Renta Mixta Agresivo'!$B$35:$C$57,2,FALSE),0%)</f>
        <v>0</v>
      </c>
      <c r="BTO11" s="5">
        <f>IFERROR(VLOOKUP(BTO$1,'Renta Mixta Agresivo'!$B$35:$C$57,2,FALSE),0%)</f>
        <v>0</v>
      </c>
      <c r="BTP11" s="5">
        <f>IFERROR(VLOOKUP(BTP$1,'Renta Mixta Agresivo'!$B$35:$C$57,2,FALSE),0%)</f>
        <v>0</v>
      </c>
      <c r="BTQ11" s="5">
        <f>IFERROR(VLOOKUP(BTQ$1,'Renta Mixta Agresivo'!$B$35:$C$57,2,FALSE),0%)</f>
        <v>0</v>
      </c>
      <c r="BTR11" s="5">
        <f>IFERROR(VLOOKUP(BTR$1,'Renta Mixta Agresivo'!$B$35:$C$57,2,FALSE),0%)</f>
        <v>0</v>
      </c>
      <c r="BTS11" s="5">
        <f>IFERROR(VLOOKUP(BTS$1,'Renta Mixta Agresivo'!$B$35:$C$57,2,FALSE),0%)</f>
        <v>0</v>
      </c>
      <c r="BTT11" s="5">
        <f>IFERROR(VLOOKUP(BTT$1,'Renta Mixta Agresivo'!$B$35:$C$57,2,FALSE),0%)</f>
        <v>0</v>
      </c>
      <c r="BTU11" s="5">
        <f>IFERROR(VLOOKUP(BTU$1,'Renta Mixta Agresivo'!$B$35:$C$57,2,FALSE),0%)</f>
        <v>0</v>
      </c>
      <c r="BTV11" s="5">
        <f>IFERROR(VLOOKUP(BTV$1,'Renta Mixta Agresivo'!$B$35:$C$57,2,FALSE),0%)</f>
        <v>0</v>
      </c>
      <c r="BTW11" s="5">
        <f>IFERROR(VLOOKUP(BTW$1,'Renta Mixta Agresivo'!$B$35:$C$57,2,FALSE),0%)</f>
        <v>0</v>
      </c>
      <c r="BTX11" s="5">
        <f>IFERROR(VLOOKUP(BTX$1,'Renta Mixta Agresivo'!$B$35:$C$57,2,FALSE),0%)</f>
        <v>0</v>
      </c>
      <c r="BTY11" s="5">
        <f>IFERROR(VLOOKUP(BTY$1,'Renta Mixta Agresivo'!$B$35:$C$57,2,FALSE),0%)</f>
        <v>0</v>
      </c>
      <c r="BTZ11" s="5">
        <f>IFERROR(VLOOKUP(BTZ$1,'Renta Mixta Agresivo'!$B$35:$C$57,2,FALSE),0%)</f>
        <v>0.029</v>
      </c>
      <c r="BUA11" s="5">
        <f>IFERROR(VLOOKUP(BUA$1,'Renta Mixta Agresivo'!$B$35:$C$57,2,FALSE),0%)</f>
        <v>0</v>
      </c>
      <c r="BUB11" s="5">
        <f>IFERROR(VLOOKUP(BUB$1,'Renta Mixta Agresivo'!$B$35:$C$57,2,FALSE),0%)</f>
        <v>0</v>
      </c>
      <c r="BUC11" s="5">
        <f>IFERROR(VLOOKUP(BUC$1,'Renta Mixta Agresivo'!$B$35:$C$57,2,FALSE),0%)</f>
        <v>0</v>
      </c>
      <c r="BUD11" s="5">
        <f>IFERROR(VLOOKUP(BUD$1,'Renta Mixta Agresivo'!$B$35:$C$57,2,FALSE),0%)</f>
        <v>0</v>
      </c>
      <c r="BUE11" s="5">
        <f>IFERROR(VLOOKUP(BUE$1,'Renta Mixta Agresivo'!$B$35:$C$57,2,FALSE),0%)</f>
        <v>0</v>
      </c>
      <c r="BUF11" s="5">
        <f>IFERROR(VLOOKUP(BUF$1,'Renta Mixta Agresivo'!$B$35:$C$57,2,FALSE),0%)</f>
        <v>0</v>
      </c>
      <c r="BUG11" s="5">
        <f>IFERROR(VLOOKUP(BUG$1,'Renta Mixta Agresivo'!$B$35:$C$57,2,FALSE),0%)</f>
        <v>0</v>
      </c>
      <c r="BUH11" s="5">
        <f>IFERROR(VLOOKUP(BUH$1,'Renta Mixta Agresivo'!$B$35:$C$57,2,FALSE),0%)</f>
        <v>0</v>
      </c>
      <c r="BUI11" s="5">
        <f>IFERROR(VLOOKUP(BUI$1,'Renta Mixta Agresivo'!$B$35:$C$57,2,FALSE),0%)</f>
        <v>0</v>
      </c>
      <c r="BUJ11" s="5">
        <f>IFERROR(VLOOKUP(BUJ$1,'Renta Mixta Agresivo'!$B$35:$C$57,2,FALSE),0%)</f>
        <v>0</v>
      </c>
      <c r="BUK11" s="5">
        <f>IFERROR(VLOOKUP(BUK$1,'Renta Mixta Agresivo'!$B$35:$C$57,2,FALSE),0%)</f>
        <v>0</v>
      </c>
      <c r="BUL11" s="5">
        <f>IFERROR(VLOOKUP(BUL$1,'Renta Mixta Agresivo'!$B$35:$C$57,2,FALSE),0%)</f>
        <v>0</v>
      </c>
      <c r="BUM11" s="5">
        <f>IFERROR(VLOOKUP(BUM$1,'Renta Mixta Agresivo'!$B$35:$C$57,2,FALSE),0%)</f>
        <v>0</v>
      </c>
      <c r="BUN11" s="5">
        <f>IFERROR(VLOOKUP(BUN$1,'Renta Mixta Agresivo'!$B$35:$C$57,2,FALSE),0%)</f>
        <v>0</v>
      </c>
      <c r="BUO11" s="5">
        <f>IFERROR(VLOOKUP(BUO$1,'Renta Mixta Agresivo'!$B$35:$C$57,2,FALSE),0%)</f>
        <v>0</v>
      </c>
      <c r="BUP11" s="5">
        <f>IFERROR(VLOOKUP(BUP$1,'Renta Mixta Agresivo'!$B$35:$C$57,2,FALSE),0%)</f>
        <v>0</v>
      </c>
      <c r="BUQ11" s="5">
        <f>IFERROR(VLOOKUP(BUQ$1,'Renta Mixta Agresivo'!$B$35:$C$57,2,FALSE),0%)</f>
        <v>0</v>
      </c>
      <c r="BUR11" s="5">
        <f>IFERROR(VLOOKUP(BUR$1,'Renta Mixta Agresivo'!$B$35:$C$57,2,FALSE),0%)</f>
        <v>0</v>
      </c>
      <c r="BUS11" s="5">
        <f>IFERROR(VLOOKUP(BUS$1,'Renta Mixta Agresivo'!$B$35:$C$57,2,FALSE),0%)</f>
        <v>0</v>
      </c>
      <c r="BUT11" s="5">
        <f>IFERROR(VLOOKUP(BUT$1,'Renta Mixta Agresivo'!$B$35:$C$57,2,FALSE),0%)</f>
        <v>0</v>
      </c>
      <c r="BUU11" s="5">
        <f>IFERROR(VLOOKUP(BUU$1,'Renta Mixta Agresivo'!$B$35:$C$57,2,FALSE),0%)</f>
        <v>0</v>
      </c>
      <c r="BUV11" s="5">
        <f>IFERROR(VLOOKUP(BUV$1,'Renta Mixta Agresivo'!$B$35:$C$57,2,FALSE),0%)</f>
        <v>0</v>
      </c>
      <c r="BUW11" s="5">
        <f>IFERROR(VLOOKUP(BUW$1,'Renta Mixta Agresivo'!$B$35:$C$57,2,FALSE),0%)</f>
        <v>0</v>
      </c>
      <c r="BUX11" s="5">
        <f>IFERROR(VLOOKUP(BUX$1,'Renta Mixta Agresivo'!$B$35:$C$57,2,FALSE),0%)</f>
        <v>0</v>
      </c>
      <c r="BUY11" s="5">
        <f>IFERROR(VLOOKUP(BUY$1,'Renta Mixta Agresivo'!$B$35:$C$57,2,FALSE),0%)</f>
        <v>0</v>
      </c>
      <c r="BUZ11" s="5">
        <f>IFERROR(VLOOKUP(BUZ$1,'Renta Mixta Agresivo'!$B$35:$C$57,2,FALSE),0%)</f>
        <v>0</v>
      </c>
      <c r="BVA11" s="5">
        <f>IFERROR(VLOOKUP(BVA$1,'Renta Mixta Agresivo'!$B$35:$C$57,2,FALSE),0%)</f>
        <v>0</v>
      </c>
      <c r="BVB11" s="5">
        <f>IFERROR(VLOOKUP(BVB$1,'Renta Mixta Agresivo'!$B$35:$C$57,2,FALSE),0%)</f>
        <v>0</v>
      </c>
      <c r="BVC11" s="5">
        <f>IFERROR(VLOOKUP(BVC$1,'Renta Mixta Agresivo'!$B$35:$C$57,2,FALSE),0%)</f>
        <v>0</v>
      </c>
      <c r="BVD11" s="5">
        <f>IFERROR(VLOOKUP(BVD$1,'Renta Mixta Agresivo'!$B$35:$C$57,2,FALSE),0%)</f>
        <v>0</v>
      </c>
      <c r="BVE11" s="5">
        <f>IFERROR(VLOOKUP(BVE$1,'Renta Mixta Agresivo'!$B$35:$C$57,2,FALSE),0%)</f>
        <v>0</v>
      </c>
      <c r="BVF11" s="5">
        <f>IFERROR(VLOOKUP(BVF$1,'Renta Mixta Agresivo'!$B$35:$C$57,2,FALSE),0%)</f>
        <v>0</v>
      </c>
      <c r="BVG11" s="5">
        <f>IFERROR(VLOOKUP(BVG$1,'Renta Mixta Agresivo'!$B$35:$C$57,2,FALSE),0%)</f>
        <v>0</v>
      </c>
      <c r="BVH11" s="5">
        <f>IFERROR(VLOOKUP(BVH$1,'Renta Mixta Agresivo'!$B$35:$C$57,2,FALSE),0%)</f>
        <v>0</v>
      </c>
      <c r="BVI11" s="5">
        <f>IFERROR(VLOOKUP(BVI$1,'Renta Mixta Agresivo'!$B$35:$C$57,2,FALSE),0%)</f>
        <v>0</v>
      </c>
      <c r="BVJ11" s="5">
        <f>IFERROR(VLOOKUP(BVJ$1,'Renta Mixta Agresivo'!$B$35:$C$57,2,FALSE),0%)</f>
        <v>0</v>
      </c>
      <c r="BVK11" s="5">
        <f>IFERROR(VLOOKUP(BVK$1,'Renta Mixta Agresivo'!$B$35:$C$57,2,FALSE),0%)</f>
        <v>0</v>
      </c>
      <c r="BVL11" s="5">
        <f>IFERROR(VLOOKUP(BVL$1,'Renta Mixta Agresivo'!$B$35:$C$57,2,FALSE),0%)</f>
        <v>0</v>
      </c>
      <c r="BVM11" s="5">
        <f>IFERROR(VLOOKUP(BVM$1,'Renta Mixta Agresivo'!$B$35:$C$57,2,FALSE),0%)</f>
        <v>0</v>
      </c>
      <c r="BVN11" s="5">
        <f>IFERROR(VLOOKUP(BVN$1,'Renta Mixta Agresivo'!$B$35:$C$57,2,FALSE),0%)</f>
        <v>0</v>
      </c>
      <c r="BVO11" s="5">
        <f>IFERROR(VLOOKUP(BVO$1,'Renta Mixta Agresivo'!$B$35:$C$57,2,FALSE),0%)</f>
        <v>0</v>
      </c>
      <c r="BVP11" s="5">
        <f>IFERROR(VLOOKUP(BVP$1,'Renta Mixta Agresivo'!$B$35:$C$57,2,FALSE),0%)</f>
        <v>0</v>
      </c>
      <c r="BVQ11" s="5">
        <f>IFERROR(VLOOKUP(BVQ$1,'Renta Mixta Agresivo'!$B$35:$C$57,2,FALSE),0%)</f>
        <v>0</v>
      </c>
      <c r="BVR11" s="5">
        <f>IFERROR(VLOOKUP(BVR$1,'Renta Mixta Agresivo'!$B$35:$C$57,2,FALSE),0%)</f>
        <v>0</v>
      </c>
      <c r="BVS11" s="5">
        <f>IFERROR(VLOOKUP(BVS$1,'Renta Mixta Agresivo'!$B$35:$C$57,2,FALSE),0%)</f>
        <v>0</v>
      </c>
      <c r="BVT11" s="5">
        <f>IFERROR(VLOOKUP(BVT$1,'Renta Mixta Agresivo'!$B$35:$C$57,2,FALSE),0%)</f>
        <v>0</v>
      </c>
      <c r="BVU11" s="5">
        <f>IFERROR(VLOOKUP(BVU$1,'Renta Mixta Agresivo'!$B$35:$C$57,2,FALSE),0%)</f>
        <v>0</v>
      </c>
      <c r="BVV11" s="5">
        <f>IFERROR(VLOOKUP(BVV$1,'Renta Mixta Agresivo'!$B$35:$C$57,2,FALSE),0%)</f>
        <v>0</v>
      </c>
      <c r="BVW11" s="5">
        <f>IFERROR(VLOOKUP(BVW$1,'Renta Mixta Agresivo'!$B$35:$C$57,2,FALSE),0%)</f>
        <v>0</v>
      </c>
      <c r="BVX11" s="5">
        <f>IFERROR(VLOOKUP(BVX$1,'Renta Mixta Agresivo'!$B$35:$C$57,2,FALSE),0%)</f>
        <v>0</v>
      </c>
      <c r="BVY11" s="5">
        <f>IFERROR(VLOOKUP(BVY$1,'Renta Mixta Agresivo'!$B$35:$C$57,2,FALSE),0%)</f>
        <v>0</v>
      </c>
      <c r="BVZ11" s="5">
        <f>IFERROR(VLOOKUP(BVZ$1,'Renta Mixta Agresivo'!$B$35:$C$57,2,FALSE),0%)</f>
        <v>0</v>
      </c>
      <c r="BWA11" s="5">
        <f>IFERROR(VLOOKUP(BWA$1,'Renta Mixta Agresivo'!$B$35:$C$57,2,FALSE),0%)</f>
        <v>0</v>
      </c>
      <c r="BWB11" s="5">
        <f>IFERROR(VLOOKUP(BWB$1,'Renta Mixta Agresivo'!$B$35:$C$57,2,FALSE),0%)</f>
        <v>0</v>
      </c>
      <c r="BWC11" s="5">
        <f>IFERROR(VLOOKUP(BWC$1,'Renta Mixta Agresivo'!$B$35:$C$57,2,FALSE),0%)</f>
        <v>0</v>
      </c>
      <c r="BWD11" s="5">
        <f>IFERROR(VLOOKUP(BWD$1,'Renta Mixta Agresivo'!$B$35:$C$57,2,FALSE),0%)</f>
        <v>0</v>
      </c>
      <c r="BWE11" s="5">
        <f>IFERROR(VLOOKUP(BWE$1,'Renta Mixta Agresivo'!$B$35:$C$57,2,FALSE),0%)</f>
        <v>0</v>
      </c>
      <c r="BWF11" s="5">
        <f>IFERROR(VLOOKUP(BWF$1,'Renta Mixta Agresivo'!$B$35:$C$57,2,FALSE),0%)</f>
        <v>0</v>
      </c>
      <c r="BWG11" s="5">
        <f>IFERROR(VLOOKUP(BWG$1,'Renta Mixta Agresivo'!$B$35:$C$57,2,FALSE),0%)</f>
        <v>0</v>
      </c>
      <c r="BWH11" s="5">
        <f>IFERROR(VLOOKUP(BWH$1,'Renta Mixta Agresivo'!$B$35:$C$57,2,FALSE),0%)</f>
        <v>0</v>
      </c>
      <c r="BWI11" s="5">
        <f>IFERROR(VLOOKUP(BWI$1,'Renta Mixta Agresivo'!$B$35:$C$57,2,FALSE),0%)</f>
        <v>0</v>
      </c>
      <c r="BWJ11" s="5">
        <f>IFERROR(VLOOKUP(BWJ$1,'Renta Mixta Agresivo'!$B$35:$C$57,2,FALSE),0%)</f>
        <v>0</v>
      </c>
      <c r="BWK11" s="5">
        <f>IFERROR(VLOOKUP(BWK$1,'Renta Mixta Agresivo'!$B$35:$C$57,2,FALSE),0%)</f>
        <v>0</v>
      </c>
      <c r="BWL11" s="5">
        <f>IFERROR(VLOOKUP(BWL$1,'Renta Mixta Agresivo'!$B$35:$C$57,2,FALSE),0%)</f>
        <v>0</v>
      </c>
      <c r="BWM11" s="5">
        <f>IFERROR(VLOOKUP(BWM$1,'Renta Mixta Agresivo'!$B$35:$C$57,2,FALSE),0%)</f>
        <v>0</v>
      </c>
      <c r="BWN11" s="5">
        <f>IFERROR(VLOOKUP(BWN$1,'Renta Mixta Agresivo'!$B$35:$C$57,2,FALSE),0%)</f>
        <v>0</v>
      </c>
      <c r="BWO11" s="5">
        <f>IFERROR(VLOOKUP(BWO$1,'Renta Mixta Agresivo'!$B$35:$C$57,2,FALSE),0%)</f>
        <v>0</v>
      </c>
      <c r="BWP11" s="5">
        <f>IFERROR(VLOOKUP(BWP$1,'Renta Mixta Agresivo'!$B$35:$C$57,2,FALSE),0%)</f>
        <v>0</v>
      </c>
      <c r="BWQ11" s="5">
        <f>IFERROR(VLOOKUP(BWQ$1,'Renta Mixta Agresivo'!$B$35:$C$57,2,FALSE),0%)</f>
        <v>0</v>
      </c>
      <c r="BWR11" s="5">
        <f>IFERROR(VLOOKUP(BWR$1,'Renta Mixta Agresivo'!$B$35:$C$57,2,FALSE),0%)</f>
        <v>0</v>
      </c>
      <c r="BWS11" s="5">
        <f>IFERROR(VLOOKUP(BWS$1,'Renta Mixta Agresivo'!$B$35:$C$57,2,FALSE),0%)</f>
        <v>0</v>
      </c>
      <c r="BWT11" s="5">
        <f>IFERROR(VLOOKUP(BWT$1,'Renta Mixta Agresivo'!$B$35:$C$57,2,FALSE),0%)</f>
        <v>0</v>
      </c>
      <c r="BWU11" s="5">
        <f>IFERROR(VLOOKUP(BWU$1,'Renta Mixta Agresivo'!$B$35:$C$57,2,FALSE),0%)</f>
        <v>0</v>
      </c>
      <c r="BWV11" s="5">
        <f>IFERROR(VLOOKUP(BWV$1,'Renta Mixta Agresivo'!$B$35:$C$57,2,FALSE),0%)</f>
        <v>0</v>
      </c>
      <c r="BWW11" s="5">
        <f>IFERROR(VLOOKUP(BWW$1,'Renta Mixta Agresivo'!$B$35:$C$57,2,FALSE),0%)</f>
        <v>0</v>
      </c>
      <c r="BWX11" s="5">
        <f>IFERROR(VLOOKUP(BWX$1,'Renta Mixta Agresivo'!$B$35:$C$57,2,FALSE),0%)</f>
        <v>0</v>
      </c>
      <c r="BWY11" s="5">
        <f>IFERROR(VLOOKUP(BWY$1,'Renta Mixta Agresivo'!$B$35:$C$57,2,FALSE),0%)</f>
        <v>0</v>
      </c>
      <c r="BWZ11" s="5">
        <f>IFERROR(VLOOKUP(BWZ$1,'Renta Mixta Agresivo'!$B$35:$C$57,2,FALSE),0%)</f>
        <v>0</v>
      </c>
      <c r="BXA11" s="5">
        <f>IFERROR(VLOOKUP(BXA$1,'Renta Mixta Agresivo'!$B$35:$C$57,2,FALSE),0%)</f>
        <v>0</v>
      </c>
      <c r="BXB11" s="5">
        <f>IFERROR(VLOOKUP(BXB$1,'Renta Mixta Agresivo'!$B$35:$C$57,2,FALSE),0%)</f>
        <v>0</v>
      </c>
      <c r="BXC11" s="5">
        <f>IFERROR(VLOOKUP(BXC$1,'Renta Mixta Agresivo'!$B$35:$C$57,2,FALSE),0%)</f>
        <v>0</v>
      </c>
      <c r="BXD11" s="5">
        <f>IFERROR(VLOOKUP(BXD$1,'Renta Mixta Agresivo'!$B$35:$C$57,2,FALSE),0%)</f>
        <v>0</v>
      </c>
      <c r="BXE11" s="5">
        <f>IFERROR(VLOOKUP(BXE$1,'Renta Mixta Agresivo'!$B$35:$C$57,2,FALSE),0%)</f>
        <v>0</v>
      </c>
      <c r="BXF11" s="5">
        <f>IFERROR(VLOOKUP(BXF$1,'Renta Mixta Agresivo'!$B$35:$C$57,2,FALSE),0%)</f>
        <v>0</v>
      </c>
      <c r="BXG11" s="5">
        <f>IFERROR(VLOOKUP(BXG$1,'Renta Mixta Agresivo'!$B$35:$C$57,2,FALSE),0%)</f>
        <v>0</v>
      </c>
      <c r="BXH11" s="5">
        <f>IFERROR(VLOOKUP(BXH$1,'Renta Mixta Agresivo'!$B$35:$C$57,2,FALSE),0%)</f>
        <v>0</v>
      </c>
      <c r="BXI11" s="5">
        <f>IFERROR(VLOOKUP(BXI$1,'Renta Mixta Agresivo'!$B$35:$C$57,2,FALSE),0%)</f>
        <v>0</v>
      </c>
      <c r="BXJ11" s="5">
        <f>IFERROR(VLOOKUP(BXJ$1,'Renta Mixta Agresivo'!$B$35:$C$57,2,FALSE),0%)</f>
        <v>0</v>
      </c>
      <c r="BXK11" s="5">
        <f>IFERROR(VLOOKUP(BXK$1,'Renta Mixta Agresivo'!$B$35:$C$57,2,FALSE),0%)</f>
        <v>0</v>
      </c>
      <c r="BXL11" s="5">
        <f>IFERROR(VLOOKUP(BXL$1,'Renta Mixta Agresivo'!$B$35:$C$57,2,FALSE),0%)</f>
        <v>0</v>
      </c>
      <c r="BXM11" s="5">
        <f>IFERROR(VLOOKUP(BXM$1,'Renta Mixta Agresivo'!$B$35:$C$57,2,FALSE),0%)</f>
        <v>0</v>
      </c>
      <c r="BXN11" s="5">
        <f>IFERROR(VLOOKUP(BXN$1,'Renta Mixta Agresivo'!$B$35:$C$57,2,FALSE),0%)</f>
        <v>0</v>
      </c>
      <c r="BXO11" s="5">
        <f>IFERROR(VLOOKUP(BXO$1,'Renta Mixta Agresivo'!$B$35:$C$57,2,FALSE),0%)</f>
        <v>0</v>
      </c>
      <c r="BXP11" s="5">
        <f>IFERROR(VLOOKUP(BXP$1,'Renta Mixta Agresivo'!$B$35:$C$57,2,FALSE),0%)</f>
        <v>0</v>
      </c>
      <c r="BXQ11" s="5">
        <f>IFERROR(VLOOKUP(BXQ$1,'Renta Mixta Agresivo'!$B$35:$C$57,2,FALSE),0%)</f>
        <v>0</v>
      </c>
      <c r="BXR11" s="5">
        <f>IFERROR(VLOOKUP(BXR$1,'Renta Mixta Agresivo'!$B$35:$C$57,2,FALSE),0%)</f>
        <v>0</v>
      </c>
      <c r="BXS11" s="5">
        <f>IFERROR(VLOOKUP(BXS$1,'Renta Mixta Agresivo'!$B$35:$C$57,2,FALSE),0%)</f>
        <v>0</v>
      </c>
      <c r="BXT11" s="5">
        <f>IFERROR(VLOOKUP(BXT$1,'Renta Mixta Agresivo'!$B$35:$C$57,2,FALSE),0%)</f>
        <v>0</v>
      </c>
      <c r="BXU11" s="5">
        <f>IFERROR(VLOOKUP(BXU$1,'Renta Mixta Agresivo'!$B$35:$C$57,2,FALSE),0%)</f>
        <v>0</v>
      </c>
      <c r="BXV11" s="5">
        <f>IFERROR(VLOOKUP(BXV$1,'Renta Mixta Agresivo'!$B$35:$C$57,2,FALSE),0%)</f>
        <v>0</v>
      </c>
      <c r="BXW11" s="5">
        <f>IFERROR(VLOOKUP(BXW$1,'Renta Mixta Agresivo'!$B$35:$C$57,2,FALSE),0%)</f>
        <v>0</v>
      </c>
      <c r="BXX11" s="5">
        <f>IFERROR(VLOOKUP(BXX$1,'Renta Mixta Agresivo'!$B$35:$C$57,2,FALSE),0%)</f>
        <v>0</v>
      </c>
      <c r="BXY11" s="5">
        <f>IFERROR(VLOOKUP(BXY$1,'Renta Mixta Agresivo'!$B$35:$C$57,2,FALSE),0%)</f>
        <v>0</v>
      </c>
      <c r="BXZ11" s="5">
        <f>IFERROR(VLOOKUP(BXZ$1,'Renta Mixta Agresivo'!$B$35:$C$57,2,FALSE),0%)</f>
        <v>0</v>
      </c>
      <c r="BYA11" s="5">
        <f>IFERROR(VLOOKUP(BYA$1,'Renta Mixta Agresivo'!$B$35:$C$57,2,FALSE),0%)</f>
        <v>0</v>
      </c>
      <c r="BYB11" s="5">
        <f>IFERROR(VLOOKUP(BYB$1,'Renta Mixta Agresivo'!$B$35:$C$57,2,FALSE),0%)</f>
        <v>0.1180741756</v>
      </c>
      <c r="BYC11" s="5">
        <f>IFERROR(VLOOKUP(BYC$1,'Renta Mixta Agresivo'!$B$35:$C$57,2,FALSE),0%)</f>
        <v>0</v>
      </c>
      <c r="BYD11" s="5">
        <f>IFERROR(VLOOKUP(BYD$1,'Renta Mixta Agresivo'!$B$35:$C$57,2,FALSE),0%)</f>
        <v>0</v>
      </c>
      <c r="BYE11" s="5">
        <f>IFERROR(VLOOKUP(BYE$1,'Renta Mixta Agresivo'!$B$35:$C$57,2,FALSE),0%)</f>
        <v>0</v>
      </c>
      <c r="BYF11" s="5">
        <f>IFERROR(VLOOKUP(BYF$1,'Renta Mixta Agresivo'!$B$35:$C$57,2,FALSE),0%)</f>
        <v>0</v>
      </c>
      <c r="BYG11" s="5">
        <f>IFERROR(VLOOKUP(BYG$1,'Renta Mixta Agresivo'!$B$35:$C$57,2,FALSE),0%)</f>
        <v>0</v>
      </c>
      <c r="BYH11" s="5">
        <f>IFERROR(VLOOKUP(BYH$1,'Renta Mixta Agresivo'!$B$35:$C$57,2,FALSE),0%)</f>
        <v>0</v>
      </c>
      <c r="BYI11" s="5">
        <f>IFERROR(VLOOKUP(BYI$1,'Renta Mixta Agresivo'!$B$35:$C$57,2,FALSE),0%)</f>
        <v>0</v>
      </c>
      <c r="BYJ11" s="5">
        <f>IFERROR(VLOOKUP(BYJ$1,'Renta Mixta Agresivo'!$B$35:$C$57,2,FALSE),0%)</f>
        <v>0</v>
      </c>
      <c r="BYK11" s="5">
        <f>IFERROR(VLOOKUP(BYK$1,'Renta Mixta Agresivo'!$B$35:$C$57,2,FALSE),0%)</f>
        <v>0</v>
      </c>
      <c r="BYL11" s="5">
        <f>IFERROR(VLOOKUP(BYL$1,'Renta Mixta Agresivo'!$B$35:$C$57,2,FALSE),0%)</f>
        <v>0</v>
      </c>
    </row>
    <row r="12">
      <c r="A12" s="4" t="s">
        <v>338</v>
      </c>
      <c r="B12" s="5">
        <f>IFERROR(VLOOKUP(B$1,'CERA Conservador'!$B$28:$C$35,2,FALSE),0%)</f>
        <v>0</v>
      </c>
      <c r="C12" s="5">
        <f>IFERROR(VLOOKUP(C$1,'CERA Conservador'!$B$28:$C$35,2,FALSE),0%)</f>
        <v>0</v>
      </c>
      <c r="D12" s="5">
        <f>IFERROR(VLOOKUP(D$1,'CERA Conservador'!$B$28:$C$35,2,FALSE),0%)</f>
        <v>0</v>
      </c>
      <c r="E12" s="5">
        <f>IFERROR(VLOOKUP(E$1,'CERA Conservador'!$B$28:$C$35,2,FALSE),0%)</f>
        <v>0</v>
      </c>
      <c r="F12" s="5">
        <f>IFERROR(VLOOKUP(F$1,'CERA Conservador'!$B$28:$C$35,2,FALSE),0%)</f>
        <v>0</v>
      </c>
      <c r="G12" s="5">
        <f>IFERROR(VLOOKUP(G$1,'CERA Conservador'!$B$28:$C$35,2,FALSE),0%)</f>
        <v>0</v>
      </c>
      <c r="H12" s="5">
        <f>IFERROR(VLOOKUP(H$1,'CERA Conservador'!$B$28:$C$35,2,FALSE),0%)</f>
        <v>0</v>
      </c>
      <c r="I12" s="5">
        <f>IFERROR(VLOOKUP(I$1,'CERA Conservador'!$B$28:$C$35,2,FALSE),0%)</f>
        <v>0</v>
      </c>
      <c r="J12" s="5">
        <f>IFERROR(VLOOKUP(J$1,'CERA Conservador'!$B$28:$C$35,2,FALSE),0%)</f>
        <v>0</v>
      </c>
      <c r="K12" s="5">
        <f>IFERROR(VLOOKUP(K$1,'CERA Conservador'!$B$28:$C$35,2,FALSE),0%)</f>
        <v>0</v>
      </c>
      <c r="L12" s="5">
        <f>IFERROR(VLOOKUP(L$1,'CERA Conservador'!$B$28:$C$35,2,FALSE),0%)</f>
        <v>0</v>
      </c>
      <c r="M12" s="5">
        <f>IFERROR(VLOOKUP(M$1,'CERA Conservador'!$B$28:$C$35,2,FALSE),0%)</f>
        <v>0</v>
      </c>
      <c r="N12" s="5">
        <f>IFERROR(VLOOKUP(N$1,'CERA Conservador'!$B$28:$C$35,2,FALSE),0%)</f>
        <v>0</v>
      </c>
      <c r="O12" s="5">
        <f>IFERROR(VLOOKUP(O$1,'CERA Conservador'!$B$28:$C$35,2,FALSE),0%)</f>
        <v>0</v>
      </c>
      <c r="P12" s="5">
        <f>IFERROR(VLOOKUP(P$1,'CERA Conservador'!$B$28:$C$35,2,FALSE),0%)</f>
        <v>0</v>
      </c>
      <c r="Q12" s="5">
        <f>IFERROR(VLOOKUP(Q$1,'CERA Conservador'!$B$28:$C$35,2,FALSE),0%)</f>
        <v>0</v>
      </c>
      <c r="R12" s="5">
        <f>IFERROR(VLOOKUP(R$1,'CERA Conservador'!$B$28:$C$35,2,FALSE),0%)</f>
        <v>0</v>
      </c>
      <c r="S12" s="5">
        <f>IFERROR(VLOOKUP(S$1,'CERA Conservador'!$B$28:$C$35,2,FALSE),0%)</f>
        <v>0</v>
      </c>
      <c r="T12" s="5">
        <f>IFERROR(VLOOKUP(T$1,'CERA Conservador'!$B$28:$C$35,2,FALSE),0%)</f>
        <v>0</v>
      </c>
      <c r="U12" s="5">
        <f>IFERROR(VLOOKUP(U$1,'CERA Conservador'!$B$28:$C$35,2,FALSE),0%)</f>
        <v>0</v>
      </c>
      <c r="V12" s="5">
        <f>IFERROR(VLOOKUP(V$1,'CERA Conservador'!$B$28:$C$35,2,FALSE),0%)</f>
        <v>0</v>
      </c>
      <c r="W12" s="5">
        <f>IFERROR(VLOOKUP(W$1,'CERA Conservador'!$B$28:$C$35,2,FALSE),0%)</f>
        <v>0</v>
      </c>
      <c r="X12" s="5">
        <f>IFERROR(VLOOKUP(X$1,'CERA Conservador'!$B$28:$C$35,2,FALSE),0%)</f>
        <v>0</v>
      </c>
      <c r="Y12" s="5">
        <f>IFERROR(VLOOKUP(Y$1,'CERA Conservador'!$B$28:$C$35,2,FALSE),0%)</f>
        <v>0</v>
      </c>
      <c r="Z12" s="5">
        <f>IFERROR(VLOOKUP(Z$1,'CERA Conservador'!$B$28:$C$35,2,FALSE),0%)</f>
        <v>0</v>
      </c>
      <c r="AA12" s="5">
        <f>IFERROR(VLOOKUP(AA$1,'CERA Conservador'!$B$28:$C$35,2,FALSE),0%)</f>
        <v>0</v>
      </c>
      <c r="AB12" s="5">
        <f>IFERROR(VLOOKUP(AB$1,'CERA Conservador'!$B$28:$C$35,2,FALSE),0%)</f>
        <v>0</v>
      </c>
      <c r="AC12" s="5">
        <f>IFERROR(VLOOKUP(AC$1,'CERA Conservador'!$B$28:$C$35,2,FALSE),0%)</f>
        <v>0</v>
      </c>
      <c r="AD12" s="5">
        <f>IFERROR(VLOOKUP(AD$1,'CERA Conservador'!$B$28:$C$35,2,FALSE),0%)</f>
        <v>0</v>
      </c>
      <c r="AE12" s="5">
        <f>IFERROR(VLOOKUP(AE$1,'CERA Conservador'!$B$28:$C$35,2,FALSE),0%)</f>
        <v>0</v>
      </c>
      <c r="AF12" s="5">
        <f>IFERROR(VLOOKUP(AF$1,'CERA Conservador'!$B$28:$C$35,2,FALSE),0%)</f>
        <v>0</v>
      </c>
      <c r="AG12" s="5">
        <f>IFERROR(VLOOKUP(AG$1,'CERA Conservador'!$B$28:$C$35,2,FALSE),0%)</f>
        <v>0</v>
      </c>
      <c r="AH12" s="5">
        <f>IFERROR(VLOOKUP(AH$1,'CERA Conservador'!$B$28:$C$35,2,FALSE),0%)</f>
        <v>0</v>
      </c>
      <c r="AI12" s="5">
        <f>IFERROR(VLOOKUP(AI$1,'CERA Conservador'!$B$28:$C$35,2,FALSE),0%)</f>
        <v>0</v>
      </c>
      <c r="AJ12" s="5">
        <f>IFERROR(VLOOKUP(AJ$1,'CERA Conservador'!$B$28:$C$35,2,FALSE),0%)</f>
        <v>0</v>
      </c>
      <c r="AK12" s="5">
        <f>IFERROR(VLOOKUP(AK$1,'CERA Conservador'!$B$28:$C$35,2,FALSE),0%)</f>
        <v>0.01657322814</v>
      </c>
      <c r="AL12" s="5">
        <f>IFERROR(VLOOKUP(AL$1,'CERA Conservador'!$B$28:$C$35,2,FALSE),0%)</f>
        <v>0</v>
      </c>
      <c r="AM12" s="5">
        <f>IFERROR(VLOOKUP(AM$1,'CERA Conservador'!$B$28:$C$35,2,FALSE),0%)</f>
        <v>0</v>
      </c>
      <c r="AN12" s="5">
        <f>IFERROR(VLOOKUP(AN$1,'CERA Conservador'!$B$28:$C$35,2,FALSE),0%)</f>
        <v>0</v>
      </c>
      <c r="AO12" s="5">
        <f>IFERROR(VLOOKUP(AO$1,'CERA Conservador'!$B$28:$C$35,2,FALSE),0%)</f>
        <v>0</v>
      </c>
      <c r="AP12" s="5">
        <f>IFERROR(VLOOKUP(AP$1,'CERA Conservador'!$B$28:$C$35,2,FALSE),0%)</f>
        <v>0</v>
      </c>
      <c r="AQ12" s="5">
        <f>IFERROR(VLOOKUP(AQ$1,'CERA Conservador'!$B$28:$C$35,2,FALSE),0%)</f>
        <v>0</v>
      </c>
      <c r="AR12" s="5">
        <f>IFERROR(VLOOKUP(AR$1,'CERA Conservador'!$B$28:$C$35,2,FALSE),0%)</f>
        <v>0</v>
      </c>
      <c r="AS12" s="5">
        <f>IFERROR(VLOOKUP(AS$1,'CERA Conservador'!$B$28:$C$35,2,FALSE),0%)</f>
        <v>0</v>
      </c>
      <c r="AT12" s="5">
        <f>IFERROR(VLOOKUP(AT$1,'CERA Conservador'!$B$28:$C$35,2,FALSE),0%)</f>
        <v>0</v>
      </c>
      <c r="AU12" s="5">
        <f>IFERROR(VLOOKUP(AU$1,'CERA Conservador'!$B$28:$C$35,2,FALSE),0%)</f>
        <v>0</v>
      </c>
      <c r="AV12" s="5">
        <f>IFERROR(VLOOKUP(AV$1,'CERA Conservador'!$B$28:$C$35,2,FALSE),0%)</f>
        <v>0</v>
      </c>
      <c r="AW12" s="5">
        <f>IFERROR(VLOOKUP(AW$1,'CERA Conservador'!$B$28:$C$35,2,FALSE),0%)</f>
        <v>0</v>
      </c>
      <c r="AX12" s="5">
        <f>IFERROR(VLOOKUP(AX$1,'CERA Conservador'!$B$28:$C$35,2,FALSE),0%)</f>
        <v>0</v>
      </c>
      <c r="AY12" s="5">
        <f>IFERROR(VLOOKUP(AY$1,'CERA Conservador'!$B$28:$C$35,2,FALSE),0%)</f>
        <v>0</v>
      </c>
      <c r="AZ12" s="5">
        <f>IFERROR(VLOOKUP(AZ$1,'CERA Conservador'!$B$28:$C$35,2,FALSE),0%)</f>
        <v>0</v>
      </c>
      <c r="BA12" s="5">
        <f>IFERROR(VLOOKUP(BA$1,'CERA Conservador'!$B$28:$C$35,2,FALSE),0%)</f>
        <v>0</v>
      </c>
      <c r="BB12" s="5">
        <f>IFERROR(VLOOKUP(BB$1,'CERA Conservador'!$B$28:$C$35,2,FALSE),0%)</f>
        <v>0</v>
      </c>
      <c r="BC12" s="5">
        <f>IFERROR(VLOOKUP(BC$1,'CERA Conservador'!$B$28:$C$35,2,FALSE),0%)</f>
        <v>0</v>
      </c>
      <c r="BD12" s="5">
        <f>IFERROR(VLOOKUP(BD$1,'CERA Conservador'!$B$28:$C$35,2,FALSE),0%)</f>
        <v>0</v>
      </c>
      <c r="BE12" s="5">
        <f>IFERROR(VLOOKUP(BE$1,'CERA Conservador'!$B$28:$C$35,2,FALSE),0%)</f>
        <v>0</v>
      </c>
      <c r="BF12" s="5">
        <f>IFERROR(VLOOKUP(BF$1,'CERA Conservador'!$B$28:$C$35,2,FALSE),0%)</f>
        <v>0</v>
      </c>
      <c r="BG12" s="5">
        <f>IFERROR(VLOOKUP(BG$1,'CERA Conservador'!$B$28:$C$35,2,FALSE),0%)</f>
        <v>0</v>
      </c>
      <c r="BH12" s="5">
        <f>IFERROR(VLOOKUP(BH$1,'CERA Conservador'!$B$28:$C$35,2,FALSE),0%)</f>
        <v>0</v>
      </c>
      <c r="BI12" s="5">
        <f>IFERROR(VLOOKUP(BI$1,'CERA Conservador'!$B$28:$C$35,2,FALSE),0%)</f>
        <v>0</v>
      </c>
      <c r="BJ12" s="5">
        <f>IFERROR(VLOOKUP(BJ$1,'CERA Conservador'!$B$28:$C$35,2,FALSE),0%)</f>
        <v>0</v>
      </c>
      <c r="BK12" s="5">
        <f>IFERROR(VLOOKUP(BK$1,'CERA Conservador'!$B$28:$C$35,2,FALSE),0%)</f>
        <v>0</v>
      </c>
      <c r="BL12" s="5">
        <f>IFERROR(VLOOKUP(BL$1,'CERA Conservador'!$B$28:$C$35,2,FALSE),0%)</f>
        <v>0</v>
      </c>
      <c r="BM12" s="5">
        <f>IFERROR(VLOOKUP(BM$1,'CERA Conservador'!$B$28:$C$35,2,FALSE),0%)</f>
        <v>0</v>
      </c>
      <c r="BN12" s="5">
        <f>IFERROR(VLOOKUP(BN$1,'CERA Conservador'!$B$28:$C$35,2,FALSE),0%)</f>
        <v>0</v>
      </c>
      <c r="BO12" s="5">
        <f>IFERROR(VLOOKUP(BO$1,'CERA Conservador'!$B$28:$C$35,2,FALSE),0%)</f>
        <v>0</v>
      </c>
      <c r="BP12" s="5">
        <f>IFERROR(VLOOKUP(BP$1,'CERA Conservador'!$B$28:$C$35,2,FALSE),0%)</f>
        <v>0</v>
      </c>
      <c r="BQ12" s="5">
        <f>IFERROR(VLOOKUP(BQ$1,'CERA Conservador'!$B$28:$C$35,2,FALSE),0%)</f>
        <v>0</v>
      </c>
      <c r="BR12" s="5">
        <f>IFERROR(VLOOKUP(BR$1,'CERA Conservador'!$B$28:$C$35,2,FALSE),0%)</f>
        <v>0.03529453955</v>
      </c>
      <c r="BS12" s="5">
        <f>IFERROR(VLOOKUP(BS$1,'CERA Conservador'!$B$28:$C$35,2,FALSE),0%)</f>
        <v>0</v>
      </c>
      <c r="BT12" s="5">
        <f>IFERROR(VLOOKUP(BT$1,'CERA Conservador'!$B$28:$C$35,2,FALSE),0%)</f>
        <v>0</v>
      </c>
      <c r="BU12" s="5">
        <f>IFERROR(VLOOKUP(BU$1,'CERA Conservador'!$B$28:$C$35,2,FALSE),0%)</f>
        <v>0</v>
      </c>
      <c r="BV12" s="5">
        <f>IFERROR(VLOOKUP(BV$1,'CERA Conservador'!$B$28:$C$35,2,FALSE),0%)</f>
        <v>0</v>
      </c>
      <c r="BW12" s="5">
        <f>IFERROR(VLOOKUP(BW$1,'CERA Conservador'!$B$28:$C$35,2,FALSE),0%)</f>
        <v>0</v>
      </c>
      <c r="BX12" s="5">
        <f>IFERROR(VLOOKUP(BX$1,'CERA Conservador'!$B$28:$C$35,2,FALSE),0%)</f>
        <v>0</v>
      </c>
      <c r="BY12" s="5">
        <f>IFERROR(VLOOKUP(BY$1,'CERA Conservador'!$B$28:$C$35,2,FALSE),0%)</f>
        <v>0</v>
      </c>
      <c r="BZ12" s="5">
        <f>IFERROR(VLOOKUP(BZ$1,'CERA Conservador'!$B$28:$C$35,2,FALSE),0%)</f>
        <v>0</v>
      </c>
      <c r="CA12" s="5">
        <f>IFERROR(VLOOKUP(CA$1,'CERA Conservador'!$B$28:$C$35,2,FALSE),0%)</f>
        <v>0</v>
      </c>
      <c r="CB12" s="5">
        <f>IFERROR(VLOOKUP(CB$1,'CERA Conservador'!$B$28:$C$35,2,FALSE),0%)</f>
        <v>0</v>
      </c>
      <c r="CC12" s="5">
        <f>IFERROR(VLOOKUP(CC$1,'CERA Conservador'!$B$28:$C$35,2,FALSE),0%)</f>
        <v>0</v>
      </c>
      <c r="CD12" s="5">
        <f>IFERROR(VLOOKUP(CD$1,'CERA Conservador'!$B$28:$C$35,2,FALSE),0%)</f>
        <v>0</v>
      </c>
      <c r="CE12" s="5">
        <f>IFERROR(VLOOKUP(CE$1,'CERA Conservador'!$B$28:$C$35,2,FALSE),0%)</f>
        <v>0</v>
      </c>
      <c r="CF12" s="5">
        <f>IFERROR(VLOOKUP(CF$1,'CERA Conservador'!$B$28:$C$35,2,FALSE),0%)</f>
        <v>0</v>
      </c>
      <c r="CG12" s="5">
        <f>IFERROR(VLOOKUP(CG$1,'CERA Conservador'!$B$28:$C$35,2,FALSE),0%)</f>
        <v>0</v>
      </c>
      <c r="CH12" s="5">
        <f>IFERROR(VLOOKUP(CH$1,'CERA Conservador'!$B$28:$C$35,2,FALSE),0%)</f>
        <v>0</v>
      </c>
      <c r="CI12" s="5">
        <f>IFERROR(VLOOKUP(CI$1,'CERA Conservador'!$B$28:$C$35,2,FALSE),0%)</f>
        <v>0</v>
      </c>
      <c r="CJ12" s="5">
        <f>IFERROR(VLOOKUP(CJ$1,'CERA Conservador'!$B$28:$C$35,2,FALSE),0%)</f>
        <v>0</v>
      </c>
      <c r="CK12" s="5">
        <f>IFERROR(VLOOKUP(CK$1,'CERA Conservador'!$B$28:$C$35,2,FALSE),0%)</f>
        <v>0</v>
      </c>
      <c r="CL12" s="5">
        <f>IFERROR(VLOOKUP(CL$1,'CERA Conservador'!$B$28:$C$35,2,FALSE),0%)</f>
        <v>0</v>
      </c>
      <c r="CM12" s="5">
        <f>IFERROR(VLOOKUP(CM$1,'CERA Conservador'!$B$28:$C$35,2,FALSE),0%)</f>
        <v>0</v>
      </c>
      <c r="CN12" s="5">
        <f>IFERROR(VLOOKUP(CN$1,'CERA Conservador'!$B$28:$C$35,2,FALSE),0%)</f>
        <v>0</v>
      </c>
      <c r="CO12" s="5">
        <f>IFERROR(VLOOKUP(CO$1,'CERA Conservador'!$B$28:$C$35,2,FALSE),0%)</f>
        <v>0</v>
      </c>
      <c r="CP12" s="5">
        <f>IFERROR(VLOOKUP(CP$1,'CERA Conservador'!$B$28:$C$35,2,FALSE),0%)</f>
        <v>0</v>
      </c>
      <c r="CQ12" s="5">
        <f>IFERROR(VLOOKUP(CQ$1,'CERA Conservador'!$B$28:$C$35,2,FALSE),0%)</f>
        <v>0</v>
      </c>
      <c r="CR12" s="5">
        <f>IFERROR(VLOOKUP(CR$1,'CERA Conservador'!$B$28:$C$35,2,FALSE),0%)</f>
        <v>0</v>
      </c>
      <c r="CS12" s="5">
        <f>IFERROR(VLOOKUP(CS$1,'CERA Conservador'!$B$28:$C$35,2,FALSE),0%)</f>
        <v>0</v>
      </c>
      <c r="CT12" s="5">
        <f>IFERROR(VLOOKUP(CT$1,'CERA Conservador'!$B$28:$C$35,2,FALSE),0%)</f>
        <v>0</v>
      </c>
      <c r="CU12" s="5">
        <f>IFERROR(VLOOKUP(CU$1,'CERA Conservador'!$B$28:$C$35,2,FALSE),0%)</f>
        <v>0</v>
      </c>
      <c r="CV12" s="5">
        <f>IFERROR(VLOOKUP(CV$1,'CERA Conservador'!$B$28:$C$35,2,FALSE),0%)</f>
        <v>0</v>
      </c>
      <c r="CW12" s="5">
        <f>IFERROR(VLOOKUP(CW$1,'CERA Conservador'!$B$28:$C$35,2,FALSE),0%)</f>
        <v>0</v>
      </c>
      <c r="CX12" s="5">
        <f>IFERROR(VLOOKUP(CX$1,'CERA Conservador'!$B$28:$C$35,2,FALSE),0%)</f>
        <v>0</v>
      </c>
      <c r="CY12" s="5">
        <f>IFERROR(VLOOKUP(CY$1,'CERA Conservador'!$B$28:$C$35,2,FALSE),0%)</f>
        <v>0</v>
      </c>
      <c r="CZ12" s="5">
        <f>IFERROR(VLOOKUP(CZ$1,'CERA Conservador'!$B$28:$C$35,2,FALSE),0%)</f>
        <v>0</v>
      </c>
      <c r="DA12" s="5">
        <f>IFERROR(VLOOKUP(DA$1,'CERA Conservador'!$B$28:$C$35,2,FALSE),0%)</f>
        <v>0</v>
      </c>
      <c r="DB12" s="5">
        <f>IFERROR(VLOOKUP(DB$1,'CERA Conservador'!$B$28:$C$35,2,FALSE),0%)</f>
        <v>0</v>
      </c>
      <c r="DC12" s="5">
        <f>IFERROR(VLOOKUP(DC$1,'CERA Conservador'!$B$28:$C$35,2,FALSE),0%)</f>
        <v>0</v>
      </c>
      <c r="DD12" s="5">
        <f>IFERROR(VLOOKUP(DD$1,'CERA Conservador'!$B$28:$C$35,2,FALSE),0%)</f>
        <v>0</v>
      </c>
      <c r="DE12" s="5">
        <f>IFERROR(VLOOKUP(DE$1,'CERA Conservador'!$B$28:$C$35,2,FALSE),0%)</f>
        <v>0</v>
      </c>
      <c r="DF12" s="5">
        <f>IFERROR(VLOOKUP(DF$1,'CERA Conservador'!$B$28:$C$35,2,FALSE),0%)</f>
        <v>0</v>
      </c>
      <c r="DG12" s="5">
        <f>IFERROR(VLOOKUP(DG$1,'CERA Conservador'!$B$28:$C$35,2,FALSE),0%)</f>
        <v>0</v>
      </c>
      <c r="DH12" s="5">
        <f>IFERROR(VLOOKUP(DH$1,'CERA Conservador'!$B$28:$C$35,2,FALSE),0%)</f>
        <v>0</v>
      </c>
      <c r="DI12" s="5">
        <f>IFERROR(VLOOKUP(DI$1,'CERA Conservador'!$B$28:$C$35,2,FALSE),0%)</f>
        <v>0</v>
      </c>
      <c r="DJ12" s="5">
        <f>IFERROR(VLOOKUP(DJ$1,'CERA Conservador'!$B$28:$C$35,2,FALSE),0%)</f>
        <v>0</v>
      </c>
      <c r="DK12" s="5">
        <f>IFERROR(VLOOKUP(DK$1,'CERA Conservador'!$B$28:$C$35,2,FALSE),0%)</f>
        <v>0</v>
      </c>
      <c r="DL12" s="5">
        <f>IFERROR(VLOOKUP(DL$1,'CERA Conservador'!$B$28:$C$35,2,FALSE),0%)</f>
        <v>0</v>
      </c>
      <c r="DM12" s="5">
        <f>IFERROR(VLOOKUP(DM$1,'CERA Conservador'!$B$28:$C$35,2,FALSE),0%)</f>
        <v>0</v>
      </c>
      <c r="DN12" s="5">
        <f>IFERROR(VLOOKUP(DN$1,'CERA Conservador'!$B$28:$C$35,2,FALSE),0%)</f>
        <v>0</v>
      </c>
      <c r="DO12" s="5">
        <f>IFERROR(VLOOKUP(DO$1,'CERA Conservador'!$B$28:$C$35,2,FALSE),0%)</f>
        <v>0</v>
      </c>
      <c r="DP12" s="5">
        <f>IFERROR(VLOOKUP(DP$1,'CERA Conservador'!$B$28:$C$35,2,FALSE),0%)</f>
        <v>0</v>
      </c>
      <c r="DQ12" s="5">
        <f>IFERROR(VLOOKUP(DQ$1,'CERA Conservador'!$B$28:$C$35,2,FALSE),0%)</f>
        <v>0</v>
      </c>
      <c r="DR12" s="5">
        <f>IFERROR(VLOOKUP(DR$1,'CERA Conservador'!$B$28:$C$35,2,FALSE),0%)</f>
        <v>0</v>
      </c>
      <c r="DS12" s="5">
        <f>IFERROR(VLOOKUP(DS$1,'CERA Conservador'!$B$28:$C$35,2,FALSE),0%)</f>
        <v>0</v>
      </c>
      <c r="DT12" s="5">
        <f>IFERROR(VLOOKUP(DT$1,'CERA Conservador'!$B$28:$C$35,2,FALSE),0%)</f>
        <v>0</v>
      </c>
      <c r="DU12" s="5">
        <f>IFERROR(VLOOKUP(DU$1,'CERA Conservador'!$B$28:$C$35,2,FALSE),0%)</f>
        <v>0</v>
      </c>
      <c r="DV12" s="5">
        <f>IFERROR(VLOOKUP(DV$1,'CERA Conservador'!$B$28:$C$35,2,FALSE),0%)</f>
        <v>0</v>
      </c>
      <c r="DW12" s="5">
        <f>IFERROR(VLOOKUP(DW$1,'CERA Conservador'!$B$28:$C$35,2,FALSE),0%)</f>
        <v>0</v>
      </c>
      <c r="DX12" s="5">
        <f>IFERROR(VLOOKUP(DX$1,'CERA Conservador'!$B$28:$C$35,2,FALSE),0%)</f>
        <v>0</v>
      </c>
      <c r="DY12" s="5">
        <f>IFERROR(VLOOKUP(DY$1,'CERA Conservador'!$B$28:$C$35,2,FALSE),0%)</f>
        <v>0</v>
      </c>
      <c r="DZ12" s="5">
        <f>IFERROR(VLOOKUP(DZ$1,'CERA Conservador'!$B$28:$C$35,2,FALSE),0%)</f>
        <v>0</v>
      </c>
      <c r="EA12" s="5">
        <f>IFERROR(VLOOKUP(EA$1,'CERA Conservador'!$B$28:$C$35,2,FALSE),0%)</f>
        <v>0</v>
      </c>
      <c r="EB12" s="5">
        <f>IFERROR(VLOOKUP(EB$1,'CERA Conservador'!$B$28:$C$35,2,FALSE),0%)</f>
        <v>0</v>
      </c>
      <c r="EC12" s="5">
        <f>IFERROR(VLOOKUP(EC$1,'CERA Conservador'!$B$28:$C$35,2,FALSE),0%)</f>
        <v>0</v>
      </c>
      <c r="ED12" s="5">
        <f>IFERROR(VLOOKUP(ED$1,'CERA Conservador'!$B$28:$C$35,2,FALSE),0%)</f>
        <v>0</v>
      </c>
      <c r="EE12" s="5">
        <f>IFERROR(VLOOKUP(EE$1,'CERA Conservador'!$B$28:$C$35,2,FALSE),0%)</f>
        <v>0</v>
      </c>
      <c r="EF12" s="5">
        <f>IFERROR(VLOOKUP(EF$1,'CERA Conservador'!$B$28:$C$35,2,FALSE),0%)</f>
        <v>0</v>
      </c>
      <c r="EG12" s="5">
        <f>IFERROR(VLOOKUP(EG$1,'CERA Conservador'!$B$28:$C$35,2,FALSE),0%)</f>
        <v>0</v>
      </c>
      <c r="EH12" s="5">
        <f>IFERROR(VLOOKUP(EH$1,'CERA Conservador'!$B$28:$C$35,2,FALSE),0%)</f>
        <v>0</v>
      </c>
      <c r="EI12" s="5">
        <f>IFERROR(VLOOKUP(EI$1,'CERA Conservador'!$B$28:$C$35,2,FALSE),0%)</f>
        <v>0</v>
      </c>
      <c r="EJ12" s="5">
        <f>IFERROR(VLOOKUP(EJ$1,'CERA Conservador'!$B$28:$C$35,2,FALSE),0%)</f>
        <v>0</v>
      </c>
      <c r="EK12" s="5">
        <f>IFERROR(VLOOKUP(EK$1,'CERA Conservador'!$B$28:$C$35,2,FALSE),0%)</f>
        <v>0</v>
      </c>
      <c r="EL12" s="5">
        <f>IFERROR(VLOOKUP(EL$1,'CERA Conservador'!$B$28:$C$35,2,FALSE),0%)</f>
        <v>0</v>
      </c>
      <c r="EM12" s="5">
        <f>IFERROR(VLOOKUP(EM$1,'CERA Conservador'!$B$28:$C$35,2,FALSE),0%)</f>
        <v>0</v>
      </c>
      <c r="EN12" s="5">
        <f>IFERROR(VLOOKUP(EN$1,'CERA Conservador'!$B$28:$C$35,2,FALSE),0%)</f>
        <v>0</v>
      </c>
      <c r="EO12" s="5">
        <f>IFERROR(VLOOKUP(EO$1,'CERA Conservador'!$B$28:$C$35,2,FALSE),0%)</f>
        <v>0</v>
      </c>
      <c r="EP12" s="5">
        <f>IFERROR(VLOOKUP(EP$1,'CERA Conservador'!$B$28:$C$35,2,FALSE),0%)</f>
        <v>0</v>
      </c>
      <c r="EQ12" s="5">
        <f>IFERROR(VLOOKUP(EQ$1,'CERA Conservador'!$B$28:$C$35,2,FALSE),0%)</f>
        <v>0</v>
      </c>
      <c r="ER12" s="5">
        <f>IFERROR(VLOOKUP(ER$1,'CERA Conservador'!$B$28:$C$35,2,FALSE),0%)</f>
        <v>0</v>
      </c>
      <c r="ES12" s="5">
        <f>IFERROR(VLOOKUP(ES$1,'CERA Conservador'!$B$28:$C$35,2,FALSE),0%)</f>
        <v>0</v>
      </c>
      <c r="ET12" s="5">
        <f>IFERROR(VLOOKUP(ET$1,'CERA Conservador'!$B$28:$C$35,2,FALSE),0%)</f>
        <v>0</v>
      </c>
      <c r="EU12" s="5">
        <f>IFERROR(VLOOKUP(EU$1,'CERA Conservador'!$B$28:$C$35,2,FALSE),0%)</f>
        <v>0.5252435643</v>
      </c>
      <c r="EV12" s="5">
        <f>IFERROR(VLOOKUP(EV$1,'CERA Conservador'!$B$28:$C$35,2,FALSE),0%)</f>
        <v>0</v>
      </c>
      <c r="EW12" s="5">
        <f>IFERROR(VLOOKUP(EW$1,'CERA Conservador'!$B$28:$C$35,2,FALSE),0%)</f>
        <v>0</v>
      </c>
      <c r="EX12" s="5">
        <f>IFERROR(VLOOKUP(EX$1,'CERA Conservador'!$B$28:$C$35,2,FALSE),0%)</f>
        <v>0</v>
      </c>
      <c r="EY12" s="5">
        <f>IFERROR(VLOOKUP(EY$1,'CERA Conservador'!$B$28:$C$35,2,FALSE),0%)</f>
        <v>0</v>
      </c>
      <c r="EZ12" s="5">
        <f>IFERROR(VLOOKUP(EZ$1,'CERA Conservador'!$B$28:$C$35,2,FALSE),0%)</f>
        <v>0</v>
      </c>
      <c r="FA12" s="5">
        <f>IFERROR(VLOOKUP(FA$1,'CERA Conservador'!$B$28:$C$35,2,FALSE),0%)</f>
        <v>0</v>
      </c>
      <c r="FB12" s="5">
        <f>IFERROR(VLOOKUP(FB$1,'CERA Conservador'!$B$28:$C$35,2,FALSE),0%)</f>
        <v>0</v>
      </c>
      <c r="FC12" s="5">
        <f>IFERROR(VLOOKUP(FC$1,'CERA Conservador'!$B$28:$C$35,2,FALSE),0%)</f>
        <v>0</v>
      </c>
      <c r="FD12" s="5">
        <f>IFERROR(VLOOKUP(FD$1,'CERA Conservador'!$B$28:$C$35,2,FALSE),0%)</f>
        <v>0</v>
      </c>
      <c r="FE12" s="5">
        <f>IFERROR(VLOOKUP(FE$1,'CERA Conservador'!$B$28:$C$35,2,FALSE),0%)</f>
        <v>0</v>
      </c>
      <c r="FF12" s="5">
        <f>IFERROR(VLOOKUP(FF$1,'CERA Conservador'!$B$28:$C$35,2,FALSE),0%)</f>
        <v>0</v>
      </c>
      <c r="FG12" s="5">
        <f>IFERROR(VLOOKUP(FG$1,'CERA Conservador'!$B$28:$C$35,2,FALSE),0%)</f>
        <v>0</v>
      </c>
      <c r="FH12" s="5">
        <f>IFERROR(VLOOKUP(FH$1,'CERA Conservador'!$B$28:$C$35,2,FALSE),0%)</f>
        <v>0</v>
      </c>
      <c r="FI12" s="5">
        <f>IFERROR(VLOOKUP(FI$1,'CERA Conservador'!$B$28:$C$35,2,FALSE),0%)</f>
        <v>0</v>
      </c>
      <c r="FJ12" s="5">
        <f>IFERROR(VLOOKUP(FJ$1,'CERA Conservador'!$B$28:$C$35,2,FALSE),0%)</f>
        <v>0</v>
      </c>
      <c r="FK12" s="5">
        <f>IFERROR(VLOOKUP(FK$1,'CERA Conservador'!$B$28:$C$35,2,FALSE),0%)</f>
        <v>0</v>
      </c>
      <c r="FL12" s="5">
        <f>IFERROR(VLOOKUP(FL$1,'CERA Conservador'!$B$28:$C$35,2,FALSE),0%)</f>
        <v>0</v>
      </c>
      <c r="FM12" s="5">
        <f>IFERROR(VLOOKUP(FM$1,'CERA Conservador'!$B$28:$C$35,2,FALSE),0%)</f>
        <v>0</v>
      </c>
      <c r="FN12" s="5">
        <f>IFERROR(VLOOKUP(FN$1,'CERA Conservador'!$B$28:$C$35,2,FALSE),0%)</f>
        <v>0</v>
      </c>
      <c r="FO12" s="5">
        <f>IFERROR(VLOOKUP(FO$1,'CERA Conservador'!$B$28:$C$35,2,FALSE),0%)</f>
        <v>0</v>
      </c>
      <c r="FP12" s="5">
        <f>IFERROR(VLOOKUP(FP$1,'CERA Conservador'!$B$28:$C$35,2,FALSE),0%)</f>
        <v>0</v>
      </c>
      <c r="FQ12" s="5">
        <f>IFERROR(VLOOKUP(FQ$1,'CERA Conservador'!$B$28:$C$35,2,FALSE),0%)</f>
        <v>0</v>
      </c>
      <c r="FR12" s="5">
        <f>IFERROR(VLOOKUP(FR$1,'CERA Conservador'!$B$28:$C$35,2,FALSE),0%)</f>
        <v>0</v>
      </c>
      <c r="FS12" s="5">
        <f>IFERROR(VLOOKUP(FS$1,'CERA Conservador'!$B$28:$C$35,2,FALSE),0%)</f>
        <v>0</v>
      </c>
      <c r="FT12" s="5">
        <f>IFERROR(VLOOKUP(FT$1,'CERA Conservador'!$B$28:$C$35,2,FALSE),0%)</f>
        <v>0</v>
      </c>
      <c r="FU12" s="5">
        <f>IFERROR(VLOOKUP(FU$1,'CERA Conservador'!$B$28:$C$35,2,FALSE),0%)</f>
        <v>0</v>
      </c>
      <c r="FV12" s="5">
        <f>IFERROR(VLOOKUP(FV$1,'CERA Conservador'!$B$28:$C$35,2,FALSE),0%)</f>
        <v>0</v>
      </c>
      <c r="FW12" s="5">
        <f>IFERROR(VLOOKUP(FW$1,'CERA Conservador'!$B$28:$C$35,2,FALSE),0%)</f>
        <v>0</v>
      </c>
      <c r="FX12" s="5">
        <f>IFERROR(VLOOKUP(FX$1,'CERA Conservador'!$B$28:$C$35,2,FALSE),0%)</f>
        <v>0</v>
      </c>
      <c r="FY12" s="5">
        <f>IFERROR(VLOOKUP(FY$1,'CERA Conservador'!$B$28:$C$35,2,FALSE),0%)</f>
        <v>0</v>
      </c>
      <c r="FZ12" s="5">
        <f>IFERROR(VLOOKUP(FZ$1,'CERA Conservador'!$B$28:$C$35,2,FALSE),0%)</f>
        <v>0</v>
      </c>
      <c r="GA12" s="5">
        <f>IFERROR(VLOOKUP(GA$1,'CERA Conservador'!$B$28:$C$35,2,FALSE),0%)</f>
        <v>0</v>
      </c>
      <c r="GB12" s="5">
        <f>IFERROR(VLOOKUP(GB$1,'CERA Conservador'!$B$28:$C$35,2,FALSE),0%)</f>
        <v>0</v>
      </c>
      <c r="GC12" s="5">
        <f>IFERROR(VLOOKUP(GC$1,'CERA Conservador'!$B$28:$C$35,2,FALSE),0%)</f>
        <v>0</v>
      </c>
      <c r="GD12" s="5">
        <f>IFERROR(VLOOKUP(GD$1,'CERA Conservador'!$B$28:$C$35,2,FALSE),0%)</f>
        <v>0</v>
      </c>
      <c r="GE12" s="5">
        <f>IFERROR(VLOOKUP(GE$1,'CERA Conservador'!$B$28:$C$35,2,FALSE),0%)</f>
        <v>0</v>
      </c>
      <c r="GF12" s="5">
        <f>IFERROR(VLOOKUP(GF$1,'CERA Conservador'!$B$28:$C$35,2,FALSE),0%)</f>
        <v>0</v>
      </c>
      <c r="GG12" s="5">
        <f>IFERROR(VLOOKUP(GG$1,'CERA Conservador'!$B$28:$C$35,2,FALSE),0%)</f>
        <v>0</v>
      </c>
      <c r="GH12" s="5">
        <f>IFERROR(VLOOKUP(GH$1,'CERA Conservador'!$B$28:$C$35,2,FALSE),0%)</f>
        <v>0</v>
      </c>
      <c r="GI12" s="5">
        <f>IFERROR(VLOOKUP(GI$1,'CERA Conservador'!$B$28:$C$35,2,FALSE),0%)</f>
        <v>0</v>
      </c>
      <c r="GJ12" s="5">
        <f>IFERROR(VLOOKUP(GJ$1,'CERA Conservador'!$B$28:$C$35,2,FALSE),0%)</f>
        <v>0</v>
      </c>
      <c r="GK12" s="5">
        <f>IFERROR(VLOOKUP(GK$1,'CERA Conservador'!$B$28:$C$35,2,FALSE),0%)</f>
        <v>0</v>
      </c>
      <c r="GL12" s="5">
        <f>IFERROR(VLOOKUP(GL$1,'CERA Conservador'!$B$28:$C$35,2,FALSE),0%)</f>
        <v>0</v>
      </c>
      <c r="GM12" s="5">
        <f>IFERROR(VLOOKUP(GM$1,'CERA Conservador'!$B$28:$C$35,2,FALSE),0%)</f>
        <v>0</v>
      </c>
      <c r="GN12" s="5">
        <f>IFERROR(VLOOKUP(GN$1,'CERA Conservador'!$B$28:$C$35,2,FALSE),0%)</f>
        <v>0</v>
      </c>
      <c r="GO12" s="5">
        <f>IFERROR(VLOOKUP(GO$1,'CERA Conservador'!$B$28:$C$35,2,FALSE),0%)</f>
        <v>0</v>
      </c>
      <c r="GP12" s="5">
        <f>IFERROR(VLOOKUP(GP$1,'CERA Conservador'!$B$28:$C$35,2,FALSE),0%)</f>
        <v>0</v>
      </c>
      <c r="GQ12" s="5">
        <f>IFERROR(VLOOKUP(GQ$1,'CERA Conservador'!$B$28:$C$35,2,FALSE),0%)</f>
        <v>0</v>
      </c>
      <c r="GR12" s="5">
        <f>IFERROR(VLOOKUP(GR$1,'CERA Conservador'!$B$28:$C$35,2,FALSE),0%)</f>
        <v>0</v>
      </c>
      <c r="GS12" s="5">
        <f>IFERROR(VLOOKUP(GS$1,'CERA Conservador'!$B$28:$C$35,2,FALSE),0%)</f>
        <v>0</v>
      </c>
      <c r="GT12" s="5">
        <f>IFERROR(VLOOKUP(GT$1,'CERA Conservador'!$B$28:$C$35,2,FALSE),0%)</f>
        <v>0</v>
      </c>
      <c r="GU12" s="5">
        <f>IFERROR(VLOOKUP(GU$1,'CERA Conservador'!$B$28:$C$35,2,FALSE),0%)</f>
        <v>0</v>
      </c>
      <c r="GV12" s="5">
        <f>IFERROR(VLOOKUP(GV$1,'CERA Conservador'!$B$28:$C$35,2,FALSE),0%)</f>
        <v>0</v>
      </c>
      <c r="GW12" s="5">
        <f>IFERROR(VLOOKUP(GW$1,'CERA Conservador'!$B$28:$C$35,2,FALSE),0%)</f>
        <v>0</v>
      </c>
      <c r="GX12" s="5">
        <f>IFERROR(VLOOKUP(GX$1,'CERA Conservador'!$B$28:$C$35,2,FALSE),0%)</f>
        <v>0</v>
      </c>
      <c r="GY12" s="5">
        <f>IFERROR(VLOOKUP(GY$1,'CERA Conservador'!$B$28:$C$35,2,FALSE),0%)</f>
        <v>0</v>
      </c>
      <c r="GZ12" s="5">
        <f>IFERROR(VLOOKUP(GZ$1,'CERA Conservador'!$B$28:$C$35,2,FALSE),0%)</f>
        <v>0</v>
      </c>
      <c r="HA12" s="5">
        <f>IFERROR(VLOOKUP(HA$1,'CERA Conservador'!$B$28:$C$35,2,FALSE),0%)</f>
        <v>0</v>
      </c>
      <c r="HB12" s="5">
        <f>IFERROR(VLOOKUP(HB$1,'CERA Conservador'!$B$28:$C$35,2,FALSE),0%)</f>
        <v>0</v>
      </c>
      <c r="HC12" s="5">
        <f>IFERROR(VLOOKUP(HC$1,'CERA Conservador'!$B$28:$C$35,2,FALSE),0%)</f>
        <v>0</v>
      </c>
      <c r="HD12" s="5">
        <f>IFERROR(VLOOKUP(HD$1,'CERA Conservador'!$B$28:$C$35,2,FALSE),0%)</f>
        <v>0</v>
      </c>
      <c r="HE12" s="5">
        <f>IFERROR(VLOOKUP(HE$1,'CERA Conservador'!$B$28:$C$35,2,FALSE),0%)</f>
        <v>0</v>
      </c>
      <c r="HF12" s="5">
        <f>IFERROR(VLOOKUP(HF$1,'CERA Conservador'!$B$28:$C$35,2,FALSE),0%)</f>
        <v>0</v>
      </c>
      <c r="HG12" s="5">
        <f>IFERROR(VLOOKUP(HG$1,'CERA Conservador'!$B$28:$C$35,2,FALSE),0%)</f>
        <v>0</v>
      </c>
      <c r="HH12" s="5">
        <f>IFERROR(VLOOKUP(HH$1,'CERA Conservador'!$B$28:$C$35,2,FALSE),0%)</f>
        <v>0</v>
      </c>
      <c r="HI12" s="5">
        <f>IFERROR(VLOOKUP(HI$1,'CERA Conservador'!$B$28:$C$35,2,FALSE),0%)</f>
        <v>0</v>
      </c>
      <c r="HJ12" s="5">
        <f>IFERROR(VLOOKUP(HJ$1,'CERA Conservador'!$B$28:$C$35,2,FALSE),0%)</f>
        <v>0</v>
      </c>
      <c r="HK12" s="5">
        <f>IFERROR(VLOOKUP(HK$1,'CERA Conservador'!$B$28:$C$35,2,FALSE),0%)</f>
        <v>0</v>
      </c>
      <c r="HL12" s="5">
        <f>IFERROR(VLOOKUP(HL$1,'CERA Conservador'!$B$28:$C$35,2,FALSE),0%)</f>
        <v>0</v>
      </c>
      <c r="HM12" s="5">
        <f>IFERROR(VLOOKUP(HM$1,'CERA Conservador'!$B$28:$C$35,2,FALSE),0%)</f>
        <v>0</v>
      </c>
      <c r="HN12" s="5">
        <f>IFERROR(VLOOKUP(HN$1,'CERA Conservador'!$B$28:$C$35,2,FALSE),0%)</f>
        <v>0</v>
      </c>
      <c r="HO12" s="5">
        <f>IFERROR(VLOOKUP(HO$1,'CERA Conservador'!$B$28:$C$35,2,FALSE),0%)</f>
        <v>0</v>
      </c>
      <c r="HP12" s="5">
        <f>IFERROR(VLOOKUP(HP$1,'CERA Conservador'!$B$28:$C$35,2,FALSE),0%)</f>
        <v>0</v>
      </c>
      <c r="HQ12" s="5">
        <f>IFERROR(VLOOKUP(HQ$1,'CERA Conservador'!$B$28:$C$35,2,FALSE),0%)</f>
        <v>0</v>
      </c>
      <c r="HR12" s="5">
        <f>IFERROR(VLOOKUP(HR$1,'CERA Conservador'!$B$28:$C$35,2,FALSE),0%)</f>
        <v>0</v>
      </c>
      <c r="HS12" s="5">
        <f>IFERROR(VLOOKUP(HS$1,'CERA Conservador'!$B$28:$C$35,2,FALSE),0%)</f>
        <v>0</v>
      </c>
      <c r="HT12" s="5">
        <f>IFERROR(VLOOKUP(HT$1,'CERA Conservador'!$B$28:$C$35,2,FALSE),0%)</f>
        <v>0</v>
      </c>
      <c r="HU12" s="5">
        <f>IFERROR(VLOOKUP(HU$1,'CERA Conservador'!$B$28:$C$35,2,FALSE),0%)</f>
        <v>0</v>
      </c>
      <c r="HV12" s="5">
        <f>IFERROR(VLOOKUP(HV$1,'CERA Conservador'!$B$28:$C$35,2,FALSE),0%)</f>
        <v>0</v>
      </c>
      <c r="HW12" s="5">
        <f>IFERROR(VLOOKUP(HW$1,'CERA Conservador'!$B$28:$C$35,2,FALSE),0%)</f>
        <v>0</v>
      </c>
      <c r="HX12" s="5">
        <f>IFERROR(VLOOKUP(HX$1,'CERA Conservador'!$B$28:$C$35,2,FALSE),0%)</f>
        <v>0</v>
      </c>
      <c r="HY12" s="5">
        <f>IFERROR(VLOOKUP(HY$1,'CERA Conservador'!$B$28:$C$35,2,FALSE),0%)</f>
        <v>0</v>
      </c>
      <c r="HZ12" s="5">
        <f>IFERROR(VLOOKUP(HZ$1,'CERA Conservador'!$B$28:$C$35,2,FALSE),0%)</f>
        <v>0</v>
      </c>
      <c r="IA12" s="5">
        <f>IFERROR(VLOOKUP(IA$1,'CERA Conservador'!$B$28:$C$35,2,FALSE),0%)</f>
        <v>0</v>
      </c>
      <c r="IB12" s="5">
        <f>IFERROR(VLOOKUP(IB$1,'CERA Conservador'!$B$28:$C$35,2,FALSE),0%)</f>
        <v>0</v>
      </c>
      <c r="IC12" s="5">
        <f>IFERROR(VLOOKUP(IC$1,'CERA Conservador'!$B$28:$C$35,2,FALSE),0%)</f>
        <v>0</v>
      </c>
      <c r="ID12" s="5">
        <f>IFERROR(VLOOKUP(ID$1,'CERA Conservador'!$B$28:$C$35,2,FALSE),0%)</f>
        <v>0</v>
      </c>
      <c r="IE12" s="5">
        <f>IFERROR(VLOOKUP(IE$1,'CERA Conservador'!$B$28:$C$35,2,FALSE),0%)</f>
        <v>0</v>
      </c>
      <c r="IF12" s="5">
        <f>IFERROR(VLOOKUP(IF$1,'CERA Conservador'!$B$28:$C$35,2,FALSE),0%)</f>
        <v>0</v>
      </c>
      <c r="IG12" s="5">
        <f>IFERROR(VLOOKUP(IG$1,'CERA Conservador'!$B$28:$C$35,2,FALSE),0%)</f>
        <v>0</v>
      </c>
      <c r="IH12" s="5">
        <f>IFERROR(VLOOKUP(IH$1,'CERA Conservador'!$B$28:$C$35,2,FALSE),0%)</f>
        <v>0</v>
      </c>
      <c r="II12" s="5">
        <f>IFERROR(VLOOKUP(II$1,'CERA Conservador'!$B$28:$C$35,2,FALSE),0%)</f>
        <v>0</v>
      </c>
      <c r="IJ12" s="5">
        <f>IFERROR(VLOOKUP(IJ$1,'CERA Conservador'!$B$28:$C$35,2,FALSE),0%)</f>
        <v>0</v>
      </c>
      <c r="IK12" s="5">
        <f>IFERROR(VLOOKUP(IK$1,'CERA Conservador'!$B$28:$C$35,2,FALSE),0%)</f>
        <v>0</v>
      </c>
      <c r="IL12" s="5">
        <f>IFERROR(VLOOKUP(IL$1,'CERA Conservador'!$B$28:$C$35,2,FALSE),0%)</f>
        <v>0</v>
      </c>
      <c r="IM12" s="5">
        <f>IFERROR(VLOOKUP(IM$1,'CERA Conservador'!$B$28:$C$35,2,FALSE),0%)</f>
        <v>0</v>
      </c>
      <c r="IN12" s="5">
        <f>IFERROR(VLOOKUP(IN$1,'CERA Conservador'!$B$28:$C$35,2,FALSE),0%)</f>
        <v>0</v>
      </c>
      <c r="IO12" s="5">
        <f>IFERROR(VLOOKUP(IO$1,'CERA Conservador'!$B$28:$C$35,2,FALSE),0%)</f>
        <v>0</v>
      </c>
      <c r="IP12" s="5">
        <f>IFERROR(VLOOKUP(IP$1,'CERA Conservador'!$B$28:$C$35,2,FALSE),0%)</f>
        <v>0</v>
      </c>
      <c r="IQ12" s="5">
        <f>IFERROR(VLOOKUP(IQ$1,'CERA Conservador'!$B$28:$C$35,2,FALSE),0%)</f>
        <v>0</v>
      </c>
      <c r="IR12" s="5">
        <f>IFERROR(VLOOKUP(IR$1,'CERA Conservador'!$B$28:$C$35,2,FALSE),0%)</f>
        <v>0</v>
      </c>
      <c r="IS12" s="5">
        <f>IFERROR(VLOOKUP(IS$1,'CERA Conservador'!$B$28:$C$35,2,FALSE),0%)</f>
        <v>0</v>
      </c>
      <c r="IT12" s="5">
        <f>IFERROR(VLOOKUP(IT$1,'CERA Conservador'!$B$28:$C$35,2,FALSE),0%)</f>
        <v>0</v>
      </c>
      <c r="IU12" s="5">
        <f>IFERROR(VLOOKUP(IU$1,'CERA Conservador'!$B$28:$C$35,2,FALSE),0%)</f>
        <v>0</v>
      </c>
      <c r="IV12" s="5">
        <f>IFERROR(VLOOKUP(IV$1,'CERA Conservador'!$B$28:$C$35,2,FALSE),0%)</f>
        <v>0</v>
      </c>
      <c r="IW12" s="5">
        <f>IFERROR(VLOOKUP(IW$1,'CERA Conservador'!$B$28:$C$35,2,FALSE),0%)</f>
        <v>0</v>
      </c>
      <c r="IX12" s="5">
        <f>IFERROR(VLOOKUP(IX$1,'CERA Conservador'!$B$28:$C$35,2,FALSE),0%)</f>
        <v>0</v>
      </c>
      <c r="IY12" s="5">
        <f>IFERROR(VLOOKUP(IY$1,'CERA Conservador'!$B$28:$C$35,2,FALSE),0%)</f>
        <v>0</v>
      </c>
      <c r="IZ12" s="5">
        <f>IFERROR(VLOOKUP(IZ$1,'CERA Conservador'!$B$28:$C$35,2,FALSE),0%)</f>
        <v>0</v>
      </c>
      <c r="JA12" s="5">
        <f>IFERROR(VLOOKUP(JA$1,'CERA Conservador'!$B$28:$C$35,2,FALSE),0%)</f>
        <v>0</v>
      </c>
      <c r="JB12" s="5">
        <f>IFERROR(VLOOKUP(JB$1,'CERA Conservador'!$B$28:$C$35,2,FALSE),0%)</f>
        <v>0</v>
      </c>
      <c r="JC12" s="5">
        <f>IFERROR(VLOOKUP(JC$1,'CERA Conservador'!$B$28:$C$35,2,FALSE),0%)</f>
        <v>0</v>
      </c>
      <c r="JD12" s="5">
        <f>IFERROR(VLOOKUP(JD$1,'CERA Conservador'!$B$28:$C$35,2,FALSE),0%)</f>
        <v>0</v>
      </c>
      <c r="JE12" s="5">
        <f>IFERROR(VLOOKUP(JE$1,'CERA Conservador'!$B$28:$C$35,2,FALSE),0%)</f>
        <v>0</v>
      </c>
      <c r="JF12" s="5">
        <f>IFERROR(VLOOKUP(JF$1,'CERA Conservador'!$B$28:$C$35,2,FALSE),0%)</f>
        <v>0</v>
      </c>
      <c r="JG12" s="5">
        <f>IFERROR(VLOOKUP(JG$1,'CERA Conservador'!$B$28:$C$35,2,FALSE),0%)</f>
        <v>0</v>
      </c>
      <c r="JH12" s="5">
        <f>IFERROR(VLOOKUP(JH$1,'CERA Conservador'!$B$28:$C$35,2,FALSE),0%)</f>
        <v>0.02783223231</v>
      </c>
      <c r="JI12" s="5">
        <f>IFERROR(VLOOKUP(JI$1,'CERA Conservador'!$B$28:$C$35,2,FALSE),0%)</f>
        <v>0</v>
      </c>
      <c r="JJ12" s="5">
        <f>IFERROR(VLOOKUP(JJ$1,'CERA Conservador'!$B$28:$C$35,2,FALSE),0%)</f>
        <v>0</v>
      </c>
      <c r="JK12" s="5">
        <f>IFERROR(VLOOKUP(JK$1,'CERA Conservador'!$B$28:$C$35,2,FALSE),0%)</f>
        <v>0</v>
      </c>
      <c r="JL12" s="5">
        <f>IFERROR(VLOOKUP(JL$1,'CERA Conservador'!$B$28:$C$35,2,FALSE),0%)</f>
        <v>0</v>
      </c>
      <c r="JM12" s="5">
        <f>IFERROR(VLOOKUP(JM$1,'CERA Conservador'!$B$28:$C$35,2,FALSE),0%)</f>
        <v>0</v>
      </c>
      <c r="JN12" s="5">
        <f>IFERROR(VLOOKUP(JN$1,'CERA Conservador'!$B$28:$C$35,2,FALSE),0%)</f>
        <v>0</v>
      </c>
      <c r="JO12" s="5">
        <f>IFERROR(VLOOKUP(JO$1,'CERA Conservador'!$B$28:$C$35,2,FALSE),0%)</f>
        <v>0</v>
      </c>
      <c r="JP12" s="5">
        <f>IFERROR(VLOOKUP(JP$1,'CERA Conservador'!$B$28:$C$35,2,FALSE),0%)</f>
        <v>0</v>
      </c>
      <c r="JQ12" s="5">
        <f>IFERROR(VLOOKUP(JQ$1,'CERA Conservador'!$B$28:$C$35,2,FALSE),0%)</f>
        <v>0</v>
      </c>
      <c r="JR12" s="5">
        <f>IFERROR(VLOOKUP(JR$1,'CERA Conservador'!$B$28:$C$35,2,FALSE),0%)</f>
        <v>0</v>
      </c>
      <c r="JS12" s="5">
        <f>IFERROR(VLOOKUP(JS$1,'CERA Conservador'!$B$28:$C$35,2,FALSE),0%)</f>
        <v>0</v>
      </c>
      <c r="JT12" s="5">
        <f>IFERROR(VLOOKUP(JT$1,'CERA Conservador'!$B$28:$C$35,2,FALSE),0%)</f>
        <v>0</v>
      </c>
      <c r="JU12" s="5">
        <f>IFERROR(VLOOKUP(JU$1,'CERA Conservador'!$B$28:$C$35,2,FALSE),0%)</f>
        <v>0</v>
      </c>
      <c r="JV12" s="5">
        <f>IFERROR(VLOOKUP(JV$1,'CERA Conservador'!$B$28:$C$35,2,FALSE),0%)</f>
        <v>0</v>
      </c>
      <c r="JW12" s="5">
        <f>IFERROR(VLOOKUP(JW$1,'CERA Conservador'!$B$28:$C$35,2,FALSE),0%)</f>
        <v>0</v>
      </c>
      <c r="JX12" s="5">
        <f>IFERROR(VLOOKUP(JX$1,'CERA Conservador'!$B$28:$C$35,2,FALSE),0%)</f>
        <v>0</v>
      </c>
      <c r="JY12" s="5">
        <f>IFERROR(VLOOKUP(JY$1,'CERA Conservador'!$B$28:$C$35,2,FALSE),0%)</f>
        <v>0</v>
      </c>
      <c r="JZ12" s="5">
        <f>IFERROR(VLOOKUP(JZ$1,'CERA Conservador'!$B$28:$C$35,2,FALSE),0%)</f>
        <v>0</v>
      </c>
      <c r="KA12" s="5">
        <f>IFERROR(VLOOKUP(KA$1,'CERA Conservador'!$B$28:$C$35,2,FALSE),0%)</f>
        <v>0</v>
      </c>
      <c r="KB12" s="5">
        <f>IFERROR(VLOOKUP(KB$1,'CERA Conservador'!$B$28:$C$35,2,FALSE),0%)</f>
        <v>0</v>
      </c>
      <c r="KC12" s="5">
        <f>IFERROR(VLOOKUP(KC$1,'CERA Conservador'!$B$28:$C$35,2,FALSE),0%)</f>
        <v>0</v>
      </c>
      <c r="KD12" s="5">
        <f>IFERROR(VLOOKUP(KD$1,'CERA Conservador'!$B$28:$C$35,2,FALSE),0%)</f>
        <v>0</v>
      </c>
      <c r="KE12" s="5">
        <f>IFERROR(VLOOKUP(KE$1,'CERA Conservador'!$B$28:$C$35,2,FALSE),0%)</f>
        <v>0</v>
      </c>
      <c r="KF12" s="5">
        <f>IFERROR(VLOOKUP(KF$1,'CERA Conservador'!$B$28:$C$35,2,FALSE),0%)</f>
        <v>0</v>
      </c>
      <c r="KG12" s="5">
        <f>IFERROR(VLOOKUP(KG$1,'CERA Conservador'!$B$28:$C$35,2,FALSE),0%)</f>
        <v>0</v>
      </c>
      <c r="KH12" s="5">
        <f>IFERROR(VLOOKUP(KH$1,'CERA Conservador'!$B$28:$C$35,2,FALSE),0%)</f>
        <v>0</v>
      </c>
      <c r="KI12" s="5">
        <f>IFERROR(VLOOKUP(KI$1,'CERA Conservador'!$B$28:$C$35,2,FALSE),0%)</f>
        <v>0</v>
      </c>
      <c r="KJ12" s="5">
        <f>IFERROR(VLOOKUP(KJ$1,'CERA Conservador'!$B$28:$C$35,2,FALSE),0%)</f>
        <v>0</v>
      </c>
      <c r="KK12" s="5">
        <f>IFERROR(VLOOKUP(KK$1,'CERA Conservador'!$B$28:$C$35,2,FALSE),0%)</f>
        <v>0</v>
      </c>
      <c r="KL12" s="5">
        <f>IFERROR(VLOOKUP(KL$1,'CERA Conservador'!$B$28:$C$35,2,FALSE),0%)</f>
        <v>0</v>
      </c>
      <c r="KM12" s="5">
        <f>IFERROR(VLOOKUP(KM$1,'CERA Conservador'!$B$28:$C$35,2,FALSE),0%)</f>
        <v>0</v>
      </c>
      <c r="KN12" s="5">
        <f>IFERROR(VLOOKUP(KN$1,'CERA Conservador'!$B$28:$C$35,2,FALSE),0%)</f>
        <v>0</v>
      </c>
      <c r="KO12" s="5">
        <f>IFERROR(VLOOKUP(KO$1,'CERA Conservador'!$B$28:$C$35,2,FALSE),0%)</f>
        <v>0</v>
      </c>
      <c r="KP12" s="5">
        <f>IFERROR(VLOOKUP(KP$1,'CERA Conservador'!$B$28:$C$35,2,FALSE),0%)</f>
        <v>0</v>
      </c>
      <c r="KQ12" s="5">
        <f>IFERROR(VLOOKUP(KQ$1,'CERA Conservador'!$B$28:$C$35,2,FALSE),0%)</f>
        <v>0</v>
      </c>
      <c r="KR12" s="5">
        <f>IFERROR(VLOOKUP(KR$1,'CERA Conservador'!$B$28:$C$35,2,FALSE),0%)</f>
        <v>0</v>
      </c>
      <c r="KS12" s="5">
        <f>IFERROR(VLOOKUP(KS$1,'CERA Conservador'!$B$28:$C$35,2,FALSE),0%)</f>
        <v>0</v>
      </c>
      <c r="KT12" s="5">
        <f>IFERROR(VLOOKUP(KT$1,'CERA Conservador'!$B$28:$C$35,2,FALSE),0%)</f>
        <v>0</v>
      </c>
      <c r="KU12" s="5">
        <f>IFERROR(VLOOKUP(KU$1,'CERA Conservador'!$B$28:$C$35,2,FALSE),0%)</f>
        <v>0</v>
      </c>
      <c r="KV12" s="5">
        <f>IFERROR(VLOOKUP(KV$1,'CERA Conservador'!$B$28:$C$35,2,FALSE),0%)</f>
        <v>0</v>
      </c>
      <c r="KW12" s="5">
        <f>IFERROR(VLOOKUP(KW$1,'CERA Conservador'!$B$28:$C$35,2,FALSE),0%)</f>
        <v>0</v>
      </c>
      <c r="KX12" s="5">
        <f>IFERROR(VLOOKUP(KX$1,'CERA Conservador'!$B$28:$C$35,2,FALSE),0%)</f>
        <v>0</v>
      </c>
      <c r="KY12" s="5">
        <f>IFERROR(VLOOKUP(KY$1,'CERA Conservador'!$B$28:$C$35,2,FALSE),0%)</f>
        <v>0</v>
      </c>
      <c r="KZ12" s="5">
        <f>IFERROR(VLOOKUP(KZ$1,'CERA Conservador'!$B$28:$C$35,2,FALSE),0%)</f>
        <v>0</v>
      </c>
      <c r="LA12" s="5">
        <f>IFERROR(VLOOKUP(LA$1,'CERA Conservador'!$B$28:$C$35,2,FALSE),0%)</f>
        <v>0</v>
      </c>
      <c r="LB12" s="5">
        <f>IFERROR(VLOOKUP(LB$1,'CERA Conservador'!$B$28:$C$35,2,FALSE),0%)</f>
        <v>0</v>
      </c>
      <c r="LC12" s="5">
        <f>IFERROR(VLOOKUP(LC$1,'CERA Conservador'!$B$28:$C$35,2,FALSE),0%)</f>
        <v>0</v>
      </c>
      <c r="LD12" s="5">
        <f>IFERROR(VLOOKUP(LD$1,'CERA Conservador'!$B$28:$C$35,2,FALSE),0%)</f>
        <v>0</v>
      </c>
      <c r="LE12" s="5">
        <f>IFERROR(VLOOKUP(LE$1,'CERA Conservador'!$B$28:$C$35,2,FALSE),0%)</f>
        <v>0</v>
      </c>
      <c r="LF12" s="5">
        <f>IFERROR(VLOOKUP(LF$1,'CERA Conservador'!$B$28:$C$35,2,FALSE),0%)</f>
        <v>0</v>
      </c>
      <c r="LG12" s="5">
        <f>IFERROR(VLOOKUP(LG$1,'CERA Conservador'!$B$28:$C$35,2,FALSE),0%)</f>
        <v>0</v>
      </c>
      <c r="LH12" s="5">
        <f>IFERROR(VLOOKUP(LH$1,'CERA Conservador'!$B$28:$C$35,2,FALSE),0%)</f>
        <v>0</v>
      </c>
      <c r="LI12" s="5">
        <f>IFERROR(VLOOKUP(LI$1,'CERA Conservador'!$B$28:$C$35,2,FALSE),0%)</f>
        <v>0</v>
      </c>
      <c r="LJ12" s="5">
        <f>IFERROR(VLOOKUP(LJ$1,'CERA Conservador'!$B$28:$C$35,2,FALSE),0%)</f>
        <v>0</v>
      </c>
      <c r="LK12" s="5">
        <f>IFERROR(VLOOKUP(LK$1,'CERA Conservador'!$B$28:$C$35,2,FALSE),0%)</f>
        <v>0</v>
      </c>
      <c r="LL12" s="5">
        <f>IFERROR(VLOOKUP(LL$1,'CERA Conservador'!$B$28:$C$35,2,FALSE),0%)</f>
        <v>0</v>
      </c>
      <c r="LM12" s="5">
        <f>IFERROR(VLOOKUP(LM$1,'CERA Conservador'!$B$28:$C$35,2,FALSE),0%)</f>
        <v>0</v>
      </c>
      <c r="LN12" s="5">
        <f>IFERROR(VLOOKUP(LN$1,'CERA Conservador'!$B$28:$C$35,2,FALSE),0%)</f>
        <v>0</v>
      </c>
      <c r="LO12" s="5">
        <f>IFERROR(VLOOKUP(LO$1,'CERA Conservador'!$B$28:$C$35,2,FALSE),0%)</f>
        <v>0</v>
      </c>
      <c r="LP12" s="5">
        <f>IFERROR(VLOOKUP(LP$1,'CERA Conservador'!$B$28:$C$35,2,FALSE),0%)</f>
        <v>0</v>
      </c>
      <c r="LQ12" s="5">
        <f>IFERROR(VLOOKUP(LQ$1,'CERA Conservador'!$B$28:$C$35,2,FALSE),0%)</f>
        <v>0</v>
      </c>
      <c r="LR12" s="5">
        <f>IFERROR(VLOOKUP(LR$1,'CERA Conservador'!$B$28:$C$35,2,FALSE),0%)</f>
        <v>0</v>
      </c>
      <c r="LS12" s="5">
        <f>IFERROR(VLOOKUP(LS$1,'CERA Conservador'!$B$28:$C$35,2,FALSE),0%)</f>
        <v>0</v>
      </c>
      <c r="LT12" s="5">
        <f>IFERROR(VLOOKUP(LT$1,'CERA Conservador'!$B$28:$C$35,2,FALSE),0%)</f>
        <v>0</v>
      </c>
      <c r="LU12" s="5">
        <f>IFERROR(VLOOKUP(LU$1,'CERA Conservador'!$B$28:$C$35,2,FALSE),0%)</f>
        <v>0</v>
      </c>
      <c r="LV12" s="5">
        <f>IFERROR(VLOOKUP(LV$1,'CERA Conservador'!$B$28:$C$35,2,FALSE),0%)</f>
        <v>0</v>
      </c>
      <c r="LW12" s="5">
        <f>IFERROR(VLOOKUP(LW$1,'CERA Conservador'!$B$28:$C$35,2,FALSE),0%)</f>
        <v>0</v>
      </c>
      <c r="LX12" s="5">
        <f>IFERROR(VLOOKUP(LX$1,'CERA Conservador'!$B$28:$C$35,2,FALSE),0%)</f>
        <v>0</v>
      </c>
      <c r="LY12" s="5">
        <f>IFERROR(VLOOKUP(LY$1,'CERA Conservador'!$B$28:$C$35,2,FALSE),0%)</f>
        <v>0</v>
      </c>
      <c r="LZ12" s="5">
        <f>IFERROR(VLOOKUP(LZ$1,'CERA Conservador'!$B$28:$C$35,2,FALSE),0%)</f>
        <v>0</v>
      </c>
      <c r="MA12" s="5">
        <f>IFERROR(VLOOKUP(MA$1,'CERA Conservador'!$B$28:$C$35,2,FALSE),0%)</f>
        <v>0</v>
      </c>
      <c r="MB12" s="5">
        <f>IFERROR(VLOOKUP(MB$1,'CERA Conservador'!$B$28:$C$35,2,FALSE),0%)</f>
        <v>0</v>
      </c>
      <c r="MC12" s="5">
        <f>IFERROR(VLOOKUP(MC$1,'CERA Conservador'!$B$28:$C$35,2,FALSE),0%)</f>
        <v>0</v>
      </c>
      <c r="MD12" s="5">
        <f>IFERROR(VLOOKUP(MD$1,'CERA Conservador'!$B$28:$C$35,2,FALSE),0%)</f>
        <v>0</v>
      </c>
      <c r="ME12" s="5">
        <f>IFERROR(VLOOKUP(ME$1,'CERA Conservador'!$B$28:$C$35,2,FALSE),0%)</f>
        <v>0</v>
      </c>
      <c r="MF12" s="5">
        <f>IFERROR(VLOOKUP(MF$1,'CERA Conservador'!$B$28:$C$35,2,FALSE),0%)</f>
        <v>0</v>
      </c>
      <c r="MG12" s="5">
        <f>IFERROR(VLOOKUP(MG$1,'CERA Conservador'!$B$28:$C$35,2,FALSE),0%)</f>
        <v>0</v>
      </c>
      <c r="MH12" s="5">
        <f>IFERROR(VLOOKUP(MH$1,'CERA Conservador'!$B$28:$C$35,2,FALSE),0%)</f>
        <v>0</v>
      </c>
      <c r="MI12" s="5">
        <f>IFERROR(VLOOKUP(MI$1,'CERA Conservador'!$B$28:$C$35,2,FALSE),0%)</f>
        <v>0</v>
      </c>
      <c r="MJ12" s="5">
        <f>IFERROR(VLOOKUP(MJ$1,'CERA Conservador'!$B$28:$C$35,2,FALSE),0%)</f>
        <v>0</v>
      </c>
      <c r="MK12" s="5">
        <f>IFERROR(VLOOKUP(MK$1,'CERA Conservador'!$B$28:$C$35,2,FALSE),0%)</f>
        <v>0</v>
      </c>
      <c r="ML12" s="5">
        <f>IFERROR(VLOOKUP(ML$1,'CERA Conservador'!$B$28:$C$35,2,FALSE),0%)</f>
        <v>0</v>
      </c>
      <c r="MM12" s="5">
        <f>IFERROR(VLOOKUP(MM$1,'CERA Conservador'!$B$28:$C$35,2,FALSE),0%)</f>
        <v>0</v>
      </c>
      <c r="MN12" s="5">
        <f>IFERROR(VLOOKUP(MN$1,'CERA Conservador'!$B$28:$C$35,2,FALSE),0%)</f>
        <v>0</v>
      </c>
      <c r="MO12" s="5">
        <f>IFERROR(VLOOKUP(MO$1,'CERA Conservador'!$B$28:$C$35,2,FALSE),0%)</f>
        <v>0</v>
      </c>
      <c r="MP12" s="5">
        <f>IFERROR(VLOOKUP(MP$1,'CERA Conservador'!$B$28:$C$35,2,FALSE),0%)</f>
        <v>0</v>
      </c>
      <c r="MQ12" s="5">
        <f>IFERROR(VLOOKUP(MQ$1,'CERA Conservador'!$B$28:$C$35,2,FALSE),0%)</f>
        <v>0</v>
      </c>
      <c r="MR12" s="5">
        <f>IFERROR(VLOOKUP(MR$1,'CERA Conservador'!$B$28:$C$35,2,FALSE),0%)</f>
        <v>0</v>
      </c>
      <c r="MS12" s="5">
        <f>IFERROR(VLOOKUP(MS$1,'CERA Conservador'!$B$28:$C$35,2,FALSE),0%)</f>
        <v>0</v>
      </c>
      <c r="MT12" s="5">
        <f>IFERROR(VLOOKUP(MT$1,'CERA Conservador'!$B$28:$C$35,2,FALSE),0%)</f>
        <v>0</v>
      </c>
      <c r="MU12" s="5">
        <f>IFERROR(VLOOKUP(MU$1,'CERA Conservador'!$B$28:$C$35,2,FALSE),0%)</f>
        <v>0</v>
      </c>
      <c r="MV12" s="5">
        <f>IFERROR(VLOOKUP(MV$1,'CERA Conservador'!$B$28:$C$35,2,FALSE),0%)</f>
        <v>0</v>
      </c>
      <c r="MW12" s="5">
        <f>IFERROR(VLOOKUP(MW$1,'CERA Conservador'!$B$28:$C$35,2,FALSE),0%)</f>
        <v>0</v>
      </c>
      <c r="MX12" s="5">
        <f>IFERROR(VLOOKUP(MX$1,'CERA Conservador'!$B$28:$C$35,2,FALSE),0%)</f>
        <v>0</v>
      </c>
      <c r="MY12" s="5">
        <f>IFERROR(VLOOKUP(MY$1,'CERA Conservador'!$B$28:$C$35,2,FALSE),0%)</f>
        <v>0</v>
      </c>
      <c r="MZ12" s="5">
        <f>IFERROR(VLOOKUP(MZ$1,'CERA Conservador'!$B$28:$C$35,2,FALSE),0%)</f>
        <v>0</v>
      </c>
      <c r="NA12" s="5">
        <f>IFERROR(VLOOKUP(NA$1,'CERA Conservador'!$B$28:$C$35,2,FALSE),0%)</f>
        <v>0</v>
      </c>
      <c r="NB12" s="5">
        <f>IFERROR(VLOOKUP(NB$1,'CERA Conservador'!$B$28:$C$35,2,FALSE),0%)</f>
        <v>0</v>
      </c>
      <c r="NC12" s="5">
        <f>IFERROR(VLOOKUP(NC$1,'CERA Conservador'!$B$28:$C$35,2,FALSE),0%)</f>
        <v>0</v>
      </c>
      <c r="ND12" s="5">
        <f>IFERROR(VLOOKUP(ND$1,'CERA Conservador'!$B$28:$C$35,2,FALSE),0%)</f>
        <v>0</v>
      </c>
      <c r="NE12" s="5">
        <f>IFERROR(VLOOKUP(NE$1,'CERA Conservador'!$B$28:$C$35,2,FALSE),0%)</f>
        <v>0</v>
      </c>
      <c r="NF12" s="5">
        <f>IFERROR(VLOOKUP(NF$1,'CERA Conservador'!$B$28:$C$35,2,FALSE),0%)</f>
        <v>0</v>
      </c>
      <c r="NG12" s="5">
        <f>IFERROR(VLOOKUP(NG$1,'CERA Conservador'!$B$28:$C$35,2,FALSE),0%)</f>
        <v>0</v>
      </c>
      <c r="NH12" s="5">
        <f>IFERROR(VLOOKUP(NH$1,'CERA Conservador'!$B$28:$C$35,2,FALSE),0%)</f>
        <v>0</v>
      </c>
      <c r="NI12" s="5">
        <f>IFERROR(VLOOKUP(NI$1,'CERA Conservador'!$B$28:$C$35,2,FALSE),0%)</f>
        <v>0</v>
      </c>
      <c r="NJ12" s="5">
        <f>IFERROR(VLOOKUP(NJ$1,'CERA Conservador'!$B$28:$C$35,2,FALSE),0%)</f>
        <v>0</v>
      </c>
      <c r="NK12" s="5">
        <f>IFERROR(VLOOKUP(NK$1,'CERA Conservador'!$B$28:$C$35,2,FALSE),0%)</f>
        <v>0</v>
      </c>
      <c r="NL12" s="5">
        <f>IFERROR(VLOOKUP(NL$1,'CERA Conservador'!$B$28:$C$35,2,FALSE),0%)</f>
        <v>0</v>
      </c>
      <c r="NM12" s="5">
        <f>IFERROR(VLOOKUP(NM$1,'CERA Conservador'!$B$28:$C$35,2,FALSE),0%)</f>
        <v>0</v>
      </c>
      <c r="NN12" s="5">
        <f>IFERROR(VLOOKUP(NN$1,'CERA Conservador'!$B$28:$C$35,2,FALSE),0%)</f>
        <v>0</v>
      </c>
      <c r="NO12" s="5">
        <f>IFERROR(VLOOKUP(NO$1,'CERA Conservador'!$B$28:$C$35,2,FALSE),0%)</f>
        <v>0</v>
      </c>
      <c r="NP12" s="5">
        <f>IFERROR(VLOOKUP(NP$1,'CERA Conservador'!$B$28:$C$35,2,FALSE),0%)</f>
        <v>0</v>
      </c>
      <c r="NQ12" s="5">
        <f>IFERROR(VLOOKUP(NQ$1,'CERA Conservador'!$B$28:$C$35,2,FALSE),0%)</f>
        <v>0</v>
      </c>
      <c r="NR12" s="5">
        <f>IFERROR(VLOOKUP(NR$1,'CERA Conservador'!$B$28:$C$35,2,FALSE),0%)</f>
        <v>0</v>
      </c>
      <c r="NS12" s="5">
        <f>IFERROR(VLOOKUP(NS$1,'CERA Conservador'!$B$28:$C$35,2,FALSE),0%)</f>
        <v>0</v>
      </c>
      <c r="NT12" s="5">
        <f>IFERROR(VLOOKUP(NT$1,'CERA Conservador'!$B$28:$C$35,2,FALSE),0%)</f>
        <v>0</v>
      </c>
      <c r="NU12" s="5">
        <f>IFERROR(VLOOKUP(NU$1,'CERA Conservador'!$B$28:$C$35,2,FALSE),0%)</f>
        <v>0</v>
      </c>
      <c r="NV12" s="5">
        <f>IFERROR(VLOOKUP(NV$1,'CERA Conservador'!$B$28:$C$35,2,FALSE),0%)</f>
        <v>0</v>
      </c>
      <c r="NW12" s="5">
        <f>IFERROR(VLOOKUP(NW$1,'CERA Conservador'!$B$28:$C$35,2,FALSE),0%)</f>
        <v>0</v>
      </c>
      <c r="NX12" s="5">
        <f>IFERROR(VLOOKUP(NX$1,'CERA Conservador'!$B$28:$C$35,2,FALSE),0%)</f>
        <v>0</v>
      </c>
      <c r="NY12" s="5">
        <f>IFERROR(VLOOKUP(NY$1,'CERA Conservador'!$B$28:$C$35,2,FALSE),0%)</f>
        <v>0</v>
      </c>
      <c r="NZ12" s="5">
        <f>IFERROR(VLOOKUP(NZ$1,'CERA Conservador'!$B$28:$C$35,2,FALSE),0%)</f>
        <v>0</v>
      </c>
      <c r="OA12" s="5">
        <f>IFERROR(VLOOKUP(OA$1,'CERA Conservador'!$B$28:$C$35,2,FALSE),0%)</f>
        <v>0</v>
      </c>
      <c r="OB12" s="5">
        <f>IFERROR(VLOOKUP(OB$1,'CERA Conservador'!$B$28:$C$35,2,FALSE),0%)</f>
        <v>0</v>
      </c>
      <c r="OC12" s="5">
        <f>IFERROR(VLOOKUP(OC$1,'CERA Conservador'!$B$28:$C$35,2,FALSE),0%)</f>
        <v>0</v>
      </c>
      <c r="OD12" s="5">
        <f>IFERROR(VLOOKUP(OD$1,'CERA Conservador'!$B$28:$C$35,2,FALSE),0%)</f>
        <v>0</v>
      </c>
      <c r="OE12" s="5">
        <f>IFERROR(VLOOKUP(OE$1,'CERA Conservador'!$B$28:$C$35,2,FALSE),0%)</f>
        <v>0</v>
      </c>
      <c r="OF12" s="5">
        <f>IFERROR(VLOOKUP(OF$1,'CERA Conservador'!$B$28:$C$35,2,FALSE),0%)</f>
        <v>0</v>
      </c>
      <c r="OG12" s="5">
        <f>IFERROR(VLOOKUP(OG$1,'CERA Conservador'!$B$28:$C$35,2,FALSE),0%)</f>
        <v>0</v>
      </c>
      <c r="OH12" s="5">
        <f>IFERROR(VLOOKUP(OH$1,'CERA Conservador'!$B$28:$C$35,2,FALSE),0%)</f>
        <v>0</v>
      </c>
      <c r="OI12" s="5">
        <f>IFERROR(VLOOKUP(OI$1,'CERA Conservador'!$B$28:$C$35,2,FALSE),0%)</f>
        <v>0</v>
      </c>
      <c r="OJ12" s="5">
        <f>IFERROR(VLOOKUP(OJ$1,'CERA Conservador'!$B$28:$C$35,2,FALSE),0%)</f>
        <v>0</v>
      </c>
      <c r="OK12" s="5">
        <f>IFERROR(VLOOKUP(OK$1,'CERA Conservador'!$B$28:$C$35,2,FALSE),0%)</f>
        <v>0</v>
      </c>
      <c r="OL12" s="5">
        <f>IFERROR(VLOOKUP(OL$1,'CERA Conservador'!$B$28:$C$35,2,FALSE),0%)</f>
        <v>0</v>
      </c>
      <c r="OM12" s="5">
        <f>IFERROR(VLOOKUP(OM$1,'CERA Conservador'!$B$28:$C$35,2,FALSE),0%)</f>
        <v>0</v>
      </c>
      <c r="ON12" s="5">
        <f>IFERROR(VLOOKUP(ON$1,'CERA Conservador'!$B$28:$C$35,2,FALSE),0%)</f>
        <v>0</v>
      </c>
      <c r="OO12" s="5">
        <f>IFERROR(VLOOKUP(OO$1,'CERA Conservador'!$B$28:$C$35,2,FALSE),0%)</f>
        <v>0</v>
      </c>
      <c r="OP12" s="5">
        <f>IFERROR(VLOOKUP(OP$1,'CERA Conservador'!$B$28:$C$35,2,FALSE),0%)</f>
        <v>0</v>
      </c>
      <c r="OQ12" s="5">
        <f>IFERROR(VLOOKUP(OQ$1,'CERA Conservador'!$B$28:$C$35,2,FALSE),0%)</f>
        <v>0</v>
      </c>
      <c r="OR12" s="5">
        <f>IFERROR(VLOOKUP(OR$1,'CERA Conservador'!$B$28:$C$35,2,FALSE),0%)</f>
        <v>0</v>
      </c>
      <c r="OS12" s="5">
        <f>IFERROR(VLOOKUP(OS$1,'CERA Conservador'!$B$28:$C$35,2,FALSE),0%)</f>
        <v>0</v>
      </c>
      <c r="OT12" s="5">
        <f>IFERROR(VLOOKUP(OT$1,'CERA Conservador'!$B$28:$C$35,2,FALSE),0%)</f>
        <v>0</v>
      </c>
      <c r="OU12" s="5">
        <f>IFERROR(VLOOKUP(OU$1,'CERA Conservador'!$B$28:$C$35,2,FALSE),0%)</f>
        <v>0</v>
      </c>
      <c r="OV12" s="5">
        <f>IFERROR(VLOOKUP(OV$1,'CERA Conservador'!$B$28:$C$35,2,FALSE),0%)</f>
        <v>0</v>
      </c>
      <c r="OW12" s="5">
        <f>IFERROR(VLOOKUP(OW$1,'CERA Conservador'!$B$28:$C$35,2,FALSE),0%)</f>
        <v>0</v>
      </c>
      <c r="OX12" s="5">
        <f>IFERROR(VLOOKUP(OX$1,'CERA Conservador'!$B$28:$C$35,2,FALSE),0%)</f>
        <v>0</v>
      </c>
      <c r="OY12" s="5">
        <f>IFERROR(VLOOKUP(OY$1,'CERA Conservador'!$B$28:$C$35,2,FALSE),0%)</f>
        <v>0</v>
      </c>
      <c r="OZ12" s="5">
        <f>IFERROR(VLOOKUP(OZ$1,'CERA Conservador'!$B$28:$C$35,2,FALSE),0%)</f>
        <v>0</v>
      </c>
      <c r="PA12" s="5">
        <f>IFERROR(VLOOKUP(PA$1,'CERA Conservador'!$B$28:$C$35,2,FALSE),0%)</f>
        <v>0</v>
      </c>
      <c r="PB12" s="5">
        <f>IFERROR(VLOOKUP(PB$1,'CERA Conservador'!$B$28:$C$35,2,FALSE),0%)</f>
        <v>0</v>
      </c>
      <c r="PC12" s="5">
        <f>IFERROR(VLOOKUP(PC$1,'CERA Conservador'!$B$28:$C$35,2,FALSE),0%)</f>
        <v>0</v>
      </c>
      <c r="PD12" s="5">
        <f>IFERROR(VLOOKUP(PD$1,'CERA Conservador'!$B$28:$C$35,2,FALSE),0%)</f>
        <v>0</v>
      </c>
      <c r="PE12" s="5">
        <f>IFERROR(VLOOKUP(PE$1,'CERA Conservador'!$B$28:$C$35,2,FALSE),0%)</f>
        <v>0</v>
      </c>
      <c r="PF12" s="5">
        <f>IFERROR(VLOOKUP(PF$1,'CERA Conservador'!$B$28:$C$35,2,FALSE),0%)</f>
        <v>0</v>
      </c>
      <c r="PG12" s="5">
        <f>IFERROR(VLOOKUP(PG$1,'CERA Conservador'!$B$28:$C$35,2,FALSE),0%)</f>
        <v>0</v>
      </c>
      <c r="PH12" s="5">
        <f>IFERROR(VLOOKUP(PH$1,'CERA Conservador'!$B$28:$C$35,2,FALSE),0%)</f>
        <v>0</v>
      </c>
      <c r="PI12" s="5">
        <f>IFERROR(VLOOKUP(PI$1,'CERA Conservador'!$B$28:$C$35,2,FALSE),0%)</f>
        <v>0</v>
      </c>
      <c r="PJ12" s="5">
        <f>IFERROR(VLOOKUP(PJ$1,'CERA Conservador'!$B$28:$C$35,2,FALSE),0%)</f>
        <v>0</v>
      </c>
      <c r="PK12" s="5">
        <f>IFERROR(VLOOKUP(PK$1,'CERA Conservador'!$B$28:$C$35,2,FALSE),0%)</f>
        <v>0</v>
      </c>
      <c r="PL12" s="5">
        <f>IFERROR(VLOOKUP(PL$1,'CERA Conservador'!$B$28:$C$35,2,FALSE),0%)</f>
        <v>0</v>
      </c>
      <c r="PM12" s="5">
        <f>IFERROR(VLOOKUP(PM$1,'CERA Conservador'!$B$28:$C$35,2,FALSE),0%)</f>
        <v>0</v>
      </c>
      <c r="PN12" s="5">
        <f>IFERROR(VLOOKUP(PN$1,'CERA Conservador'!$B$28:$C$35,2,FALSE),0%)</f>
        <v>0</v>
      </c>
      <c r="PO12" s="5">
        <f>IFERROR(VLOOKUP(PO$1,'CERA Conservador'!$B$28:$C$35,2,FALSE),0%)</f>
        <v>0</v>
      </c>
      <c r="PP12" s="5">
        <f>IFERROR(VLOOKUP(PP$1,'CERA Conservador'!$B$28:$C$35,2,FALSE),0%)</f>
        <v>0</v>
      </c>
      <c r="PQ12" s="5">
        <f>IFERROR(VLOOKUP(PQ$1,'CERA Conservador'!$B$28:$C$35,2,FALSE),0%)</f>
        <v>0</v>
      </c>
      <c r="PR12" s="5">
        <f>IFERROR(VLOOKUP(PR$1,'CERA Conservador'!$B$28:$C$35,2,FALSE),0%)</f>
        <v>0</v>
      </c>
      <c r="PS12" s="5">
        <f>IFERROR(VLOOKUP(PS$1,'CERA Conservador'!$B$28:$C$35,2,FALSE),0%)</f>
        <v>0</v>
      </c>
      <c r="PT12" s="5">
        <f>IFERROR(VLOOKUP(PT$1,'CERA Conservador'!$B$28:$C$35,2,FALSE),0%)</f>
        <v>0</v>
      </c>
      <c r="PU12" s="5">
        <f>IFERROR(VLOOKUP(PU$1,'CERA Conservador'!$B$28:$C$35,2,FALSE),0%)</f>
        <v>0</v>
      </c>
      <c r="PV12" s="5">
        <f>IFERROR(VLOOKUP(PV$1,'CERA Conservador'!$B$28:$C$35,2,FALSE),0%)</f>
        <v>0</v>
      </c>
      <c r="PW12" s="5">
        <f>IFERROR(VLOOKUP(PW$1,'CERA Conservador'!$B$28:$C$35,2,FALSE),0%)</f>
        <v>0</v>
      </c>
      <c r="PX12" s="5">
        <f>IFERROR(VLOOKUP(PX$1,'CERA Conservador'!$B$28:$C$35,2,FALSE),0%)</f>
        <v>0</v>
      </c>
      <c r="PY12" s="5">
        <f>IFERROR(VLOOKUP(PY$1,'CERA Conservador'!$B$28:$C$35,2,FALSE),0%)</f>
        <v>0</v>
      </c>
      <c r="PZ12" s="5">
        <f>IFERROR(VLOOKUP(PZ$1,'CERA Conservador'!$B$28:$C$35,2,FALSE),0%)</f>
        <v>0</v>
      </c>
      <c r="QA12" s="5">
        <f>IFERROR(VLOOKUP(QA$1,'CERA Conservador'!$B$28:$C$35,2,FALSE),0%)</f>
        <v>0</v>
      </c>
      <c r="QB12" s="5">
        <f>IFERROR(VLOOKUP(QB$1,'CERA Conservador'!$B$28:$C$35,2,FALSE),0%)</f>
        <v>0</v>
      </c>
      <c r="QC12" s="5">
        <f>IFERROR(VLOOKUP(QC$1,'CERA Conservador'!$B$28:$C$35,2,FALSE),0%)</f>
        <v>0</v>
      </c>
      <c r="QD12" s="5">
        <f>IFERROR(VLOOKUP(QD$1,'CERA Conservador'!$B$28:$C$35,2,FALSE),0%)</f>
        <v>0</v>
      </c>
      <c r="QE12" s="5">
        <f>IFERROR(VLOOKUP(QE$1,'CERA Conservador'!$B$28:$C$35,2,FALSE),0%)</f>
        <v>0</v>
      </c>
      <c r="QF12" s="5">
        <f>IFERROR(VLOOKUP(QF$1,'CERA Conservador'!$B$28:$C$35,2,FALSE),0%)</f>
        <v>0</v>
      </c>
      <c r="QG12" s="5">
        <f>IFERROR(VLOOKUP(QG$1,'CERA Conservador'!$B$28:$C$35,2,FALSE),0%)</f>
        <v>0</v>
      </c>
      <c r="QH12" s="5">
        <f>IFERROR(VLOOKUP(QH$1,'CERA Conservador'!$B$28:$C$35,2,FALSE),0%)</f>
        <v>0</v>
      </c>
      <c r="QI12" s="5">
        <f>IFERROR(VLOOKUP(QI$1,'CERA Conservador'!$B$28:$C$35,2,FALSE),0%)</f>
        <v>0</v>
      </c>
      <c r="QJ12" s="5">
        <f>IFERROR(VLOOKUP(QJ$1,'CERA Conservador'!$B$28:$C$35,2,FALSE),0%)</f>
        <v>0</v>
      </c>
      <c r="QK12" s="5">
        <f>IFERROR(VLOOKUP(QK$1,'CERA Conservador'!$B$28:$C$35,2,FALSE),0%)</f>
        <v>0</v>
      </c>
      <c r="QL12" s="5">
        <f>IFERROR(VLOOKUP(QL$1,'CERA Conservador'!$B$28:$C$35,2,FALSE),0%)</f>
        <v>0</v>
      </c>
      <c r="QM12" s="5">
        <f>IFERROR(VLOOKUP(QM$1,'CERA Conservador'!$B$28:$C$35,2,FALSE),0%)</f>
        <v>0</v>
      </c>
      <c r="QN12" s="5">
        <f>IFERROR(VLOOKUP(QN$1,'CERA Conservador'!$B$28:$C$35,2,FALSE),0%)</f>
        <v>0</v>
      </c>
      <c r="QO12" s="5">
        <f>IFERROR(VLOOKUP(QO$1,'CERA Conservador'!$B$28:$C$35,2,FALSE),0%)</f>
        <v>0</v>
      </c>
      <c r="QP12" s="5">
        <f>IFERROR(VLOOKUP(QP$1,'CERA Conservador'!$B$28:$C$35,2,FALSE),0%)</f>
        <v>0</v>
      </c>
      <c r="QQ12" s="5">
        <f>IFERROR(VLOOKUP(QQ$1,'CERA Conservador'!$B$28:$C$35,2,FALSE),0%)</f>
        <v>0</v>
      </c>
      <c r="QR12" s="5">
        <f>IFERROR(VLOOKUP(QR$1,'CERA Conservador'!$B$28:$C$35,2,FALSE),0%)</f>
        <v>0</v>
      </c>
      <c r="QS12" s="5">
        <f>IFERROR(VLOOKUP(QS$1,'CERA Conservador'!$B$28:$C$35,2,FALSE),0%)</f>
        <v>0</v>
      </c>
      <c r="QT12" s="5">
        <f>IFERROR(VLOOKUP(QT$1,'CERA Conservador'!$B$28:$C$35,2,FALSE),0%)</f>
        <v>0</v>
      </c>
      <c r="QU12" s="5">
        <f>IFERROR(VLOOKUP(QU$1,'CERA Conservador'!$B$28:$C$35,2,FALSE),0%)</f>
        <v>0</v>
      </c>
      <c r="QV12" s="5">
        <f>IFERROR(VLOOKUP(QV$1,'CERA Conservador'!$B$28:$C$35,2,FALSE),0%)</f>
        <v>0</v>
      </c>
      <c r="QW12" s="5">
        <f>IFERROR(VLOOKUP(QW$1,'CERA Conservador'!$B$28:$C$35,2,FALSE),0%)</f>
        <v>0</v>
      </c>
      <c r="QX12" s="5">
        <f>IFERROR(VLOOKUP(QX$1,'CERA Conservador'!$B$28:$C$35,2,FALSE),0%)</f>
        <v>0</v>
      </c>
      <c r="QY12" s="5">
        <f>IFERROR(VLOOKUP(QY$1,'CERA Conservador'!$B$28:$C$35,2,FALSE),0%)</f>
        <v>0</v>
      </c>
      <c r="QZ12" s="5">
        <f>IFERROR(VLOOKUP(QZ$1,'CERA Conservador'!$B$28:$C$35,2,FALSE),0%)</f>
        <v>0</v>
      </c>
      <c r="RA12" s="5">
        <f>IFERROR(VLOOKUP(RA$1,'CERA Conservador'!$B$28:$C$35,2,FALSE),0%)</f>
        <v>0</v>
      </c>
      <c r="RB12" s="5">
        <f>IFERROR(VLOOKUP(RB$1,'CERA Conservador'!$B$28:$C$35,2,FALSE),0%)</f>
        <v>0</v>
      </c>
      <c r="RC12" s="5">
        <f>IFERROR(VLOOKUP(RC$1,'CERA Conservador'!$B$28:$C$35,2,FALSE),0%)</f>
        <v>0</v>
      </c>
      <c r="RD12" s="5">
        <f>IFERROR(VLOOKUP(RD$1,'CERA Conservador'!$B$28:$C$35,2,FALSE),0%)</f>
        <v>0</v>
      </c>
      <c r="RE12" s="5">
        <f>IFERROR(VLOOKUP(RE$1,'CERA Conservador'!$B$28:$C$35,2,FALSE),0%)</f>
        <v>0</v>
      </c>
      <c r="RF12" s="5">
        <f>IFERROR(VLOOKUP(RF$1,'CERA Conservador'!$B$28:$C$35,2,FALSE),0%)</f>
        <v>0</v>
      </c>
      <c r="RG12" s="5">
        <f>IFERROR(VLOOKUP(RG$1,'CERA Conservador'!$B$28:$C$35,2,FALSE),0%)</f>
        <v>0</v>
      </c>
      <c r="RH12" s="5">
        <f>IFERROR(VLOOKUP(RH$1,'CERA Conservador'!$B$28:$C$35,2,FALSE),0%)</f>
        <v>0</v>
      </c>
      <c r="RI12" s="5">
        <f>IFERROR(VLOOKUP(RI$1,'CERA Conservador'!$B$28:$C$35,2,FALSE),0%)</f>
        <v>0</v>
      </c>
      <c r="RJ12" s="5">
        <f>IFERROR(VLOOKUP(RJ$1,'CERA Conservador'!$B$28:$C$35,2,FALSE),0%)</f>
        <v>0</v>
      </c>
      <c r="RK12" s="5">
        <f>IFERROR(VLOOKUP(RK$1,'CERA Conservador'!$B$28:$C$35,2,FALSE),0%)</f>
        <v>0</v>
      </c>
      <c r="RL12" s="5">
        <f>IFERROR(VLOOKUP(RL$1,'CERA Conservador'!$B$28:$C$35,2,FALSE),0%)</f>
        <v>0</v>
      </c>
      <c r="RM12" s="5">
        <f>IFERROR(VLOOKUP(RM$1,'CERA Conservador'!$B$28:$C$35,2,FALSE),0%)</f>
        <v>0</v>
      </c>
      <c r="RN12" s="5">
        <f>IFERROR(VLOOKUP(RN$1,'CERA Conservador'!$B$28:$C$35,2,FALSE),0%)</f>
        <v>0</v>
      </c>
      <c r="RO12" s="5">
        <f>IFERROR(VLOOKUP(RO$1,'CERA Conservador'!$B$28:$C$35,2,FALSE),0%)</f>
        <v>0</v>
      </c>
      <c r="RP12" s="5">
        <f>IFERROR(VLOOKUP(RP$1,'CERA Conservador'!$B$28:$C$35,2,FALSE),0%)</f>
        <v>0</v>
      </c>
      <c r="RQ12" s="5">
        <f>IFERROR(VLOOKUP(RQ$1,'CERA Conservador'!$B$28:$C$35,2,FALSE),0%)</f>
        <v>0</v>
      </c>
      <c r="RR12" s="5">
        <f>IFERROR(VLOOKUP(RR$1,'CERA Conservador'!$B$28:$C$35,2,FALSE),0%)</f>
        <v>0</v>
      </c>
      <c r="RS12" s="5">
        <f>IFERROR(VLOOKUP(RS$1,'CERA Conservador'!$B$28:$C$35,2,FALSE),0%)</f>
        <v>0</v>
      </c>
      <c r="RT12" s="5">
        <f>IFERROR(VLOOKUP(RT$1,'CERA Conservador'!$B$28:$C$35,2,FALSE),0%)</f>
        <v>0</v>
      </c>
      <c r="RU12" s="5">
        <f>IFERROR(VLOOKUP(RU$1,'CERA Conservador'!$B$28:$C$35,2,FALSE),0%)</f>
        <v>0</v>
      </c>
      <c r="RV12" s="5">
        <f>IFERROR(VLOOKUP(RV$1,'CERA Conservador'!$B$28:$C$35,2,FALSE),0%)</f>
        <v>0</v>
      </c>
      <c r="RW12" s="5">
        <f>IFERROR(VLOOKUP(RW$1,'CERA Conservador'!$B$28:$C$35,2,FALSE),0%)</f>
        <v>0</v>
      </c>
      <c r="RX12" s="5">
        <f>IFERROR(VLOOKUP(RX$1,'CERA Conservador'!$B$28:$C$35,2,FALSE),0%)</f>
        <v>0</v>
      </c>
      <c r="RY12" s="5">
        <f>IFERROR(VLOOKUP(RY$1,'CERA Conservador'!$B$28:$C$35,2,FALSE),0%)</f>
        <v>0</v>
      </c>
      <c r="RZ12" s="5">
        <f>IFERROR(VLOOKUP(RZ$1,'CERA Conservador'!$B$28:$C$35,2,FALSE),0%)</f>
        <v>0</v>
      </c>
      <c r="SA12" s="5">
        <f>IFERROR(VLOOKUP(SA$1,'CERA Conservador'!$B$28:$C$35,2,FALSE),0%)</f>
        <v>0</v>
      </c>
      <c r="SB12" s="5">
        <f>IFERROR(VLOOKUP(SB$1,'CERA Conservador'!$B$28:$C$35,2,FALSE),0%)</f>
        <v>0</v>
      </c>
      <c r="SC12" s="5">
        <f>IFERROR(VLOOKUP(SC$1,'CERA Conservador'!$B$28:$C$35,2,FALSE),0%)</f>
        <v>0</v>
      </c>
      <c r="SD12" s="5">
        <f>IFERROR(VLOOKUP(SD$1,'CERA Conservador'!$B$28:$C$35,2,FALSE),0%)</f>
        <v>0</v>
      </c>
      <c r="SE12" s="5">
        <f>IFERROR(VLOOKUP(SE$1,'CERA Conservador'!$B$28:$C$35,2,FALSE),0%)</f>
        <v>0</v>
      </c>
      <c r="SF12" s="5">
        <f>IFERROR(VLOOKUP(SF$1,'CERA Conservador'!$B$28:$C$35,2,FALSE),0%)</f>
        <v>0</v>
      </c>
      <c r="SG12" s="5">
        <f>IFERROR(VLOOKUP(SG$1,'CERA Conservador'!$B$28:$C$35,2,FALSE),0%)</f>
        <v>0</v>
      </c>
      <c r="SH12" s="5">
        <f>IFERROR(VLOOKUP(SH$1,'CERA Conservador'!$B$28:$C$35,2,FALSE),0%)</f>
        <v>0</v>
      </c>
      <c r="SI12" s="5">
        <f>IFERROR(VLOOKUP(SI$1,'CERA Conservador'!$B$28:$C$35,2,FALSE),0%)</f>
        <v>0</v>
      </c>
      <c r="SJ12" s="5">
        <f>IFERROR(VLOOKUP(SJ$1,'CERA Conservador'!$B$28:$C$35,2,FALSE),0%)</f>
        <v>0</v>
      </c>
      <c r="SK12" s="5">
        <f>IFERROR(VLOOKUP(SK$1,'CERA Conservador'!$B$28:$C$35,2,FALSE),0%)</f>
        <v>0</v>
      </c>
      <c r="SL12" s="5">
        <f>IFERROR(VLOOKUP(SL$1,'CERA Conservador'!$B$28:$C$35,2,FALSE),0%)</f>
        <v>0</v>
      </c>
      <c r="SM12" s="5">
        <f>IFERROR(VLOOKUP(SM$1,'CERA Conservador'!$B$28:$C$35,2,FALSE),0%)</f>
        <v>0</v>
      </c>
      <c r="SN12" s="5">
        <f>IFERROR(VLOOKUP(SN$1,'CERA Conservador'!$B$28:$C$35,2,FALSE),0%)</f>
        <v>0</v>
      </c>
      <c r="SO12" s="5">
        <f>IFERROR(VLOOKUP(SO$1,'CERA Conservador'!$B$28:$C$35,2,FALSE),0%)</f>
        <v>0</v>
      </c>
      <c r="SP12" s="5">
        <f>IFERROR(VLOOKUP(SP$1,'CERA Conservador'!$B$28:$C$35,2,FALSE),0%)</f>
        <v>0</v>
      </c>
      <c r="SQ12" s="5">
        <f>IFERROR(VLOOKUP(SQ$1,'CERA Conservador'!$B$28:$C$35,2,FALSE),0%)</f>
        <v>0</v>
      </c>
      <c r="SR12" s="5">
        <f>IFERROR(VLOOKUP(SR$1,'CERA Conservador'!$B$28:$C$35,2,FALSE),0%)</f>
        <v>0</v>
      </c>
      <c r="SS12" s="5">
        <f>IFERROR(VLOOKUP(SS$1,'CERA Conservador'!$B$28:$C$35,2,FALSE),0%)</f>
        <v>0</v>
      </c>
      <c r="ST12" s="5">
        <f>IFERROR(VLOOKUP(ST$1,'CERA Conservador'!$B$28:$C$35,2,FALSE),0%)</f>
        <v>0</v>
      </c>
      <c r="SU12" s="5">
        <f>IFERROR(VLOOKUP(SU$1,'CERA Conservador'!$B$28:$C$35,2,FALSE),0%)</f>
        <v>0</v>
      </c>
      <c r="SV12" s="5">
        <f>IFERROR(VLOOKUP(SV$1,'CERA Conservador'!$B$28:$C$35,2,FALSE),0%)</f>
        <v>0</v>
      </c>
      <c r="SW12" s="5">
        <f>IFERROR(VLOOKUP(SW$1,'CERA Conservador'!$B$28:$C$35,2,FALSE),0%)</f>
        <v>0</v>
      </c>
      <c r="SX12" s="5">
        <f>IFERROR(VLOOKUP(SX$1,'CERA Conservador'!$B$28:$C$35,2,FALSE),0%)</f>
        <v>0</v>
      </c>
      <c r="SY12" s="5">
        <f>IFERROR(VLOOKUP(SY$1,'CERA Conservador'!$B$28:$C$35,2,FALSE),0%)</f>
        <v>0</v>
      </c>
      <c r="SZ12" s="5">
        <f>IFERROR(VLOOKUP(SZ$1,'CERA Conservador'!$B$28:$C$35,2,FALSE),0%)</f>
        <v>0</v>
      </c>
      <c r="TA12" s="5">
        <f>IFERROR(VLOOKUP(TA$1,'CERA Conservador'!$B$28:$C$35,2,FALSE),0%)</f>
        <v>0</v>
      </c>
      <c r="TB12" s="5">
        <f>IFERROR(VLOOKUP(TB$1,'CERA Conservador'!$B$28:$C$35,2,FALSE),0%)</f>
        <v>0</v>
      </c>
      <c r="TC12" s="5">
        <f>IFERROR(VLOOKUP(TC$1,'CERA Conservador'!$B$28:$C$35,2,FALSE),0%)</f>
        <v>0</v>
      </c>
      <c r="TD12" s="5">
        <f>IFERROR(VLOOKUP(TD$1,'CERA Conservador'!$B$28:$C$35,2,FALSE),0%)</f>
        <v>0</v>
      </c>
      <c r="TE12" s="5">
        <f>IFERROR(VLOOKUP(TE$1,'CERA Conservador'!$B$28:$C$35,2,FALSE),0%)</f>
        <v>0</v>
      </c>
      <c r="TF12" s="5">
        <f>IFERROR(VLOOKUP(TF$1,'CERA Conservador'!$B$28:$C$35,2,FALSE),0%)</f>
        <v>0</v>
      </c>
      <c r="TG12" s="5">
        <f>IFERROR(VLOOKUP(TG$1,'CERA Conservador'!$B$28:$C$35,2,FALSE),0%)</f>
        <v>0</v>
      </c>
      <c r="TH12" s="5">
        <f>IFERROR(VLOOKUP(TH$1,'CERA Conservador'!$B$28:$C$35,2,FALSE),0%)</f>
        <v>0</v>
      </c>
      <c r="TI12" s="5">
        <f>IFERROR(VLOOKUP(TI$1,'CERA Conservador'!$B$28:$C$35,2,FALSE),0%)</f>
        <v>0</v>
      </c>
      <c r="TJ12" s="5">
        <f>IFERROR(VLOOKUP(TJ$1,'CERA Conservador'!$B$28:$C$35,2,FALSE),0%)</f>
        <v>0</v>
      </c>
      <c r="TK12" s="5">
        <f>IFERROR(VLOOKUP(TK$1,'CERA Conservador'!$B$28:$C$35,2,FALSE),0%)</f>
        <v>0</v>
      </c>
      <c r="TL12" s="5">
        <f>IFERROR(VLOOKUP(TL$1,'CERA Conservador'!$B$28:$C$35,2,FALSE),0%)</f>
        <v>0</v>
      </c>
      <c r="TM12" s="5">
        <f>IFERROR(VLOOKUP(TM$1,'CERA Conservador'!$B$28:$C$35,2,FALSE),0%)</f>
        <v>0</v>
      </c>
      <c r="TN12" s="5">
        <f>IFERROR(VLOOKUP(TN$1,'CERA Conservador'!$B$28:$C$35,2,FALSE),0%)</f>
        <v>0</v>
      </c>
      <c r="TO12" s="5">
        <f>IFERROR(VLOOKUP(TO$1,'CERA Conservador'!$B$28:$C$35,2,FALSE),0%)</f>
        <v>0</v>
      </c>
      <c r="TP12" s="5">
        <f>IFERROR(VLOOKUP(TP$1,'CERA Conservador'!$B$28:$C$35,2,FALSE),0%)</f>
        <v>0</v>
      </c>
      <c r="TQ12" s="5">
        <f>IFERROR(VLOOKUP(TQ$1,'CERA Conservador'!$B$28:$C$35,2,FALSE),0%)</f>
        <v>0</v>
      </c>
      <c r="TR12" s="5">
        <f>IFERROR(VLOOKUP(TR$1,'CERA Conservador'!$B$28:$C$35,2,FALSE),0%)</f>
        <v>0</v>
      </c>
      <c r="TS12" s="5">
        <f>IFERROR(VLOOKUP(TS$1,'CERA Conservador'!$B$28:$C$35,2,FALSE),0%)</f>
        <v>0</v>
      </c>
      <c r="TT12" s="5">
        <f>IFERROR(VLOOKUP(TT$1,'CERA Conservador'!$B$28:$C$35,2,FALSE),0%)</f>
        <v>0</v>
      </c>
      <c r="TU12" s="5">
        <f>IFERROR(VLOOKUP(TU$1,'CERA Conservador'!$B$28:$C$35,2,FALSE),0%)</f>
        <v>0</v>
      </c>
      <c r="TV12" s="5">
        <f>IFERROR(VLOOKUP(TV$1,'CERA Conservador'!$B$28:$C$35,2,FALSE),0%)</f>
        <v>0</v>
      </c>
      <c r="TW12" s="5">
        <f>IFERROR(VLOOKUP(TW$1,'CERA Conservador'!$B$28:$C$35,2,FALSE),0%)</f>
        <v>0</v>
      </c>
      <c r="TX12" s="5">
        <f>IFERROR(VLOOKUP(TX$1,'CERA Conservador'!$B$28:$C$35,2,FALSE),0%)</f>
        <v>0</v>
      </c>
      <c r="TY12" s="5">
        <f>IFERROR(VLOOKUP(TY$1,'CERA Conservador'!$B$28:$C$35,2,FALSE),0%)</f>
        <v>0</v>
      </c>
      <c r="TZ12" s="5">
        <f>IFERROR(VLOOKUP(TZ$1,'CERA Conservador'!$B$28:$C$35,2,FALSE),0%)</f>
        <v>0</v>
      </c>
      <c r="UA12" s="5">
        <f>IFERROR(VLOOKUP(UA$1,'CERA Conservador'!$B$28:$C$35,2,FALSE),0%)</f>
        <v>0</v>
      </c>
      <c r="UB12" s="5">
        <f>IFERROR(VLOOKUP(UB$1,'CERA Conservador'!$B$28:$C$35,2,FALSE),0%)</f>
        <v>0</v>
      </c>
      <c r="UC12" s="5">
        <f>IFERROR(VLOOKUP(UC$1,'CERA Conservador'!$B$28:$C$35,2,FALSE),0%)</f>
        <v>0</v>
      </c>
      <c r="UD12" s="5">
        <f>IFERROR(VLOOKUP(UD$1,'CERA Conservador'!$B$28:$C$35,2,FALSE),0%)</f>
        <v>0</v>
      </c>
      <c r="UE12" s="5">
        <f>IFERROR(VLOOKUP(UE$1,'CERA Conservador'!$B$28:$C$35,2,FALSE),0%)</f>
        <v>0</v>
      </c>
      <c r="UF12" s="5">
        <f>IFERROR(VLOOKUP(UF$1,'CERA Conservador'!$B$28:$C$35,2,FALSE),0%)</f>
        <v>0</v>
      </c>
      <c r="UG12" s="5">
        <f>IFERROR(VLOOKUP(UG$1,'CERA Conservador'!$B$28:$C$35,2,FALSE),0%)</f>
        <v>0</v>
      </c>
      <c r="UH12" s="5">
        <f>IFERROR(VLOOKUP(UH$1,'CERA Conservador'!$B$28:$C$35,2,FALSE),0%)</f>
        <v>0</v>
      </c>
      <c r="UI12" s="5">
        <f>IFERROR(VLOOKUP(UI$1,'CERA Conservador'!$B$28:$C$35,2,FALSE),0%)</f>
        <v>0</v>
      </c>
      <c r="UJ12" s="5">
        <f>IFERROR(VLOOKUP(UJ$1,'CERA Conservador'!$B$28:$C$35,2,FALSE),0%)</f>
        <v>0</v>
      </c>
      <c r="UK12" s="5">
        <f>IFERROR(VLOOKUP(UK$1,'CERA Conservador'!$B$28:$C$35,2,FALSE),0%)</f>
        <v>0</v>
      </c>
      <c r="UL12" s="5">
        <f>IFERROR(VLOOKUP(UL$1,'CERA Conservador'!$B$28:$C$35,2,FALSE),0%)</f>
        <v>0</v>
      </c>
      <c r="UM12" s="5">
        <f>IFERROR(VLOOKUP(UM$1,'CERA Conservador'!$B$28:$C$35,2,FALSE),0%)</f>
        <v>0</v>
      </c>
      <c r="UN12" s="5">
        <f>IFERROR(VLOOKUP(UN$1,'CERA Conservador'!$B$28:$C$35,2,FALSE),0%)</f>
        <v>0</v>
      </c>
      <c r="UO12" s="5">
        <f>IFERROR(VLOOKUP(UO$1,'CERA Conservador'!$B$28:$C$35,2,FALSE),0%)</f>
        <v>0</v>
      </c>
      <c r="UP12" s="5">
        <f>IFERROR(VLOOKUP(UP$1,'CERA Conservador'!$B$28:$C$35,2,FALSE),0%)</f>
        <v>0</v>
      </c>
      <c r="UQ12" s="5">
        <f>IFERROR(VLOOKUP(UQ$1,'CERA Conservador'!$B$28:$C$35,2,FALSE),0%)</f>
        <v>0</v>
      </c>
      <c r="UR12" s="5">
        <f>IFERROR(VLOOKUP(UR$1,'CERA Conservador'!$B$28:$C$35,2,FALSE),0%)</f>
        <v>0</v>
      </c>
      <c r="US12" s="5">
        <f>IFERROR(VLOOKUP(US$1,'CERA Conservador'!$B$28:$C$35,2,FALSE),0%)</f>
        <v>0</v>
      </c>
      <c r="UT12" s="5">
        <f>IFERROR(VLOOKUP(UT$1,'CERA Conservador'!$B$28:$C$35,2,FALSE),0%)</f>
        <v>0</v>
      </c>
      <c r="UU12" s="5">
        <f>IFERROR(VLOOKUP(UU$1,'CERA Conservador'!$B$28:$C$35,2,FALSE),0%)</f>
        <v>0</v>
      </c>
      <c r="UV12" s="5">
        <f>IFERROR(VLOOKUP(UV$1,'CERA Conservador'!$B$28:$C$35,2,FALSE),0%)</f>
        <v>0</v>
      </c>
      <c r="UW12" s="5">
        <f>IFERROR(VLOOKUP(UW$1,'CERA Conservador'!$B$28:$C$35,2,FALSE),0%)</f>
        <v>0</v>
      </c>
      <c r="UX12" s="5">
        <f>IFERROR(VLOOKUP(UX$1,'CERA Conservador'!$B$28:$C$35,2,FALSE),0%)</f>
        <v>0</v>
      </c>
      <c r="UY12" s="5">
        <f>IFERROR(VLOOKUP(UY$1,'CERA Conservador'!$B$28:$C$35,2,FALSE),0%)</f>
        <v>0</v>
      </c>
      <c r="UZ12" s="5">
        <f>IFERROR(VLOOKUP(UZ$1,'CERA Conservador'!$B$28:$C$35,2,FALSE),0%)</f>
        <v>0</v>
      </c>
      <c r="VA12" s="5">
        <f>IFERROR(VLOOKUP(VA$1,'CERA Conservador'!$B$28:$C$35,2,FALSE),0%)</f>
        <v>0</v>
      </c>
      <c r="VB12" s="5">
        <f>IFERROR(VLOOKUP(VB$1,'CERA Conservador'!$B$28:$C$35,2,FALSE),0%)</f>
        <v>0</v>
      </c>
      <c r="VC12" s="5">
        <f>IFERROR(VLOOKUP(VC$1,'CERA Conservador'!$B$28:$C$35,2,FALSE),0%)</f>
        <v>0</v>
      </c>
      <c r="VD12" s="5">
        <f>IFERROR(VLOOKUP(VD$1,'CERA Conservador'!$B$28:$C$35,2,FALSE),0%)</f>
        <v>0</v>
      </c>
      <c r="VE12" s="5">
        <f>IFERROR(VLOOKUP(VE$1,'CERA Conservador'!$B$28:$C$35,2,FALSE),0%)</f>
        <v>0</v>
      </c>
      <c r="VF12" s="5">
        <f>IFERROR(VLOOKUP(VF$1,'CERA Conservador'!$B$28:$C$35,2,FALSE),0%)</f>
        <v>0</v>
      </c>
      <c r="VG12" s="5">
        <f>IFERROR(VLOOKUP(VG$1,'CERA Conservador'!$B$28:$C$35,2,FALSE),0%)</f>
        <v>0</v>
      </c>
      <c r="VH12" s="5">
        <f>IFERROR(VLOOKUP(VH$1,'CERA Conservador'!$B$28:$C$35,2,FALSE),0%)</f>
        <v>0</v>
      </c>
      <c r="VI12" s="5">
        <f>IFERROR(VLOOKUP(VI$1,'CERA Conservador'!$B$28:$C$35,2,FALSE),0%)</f>
        <v>0</v>
      </c>
      <c r="VJ12" s="5">
        <f>IFERROR(VLOOKUP(VJ$1,'CERA Conservador'!$B$28:$C$35,2,FALSE),0%)</f>
        <v>0</v>
      </c>
      <c r="VK12" s="5">
        <f>IFERROR(VLOOKUP(VK$1,'CERA Conservador'!$B$28:$C$35,2,FALSE),0%)</f>
        <v>0</v>
      </c>
      <c r="VL12" s="5">
        <f>IFERROR(VLOOKUP(VL$1,'CERA Conservador'!$B$28:$C$35,2,FALSE),0%)</f>
        <v>0</v>
      </c>
      <c r="VM12" s="5">
        <f>IFERROR(VLOOKUP(VM$1,'CERA Conservador'!$B$28:$C$35,2,FALSE),0%)</f>
        <v>0</v>
      </c>
      <c r="VN12" s="5">
        <f>IFERROR(VLOOKUP(VN$1,'CERA Conservador'!$B$28:$C$35,2,FALSE),0%)</f>
        <v>0</v>
      </c>
      <c r="VO12" s="5">
        <f>IFERROR(VLOOKUP(VO$1,'CERA Conservador'!$B$28:$C$35,2,FALSE),0%)</f>
        <v>0</v>
      </c>
      <c r="VP12" s="5">
        <f>IFERROR(VLOOKUP(VP$1,'CERA Conservador'!$B$28:$C$35,2,FALSE),0%)</f>
        <v>0</v>
      </c>
      <c r="VQ12" s="5">
        <f>IFERROR(VLOOKUP(VQ$1,'CERA Conservador'!$B$28:$C$35,2,FALSE),0%)</f>
        <v>0</v>
      </c>
      <c r="VR12" s="5">
        <f>IFERROR(VLOOKUP(VR$1,'CERA Conservador'!$B$28:$C$35,2,FALSE),0%)</f>
        <v>0</v>
      </c>
      <c r="VS12" s="5">
        <f>IFERROR(VLOOKUP(VS$1,'CERA Conservador'!$B$28:$C$35,2,FALSE),0%)</f>
        <v>0</v>
      </c>
      <c r="VT12" s="5">
        <f>IFERROR(VLOOKUP(VT$1,'CERA Conservador'!$B$28:$C$35,2,FALSE),0%)</f>
        <v>0</v>
      </c>
      <c r="VU12" s="5">
        <f>IFERROR(VLOOKUP(VU$1,'CERA Conservador'!$B$28:$C$35,2,FALSE),0%)</f>
        <v>0</v>
      </c>
      <c r="VV12" s="5">
        <f>IFERROR(VLOOKUP(VV$1,'CERA Conservador'!$B$28:$C$35,2,FALSE),0%)</f>
        <v>0</v>
      </c>
      <c r="VW12" s="5">
        <f>IFERROR(VLOOKUP(VW$1,'CERA Conservador'!$B$28:$C$35,2,FALSE),0%)</f>
        <v>0</v>
      </c>
      <c r="VX12" s="5">
        <f>IFERROR(VLOOKUP(VX$1,'CERA Conservador'!$B$28:$C$35,2,FALSE),0%)</f>
        <v>0</v>
      </c>
      <c r="VY12" s="5">
        <f>IFERROR(VLOOKUP(VY$1,'CERA Conservador'!$B$28:$C$35,2,FALSE),0%)</f>
        <v>0</v>
      </c>
      <c r="VZ12" s="5">
        <f>IFERROR(VLOOKUP(VZ$1,'CERA Conservador'!$B$28:$C$35,2,FALSE),0%)</f>
        <v>0</v>
      </c>
      <c r="WA12" s="5">
        <f>IFERROR(VLOOKUP(WA$1,'CERA Conservador'!$B$28:$C$35,2,FALSE),0%)</f>
        <v>0</v>
      </c>
      <c r="WB12" s="5">
        <f>IFERROR(VLOOKUP(WB$1,'CERA Conservador'!$B$28:$C$35,2,FALSE),0%)</f>
        <v>0</v>
      </c>
      <c r="WC12" s="5">
        <f>IFERROR(VLOOKUP(WC$1,'CERA Conservador'!$B$28:$C$35,2,FALSE),0%)</f>
        <v>0</v>
      </c>
      <c r="WD12" s="5">
        <f>IFERROR(VLOOKUP(WD$1,'CERA Conservador'!$B$28:$C$35,2,FALSE),0%)</f>
        <v>0</v>
      </c>
      <c r="WE12" s="5">
        <f>IFERROR(VLOOKUP(WE$1,'CERA Conservador'!$B$28:$C$35,2,FALSE),0%)</f>
        <v>0</v>
      </c>
      <c r="WF12" s="5">
        <f>IFERROR(VLOOKUP(WF$1,'CERA Conservador'!$B$28:$C$35,2,FALSE),0%)</f>
        <v>0</v>
      </c>
      <c r="WG12" s="5">
        <f>IFERROR(VLOOKUP(WG$1,'CERA Conservador'!$B$28:$C$35,2,FALSE),0%)</f>
        <v>0</v>
      </c>
      <c r="WH12" s="5">
        <f>IFERROR(VLOOKUP(WH$1,'CERA Conservador'!$B$28:$C$35,2,FALSE),0%)</f>
        <v>0</v>
      </c>
      <c r="WI12" s="5">
        <f>IFERROR(VLOOKUP(WI$1,'CERA Conservador'!$B$28:$C$35,2,FALSE),0%)</f>
        <v>0</v>
      </c>
      <c r="WJ12" s="5">
        <f>IFERROR(VLOOKUP(WJ$1,'CERA Conservador'!$B$28:$C$35,2,FALSE),0%)</f>
        <v>0</v>
      </c>
      <c r="WK12" s="5">
        <f>IFERROR(VLOOKUP(WK$1,'CERA Conservador'!$B$28:$C$35,2,FALSE),0%)</f>
        <v>0</v>
      </c>
      <c r="WL12" s="5">
        <f>IFERROR(VLOOKUP(WL$1,'CERA Conservador'!$B$28:$C$35,2,FALSE),0%)</f>
        <v>0</v>
      </c>
      <c r="WM12" s="5">
        <f>IFERROR(VLOOKUP(WM$1,'CERA Conservador'!$B$28:$C$35,2,FALSE),0%)</f>
        <v>0</v>
      </c>
      <c r="WN12" s="5">
        <f>IFERROR(VLOOKUP(WN$1,'CERA Conservador'!$B$28:$C$35,2,FALSE),0%)</f>
        <v>0</v>
      </c>
      <c r="WO12" s="5">
        <f>IFERROR(VLOOKUP(WO$1,'CERA Conservador'!$B$28:$C$35,2,FALSE),0%)</f>
        <v>0</v>
      </c>
      <c r="WP12" s="5">
        <f>IFERROR(VLOOKUP(WP$1,'CERA Conservador'!$B$28:$C$35,2,FALSE),0%)</f>
        <v>0</v>
      </c>
      <c r="WQ12" s="5">
        <f>IFERROR(VLOOKUP(WQ$1,'CERA Conservador'!$B$28:$C$35,2,FALSE),0%)</f>
        <v>0</v>
      </c>
      <c r="WR12" s="5">
        <f>IFERROR(VLOOKUP(WR$1,'CERA Conservador'!$B$28:$C$35,2,FALSE),0%)</f>
        <v>0</v>
      </c>
      <c r="WS12" s="5">
        <f>IFERROR(VLOOKUP(WS$1,'CERA Conservador'!$B$28:$C$35,2,FALSE),0%)</f>
        <v>0</v>
      </c>
      <c r="WT12" s="5">
        <f>IFERROR(VLOOKUP(WT$1,'CERA Conservador'!$B$28:$C$35,2,FALSE),0%)</f>
        <v>0</v>
      </c>
      <c r="WU12" s="5">
        <f>IFERROR(VLOOKUP(WU$1,'CERA Conservador'!$B$28:$C$35,2,FALSE),0%)</f>
        <v>0</v>
      </c>
      <c r="WV12" s="5">
        <f>IFERROR(VLOOKUP(WV$1,'CERA Conservador'!$B$28:$C$35,2,FALSE),0%)</f>
        <v>0</v>
      </c>
      <c r="WW12" s="5">
        <f>IFERROR(VLOOKUP(WW$1,'CERA Conservador'!$B$28:$C$35,2,FALSE),0%)</f>
        <v>0</v>
      </c>
      <c r="WX12" s="5">
        <f>IFERROR(VLOOKUP(WX$1,'CERA Conservador'!$B$28:$C$35,2,FALSE),0%)</f>
        <v>0</v>
      </c>
      <c r="WY12" s="5">
        <f>IFERROR(VLOOKUP(WY$1,'CERA Conservador'!$B$28:$C$35,2,FALSE),0%)</f>
        <v>0</v>
      </c>
      <c r="WZ12" s="5">
        <f>IFERROR(VLOOKUP(WZ$1,'CERA Conservador'!$B$28:$C$35,2,FALSE),0%)</f>
        <v>0</v>
      </c>
      <c r="XA12" s="5">
        <f>IFERROR(VLOOKUP(XA$1,'CERA Conservador'!$B$28:$C$35,2,FALSE),0%)</f>
        <v>0</v>
      </c>
      <c r="XB12" s="5">
        <f>IFERROR(VLOOKUP(XB$1,'CERA Conservador'!$B$28:$C$35,2,FALSE),0%)</f>
        <v>0</v>
      </c>
      <c r="XC12" s="5">
        <f>IFERROR(VLOOKUP(XC$1,'CERA Conservador'!$B$28:$C$35,2,FALSE),0%)</f>
        <v>0</v>
      </c>
      <c r="XD12" s="5">
        <f>IFERROR(VLOOKUP(XD$1,'CERA Conservador'!$B$28:$C$35,2,FALSE),0%)</f>
        <v>0</v>
      </c>
      <c r="XE12" s="5">
        <f>IFERROR(VLOOKUP(XE$1,'CERA Conservador'!$B$28:$C$35,2,FALSE),0%)</f>
        <v>0</v>
      </c>
      <c r="XF12" s="5">
        <f>IFERROR(VLOOKUP(XF$1,'CERA Conservador'!$B$28:$C$35,2,FALSE),0%)</f>
        <v>0</v>
      </c>
      <c r="XG12" s="5">
        <f>IFERROR(VLOOKUP(XG$1,'CERA Conservador'!$B$28:$C$35,2,FALSE),0%)</f>
        <v>0</v>
      </c>
      <c r="XH12" s="5">
        <f>IFERROR(VLOOKUP(XH$1,'CERA Conservador'!$B$28:$C$35,2,FALSE),0%)</f>
        <v>0</v>
      </c>
      <c r="XI12" s="5">
        <f>IFERROR(VLOOKUP(XI$1,'CERA Conservador'!$B$28:$C$35,2,FALSE),0%)</f>
        <v>0</v>
      </c>
      <c r="XJ12" s="5">
        <f>IFERROR(VLOOKUP(XJ$1,'CERA Conservador'!$B$28:$C$35,2,FALSE),0%)</f>
        <v>0</v>
      </c>
      <c r="XK12" s="5">
        <f>IFERROR(VLOOKUP(XK$1,'CERA Conservador'!$B$28:$C$35,2,FALSE),0%)</f>
        <v>0</v>
      </c>
      <c r="XL12" s="5">
        <f>IFERROR(VLOOKUP(XL$1,'CERA Conservador'!$B$28:$C$35,2,FALSE),0%)</f>
        <v>0</v>
      </c>
      <c r="XM12" s="5">
        <f>IFERROR(VLOOKUP(XM$1,'CERA Conservador'!$B$28:$C$35,2,FALSE),0%)</f>
        <v>0</v>
      </c>
      <c r="XN12" s="5">
        <f>IFERROR(VLOOKUP(XN$1,'CERA Conservador'!$B$28:$C$35,2,FALSE),0%)</f>
        <v>0</v>
      </c>
      <c r="XO12" s="5">
        <f>IFERROR(VLOOKUP(XO$1,'CERA Conservador'!$B$28:$C$35,2,FALSE),0%)</f>
        <v>0</v>
      </c>
      <c r="XP12" s="5">
        <f>IFERROR(VLOOKUP(XP$1,'CERA Conservador'!$B$28:$C$35,2,FALSE),0%)</f>
        <v>0</v>
      </c>
      <c r="XQ12" s="5">
        <f>IFERROR(VLOOKUP(XQ$1,'CERA Conservador'!$B$28:$C$35,2,FALSE),0%)</f>
        <v>0</v>
      </c>
      <c r="XR12" s="5">
        <f>IFERROR(VLOOKUP(XR$1,'CERA Conservador'!$B$28:$C$35,2,FALSE),0%)</f>
        <v>0</v>
      </c>
      <c r="XS12" s="5">
        <f>IFERROR(VLOOKUP(XS$1,'CERA Conservador'!$B$28:$C$35,2,FALSE),0%)</f>
        <v>0</v>
      </c>
      <c r="XT12" s="5">
        <f>IFERROR(VLOOKUP(XT$1,'CERA Conservador'!$B$28:$C$35,2,FALSE),0%)</f>
        <v>0</v>
      </c>
      <c r="XU12" s="5">
        <f>IFERROR(VLOOKUP(XU$1,'CERA Conservador'!$B$28:$C$35,2,FALSE),0%)</f>
        <v>0</v>
      </c>
      <c r="XV12" s="5">
        <f>IFERROR(VLOOKUP(XV$1,'CERA Conservador'!$B$28:$C$35,2,FALSE),0%)</f>
        <v>0</v>
      </c>
      <c r="XW12" s="5">
        <f>IFERROR(VLOOKUP(XW$1,'CERA Conservador'!$B$28:$C$35,2,FALSE),0%)</f>
        <v>0</v>
      </c>
      <c r="XX12" s="5">
        <f>IFERROR(VLOOKUP(XX$1,'CERA Conservador'!$B$28:$C$35,2,FALSE),0%)</f>
        <v>0</v>
      </c>
      <c r="XY12" s="5">
        <f>IFERROR(VLOOKUP(XY$1,'CERA Conservador'!$B$28:$C$35,2,FALSE),0%)</f>
        <v>0</v>
      </c>
      <c r="XZ12" s="5">
        <f>IFERROR(VLOOKUP(XZ$1,'CERA Conservador'!$B$28:$C$35,2,FALSE),0%)</f>
        <v>0</v>
      </c>
      <c r="YA12" s="5">
        <f>IFERROR(VLOOKUP(YA$1,'CERA Conservador'!$B$28:$C$35,2,FALSE),0%)</f>
        <v>0</v>
      </c>
      <c r="YB12" s="5">
        <f>IFERROR(VLOOKUP(YB$1,'CERA Conservador'!$B$28:$C$35,2,FALSE),0%)</f>
        <v>0</v>
      </c>
      <c r="YC12" s="5">
        <f>IFERROR(VLOOKUP(YC$1,'CERA Conservador'!$B$28:$C$35,2,FALSE),0%)</f>
        <v>0</v>
      </c>
      <c r="YD12" s="5">
        <f>IFERROR(VLOOKUP(YD$1,'CERA Conservador'!$B$28:$C$35,2,FALSE),0%)</f>
        <v>0</v>
      </c>
      <c r="YE12" s="5">
        <f>IFERROR(VLOOKUP(YE$1,'CERA Conservador'!$B$28:$C$35,2,FALSE),0%)</f>
        <v>0</v>
      </c>
      <c r="YF12" s="5">
        <f>IFERROR(VLOOKUP(YF$1,'CERA Conservador'!$B$28:$C$35,2,FALSE),0%)</f>
        <v>0</v>
      </c>
      <c r="YG12" s="5">
        <f>IFERROR(VLOOKUP(YG$1,'CERA Conservador'!$B$28:$C$35,2,FALSE),0%)</f>
        <v>0</v>
      </c>
      <c r="YH12" s="5">
        <f>IFERROR(VLOOKUP(YH$1,'CERA Conservador'!$B$28:$C$35,2,FALSE),0%)</f>
        <v>0</v>
      </c>
      <c r="YI12" s="5">
        <f>IFERROR(VLOOKUP(YI$1,'CERA Conservador'!$B$28:$C$35,2,FALSE),0%)</f>
        <v>0</v>
      </c>
      <c r="YJ12" s="5">
        <f>IFERROR(VLOOKUP(YJ$1,'CERA Conservador'!$B$28:$C$35,2,FALSE),0%)</f>
        <v>0</v>
      </c>
      <c r="YK12" s="5">
        <f>IFERROR(VLOOKUP(YK$1,'CERA Conservador'!$B$28:$C$35,2,FALSE),0%)</f>
        <v>0</v>
      </c>
      <c r="YL12" s="5">
        <f>IFERROR(VLOOKUP(YL$1,'CERA Conservador'!$B$28:$C$35,2,FALSE),0%)</f>
        <v>0</v>
      </c>
      <c r="YM12" s="5">
        <f>IFERROR(VLOOKUP(YM$1,'CERA Conservador'!$B$28:$C$35,2,FALSE),0%)</f>
        <v>0</v>
      </c>
      <c r="YN12" s="5">
        <f>IFERROR(VLOOKUP(YN$1,'CERA Conservador'!$B$28:$C$35,2,FALSE),0%)</f>
        <v>0</v>
      </c>
      <c r="YO12" s="5">
        <f>IFERROR(VLOOKUP(YO$1,'CERA Conservador'!$B$28:$C$35,2,FALSE),0%)</f>
        <v>0</v>
      </c>
      <c r="YP12" s="5">
        <f>IFERROR(VLOOKUP(YP$1,'CERA Conservador'!$B$28:$C$35,2,FALSE),0%)</f>
        <v>0</v>
      </c>
      <c r="YQ12" s="5">
        <f>IFERROR(VLOOKUP(YQ$1,'CERA Conservador'!$B$28:$C$35,2,FALSE),0%)</f>
        <v>0</v>
      </c>
      <c r="YR12" s="5">
        <f>IFERROR(VLOOKUP(YR$1,'CERA Conservador'!$B$28:$C$35,2,FALSE),0%)</f>
        <v>0</v>
      </c>
      <c r="YS12" s="5">
        <f>IFERROR(VLOOKUP(YS$1,'CERA Conservador'!$B$28:$C$35,2,FALSE),0%)</f>
        <v>0</v>
      </c>
      <c r="YT12" s="5">
        <f>IFERROR(VLOOKUP(YT$1,'CERA Conservador'!$B$28:$C$35,2,FALSE),0%)</f>
        <v>0</v>
      </c>
      <c r="YU12" s="5">
        <f>IFERROR(VLOOKUP(YU$1,'CERA Conservador'!$B$28:$C$35,2,FALSE),0%)</f>
        <v>0</v>
      </c>
      <c r="YV12" s="5">
        <f>IFERROR(VLOOKUP(YV$1,'CERA Conservador'!$B$28:$C$35,2,FALSE),0%)</f>
        <v>0</v>
      </c>
      <c r="YW12" s="5">
        <f>IFERROR(VLOOKUP(YW$1,'CERA Conservador'!$B$28:$C$35,2,FALSE),0%)</f>
        <v>0</v>
      </c>
      <c r="YX12" s="5">
        <f>IFERROR(VLOOKUP(YX$1,'CERA Conservador'!$B$28:$C$35,2,FALSE),0%)</f>
        <v>0</v>
      </c>
      <c r="YY12" s="5">
        <f>IFERROR(VLOOKUP(YY$1,'CERA Conservador'!$B$28:$C$35,2,FALSE),0%)</f>
        <v>0</v>
      </c>
      <c r="YZ12" s="5">
        <f>IFERROR(VLOOKUP(YZ$1,'CERA Conservador'!$B$28:$C$35,2,FALSE),0%)</f>
        <v>0</v>
      </c>
      <c r="ZA12" s="5">
        <f>IFERROR(VLOOKUP(ZA$1,'CERA Conservador'!$B$28:$C$35,2,FALSE),0%)</f>
        <v>0</v>
      </c>
      <c r="ZB12" s="5">
        <f>IFERROR(VLOOKUP(ZB$1,'CERA Conservador'!$B$28:$C$35,2,FALSE),0%)</f>
        <v>0</v>
      </c>
      <c r="ZC12" s="5">
        <f>IFERROR(VLOOKUP(ZC$1,'CERA Conservador'!$B$28:$C$35,2,FALSE),0%)</f>
        <v>0</v>
      </c>
      <c r="ZD12" s="5">
        <f>IFERROR(VLOOKUP(ZD$1,'CERA Conservador'!$B$28:$C$35,2,FALSE),0%)</f>
        <v>0</v>
      </c>
      <c r="ZE12" s="5">
        <f>IFERROR(VLOOKUP(ZE$1,'CERA Conservador'!$B$28:$C$35,2,FALSE),0%)</f>
        <v>0</v>
      </c>
      <c r="ZF12" s="5">
        <f>IFERROR(VLOOKUP(ZF$1,'CERA Conservador'!$B$28:$C$35,2,FALSE),0%)</f>
        <v>0</v>
      </c>
      <c r="ZG12" s="5">
        <f>IFERROR(VLOOKUP(ZG$1,'CERA Conservador'!$B$28:$C$35,2,FALSE),0%)</f>
        <v>0</v>
      </c>
      <c r="ZH12" s="5">
        <f>IFERROR(VLOOKUP(ZH$1,'CERA Conservador'!$B$28:$C$35,2,FALSE),0%)</f>
        <v>0</v>
      </c>
      <c r="ZI12" s="5">
        <f>IFERROR(VLOOKUP(ZI$1,'CERA Conservador'!$B$28:$C$35,2,FALSE),0%)</f>
        <v>0</v>
      </c>
      <c r="ZJ12" s="5">
        <f>IFERROR(VLOOKUP(ZJ$1,'CERA Conservador'!$B$28:$C$35,2,FALSE),0%)</f>
        <v>0</v>
      </c>
      <c r="ZK12" s="5">
        <f>IFERROR(VLOOKUP(ZK$1,'CERA Conservador'!$B$28:$C$35,2,FALSE),0%)</f>
        <v>0</v>
      </c>
      <c r="ZL12" s="5">
        <f>IFERROR(VLOOKUP(ZL$1,'CERA Conservador'!$B$28:$C$35,2,FALSE),0%)</f>
        <v>0</v>
      </c>
      <c r="ZM12" s="5">
        <f>IFERROR(VLOOKUP(ZM$1,'CERA Conservador'!$B$28:$C$35,2,FALSE),0%)</f>
        <v>0</v>
      </c>
      <c r="ZN12" s="5">
        <f>IFERROR(VLOOKUP(ZN$1,'CERA Conservador'!$B$28:$C$35,2,FALSE),0%)</f>
        <v>0</v>
      </c>
      <c r="ZO12" s="5">
        <f>IFERROR(VLOOKUP(ZO$1,'CERA Conservador'!$B$28:$C$35,2,FALSE),0%)</f>
        <v>0</v>
      </c>
      <c r="ZP12" s="5">
        <f>IFERROR(VLOOKUP(ZP$1,'CERA Conservador'!$B$28:$C$35,2,FALSE),0%)</f>
        <v>0</v>
      </c>
      <c r="ZQ12" s="5">
        <f>IFERROR(VLOOKUP(ZQ$1,'CERA Conservador'!$B$28:$C$35,2,FALSE),0%)</f>
        <v>0</v>
      </c>
      <c r="ZR12" s="5">
        <f>IFERROR(VLOOKUP(ZR$1,'CERA Conservador'!$B$28:$C$35,2,FALSE),0%)</f>
        <v>0</v>
      </c>
      <c r="ZS12" s="5">
        <f>IFERROR(VLOOKUP(ZS$1,'CERA Conservador'!$B$28:$C$35,2,FALSE),0%)</f>
        <v>0</v>
      </c>
      <c r="ZT12" s="5">
        <f>IFERROR(VLOOKUP(ZT$1,'CERA Conservador'!$B$28:$C$35,2,FALSE),0%)</f>
        <v>0</v>
      </c>
      <c r="ZU12" s="5">
        <f>IFERROR(VLOOKUP(ZU$1,'CERA Conservador'!$B$28:$C$35,2,FALSE),0%)</f>
        <v>0</v>
      </c>
      <c r="ZV12" s="5">
        <f>IFERROR(VLOOKUP(ZV$1,'CERA Conservador'!$B$28:$C$35,2,FALSE),0%)</f>
        <v>0</v>
      </c>
      <c r="ZW12" s="5">
        <f>IFERROR(VLOOKUP(ZW$1,'CERA Conservador'!$B$28:$C$35,2,FALSE),0%)</f>
        <v>0</v>
      </c>
      <c r="ZX12" s="5">
        <f>IFERROR(VLOOKUP(ZX$1,'CERA Conservador'!$B$28:$C$35,2,FALSE),0%)</f>
        <v>0</v>
      </c>
      <c r="ZY12" s="5">
        <f>IFERROR(VLOOKUP(ZY$1,'CERA Conservador'!$B$28:$C$35,2,FALSE),0%)</f>
        <v>0</v>
      </c>
      <c r="ZZ12" s="5">
        <f>IFERROR(VLOOKUP(ZZ$1,'CERA Conservador'!$B$28:$C$35,2,FALSE),0%)</f>
        <v>0</v>
      </c>
      <c r="AAA12" s="5">
        <f>IFERROR(VLOOKUP(AAA$1,'CERA Conservador'!$B$28:$C$35,2,FALSE),0%)</f>
        <v>0</v>
      </c>
      <c r="AAB12" s="5">
        <f>IFERROR(VLOOKUP(AAB$1,'CERA Conservador'!$B$28:$C$35,2,FALSE),0%)</f>
        <v>0</v>
      </c>
      <c r="AAC12" s="5">
        <f>IFERROR(VLOOKUP(AAC$1,'CERA Conservador'!$B$28:$C$35,2,FALSE),0%)</f>
        <v>0</v>
      </c>
      <c r="AAD12" s="5">
        <f>IFERROR(VLOOKUP(AAD$1,'CERA Conservador'!$B$28:$C$35,2,FALSE),0%)</f>
        <v>0</v>
      </c>
      <c r="AAE12" s="5">
        <f>IFERROR(VLOOKUP(AAE$1,'CERA Conservador'!$B$28:$C$35,2,FALSE),0%)</f>
        <v>0</v>
      </c>
      <c r="AAF12" s="5">
        <f>IFERROR(VLOOKUP(AAF$1,'CERA Conservador'!$B$28:$C$35,2,FALSE),0%)</f>
        <v>0</v>
      </c>
      <c r="AAG12" s="5">
        <f>IFERROR(VLOOKUP(AAG$1,'CERA Conservador'!$B$28:$C$35,2,FALSE),0%)</f>
        <v>0</v>
      </c>
      <c r="AAH12" s="5">
        <f>IFERROR(VLOOKUP(AAH$1,'CERA Conservador'!$B$28:$C$35,2,FALSE),0%)</f>
        <v>0</v>
      </c>
      <c r="AAI12" s="5">
        <f>IFERROR(VLOOKUP(AAI$1,'CERA Conservador'!$B$28:$C$35,2,FALSE),0%)</f>
        <v>0</v>
      </c>
      <c r="AAJ12" s="5">
        <f>IFERROR(VLOOKUP(AAJ$1,'CERA Conservador'!$B$28:$C$35,2,FALSE),0%)</f>
        <v>0</v>
      </c>
      <c r="AAK12" s="5">
        <f>IFERROR(VLOOKUP(AAK$1,'CERA Conservador'!$B$28:$C$35,2,FALSE),0%)</f>
        <v>0</v>
      </c>
      <c r="AAL12" s="5">
        <f>IFERROR(VLOOKUP(AAL$1,'CERA Conservador'!$B$28:$C$35,2,FALSE),0%)</f>
        <v>0</v>
      </c>
      <c r="AAM12" s="5">
        <f>IFERROR(VLOOKUP(AAM$1,'CERA Conservador'!$B$28:$C$35,2,FALSE),0%)</f>
        <v>0</v>
      </c>
      <c r="AAN12" s="5">
        <f>IFERROR(VLOOKUP(AAN$1,'CERA Conservador'!$B$28:$C$35,2,FALSE),0%)</f>
        <v>0</v>
      </c>
      <c r="AAO12" s="5">
        <f>IFERROR(VLOOKUP(AAO$1,'CERA Conservador'!$B$28:$C$35,2,FALSE),0%)</f>
        <v>0</v>
      </c>
      <c r="AAP12" s="5">
        <f>IFERROR(VLOOKUP(AAP$1,'CERA Conservador'!$B$28:$C$35,2,FALSE),0%)</f>
        <v>0</v>
      </c>
      <c r="AAQ12" s="5">
        <f>IFERROR(VLOOKUP(AAQ$1,'CERA Conservador'!$B$28:$C$35,2,FALSE),0%)</f>
        <v>0</v>
      </c>
      <c r="AAR12" s="5">
        <f>IFERROR(VLOOKUP(AAR$1,'CERA Conservador'!$B$28:$C$35,2,FALSE),0%)</f>
        <v>0</v>
      </c>
      <c r="AAS12" s="5">
        <f>IFERROR(VLOOKUP(AAS$1,'CERA Conservador'!$B$28:$C$35,2,FALSE),0%)</f>
        <v>0</v>
      </c>
      <c r="AAT12" s="5">
        <f>IFERROR(VLOOKUP(AAT$1,'CERA Conservador'!$B$28:$C$35,2,FALSE),0%)</f>
        <v>0</v>
      </c>
      <c r="AAU12" s="5">
        <f>IFERROR(VLOOKUP(AAU$1,'CERA Conservador'!$B$28:$C$35,2,FALSE),0%)</f>
        <v>0</v>
      </c>
      <c r="AAV12" s="5">
        <f>IFERROR(VLOOKUP(AAV$1,'CERA Conservador'!$B$28:$C$35,2,FALSE),0%)</f>
        <v>0</v>
      </c>
      <c r="AAW12" s="5">
        <f>IFERROR(VLOOKUP(AAW$1,'CERA Conservador'!$B$28:$C$35,2,FALSE),0%)</f>
        <v>0</v>
      </c>
      <c r="AAX12" s="5">
        <f>IFERROR(VLOOKUP(AAX$1,'CERA Conservador'!$B$28:$C$35,2,FALSE),0%)</f>
        <v>0</v>
      </c>
      <c r="AAY12" s="5">
        <f>IFERROR(VLOOKUP(AAY$1,'CERA Conservador'!$B$28:$C$35,2,FALSE),0%)</f>
        <v>0</v>
      </c>
      <c r="AAZ12" s="5">
        <f>IFERROR(VLOOKUP(AAZ$1,'CERA Conservador'!$B$28:$C$35,2,FALSE),0%)</f>
        <v>0</v>
      </c>
      <c r="ABA12" s="5">
        <f>IFERROR(VLOOKUP(ABA$1,'CERA Conservador'!$B$28:$C$35,2,FALSE),0%)</f>
        <v>0</v>
      </c>
      <c r="ABB12" s="5">
        <f>IFERROR(VLOOKUP(ABB$1,'CERA Conservador'!$B$28:$C$35,2,FALSE),0%)</f>
        <v>0</v>
      </c>
      <c r="ABC12" s="5">
        <f>IFERROR(VLOOKUP(ABC$1,'CERA Conservador'!$B$28:$C$35,2,FALSE),0%)</f>
        <v>0</v>
      </c>
      <c r="ABD12" s="5">
        <f>IFERROR(VLOOKUP(ABD$1,'CERA Conservador'!$B$28:$C$35,2,FALSE),0%)</f>
        <v>0</v>
      </c>
      <c r="ABE12" s="5">
        <f>IFERROR(VLOOKUP(ABE$1,'CERA Conservador'!$B$28:$C$35,2,FALSE),0%)</f>
        <v>0</v>
      </c>
      <c r="ABF12" s="5">
        <f>IFERROR(VLOOKUP(ABF$1,'CERA Conservador'!$B$28:$C$35,2,FALSE),0%)</f>
        <v>0</v>
      </c>
      <c r="ABG12" s="5">
        <f>IFERROR(VLOOKUP(ABG$1,'CERA Conservador'!$B$28:$C$35,2,FALSE),0%)</f>
        <v>0</v>
      </c>
      <c r="ABH12" s="5">
        <f>IFERROR(VLOOKUP(ABH$1,'CERA Conservador'!$B$28:$C$35,2,FALSE),0%)</f>
        <v>0</v>
      </c>
      <c r="ABI12" s="5">
        <f>IFERROR(VLOOKUP(ABI$1,'CERA Conservador'!$B$28:$C$35,2,FALSE),0%)</f>
        <v>0</v>
      </c>
      <c r="ABJ12" s="5">
        <f>IFERROR(VLOOKUP(ABJ$1,'CERA Conservador'!$B$28:$C$35,2,FALSE),0%)</f>
        <v>0</v>
      </c>
      <c r="ABK12" s="5">
        <f>IFERROR(VLOOKUP(ABK$1,'CERA Conservador'!$B$28:$C$35,2,FALSE),0%)</f>
        <v>0</v>
      </c>
      <c r="ABL12" s="5">
        <f>IFERROR(VLOOKUP(ABL$1,'CERA Conservador'!$B$28:$C$35,2,FALSE),0%)</f>
        <v>0</v>
      </c>
      <c r="ABM12" s="5">
        <f>IFERROR(VLOOKUP(ABM$1,'CERA Conservador'!$B$28:$C$35,2,FALSE),0%)</f>
        <v>0</v>
      </c>
      <c r="ABN12" s="5">
        <f>IFERROR(VLOOKUP(ABN$1,'CERA Conservador'!$B$28:$C$35,2,FALSE),0%)</f>
        <v>0</v>
      </c>
      <c r="ABO12" s="5">
        <f>IFERROR(VLOOKUP(ABO$1,'CERA Conservador'!$B$28:$C$35,2,FALSE),0%)</f>
        <v>0</v>
      </c>
      <c r="ABP12" s="5">
        <f>IFERROR(VLOOKUP(ABP$1,'CERA Conservador'!$B$28:$C$35,2,FALSE),0%)</f>
        <v>0</v>
      </c>
      <c r="ABQ12" s="5">
        <f>IFERROR(VLOOKUP(ABQ$1,'CERA Conservador'!$B$28:$C$35,2,FALSE),0%)</f>
        <v>0</v>
      </c>
      <c r="ABR12" s="5">
        <f>IFERROR(VLOOKUP(ABR$1,'CERA Conservador'!$B$28:$C$35,2,FALSE),0%)</f>
        <v>0</v>
      </c>
      <c r="ABS12" s="5">
        <f>IFERROR(VLOOKUP(ABS$1,'CERA Conservador'!$B$28:$C$35,2,FALSE),0%)</f>
        <v>0</v>
      </c>
      <c r="ABT12" s="5">
        <f>IFERROR(VLOOKUP(ABT$1,'CERA Conservador'!$B$28:$C$35,2,FALSE),0%)</f>
        <v>0</v>
      </c>
      <c r="ABU12" s="5">
        <f>IFERROR(VLOOKUP(ABU$1,'CERA Conservador'!$B$28:$C$35,2,FALSE),0%)</f>
        <v>0</v>
      </c>
      <c r="ABV12" s="5">
        <f>IFERROR(VLOOKUP(ABV$1,'CERA Conservador'!$B$28:$C$35,2,FALSE),0%)</f>
        <v>0</v>
      </c>
      <c r="ABW12" s="5">
        <f>IFERROR(VLOOKUP(ABW$1,'CERA Conservador'!$B$28:$C$35,2,FALSE),0%)</f>
        <v>0</v>
      </c>
      <c r="ABX12" s="5">
        <f>IFERROR(VLOOKUP(ABX$1,'CERA Conservador'!$B$28:$C$35,2,FALSE),0%)</f>
        <v>0</v>
      </c>
      <c r="ABY12" s="5">
        <f>IFERROR(VLOOKUP(ABY$1,'CERA Conservador'!$B$28:$C$35,2,FALSE),0%)</f>
        <v>0</v>
      </c>
      <c r="ABZ12" s="5">
        <f>IFERROR(VLOOKUP(ABZ$1,'CERA Conservador'!$B$28:$C$35,2,FALSE),0%)</f>
        <v>0</v>
      </c>
      <c r="ACA12" s="5">
        <f>IFERROR(VLOOKUP(ACA$1,'CERA Conservador'!$B$28:$C$35,2,FALSE),0%)</f>
        <v>0</v>
      </c>
      <c r="ACB12" s="5">
        <f>IFERROR(VLOOKUP(ACB$1,'CERA Conservador'!$B$28:$C$35,2,FALSE),0%)</f>
        <v>0</v>
      </c>
      <c r="ACC12" s="5">
        <f>IFERROR(VLOOKUP(ACC$1,'CERA Conservador'!$B$28:$C$35,2,FALSE),0%)</f>
        <v>0</v>
      </c>
      <c r="ACD12" s="5">
        <f>IFERROR(VLOOKUP(ACD$1,'CERA Conservador'!$B$28:$C$35,2,FALSE),0%)</f>
        <v>0</v>
      </c>
      <c r="ACE12" s="5">
        <f>IFERROR(VLOOKUP(ACE$1,'CERA Conservador'!$B$28:$C$35,2,FALSE),0%)</f>
        <v>0</v>
      </c>
      <c r="ACF12" s="5">
        <f>IFERROR(VLOOKUP(ACF$1,'CERA Conservador'!$B$28:$C$35,2,FALSE),0%)</f>
        <v>0</v>
      </c>
      <c r="ACG12" s="5">
        <f>IFERROR(VLOOKUP(ACG$1,'CERA Conservador'!$B$28:$C$35,2,FALSE),0%)</f>
        <v>0</v>
      </c>
      <c r="ACH12" s="5">
        <f>IFERROR(VLOOKUP(ACH$1,'CERA Conservador'!$B$28:$C$35,2,FALSE),0%)</f>
        <v>0</v>
      </c>
      <c r="ACI12" s="5">
        <f>IFERROR(VLOOKUP(ACI$1,'CERA Conservador'!$B$28:$C$35,2,FALSE),0%)</f>
        <v>0</v>
      </c>
      <c r="ACJ12" s="5">
        <f>IFERROR(VLOOKUP(ACJ$1,'CERA Conservador'!$B$28:$C$35,2,FALSE),0%)</f>
        <v>0</v>
      </c>
      <c r="ACK12" s="5">
        <f>IFERROR(VLOOKUP(ACK$1,'CERA Conservador'!$B$28:$C$35,2,FALSE),0%)</f>
        <v>0</v>
      </c>
      <c r="ACL12" s="5">
        <f>IFERROR(VLOOKUP(ACL$1,'CERA Conservador'!$B$28:$C$35,2,FALSE),0%)</f>
        <v>0</v>
      </c>
      <c r="ACM12" s="5">
        <f>IFERROR(VLOOKUP(ACM$1,'CERA Conservador'!$B$28:$C$35,2,FALSE),0%)</f>
        <v>0</v>
      </c>
      <c r="ACN12" s="5">
        <f>IFERROR(VLOOKUP(ACN$1,'CERA Conservador'!$B$28:$C$35,2,FALSE),0%)</f>
        <v>0</v>
      </c>
      <c r="ACO12" s="5">
        <f>IFERROR(VLOOKUP(ACO$1,'CERA Conservador'!$B$28:$C$35,2,FALSE),0%)</f>
        <v>0</v>
      </c>
      <c r="ACP12" s="5">
        <f>IFERROR(VLOOKUP(ACP$1,'CERA Conservador'!$B$28:$C$35,2,FALSE),0%)</f>
        <v>0</v>
      </c>
      <c r="ACQ12" s="5">
        <f>IFERROR(VLOOKUP(ACQ$1,'CERA Conservador'!$B$28:$C$35,2,FALSE),0%)</f>
        <v>0</v>
      </c>
      <c r="ACR12" s="5">
        <f>IFERROR(VLOOKUP(ACR$1,'CERA Conservador'!$B$28:$C$35,2,FALSE),0%)</f>
        <v>0</v>
      </c>
      <c r="ACS12" s="5">
        <f>IFERROR(VLOOKUP(ACS$1,'CERA Conservador'!$B$28:$C$35,2,FALSE),0%)</f>
        <v>0</v>
      </c>
      <c r="ACT12" s="5">
        <f>IFERROR(VLOOKUP(ACT$1,'CERA Conservador'!$B$28:$C$35,2,FALSE),0%)</f>
        <v>0</v>
      </c>
      <c r="ACU12" s="5">
        <f>IFERROR(VLOOKUP(ACU$1,'CERA Conservador'!$B$28:$C$35,2,FALSE),0%)</f>
        <v>0</v>
      </c>
      <c r="ACV12" s="5">
        <f>IFERROR(VLOOKUP(ACV$1,'CERA Conservador'!$B$28:$C$35,2,FALSE),0%)</f>
        <v>0</v>
      </c>
      <c r="ACW12" s="5">
        <f>IFERROR(VLOOKUP(ACW$1,'CERA Conservador'!$B$28:$C$35,2,FALSE),0%)</f>
        <v>0</v>
      </c>
      <c r="ACX12" s="5">
        <f>IFERROR(VLOOKUP(ACX$1,'CERA Conservador'!$B$28:$C$35,2,FALSE),0%)</f>
        <v>0</v>
      </c>
      <c r="ACY12" s="5">
        <f>IFERROR(VLOOKUP(ACY$1,'CERA Conservador'!$B$28:$C$35,2,FALSE),0%)</f>
        <v>0</v>
      </c>
      <c r="ACZ12" s="5">
        <f>IFERROR(VLOOKUP(ACZ$1,'CERA Conservador'!$B$28:$C$35,2,FALSE),0%)</f>
        <v>0</v>
      </c>
      <c r="ADA12" s="5">
        <f>IFERROR(VLOOKUP(ADA$1,'CERA Conservador'!$B$28:$C$35,2,FALSE),0%)</f>
        <v>0</v>
      </c>
      <c r="ADB12" s="5">
        <f>IFERROR(VLOOKUP(ADB$1,'CERA Conservador'!$B$28:$C$35,2,FALSE),0%)</f>
        <v>0</v>
      </c>
      <c r="ADC12" s="5">
        <f>IFERROR(VLOOKUP(ADC$1,'CERA Conservador'!$B$28:$C$35,2,FALSE),0%)</f>
        <v>0</v>
      </c>
      <c r="ADD12" s="5">
        <f>IFERROR(VLOOKUP(ADD$1,'CERA Conservador'!$B$28:$C$35,2,FALSE),0%)</f>
        <v>0</v>
      </c>
      <c r="ADE12" s="5">
        <f>IFERROR(VLOOKUP(ADE$1,'CERA Conservador'!$B$28:$C$35,2,FALSE),0%)</f>
        <v>0</v>
      </c>
      <c r="ADF12" s="5">
        <f>IFERROR(VLOOKUP(ADF$1,'CERA Conservador'!$B$28:$C$35,2,FALSE),0%)</f>
        <v>0</v>
      </c>
      <c r="ADG12" s="5">
        <f>IFERROR(VLOOKUP(ADG$1,'CERA Conservador'!$B$28:$C$35,2,FALSE),0%)</f>
        <v>0</v>
      </c>
      <c r="ADH12" s="5">
        <f>IFERROR(VLOOKUP(ADH$1,'CERA Conservador'!$B$28:$C$35,2,FALSE),0%)</f>
        <v>0</v>
      </c>
      <c r="ADI12" s="5">
        <f>IFERROR(VLOOKUP(ADI$1,'CERA Conservador'!$B$28:$C$35,2,FALSE),0%)</f>
        <v>0</v>
      </c>
      <c r="ADJ12" s="5">
        <f>IFERROR(VLOOKUP(ADJ$1,'CERA Conservador'!$B$28:$C$35,2,FALSE),0%)</f>
        <v>0</v>
      </c>
      <c r="ADK12" s="5">
        <f>IFERROR(VLOOKUP(ADK$1,'CERA Conservador'!$B$28:$C$35,2,FALSE),0%)</f>
        <v>0</v>
      </c>
      <c r="ADL12" s="5">
        <f>IFERROR(VLOOKUP(ADL$1,'CERA Conservador'!$B$28:$C$35,2,FALSE),0%)</f>
        <v>0</v>
      </c>
      <c r="ADM12" s="5">
        <f>IFERROR(VLOOKUP(ADM$1,'CERA Conservador'!$B$28:$C$35,2,FALSE),0%)</f>
        <v>0</v>
      </c>
      <c r="ADN12" s="5">
        <f>IFERROR(VLOOKUP(ADN$1,'CERA Conservador'!$B$28:$C$35,2,FALSE),0%)</f>
        <v>0</v>
      </c>
      <c r="ADO12" s="5">
        <f>IFERROR(VLOOKUP(ADO$1,'CERA Conservador'!$B$28:$C$35,2,FALSE),0%)</f>
        <v>0</v>
      </c>
      <c r="ADP12" s="5">
        <f>IFERROR(VLOOKUP(ADP$1,'CERA Conservador'!$B$28:$C$35,2,FALSE),0%)</f>
        <v>0</v>
      </c>
      <c r="ADQ12" s="5">
        <f>IFERROR(VLOOKUP(ADQ$1,'CERA Conservador'!$B$28:$C$35,2,FALSE),0%)</f>
        <v>0</v>
      </c>
      <c r="ADR12" s="5">
        <f>IFERROR(VLOOKUP(ADR$1,'CERA Conservador'!$B$28:$C$35,2,FALSE),0%)</f>
        <v>0</v>
      </c>
      <c r="ADS12" s="5">
        <f>IFERROR(VLOOKUP(ADS$1,'CERA Conservador'!$B$28:$C$35,2,FALSE),0%)</f>
        <v>0</v>
      </c>
      <c r="ADT12" s="5">
        <f>IFERROR(VLOOKUP(ADT$1,'CERA Conservador'!$B$28:$C$35,2,FALSE),0%)</f>
        <v>0</v>
      </c>
      <c r="ADU12" s="5">
        <f>IFERROR(VLOOKUP(ADU$1,'CERA Conservador'!$B$28:$C$35,2,FALSE),0%)</f>
        <v>0</v>
      </c>
      <c r="ADV12" s="5">
        <f>IFERROR(VLOOKUP(ADV$1,'CERA Conservador'!$B$28:$C$35,2,FALSE),0%)</f>
        <v>0</v>
      </c>
      <c r="ADW12" s="5">
        <f>IFERROR(VLOOKUP(ADW$1,'CERA Conservador'!$B$28:$C$35,2,FALSE),0%)</f>
        <v>0</v>
      </c>
      <c r="ADX12" s="5">
        <f>IFERROR(VLOOKUP(ADX$1,'CERA Conservador'!$B$28:$C$35,2,FALSE),0%)</f>
        <v>0</v>
      </c>
      <c r="ADY12" s="5">
        <f>IFERROR(VLOOKUP(ADY$1,'CERA Conservador'!$B$28:$C$35,2,FALSE),0%)</f>
        <v>0</v>
      </c>
      <c r="ADZ12" s="5">
        <f>IFERROR(VLOOKUP(ADZ$1,'CERA Conservador'!$B$28:$C$35,2,FALSE),0%)</f>
        <v>0</v>
      </c>
      <c r="AEA12" s="5">
        <f>IFERROR(VLOOKUP(AEA$1,'CERA Conservador'!$B$28:$C$35,2,FALSE),0%)</f>
        <v>0</v>
      </c>
      <c r="AEB12" s="5">
        <f>IFERROR(VLOOKUP(AEB$1,'CERA Conservador'!$B$28:$C$35,2,FALSE),0%)</f>
        <v>0</v>
      </c>
      <c r="AEC12" s="5">
        <f>IFERROR(VLOOKUP(AEC$1,'CERA Conservador'!$B$28:$C$35,2,FALSE),0%)</f>
        <v>0</v>
      </c>
      <c r="AED12" s="5">
        <f>IFERROR(VLOOKUP(AED$1,'CERA Conservador'!$B$28:$C$35,2,FALSE),0%)</f>
        <v>0</v>
      </c>
      <c r="AEE12" s="5">
        <f>IFERROR(VLOOKUP(AEE$1,'CERA Conservador'!$B$28:$C$35,2,FALSE),0%)</f>
        <v>0</v>
      </c>
      <c r="AEF12" s="5">
        <f>IFERROR(VLOOKUP(AEF$1,'CERA Conservador'!$B$28:$C$35,2,FALSE),0%)</f>
        <v>0</v>
      </c>
      <c r="AEG12" s="5">
        <f>IFERROR(VLOOKUP(AEG$1,'CERA Conservador'!$B$28:$C$35,2,FALSE),0%)</f>
        <v>0</v>
      </c>
      <c r="AEH12" s="5">
        <f>IFERROR(VLOOKUP(AEH$1,'CERA Conservador'!$B$28:$C$35,2,FALSE),0%)</f>
        <v>0</v>
      </c>
      <c r="AEI12" s="5">
        <f>IFERROR(VLOOKUP(AEI$1,'CERA Conservador'!$B$28:$C$35,2,FALSE),0%)</f>
        <v>0</v>
      </c>
      <c r="AEJ12" s="5">
        <f>IFERROR(VLOOKUP(AEJ$1,'CERA Conservador'!$B$28:$C$35,2,FALSE),0%)</f>
        <v>0</v>
      </c>
      <c r="AEK12" s="5">
        <f>IFERROR(VLOOKUP(AEK$1,'CERA Conservador'!$B$28:$C$35,2,FALSE),0%)</f>
        <v>0</v>
      </c>
      <c r="AEL12" s="5">
        <f>IFERROR(VLOOKUP(AEL$1,'CERA Conservador'!$B$28:$C$35,2,FALSE),0%)</f>
        <v>0</v>
      </c>
      <c r="AEM12" s="5">
        <f>IFERROR(VLOOKUP(AEM$1,'CERA Conservador'!$B$28:$C$35,2,FALSE),0%)</f>
        <v>0</v>
      </c>
      <c r="AEN12" s="5">
        <f>IFERROR(VLOOKUP(AEN$1,'CERA Conservador'!$B$28:$C$35,2,FALSE),0%)</f>
        <v>0</v>
      </c>
      <c r="AEO12" s="5">
        <f>IFERROR(VLOOKUP(AEO$1,'CERA Conservador'!$B$28:$C$35,2,FALSE),0%)</f>
        <v>0</v>
      </c>
      <c r="AEP12" s="5">
        <f>IFERROR(VLOOKUP(AEP$1,'CERA Conservador'!$B$28:$C$35,2,FALSE),0%)</f>
        <v>0</v>
      </c>
      <c r="AEQ12" s="5">
        <f>IFERROR(VLOOKUP(AEQ$1,'CERA Conservador'!$B$28:$C$35,2,FALSE),0%)</f>
        <v>0</v>
      </c>
      <c r="AER12" s="5">
        <f>IFERROR(VLOOKUP(AER$1,'CERA Conservador'!$B$28:$C$35,2,FALSE),0%)</f>
        <v>0</v>
      </c>
      <c r="AES12" s="5">
        <f>IFERROR(VLOOKUP(AES$1,'CERA Conservador'!$B$28:$C$35,2,FALSE),0%)</f>
        <v>0</v>
      </c>
      <c r="AET12" s="5">
        <f>IFERROR(VLOOKUP(AET$1,'CERA Conservador'!$B$28:$C$35,2,FALSE),0%)</f>
        <v>0</v>
      </c>
      <c r="AEU12" s="5">
        <f>IFERROR(VLOOKUP(AEU$1,'CERA Conservador'!$B$28:$C$35,2,FALSE),0%)</f>
        <v>0</v>
      </c>
      <c r="AEV12" s="5">
        <f>IFERROR(VLOOKUP(AEV$1,'CERA Conservador'!$B$28:$C$35,2,FALSE),0%)</f>
        <v>0</v>
      </c>
      <c r="AEW12" s="5">
        <f>IFERROR(VLOOKUP(AEW$1,'CERA Conservador'!$B$28:$C$35,2,FALSE),0%)</f>
        <v>0</v>
      </c>
      <c r="AEX12" s="5">
        <f>IFERROR(VLOOKUP(AEX$1,'CERA Conservador'!$B$28:$C$35,2,FALSE),0%)</f>
        <v>0</v>
      </c>
      <c r="AEY12" s="5">
        <f>IFERROR(VLOOKUP(AEY$1,'CERA Conservador'!$B$28:$C$35,2,FALSE),0%)</f>
        <v>0</v>
      </c>
      <c r="AEZ12" s="5">
        <f>IFERROR(VLOOKUP(AEZ$1,'CERA Conservador'!$B$28:$C$35,2,FALSE),0%)</f>
        <v>0</v>
      </c>
      <c r="AFA12" s="5">
        <f>IFERROR(VLOOKUP(AFA$1,'CERA Conservador'!$B$28:$C$35,2,FALSE),0%)</f>
        <v>0</v>
      </c>
      <c r="AFB12" s="5">
        <f>IFERROR(VLOOKUP(AFB$1,'CERA Conservador'!$B$28:$C$35,2,FALSE),0%)</f>
        <v>0</v>
      </c>
      <c r="AFC12" s="5">
        <f>IFERROR(VLOOKUP(AFC$1,'CERA Conservador'!$B$28:$C$35,2,FALSE),0%)</f>
        <v>0</v>
      </c>
      <c r="AFD12" s="5">
        <f>IFERROR(VLOOKUP(AFD$1,'CERA Conservador'!$B$28:$C$35,2,FALSE),0%)</f>
        <v>0</v>
      </c>
      <c r="AFE12" s="5">
        <f>IFERROR(VLOOKUP(AFE$1,'CERA Conservador'!$B$28:$C$35,2,FALSE),0%)</f>
        <v>0</v>
      </c>
      <c r="AFF12" s="5">
        <f>IFERROR(VLOOKUP(AFF$1,'CERA Conservador'!$B$28:$C$35,2,FALSE),0%)</f>
        <v>0</v>
      </c>
      <c r="AFG12" s="5">
        <f>IFERROR(VLOOKUP(AFG$1,'CERA Conservador'!$B$28:$C$35,2,FALSE),0%)</f>
        <v>0</v>
      </c>
      <c r="AFH12" s="5">
        <f>IFERROR(VLOOKUP(AFH$1,'CERA Conservador'!$B$28:$C$35,2,FALSE),0%)</f>
        <v>0</v>
      </c>
      <c r="AFI12" s="5">
        <f>IFERROR(VLOOKUP(AFI$1,'CERA Conservador'!$B$28:$C$35,2,FALSE),0%)</f>
        <v>0</v>
      </c>
      <c r="AFJ12" s="5">
        <f>IFERROR(VLOOKUP(AFJ$1,'CERA Conservador'!$B$28:$C$35,2,FALSE),0%)</f>
        <v>0</v>
      </c>
      <c r="AFK12" s="5">
        <f>IFERROR(VLOOKUP(AFK$1,'CERA Conservador'!$B$28:$C$35,2,FALSE),0%)</f>
        <v>0</v>
      </c>
      <c r="AFL12" s="5">
        <f>IFERROR(VLOOKUP(AFL$1,'CERA Conservador'!$B$28:$C$35,2,FALSE),0%)</f>
        <v>0</v>
      </c>
      <c r="AFM12" s="5">
        <f>IFERROR(VLOOKUP(AFM$1,'CERA Conservador'!$B$28:$C$35,2,FALSE),0%)</f>
        <v>0</v>
      </c>
      <c r="AFN12" s="5">
        <f>IFERROR(VLOOKUP(AFN$1,'CERA Conservador'!$B$28:$C$35,2,FALSE),0%)</f>
        <v>0</v>
      </c>
      <c r="AFO12" s="5">
        <f>IFERROR(VLOOKUP(AFO$1,'CERA Conservador'!$B$28:$C$35,2,FALSE),0%)</f>
        <v>0</v>
      </c>
      <c r="AFP12" s="5">
        <f>IFERROR(VLOOKUP(AFP$1,'CERA Conservador'!$B$28:$C$35,2,FALSE),0%)</f>
        <v>0</v>
      </c>
      <c r="AFQ12" s="5">
        <f>IFERROR(VLOOKUP(AFQ$1,'CERA Conservador'!$B$28:$C$35,2,FALSE),0%)</f>
        <v>0</v>
      </c>
      <c r="AFR12" s="5">
        <f>IFERROR(VLOOKUP(AFR$1,'CERA Conservador'!$B$28:$C$35,2,FALSE),0%)</f>
        <v>0</v>
      </c>
      <c r="AFS12" s="5">
        <f>IFERROR(VLOOKUP(AFS$1,'CERA Conservador'!$B$28:$C$35,2,FALSE),0%)</f>
        <v>0</v>
      </c>
      <c r="AFT12" s="5">
        <f>IFERROR(VLOOKUP(AFT$1,'CERA Conservador'!$B$28:$C$35,2,FALSE),0%)</f>
        <v>0</v>
      </c>
      <c r="AFU12" s="5">
        <f>IFERROR(VLOOKUP(AFU$1,'CERA Conservador'!$B$28:$C$35,2,FALSE),0%)</f>
        <v>0</v>
      </c>
      <c r="AFV12" s="5">
        <f>IFERROR(VLOOKUP(AFV$1,'CERA Conservador'!$B$28:$C$35,2,FALSE),0%)</f>
        <v>0</v>
      </c>
      <c r="AFW12" s="5">
        <f>IFERROR(VLOOKUP(AFW$1,'CERA Conservador'!$B$28:$C$35,2,FALSE),0%)</f>
        <v>0</v>
      </c>
      <c r="AFX12" s="5">
        <f>IFERROR(VLOOKUP(AFX$1,'CERA Conservador'!$B$28:$C$35,2,FALSE),0%)</f>
        <v>0</v>
      </c>
      <c r="AFY12" s="5">
        <f>IFERROR(VLOOKUP(AFY$1,'CERA Conservador'!$B$28:$C$35,2,FALSE),0%)</f>
        <v>0</v>
      </c>
      <c r="AFZ12" s="5">
        <f>IFERROR(VLOOKUP(AFZ$1,'CERA Conservador'!$B$28:$C$35,2,FALSE),0%)</f>
        <v>0</v>
      </c>
      <c r="AGA12" s="5">
        <f>IFERROR(VLOOKUP(AGA$1,'CERA Conservador'!$B$28:$C$35,2,FALSE),0%)</f>
        <v>0</v>
      </c>
      <c r="AGB12" s="5">
        <f>IFERROR(VLOOKUP(AGB$1,'CERA Conservador'!$B$28:$C$35,2,FALSE),0%)</f>
        <v>0</v>
      </c>
      <c r="AGC12" s="5">
        <f>IFERROR(VLOOKUP(AGC$1,'CERA Conservador'!$B$28:$C$35,2,FALSE),0%)</f>
        <v>0</v>
      </c>
      <c r="AGD12" s="5">
        <f>IFERROR(VLOOKUP(AGD$1,'CERA Conservador'!$B$28:$C$35,2,FALSE),0%)</f>
        <v>0</v>
      </c>
      <c r="AGE12" s="5">
        <f>IFERROR(VLOOKUP(AGE$1,'CERA Conservador'!$B$28:$C$35,2,FALSE),0%)</f>
        <v>0</v>
      </c>
      <c r="AGF12" s="5">
        <f>IFERROR(VLOOKUP(AGF$1,'CERA Conservador'!$B$28:$C$35,2,FALSE),0%)</f>
        <v>0</v>
      </c>
      <c r="AGG12" s="5">
        <f>IFERROR(VLOOKUP(AGG$1,'CERA Conservador'!$B$28:$C$35,2,FALSE),0%)</f>
        <v>0</v>
      </c>
      <c r="AGH12" s="5">
        <f>IFERROR(VLOOKUP(AGH$1,'CERA Conservador'!$B$28:$C$35,2,FALSE),0%)</f>
        <v>0</v>
      </c>
      <c r="AGI12" s="5">
        <f>IFERROR(VLOOKUP(AGI$1,'CERA Conservador'!$B$28:$C$35,2,FALSE),0%)</f>
        <v>0</v>
      </c>
      <c r="AGJ12" s="5">
        <f>IFERROR(VLOOKUP(AGJ$1,'CERA Conservador'!$B$28:$C$35,2,FALSE),0%)</f>
        <v>0</v>
      </c>
      <c r="AGK12" s="5">
        <f>IFERROR(VLOOKUP(AGK$1,'CERA Conservador'!$B$28:$C$35,2,FALSE),0%)</f>
        <v>0</v>
      </c>
      <c r="AGL12" s="5">
        <f>IFERROR(VLOOKUP(AGL$1,'CERA Conservador'!$B$28:$C$35,2,FALSE),0%)</f>
        <v>0</v>
      </c>
      <c r="AGM12" s="5">
        <f>IFERROR(VLOOKUP(AGM$1,'CERA Conservador'!$B$28:$C$35,2,FALSE),0%)</f>
        <v>0</v>
      </c>
      <c r="AGN12" s="5">
        <f>IFERROR(VLOOKUP(AGN$1,'CERA Conservador'!$B$28:$C$35,2,FALSE),0%)</f>
        <v>0</v>
      </c>
      <c r="AGO12" s="5">
        <f>IFERROR(VLOOKUP(AGO$1,'CERA Conservador'!$B$28:$C$35,2,FALSE),0%)</f>
        <v>0</v>
      </c>
      <c r="AGP12" s="5">
        <f>IFERROR(VLOOKUP(AGP$1,'CERA Conservador'!$B$28:$C$35,2,FALSE),0%)</f>
        <v>0</v>
      </c>
      <c r="AGQ12" s="5">
        <f>IFERROR(VLOOKUP(AGQ$1,'CERA Conservador'!$B$28:$C$35,2,FALSE),0%)</f>
        <v>0</v>
      </c>
      <c r="AGR12" s="5">
        <f>IFERROR(VLOOKUP(AGR$1,'CERA Conservador'!$B$28:$C$35,2,FALSE),0%)</f>
        <v>0</v>
      </c>
      <c r="AGS12" s="5">
        <f>IFERROR(VLOOKUP(AGS$1,'CERA Conservador'!$B$28:$C$35,2,FALSE),0%)</f>
        <v>0</v>
      </c>
      <c r="AGT12" s="5">
        <f>IFERROR(VLOOKUP(AGT$1,'CERA Conservador'!$B$28:$C$35,2,FALSE),0%)</f>
        <v>0</v>
      </c>
      <c r="AGU12" s="5">
        <f>IFERROR(VLOOKUP(AGU$1,'CERA Conservador'!$B$28:$C$35,2,FALSE),0%)</f>
        <v>0</v>
      </c>
      <c r="AGV12" s="5">
        <f>IFERROR(VLOOKUP(AGV$1,'CERA Conservador'!$B$28:$C$35,2,FALSE),0%)</f>
        <v>0</v>
      </c>
      <c r="AGW12" s="5">
        <f>IFERROR(VLOOKUP(AGW$1,'CERA Conservador'!$B$28:$C$35,2,FALSE),0%)</f>
        <v>0</v>
      </c>
      <c r="AGX12" s="5">
        <f>IFERROR(VLOOKUP(AGX$1,'CERA Conservador'!$B$28:$C$35,2,FALSE),0%)</f>
        <v>0</v>
      </c>
      <c r="AGY12" s="5">
        <f>IFERROR(VLOOKUP(AGY$1,'CERA Conservador'!$B$28:$C$35,2,FALSE),0%)</f>
        <v>0</v>
      </c>
      <c r="AGZ12" s="5">
        <f>IFERROR(VLOOKUP(AGZ$1,'CERA Conservador'!$B$28:$C$35,2,FALSE),0%)</f>
        <v>0</v>
      </c>
      <c r="AHA12" s="5">
        <f>IFERROR(VLOOKUP(AHA$1,'CERA Conservador'!$B$28:$C$35,2,FALSE),0%)</f>
        <v>0</v>
      </c>
      <c r="AHB12" s="5">
        <f>IFERROR(VLOOKUP(AHB$1,'CERA Conservador'!$B$28:$C$35,2,FALSE),0%)</f>
        <v>0</v>
      </c>
      <c r="AHC12" s="5">
        <f>IFERROR(VLOOKUP(AHC$1,'CERA Conservador'!$B$28:$C$35,2,FALSE),0%)</f>
        <v>0</v>
      </c>
      <c r="AHD12" s="5">
        <f>IFERROR(VLOOKUP(AHD$1,'CERA Conservador'!$B$28:$C$35,2,FALSE),0%)</f>
        <v>0</v>
      </c>
      <c r="AHE12" s="5">
        <f>IFERROR(VLOOKUP(AHE$1,'CERA Conservador'!$B$28:$C$35,2,FALSE),0%)</f>
        <v>0</v>
      </c>
      <c r="AHF12" s="5">
        <f>IFERROR(VLOOKUP(AHF$1,'CERA Conservador'!$B$28:$C$35,2,FALSE),0%)</f>
        <v>0</v>
      </c>
      <c r="AHG12" s="5">
        <f>IFERROR(VLOOKUP(AHG$1,'CERA Conservador'!$B$28:$C$35,2,FALSE),0%)</f>
        <v>0</v>
      </c>
      <c r="AHH12" s="5">
        <f>IFERROR(VLOOKUP(AHH$1,'CERA Conservador'!$B$28:$C$35,2,FALSE),0%)</f>
        <v>0</v>
      </c>
      <c r="AHI12" s="5">
        <f>IFERROR(VLOOKUP(AHI$1,'CERA Conservador'!$B$28:$C$35,2,FALSE),0%)</f>
        <v>0</v>
      </c>
      <c r="AHJ12" s="5">
        <f>IFERROR(VLOOKUP(AHJ$1,'CERA Conservador'!$B$28:$C$35,2,FALSE),0%)</f>
        <v>0</v>
      </c>
      <c r="AHK12" s="5">
        <f>IFERROR(VLOOKUP(AHK$1,'CERA Conservador'!$B$28:$C$35,2,FALSE),0%)</f>
        <v>0</v>
      </c>
      <c r="AHL12" s="5">
        <f>IFERROR(VLOOKUP(AHL$1,'CERA Conservador'!$B$28:$C$35,2,FALSE),0%)</f>
        <v>0</v>
      </c>
      <c r="AHM12" s="5">
        <f>IFERROR(VLOOKUP(AHM$1,'CERA Conservador'!$B$28:$C$35,2,FALSE),0%)</f>
        <v>0</v>
      </c>
      <c r="AHN12" s="5">
        <f>IFERROR(VLOOKUP(AHN$1,'CERA Conservador'!$B$28:$C$35,2,FALSE),0%)</f>
        <v>0</v>
      </c>
      <c r="AHO12" s="5">
        <f>IFERROR(VLOOKUP(AHO$1,'CERA Conservador'!$B$28:$C$35,2,FALSE),0%)</f>
        <v>0</v>
      </c>
      <c r="AHP12" s="5">
        <f>IFERROR(VLOOKUP(AHP$1,'CERA Conservador'!$B$28:$C$35,2,FALSE),0%)</f>
        <v>0</v>
      </c>
      <c r="AHQ12" s="5">
        <f>IFERROR(VLOOKUP(AHQ$1,'CERA Conservador'!$B$28:$C$35,2,FALSE),0%)</f>
        <v>0</v>
      </c>
      <c r="AHR12" s="5">
        <f>IFERROR(VLOOKUP(AHR$1,'CERA Conservador'!$B$28:$C$35,2,FALSE),0%)</f>
        <v>0</v>
      </c>
      <c r="AHS12" s="5">
        <f>IFERROR(VLOOKUP(AHS$1,'CERA Conservador'!$B$28:$C$35,2,FALSE),0%)</f>
        <v>0</v>
      </c>
      <c r="AHT12" s="5">
        <f>IFERROR(VLOOKUP(AHT$1,'CERA Conservador'!$B$28:$C$35,2,FALSE),0%)</f>
        <v>0</v>
      </c>
      <c r="AHU12" s="5">
        <f>IFERROR(VLOOKUP(AHU$1,'CERA Conservador'!$B$28:$C$35,2,FALSE),0%)</f>
        <v>0</v>
      </c>
      <c r="AHV12" s="5">
        <f>IFERROR(VLOOKUP(AHV$1,'CERA Conservador'!$B$28:$C$35,2,FALSE),0%)</f>
        <v>0</v>
      </c>
      <c r="AHW12" s="5">
        <f>IFERROR(VLOOKUP(AHW$1,'CERA Conservador'!$B$28:$C$35,2,FALSE),0%)</f>
        <v>0</v>
      </c>
      <c r="AHX12" s="5">
        <f>IFERROR(VLOOKUP(AHX$1,'CERA Conservador'!$B$28:$C$35,2,FALSE),0%)</f>
        <v>0</v>
      </c>
      <c r="AHY12" s="5">
        <f>IFERROR(VLOOKUP(AHY$1,'CERA Conservador'!$B$28:$C$35,2,FALSE),0%)</f>
        <v>0</v>
      </c>
      <c r="AHZ12" s="5">
        <f>IFERROR(VLOOKUP(AHZ$1,'CERA Conservador'!$B$28:$C$35,2,FALSE),0%)</f>
        <v>0</v>
      </c>
      <c r="AIA12" s="5">
        <f>IFERROR(VLOOKUP(AIA$1,'CERA Conservador'!$B$28:$C$35,2,FALSE),0%)</f>
        <v>0</v>
      </c>
      <c r="AIB12" s="5">
        <f>IFERROR(VLOOKUP(AIB$1,'CERA Conservador'!$B$28:$C$35,2,FALSE),0%)</f>
        <v>0</v>
      </c>
      <c r="AIC12" s="5">
        <f>IFERROR(VLOOKUP(AIC$1,'CERA Conservador'!$B$28:$C$35,2,FALSE),0%)</f>
        <v>0</v>
      </c>
      <c r="AID12" s="5">
        <f>IFERROR(VLOOKUP(AID$1,'CERA Conservador'!$B$28:$C$35,2,FALSE),0%)</f>
        <v>0</v>
      </c>
      <c r="AIE12" s="5">
        <f>IFERROR(VLOOKUP(AIE$1,'CERA Conservador'!$B$28:$C$35,2,FALSE),0%)</f>
        <v>0</v>
      </c>
      <c r="AIF12" s="5">
        <f>IFERROR(VLOOKUP(AIF$1,'CERA Conservador'!$B$28:$C$35,2,FALSE),0%)</f>
        <v>0</v>
      </c>
      <c r="AIG12" s="5">
        <f>IFERROR(VLOOKUP(AIG$1,'CERA Conservador'!$B$28:$C$35,2,FALSE),0%)</f>
        <v>0</v>
      </c>
      <c r="AIH12" s="5">
        <f>IFERROR(VLOOKUP(AIH$1,'CERA Conservador'!$B$28:$C$35,2,FALSE),0%)</f>
        <v>0</v>
      </c>
      <c r="AII12" s="5">
        <f>IFERROR(VLOOKUP(AII$1,'CERA Conservador'!$B$28:$C$35,2,FALSE),0%)</f>
        <v>0</v>
      </c>
      <c r="AIJ12" s="5">
        <f>IFERROR(VLOOKUP(AIJ$1,'CERA Conservador'!$B$28:$C$35,2,FALSE),0%)</f>
        <v>0</v>
      </c>
      <c r="AIK12" s="5">
        <f>IFERROR(VLOOKUP(AIK$1,'CERA Conservador'!$B$28:$C$35,2,FALSE),0%)</f>
        <v>0</v>
      </c>
      <c r="AIL12" s="5">
        <f>IFERROR(VLOOKUP(AIL$1,'CERA Conservador'!$B$28:$C$35,2,FALSE),0%)</f>
        <v>0</v>
      </c>
      <c r="AIM12" s="5">
        <f>IFERROR(VLOOKUP(AIM$1,'CERA Conservador'!$B$28:$C$35,2,FALSE),0%)</f>
        <v>0</v>
      </c>
      <c r="AIN12" s="5">
        <f>IFERROR(VLOOKUP(AIN$1,'CERA Conservador'!$B$28:$C$35,2,FALSE),0%)</f>
        <v>0</v>
      </c>
      <c r="AIO12" s="5">
        <f>IFERROR(VLOOKUP(AIO$1,'CERA Conservador'!$B$28:$C$35,2,FALSE),0%)</f>
        <v>0</v>
      </c>
      <c r="AIP12" s="5">
        <f>IFERROR(VLOOKUP(AIP$1,'CERA Conservador'!$B$28:$C$35,2,FALSE),0%)</f>
        <v>0</v>
      </c>
      <c r="AIQ12" s="5">
        <f>IFERROR(VLOOKUP(AIQ$1,'CERA Conservador'!$B$28:$C$35,2,FALSE),0%)</f>
        <v>0</v>
      </c>
      <c r="AIR12" s="5">
        <f>IFERROR(VLOOKUP(AIR$1,'CERA Conservador'!$B$28:$C$35,2,FALSE),0%)</f>
        <v>0</v>
      </c>
      <c r="AIS12" s="5">
        <f>IFERROR(VLOOKUP(AIS$1,'CERA Conservador'!$B$28:$C$35,2,FALSE),0%)</f>
        <v>0</v>
      </c>
      <c r="AIT12" s="5">
        <f>IFERROR(VLOOKUP(AIT$1,'CERA Conservador'!$B$28:$C$35,2,FALSE),0%)</f>
        <v>0</v>
      </c>
      <c r="AIU12" s="5">
        <f>IFERROR(VLOOKUP(AIU$1,'CERA Conservador'!$B$28:$C$35,2,FALSE),0%)</f>
        <v>0</v>
      </c>
      <c r="AIV12" s="5">
        <f>IFERROR(VLOOKUP(AIV$1,'CERA Conservador'!$B$28:$C$35,2,FALSE),0%)</f>
        <v>0</v>
      </c>
      <c r="AIW12" s="5">
        <f>IFERROR(VLOOKUP(AIW$1,'CERA Conservador'!$B$28:$C$35,2,FALSE),0%)</f>
        <v>0</v>
      </c>
      <c r="AIX12" s="5">
        <f>IFERROR(VLOOKUP(AIX$1,'CERA Conservador'!$B$28:$C$35,2,FALSE),0%)</f>
        <v>0</v>
      </c>
      <c r="AIY12" s="5">
        <f>IFERROR(VLOOKUP(AIY$1,'CERA Conservador'!$B$28:$C$35,2,FALSE),0%)</f>
        <v>0</v>
      </c>
      <c r="AIZ12" s="5">
        <f>IFERROR(VLOOKUP(AIZ$1,'CERA Conservador'!$B$28:$C$35,2,FALSE),0%)</f>
        <v>0</v>
      </c>
      <c r="AJA12" s="5">
        <f>IFERROR(VLOOKUP(AJA$1,'CERA Conservador'!$B$28:$C$35,2,FALSE),0%)</f>
        <v>0</v>
      </c>
      <c r="AJB12" s="5">
        <f>IFERROR(VLOOKUP(AJB$1,'CERA Conservador'!$B$28:$C$35,2,FALSE),0%)</f>
        <v>0</v>
      </c>
      <c r="AJC12" s="5">
        <f>IFERROR(VLOOKUP(AJC$1,'CERA Conservador'!$B$28:$C$35,2,FALSE),0%)</f>
        <v>0</v>
      </c>
      <c r="AJD12" s="5">
        <f>IFERROR(VLOOKUP(AJD$1,'CERA Conservador'!$B$28:$C$35,2,FALSE),0%)</f>
        <v>0</v>
      </c>
      <c r="AJE12" s="5">
        <f>IFERROR(VLOOKUP(AJE$1,'CERA Conservador'!$B$28:$C$35,2,FALSE),0%)</f>
        <v>0</v>
      </c>
      <c r="AJF12" s="5">
        <f>IFERROR(VLOOKUP(AJF$1,'CERA Conservador'!$B$28:$C$35,2,FALSE),0%)</f>
        <v>0</v>
      </c>
      <c r="AJG12" s="5">
        <f>IFERROR(VLOOKUP(AJG$1,'CERA Conservador'!$B$28:$C$35,2,FALSE),0%)</f>
        <v>0</v>
      </c>
      <c r="AJH12" s="5">
        <f>IFERROR(VLOOKUP(AJH$1,'CERA Conservador'!$B$28:$C$35,2,FALSE),0%)</f>
        <v>0</v>
      </c>
      <c r="AJI12" s="5">
        <f>IFERROR(VLOOKUP(AJI$1,'CERA Conservador'!$B$28:$C$35,2,FALSE),0%)</f>
        <v>0</v>
      </c>
      <c r="AJJ12" s="5">
        <f>IFERROR(VLOOKUP(AJJ$1,'CERA Conservador'!$B$28:$C$35,2,FALSE),0%)</f>
        <v>0</v>
      </c>
      <c r="AJK12" s="5">
        <f>IFERROR(VLOOKUP(AJK$1,'CERA Conservador'!$B$28:$C$35,2,FALSE),0%)</f>
        <v>0</v>
      </c>
      <c r="AJL12" s="5">
        <f>IFERROR(VLOOKUP(AJL$1,'CERA Conservador'!$B$28:$C$35,2,FALSE),0%)</f>
        <v>0</v>
      </c>
      <c r="AJM12" s="5">
        <f>IFERROR(VLOOKUP(AJM$1,'CERA Conservador'!$B$28:$C$35,2,FALSE),0%)</f>
        <v>0</v>
      </c>
      <c r="AJN12" s="5">
        <f>IFERROR(VLOOKUP(AJN$1,'CERA Conservador'!$B$28:$C$35,2,FALSE),0%)</f>
        <v>0</v>
      </c>
      <c r="AJO12" s="5">
        <f>IFERROR(VLOOKUP(AJO$1,'CERA Conservador'!$B$28:$C$35,2,FALSE),0%)</f>
        <v>0</v>
      </c>
      <c r="AJP12" s="5">
        <f>IFERROR(VLOOKUP(AJP$1,'CERA Conservador'!$B$28:$C$35,2,FALSE),0%)</f>
        <v>0</v>
      </c>
      <c r="AJQ12" s="5">
        <f>IFERROR(VLOOKUP(AJQ$1,'CERA Conservador'!$B$28:$C$35,2,FALSE),0%)</f>
        <v>0</v>
      </c>
      <c r="AJR12" s="5">
        <f>IFERROR(VLOOKUP(AJR$1,'CERA Conservador'!$B$28:$C$35,2,FALSE),0%)</f>
        <v>0</v>
      </c>
      <c r="AJS12" s="5">
        <f>IFERROR(VLOOKUP(AJS$1,'CERA Conservador'!$B$28:$C$35,2,FALSE),0%)</f>
        <v>0</v>
      </c>
      <c r="AJT12" s="5">
        <f>IFERROR(VLOOKUP(AJT$1,'CERA Conservador'!$B$28:$C$35,2,FALSE),0%)</f>
        <v>0</v>
      </c>
      <c r="AJU12" s="5">
        <f>IFERROR(VLOOKUP(AJU$1,'CERA Conservador'!$B$28:$C$35,2,FALSE),0%)</f>
        <v>0</v>
      </c>
      <c r="AJV12" s="5">
        <f>IFERROR(VLOOKUP(AJV$1,'CERA Conservador'!$B$28:$C$35,2,FALSE),0%)</f>
        <v>0</v>
      </c>
      <c r="AJW12" s="5">
        <f>IFERROR(VLOOKUP(AJW$1,'CERA Conservador'!$B$28:$C$35,2,FALSE),0%)</f>
        <v>0</v>
      </c>
      <c r="AJX12" s="5">
        <f>IFERROR(VLOOKUP(AJX$1,'CERA Conservador'!$B$28:$C$35,2,FALSE),0%)</f>
        <v>0</v>
      </c>
      <c r="AJY12" s="5">
        <f>IFERROR(VLOOKUP(AJY$1,'CERA Conservador'!$B$28:$C$35,2,FALSE),0%)</f>
        <v>0</v>
      </c>
      <c r="AJZ12" s="5">
        <f>IFERROR(VLOOKUP(AJZ$1,'CERA Conservador'!$B$28:$C$35,2,FALSE),0%)</f>
        <v>0</v>
      </c>
      <c r="AKA12" s="5">
        <f>IFERROR(VLOOKUP(AKA$1,'CERA Conservador'!$B$28:$C$35,2,FALSE),0%)</f>
        <v>0</v>
      </c>
      <c r="AKB12" s="5">
        <f>IFERROR(VLOOKUP(AKB$1,'CERA Conservador'!$B$28:$C$35,2,FALSE),0%)</f>
        <v>0</v>
      </c>
      <c r="AKC12" s="5">
        <f>IFERROR(VLOOKUP(AKC$1,'CERA Conservador'!$B$28:$C$35,2,FALSE),0%)</f>
        <v>0</v>
      </c>
      <c r="AKD12" s="5">
        <f>IFERROR(VLOOKUP(AKD$1,'CERA Conservador'!$B$28:$C$35,2,FALSE),0%)</f>
        <v>0</v>
      </c>
      <c r="AKE12" s="5">
        <f>IFERROR(VLOOKUP(AKE$1,'CERA Conservador'!$B$28:$C$35,2,FALSE),0%)</f>
        <v>0</v>
      </c>
      <c r="AKF12" s="5">
        <f>IFERROR(VLOOKUP(AKF$1,'CERA Conservador'!$B$28:$C$35,2,FALSE),0%)</f>
        <v>0</v>
      </c>
      <c r="AKG12" s="5">
        <f>IFERROR(VLOOKUP(AKG$1,'CERA Conservador'!$B$28:$C$35,2,FALSE),0%)</f>
        <v>0</v>
      </c>
      <c r="AKH12" s="5">
        <f>IFERROR(VLOOKUP(AKH$1,'CERA Conservador'!$B$28:$C$35,2,FALSE),0%)</f>
        <v>0</v>
      </c>
      <c r="AKI12" s="5">
        <f>IFERROR(VLOOKUP(AKI$1,'CERA Conservador'!$B$28:$C$35,2,FALSE),0%)</f>
        <v>0</v>
      </c>
      <c r="AKJ12" s="5">
        <f>IFERROR(VLOOKUP(AKJ$1,'CERA Conservador'!$B$28:$C$35,2,FALSE),0%)</f>
        <v>0</v>
      </c>
      <c r="AKK12" s="5">
        <f>IFERROR(VLOOKUP(AKK$1,'CERA Conservador'!$B$28:$C$35,2,FALSE),0%)</f>
        <v>0</v>
      </c>
      <c r="AKL12" s="5">
        <f>IFERROR(VLOOKUP(AKL$1,'CERA Conservador'!$B$28:$C$35,2,FALSE),0%)</f>
        <v>0</v>
      </c>
      <c r="AKM12" s="5">
        <f>IFERROR(VLOOKUP(AKM$1,'CERA Conservador'!$B$28:$C$35,2,FALSE),0%)</f>
        <v>0</v>
      </c>
      <c r="AKN12" s="5">
        <f>IFERROR(VLOOKUP(AKN$1,'CERA Conservador'!$B$28:$C$35,2,FALSE),0%)</f>
        <v>0</v>
      </c>
      <c r="AKO12" s="5">
        <f>IFERROR(VLOOKUP(AKO$1,'CERA Conservador'!$B$28:$C$35,2,FALSE),0%)</f>
        <v>0</v>
      </c>
      <c r="AKP12" s="5">
        <f>IFERROR(VLOOKUP(AKP$1,'CERA Conservador'!$B$28:$C$35,2,FALSE),0%)</f>
        <v>0</v>
      </c>
      <c r="AKQ12" s="5">
        <f>IFERROR(VLOOKUP(AKQ$1,'CERA Conservador'!$B$28:$C$35,2,FALSE),0%)</f>
        <v>0</v>
      </c>
      <c r="AKR12" s="5">
        <f>IFERROR(VLOOKUP(AKR$1,'CERA Conservador'!$B$28:$C$35,2,FALSE),0%)</f>
        <v>0</v>
      </c>
      <c r="AKS12" s="5">
        <f>IFERROR(VLOOKUP(AKS$1,'CERA Conservador'!$B$28:$C$35,2,FALSE),0%)</f>
        <v>0</v>
      </c>
      <c r="AKT12" s="5">
        <f>IFERROR(VLOOKUP(AKT$1,'CERA Conservador'!$B$28:$C$35,2,FALSE),0%)</f>
        <v>0</v>
      </c>
      <c r="AKU12" s="5">
        <f>IFERROR(VLOOKUP(AKU$1,'CERA Conservador'!$B$28:$C$35,2,FALSE),0%)</f>
        <v>0</v>
      </c>
      <c r="AKV12" s="5">
        <f>IFERROR(VLOOKUP(AKV$1,'CERA Conservador'!$B$28:$C$35,2,FALSE),0%)</f>
        <v>0</v>
      </c>
      <c r="AKW12" s="5">
        <f>IFERROR(VLOOKUP(AKW$1,'CERA Conservador'!$B$28:$C$35,2,FALSE),0%)</f>
        <v>0</v>
      </c>
      <c r="AKX12" s="5">
        <f>IFERROR(VLOOKUP(AKX$1,'CERA Conservador'!$B$28:$C$35,2,FALSE),0%)</f>
        <v>0</v>
      </c>
      <c r="AKY12" s="5">
        <f>IFERROR(VLOOKUP(AKY$1,'CERA Conservador'!$B$28:$C$35,2,FALSE),0%)</f>
        <v>0</v>
      </c>
      <c r="AKZ12" s="5">
        <f>IFERROR(VLOOKUP(AKZ$1,'CERA Conservador'!$B$28:$C$35,2,FALSE),0%)</f>
        <v>0</v>
      </c>
      <c r="ALA12" s="5">
        <f>IFERROR(VLOOKUP(ALA$1,'CERA Conservador'!$B$28:$C$35,2,FALSE),0%)</f>
        <v>0</v>
      </c>
      <c r="ALB12" s="5">
        <f>IFERROR(VLOOKUP(ALB$1,'CERA Conservador'!$B$28:$C$35,2,FALSE),0%)</f>
        <v>0</v>
      </c>
      <c r="ALC12" s="5">
        <f>IFERROR(VLOOKUP(ALC$1,'CERA Conservador'!$B$28:$C$35,2,FALSE),0%)</f>
        <v>0</v>
      </c>
      <c r="ALD12" s="5">
        <f>IFERROR(VLOOKUP(ALD$1,'CERA Conservador'!$B$28:$C$35,2,FALSE),0%)</f>
        <v>0</v>
      </c>
      <c r="ALE12" s="5">
        <f>IFERROR(VLOOKUP(ALE$1,'CERA Conservador'!$B$28:$C$35,2,FALSE),0%)</f>
        <v>0</v>
      </c>
      <c r="ALF12" s="5">
        <f>IFERROR(VLOOKUP(ALF$1,'CERA Conservador'!$B$28:$C$35,2,FALSE),0%)</f>
        <v>0</v>
      </c>
      <c r="ALG12" s="5">
        <f>IFERROR(VLOOKUP(ALG$1,'CERA Conservador'!$B$28:$C$35,2,FALSE),0%)</f>
        <v>0</v>
      </c>
      <c r="ALH12" s="5">
        <f>IFERROR(VLOOKUP(ALH$1,'CERA Conservador'!$B$28:$C$35,2,FALSE),0%)</f>
        <v>0</v>
      </c>
      <c r="ALI12" s="5">
        <f>IFERROR(VLOOKUP(ALI$1,'CERA Conservador'!$B$28:$C$35,2,FALSE),0%)</f>
        <v>0</v>
      </c>
      <c r="ALJ12" s="5">
        <f>IFERROR(VLOOKUP(ALJ$1,'CERA Conservador'!$B$28:$C$35,2,FALSE),0%)</f>
        <v>0</v>
      </c>
      <c r="ALK12" s="5">
        <f>IFERROR(VLOOKUP(ALK$1,'CERA Conservador'!$B$28:$C$35,2,FALSE),0%)</f>
        <v>0</v>
      </c>
      <c r="ALL12" s="5">
        <f>IFERROR(VLOOKUP(ALL$1,'CERA Conservador'!$B$28:$C$35,2,FALSE),0%)</f>
        <v>0</v>
      </c>
      <c r="ALM12" s="5">
        <f>IFERROR(VLOOKUP(ALM$1,'CERA Conservador'!$B$28:$C$35,2,FALSE),0%)</f>
        <v>0</v>
      </c>
      <c r="ALN12" s="5">
        <f>IFERROR(VLOOKUP(ALN$1,'CERA Conservador'!$B$28:$C$35,2,FALSE),0%)</f>
        <v>0</v>
      </c>
      <c r="ALO12" s="5">
        <f>IFERROR(VLOOKUP(ALO$1,'CERA Conservador'!$B$28:$C$35,2,FALSE),0%)</f>
        <v>0</v>
      </c>
      <c r="ALP12" s="5">
        <f>IFERROR(VLOOKUP(ALP$1,'CERA Conservador'!$B$28:$C$35,2,FALSE),0%)</f>
        <v>0</v>
      </c>
      <c r="ALQ12" s="5">
        <f>IFERROR(VLOOKUP(ALQ$1,'CERA Conservador'!$B$28:$C$35,2,FALSE),0%)</f>
        <v>0</v>
      </c>
      <c r="ALR12" s="5">
        <f>IFERROR(VLOOKUP(ALR$1,'CERA Conservador'!$B$28:$C$35,2,FALSE),0%)</f>
        <v>0</v>
      </c>
      <c r="ALS12" s="5">
        <f>IFERROR(VLOOKUP(ALS$1,'CERA Conservador'!$B$28:$C$35,2,FALSE),0%)</f>
        <v>0</v>
      </c>
      <c r="ALT12" s="5">
        <f>IFERROR(VLOOKUP(ALT$1,'CERA Conservador'!$B$28:$C$35,2,FALSE),0%)</f>
        <v>0</v>
      </c>
      <c r="ALU12" s="5">
        <f>IFERROR(VLOOKUP(ALU$1,'CERA Conservador'!$B$28:$C$35,2,FALSE),0%)</f>
        <v>0</v>
      </c>
      <c r="ALV12" s="5">
        <f>IFERROR(VLOOKUP(ALV$1,'CERA Conservador'!$B$28:$C$35,2,FALSE),0%)</f>
        <v>0</v>
      </c>
      <c r="ALW12" s="5">
        <f>IFERROR(VLOOKUP(ALW$1,'CERA Conservador'!$B$28:$C$35,2,FALSE),0%)</f>
        <v>0</v>
      </c>
      <c r="ALX12" s="5">
        <f>IFERROR(VLOOKUP(ALX$1,'CERA Conservador'!$B$28:$C$35,2,FALSE),0%)</f>
        <v>0</v>
      </c>
      <c r="ALY12" s="5">
        <f>IFERROR(VLOOKUP(ALY$1,'CERA Conservador'!$B$28:$C$35,2,FALSE),0%)</f>
        <v>0</v>
      </c>
      <c r="ALZ12" s="5">
        <f>IFERROR(VLOOKUP(ALZ$1,'CERA Conservador'!$B$28:$C$35,2,FALSE),0%)</f>
        <v>0</v>
      </c>
      <c r="AMA12" s="5">
        <f>IFERROR(VLOOKUP(AMA$1,'CERA Conservador'!$B$28:$C$35,2,FALSE),0%)</f>
        <v>0</v>
      </c>
      <c r="AMB12" s="5">
        <f>IFERROR(VLOOKUP(AMB$1,'CERA Conservador'!$B$28:$C$35,2,FALSE),0%)</f>
        <v>0</v>
      </c>
      <c r="AMC12" s="5">
        <f>IFERROR(VLOOKUP(AMC$1,'CERA Conservador'!$B$28:$C$35,2,FALSE),0%)</f>
        <v>0</v>
      </c>
      <c r="AMD12" s="5">
        <f>IFERROR(VLOOKUP(AMD$1,'CERA Conservador'!$B$28:$C$35,2,FALSE),0%)</f>
        <v>0</v>
      </c>
      <c r="AME12" s="5">
        <f>IFERROR(VLOOKUP(AME$1,'CERA Conservador'!$B$28:$C$35,2,FALSE),0%)</f>
        <v>0</v>
      </c>
      <c r="AMF12" s="5">
        <f>IFERROR(VLOOKUP(AMF$1,'CERA Conservador'!$B$28:$C$35,2,FALSE),0%)</f>
        <v>0</v>
      </c>
      <c r="AMG12" s="5">
        <f>IFERROR(VLOOKUP(AMG$1,'CERA Conservador'!$B$28:$C$35,2,FALSE),0%)</f>
        <v>0</v>
      </c>
      <c r="AMH12" s="5">
        <f>IFERROR(VLOOKUP(AMH$1,'CERA Conservador'!$B$28:$C$35,2,FALSE),0%)</f>
        <v>0</v>
      </c>
      <c r="AMI12" s="5">
        <f>IFERROR(VLOOKUP(AMI$1,'CERA Conservador'!$B$28:$C$35,2,FALSE),0%)</f>
        <v>0</v>
      </c>
      <c r="AMJ12" s="5">
        <f>IFERROR(VLOOKUP(AMJ$1,'CERA Conservador'!$B$28:$C$35,2,FALSE),0%)</f>
        <v>0</v>
      </c>
      <c r="AMK12" s="5">
        <f>IFERROR(VLOOKUP(AMK$1,'CERA Conservador'!$B$28:$C$35,2,FALSE),0%)</f>
        <v>0</v>
      </c>
      <c r="AML12" s="5">
        <f>IFERROR(VLOOKUP(AML$1,'CERA Conservador'!$B$28:$C$35,2,FALSE),0%)</f>
        <v>0</v>
      </c>
      <c r="AMM12" s="5">
        <f>IFERROR(VLOOKUP(AMM$1,'CERA Conservador'!$B$28:$C$35,2,FALSE),0%)</f>
        <v>0</v>
      </c>
      <c r="AMN12" s="5">
        <f>IFERROR(VLOOKUP(AMN$1,'CERA Conservador'!$B$28:$C$35,2,FALSE),0%)</f>
        <v>0</v>
      </c>
      <c r="AMO12" s="5">
        <f>IFERROR(VLOOKUP(AMO$1,'CERA Conservador'!$B$28:$C$35,2,FALSE),0%)</f>
        <v>0</v>
      </c>
      <c r="AMP12" s="5">
        <f>IFERROR(VLOOKUP(AMP$1,'CERA Conservador'!$B$28:$C$35,2,FALSE),0%)</f>
        <v>0</v>
      </c>
      <c r="AMQ12" s="5">
        <f>IFERROR(VLOOKUP(AMQ$1,'CERA Conservador'!$B$28:$C$35,2,FALSE),0%)</f>
        <v>0</v>
      </c>
      <c r="AMR12" s="5">
        <f>IFERROR(VLOOKUP(AMR$1,'CERA Conservador'!$B$28:$C$35,2,FALSE),0%)</f>
        <v>0</v>
      </c>
      <c r="AMS12" s="5">
        <f>IFERROR(VLOOKUP(AMS$1,'CERA Conservador'!$B$28:$C$35,2,FALSE),0%)</f>
        <v>0</v>
      </c>
      <c r="AMT12" s="5">
        <f>IFERROR(VLOOKUP(AMT$1,'CERA Conservador'!$B$28:$C$35,2,FALSE),0%)</f>
        <v>0</v>
      </c>
      <c r="AMU12" s="5">
        <f>IFERROR(VLOOKUP(AMU$1,'CERA Conservador'!$B$28:$C$35,2,FALSE),0%)</f>
        <v>0</v>
      </c>
      <c r="AMV12" s="5">
        <f>IFERROR(VLOOKUP(AMV$1,'CERA Conservador'!$B$28:$C$35,2,FALSE),0%)</f>
        <v>0</v>
      </c>
      <c r="AMW12" s="5">
        <f>IFERROR(VLOOKUP(AMW$1,'CERA Conservador'!$B$28:$C$35,2,FALSE),0%)</f>
        <v>0</v>
      </c>
      <c r="AMX12" s="5">
        <f>IFERROR(VLOOKUP(AMX$1,'CERA Conservador'!$B$28:$C$35,2,FALSE),0%)</f>
        <v>0</v>
      </c>
      <c r="AMY12" s="5">
        <f>IFERROR(VLOOKUP(AMY$1,'CERA Conservador'!$B$28:$C$35,2,FALSE),0%)</f>
        <v>0</v>
      </c>
      <c r="AMZ12" s="5">
        <f>IFERROR(VLOOKUP(AMZ$1,'CERA Conservador'!$B$28:$C$35,2,FALSE),0%)</f>
        <v>0</v>
      </c>
      <c r="ANA12" s="5">
        <f>IFERROR(VLOOKUP(ANA$1,'CERA Conservador'!$B$28:$C$35,2,FALSE),0%)</f>
        <v>0</v>
      </c>
      <c r="ANB12" s="5">
        <f>IFERROR(VLOOKUP(ANB$1,'CERA Conservador'!$B$28:$C$35,2,FALSE),0%)</f>
        <v>0</v>
      </c>
      <c r="ANC12" s="5">
        <f>IFERROR(VLOOKUP(ANC$1,'CERA Conservador'!$B$28:$C$35,2,FALSE),0%)</f>
        <v>0</v>
      </c>
      <c r="AND12" s="5">
        <f>IFERROR(VLOOKUP(AND$1,'CERA Conservador'!$B$28:$C$35,2,FALSE),0%)</f>
        <v>0</v>
      </c>
      <c r="ANE12" s="5">
        <f>IFERROR(VLOOKUP(ANE$1,'CERA Conservador'!$B$28:$C$35,2,FALSE),0%)</f>
        <v>0</v>
      </c>
      <c r="ANF12" s="5">
        <f>IFERROR(VLOOKUP(ANF$1,'CERA Conservador'!$B$28:$C$35,2,FALSE),0%)</f>
        <v>0</v>
      </c>
      <c r="ANG12" s="5">
        <f>IFERROR(VLOOKUP(ANG$1,'CERA Conservador'!$B$28:$C$35,2,FALSE),0%)</f>
        <v>0</v>
      </c>
      <c r="ANH12" s="5">
        <f>IFERROR(VLOOKUP(ANH$1,'CERA Conservador'!$B$28:$C$35,2,FALSE),0%)</f>
        <v>0</v>
      </c>
      <c r="ANI12" s="5">
        <f>IFERROR(VLOOKUP(ANI$1,'CERA Conservador'!$B$28:$C$35,2,FALSE),0%)</f>
        <v>0</v>
      </c>
      <c r="ANJ12" s="5">
        <f>IFERROR(VLOOKUP(ANJ$1,'CERA Conservador'!$B$28:$C$35,2,FALSE),0%)</f>
        <v>0</v>
      </c>
      <c r="ANK12" s="5">
        <f>IFERROR(VLOOKUP(ANK$1,'CERA Conservador'!$B$28:$C$35,2,FALSE),0%)</f>
        <v>0</v>
      </c>
      <c r="ANL12" s="5">
        <f>IFERROR(VLOOKUP(ANL$1,'CERA Conservador'!$B$28:$C$35,2,FALSE),0%)</f>
        <v>0</v>
      </c>
      <c r="ANM12" s="5">
        <f>IFERROR(VLOOKUP(ANM$1,'CERA Conservador'!$B$28:$C$35,2,FALSE),0%)</f>
        <v>0</v>
      </c>
      <c r="ANN12" s="5">
        <f>IFERROR(VLOOKUP(ANN$1,'CERA Conservador'!$B$28:$C$35,2,FALSE),0%)</f>
        <v>0</v>
      </c>
      <c r="ANO12" s="5">
        <f>IFERROR(VLOOKUP(ANO$1,'CERA Conservador'!$B$28:$C$35,2,FALSE),0%)</f>
        <v>0</v>
      </c>
      <c r="ANP12" s="5">
        <f>IFERROR(VLOOKUP(ANP$1,'CERA Conservador'!$B$28:$C$35,2,FALSE),0%)</f>
        <v>0</v>
      </c>
      <c r="ANQ12" s="5">
        <f>IFERROR(VLOOKUP(ANQ$1,'CERA Conservador'!$B$28:$C$35,2,FALSE),0%)</f>
        <v>0</v>
      </c>
      <c r="ANR12" s="5">
        <f>IFERROR(VLOOKUP(ANR$1,'CERA Conservador'!$B$28:$C$35,2,FALSE),0%)</f>
        <v>0</v>
      </c>
      <c r="ANS12" s="5">
        <f>IFERROR(VLOOKUP(ANS$1,'CERA Conservador'!$B$28:$C$35,2,FALSE),0%)</f>
        <v>0</v>
      </c>
      <c r="ANT12" s="5">
        <f>IFERROR(VLOOKUP(ANT$1,'CERA Conservador'!$B$28:$C$35,2,FALSE),0%)</f>
        <v>0</v>
      </c>
      <c r="ANU12" s="5">
        <f>IFERROR(VLOOKUP(ANU$1,'CERA Conservador'!$B$28:$C$35,2,FALSE),0%)</f>
        <v>0</v>
      </c>
      <c r="ANV12" s="5">
        <f>IFERROR(VLOOKUP(ANV$1,'CERA Conservador'!$B$28:$C$35,2,FALSE),0%)</f>
        <v>0</v>
      </c>
      <c r="ANW12" s="5">
        <f>IFERROR(VLOOKUP(ANW$1,'CERA Conservador'!$B$28:$C$35,2,FALSE),0%)</f>
        <v>0</v>
      </c>
      <c r="ANX12" s="5">
        <f>IFERROR(VLOOKUP(ANX$1,'CERA Conservador'!$B$28:$C$35,2,FALSE),0%)</f>
        <v>0</v>
      </c>
      <c r="ANY12" s="5">
        <f>IFERROR(VLOOKUP(ANY$1,'CERA Conservador'!$B$28:$C$35,2,FALSE),0%)</f>
        <v>0</v>
      </c>
      <c r="ANZ12" s="5">
        <f>IFERROR(VLOOKUP(ANZ$1,'CERA Conservador'!$B$28:$C$35,2,FALSE),0%)</f>
        <v>0</v>
      </c>
      <c r="AOA12" s="5">
        <f>IFERROR(VLOOKUP(AOA$1,'CERA Conservador'!$B$28:$C$35,2,FALSE),0%)</f>
        <v>0</v>
      </c>
      <c r="AOB12" s="5">
        <f>IFERROR(VLOOKUP(AOB$1,'CERA Conservador'!$B$28:$C$35,2,FALSE),0%)</f>
        <v>0</v>
      </c>
      <c r="AOC12" s="5">
        <f>IFERROR(VLOOKUP(AOC$1,'CERA Conservador'!$B$28:$C$35,2,FALSE),0%)</f>
        <v>0</v>
      </c>
      <c r="AOD12" s="5">
        <f>IFERROR(VLOOKUP(AOD$1,'CERA Conservador'!$B$28:$C$35,2,FALSE),0%)</f>
        <v>0</v>
      </c>
      <c r="AOE12" s="5">
        <f>IFERROR(VLOOKUP(AOE$1,'CERA Conservador'!$B$28:$C$35,2,FALSE),0%)</f>
        <v>0</v>
      </c>
      <c r="AOF12" s="5">
        <f>IFERROR(VLOOKUP(AOF$1,'CERA Conservador'!$B$28:$C$35,2,FALSE),0%)</f>
        <v>0</v>
      </c>
      <c r="AOG12" s="5">
        <f>IFERROR(VLOOKUP(AOG$1,'CERA Conservador'!$B$28:$C$35,2,FALSE),0%)</f>
        <v>0</v>
      </c>
      <c r="AOH12" s="5">
        <f>IFERROR(VLOOKUP(AOH$1,'CERA Conservador'!$B$28:$C$35,2,FALSE),0%)</f>
        <v>0</v>
      </c>
      <c r="AOI12" s="5">
        <f>IFERROR(VLOOKUP(AOI$1,'CERA Conservador'!$B$28:$C$35,2,FALSE),0%)</f>
        <v>0</v>
      </c>
      <c r="AOJ12" s="5">
        <f>IFERROR(VLOOKUP(AOJ$1,'CERA Conservador'!$B$28:$C$35,2,FALSE),0%)</f>
        <v>0</v>
      </c>
      <c r="AOK12" s="5">
        <f>IFERROR(VLOOKUP(AOK$1,'CERA Conservador'!$B$28:$C$35,2,FALSE),0%)</f>
        <v>0</v>
      </c>
      <c r="AOL12" s="5">
        <f>IFERROR(VLOOKUP(AOL$1,'CERA Conservador'!$B$28:$C$35,2,FALSE),0%)</f>
        <v>0</v>
      </c>
      <c r="AOM12" s="5">
        <f>IFERROR(VLOOKUP(AOM$1,'CERA Conservador'!$B$28:$C$35,2,FALSE),0%)</f>
        <v>0</v>
      </c>
      <c r="AON12" s="5">
        <f>IFERROR(VLOOKUP(AON$1,'CERA Conservador'!$B$28:$C$35,2,FALSE),0%)</f>
        <v>0</v>
      </c>
      <c r="AOO12" s="5">
        <f>IFERROR(VLOOKUP(AOO$1,'CERA Conservador'!$B$28:$C$35,2,FALSE),0%)</f>
        <v>0</v>
      </c>
      <c r="AOP12" s="5">
        <f>IFERROR(VLOOKUP(AOP$1,'CERA Conservador'!$B$28:$C$35,2,FALSE),0%)</f>
        <v>0</v>
      </c>
      <c r="AOQ12" s="5">
        <f>IFERROR(VLOOKUP(AOQ$1,'CERA Conservador'!$B$28:$C$35,2,FALSE),0%)</f>
        <v>0</v>
      </c>
      <c r="AOR12" s="5">
        <f>IFERROR(VLOOKUP(AOR$1,'CERA Conservador'!$B$28:$C$35,2,FALSE),0%)</f>
        <v>0</v>
      </c>
      <c r="AOS12" s="5">
        <f>IFERROR(VLOOKUP(AOS$1,'CERA Conservador'!$B$28:$C$35,2,FALSE),0%)</f>
        <v>0</v>
      </c>
      <c r="AOT12" s="5">
        <f>IFERROR(VLOOKUP(AOT$1,'CERA Conservador'!$B$28:$C$35,2,FALSE),0%)</f>
        <v>0</v>
      </c>
      <c r="AOU12" s="5">
        <f>IFERROR(VLOOKUP(AOU$1,'CERA Conservador'!$B$28:$C$35,2,FALSE),0%)</f>
        <v>0</v>
      </c>
      <c r="AOV12" s="5">
        <f>IFERROR(VLOOKUP(AOV$1,'CERA Conservador'!$B$28:$C$35,2,FALSE),0%)</f>
        <v>0</v>
      </c>
      <c r="AOW12" s="5">
        <f>IFERROR(VLOOKUP(AOW$1,'CERA Conservador'!$B$28:$C$35,2,FALSE),0%)</f>
        <v>0</v>
      </c>
      <c r="AOX12" s="5">
        <f>IFERROR(VLOOKUP(AOX$1,'CERA Conservador'!$B$28:$C$35,2,FALSE),0%)</f>
        <v>0</v>
      </c>
      <c r="AOY12" s="5">
        <f>IFERROR(VLOOKUP(AOY$1,'CERA Conservador'!$B$28:$C$35,2,FALSE),0%)</f>
        <v>0</v>
      </c>
      <c r="AOZ12" s="5">
        <f>IFERROR(VLOOKUP(AOZ$1,'CERA Conservador'!$B$28:$C$35,2,FALSE),0%)</f>
        <v>0</v>
      </c>
      <c r="APA12" s="5">
        <f>IFERROR(VLOOKUP(APA$1,'CERA Conservador'!$B$28:$C$35,2,FALSE),0%)</f>
        <v>0</v>
      </c>
      <c r="APB12" s="5">
        <f>IFERROR(VLOOKUP(APB$1,'CERA Conservador'!$B$28:$C$35,2,FALSE),0%)</f>
        <v>0</v>
      </c>
      <c r="APC12" s="5">
        <f>IFERROR(VLOOKUP(APC$1,'CERA Conservador'!$B$28:$C$35,2,FALSE),0%)</f>
        <v>0</v>
      </c>
      <c r="APD12" s="5">
        <f>IFERROR(VLOOKUP(APD$1,'CERA Conservador'!$B$28:$C$35,2,FALSE),0%)</f>
        <v>0</v>
      </c>
      <c r="APE12" s="5">
        <f>IFERROR(VLOOKUP(APE$1,'CERA Conservador'!$B$28:$C$35,2,FALSE),0%)</f>
        <v>0</v>
      </c>
      <c r="APF12" s="5">
        <f>IFERROR(VLOOKUP(APF$1,'CERA Conservador'!$B$28:$C$35,2,FALSE),0%)</f>
        <v>0</v>
      </c>
      <c r="APG12" s="5">
        <f>IFERROR(VLOOKUP(APG$1,'CERA Conservador'!$B$28:$C$35,2,FALSE),0%)</f>
        <v>0</v>
      </c>
      <c r="APH12" s="5">
        <f>IFERROR(VLOOKUP(APH$1,'CERA Conservador'!$B$28:$C$35,2,FALSE),0%)</f>
        <v>0</v>
      </c>
      <c r="API12" s="5">
        <f>IFERROR(VLOOKUP(API$1,'CERA Conservador'!$B$28:$C$35,2,FALSE),0%)</f>
        <v>0</v>
      </c>
      <c r="APJ12" s="5">
        <f>IFERROR(VLOOKUP(APJ$1,'CERA Conservador'!$B$28:$C$35,2,FALSE),0%)</f>
        <v>0</v>
      </c>
      <c r="APK12" s="5">
        <f>IFERROR(VLOOKUP(APK$1,'CERA Conservador'!$B$28:$C$35,2,FALSE),0%)</f>
        <v>0</v>
      </c>
      <c r="APL12" s="5">
        <f>IFERROR(VLOOKUP(APL$1,'CERA Conservador'!$B$28:$C$35,2,FALSE),0%)</f>
        <v>0</v>
      </c>
      <c r="APM12" s="5">
        <f>IFERROR(VLOOKUP(APM$1,'CERA Conservador'!$B$28:$C$35,2,FALSE),0%)</f>
        <v>0</v>
      </c>
      <c r="APN12" s="5">
        <f>IFERROR(VLOOKUP(APN$1,'CERA Conservador'!$B$28:$C$35,2,FALSE),0%)</f>
        <v>0</v>
      </c>
      <c r="APO12" s="5">
        <f>IFERROR(VLOOKUP(APO$1,'CERA Conservador'!$B$28:$C$35,2,FALSE),0%)</f>
        <v>0</v>
      </c>
      <c r="APP12" s="5">
        <f>IFERROR(VLOOKUP(APP$1,'CERA Conservador'!$B$28:$C$35,2,FALSE),0%)</f>
        <v>0</v>
      </c>
      <c r="APQ12" s="5">
        <f>IFERROR(VLOOKUP(APQ$1,'CERA Conservador'!$B$28:$C$35,2,FALSE),0%)</f>
        <v>0</v>
      </c>
      <c r="APR12" s="5">
        <f>IFERROR(VLOOKUP(APR$1,'CERA Conservador'!$B$28:$C$35,2,FALSE),0%)</f>
        <v>0</v>
      </c>
      <c r="APS12" s="5">
        <f>IFERROR(VLOOKUP(APS$1,'CERA Conservador'!$B$28:$C$35,2,FALSE),0%)</f>
        <v>0</v>
      </c>
      <c r="APT12" s="5">
        <f>IFERROR(VLOOKUP(APT$1,'CERA Conservador'!$B$28:$C$35,2,FALSE),0%)</f>
        <v>0</v>
      </c>
      <c r="APU12" s="5">
        <f>IFERROR(VLOOKUP(APU$1,'CERA Conservador'!$B$28:$C$35,2,FALSE),0%)</f>
        <v>0</v>
      </c>
      <c r="APV12" s="5">
        <f>IFERROR(VLOOKUP(APV$1,'CERA Conservador'!$B$28:$C$35,2,FALSE),0%)</f>
        <v>0</v>
      </c>
      <c r="APW12" s="5">
        <f>IFERROR(VLOOKUP(APW$1,'CERA Conservador'!$B$28:$C$35,2,FALSE),0%)</f>
        <v>0</v>
      </c>
      <c r="APX12" s="5">
        <f>IFERROR(VLOOKUP(APX$1,'CERA Conservador'!$B$28:$C$35,2,FALSE),0%)</f>
        <v>0</v>
      </c>
      <c r="APY12" s="5">
        <f>IFERROR(VLOOKUP(APY$1,'CERA Conservador'!$B$28:$C$35,2,FALSE),0%)</f>
        <v>0</v>
      </c>
      <c r="APZ12" s="5">
        <f>IFERROR(VLOOKUP(APZ$1,'CERA Conservador'!$B$28:$C$35,2,FALSE),0%)</f>
        <v>0</v>
      </c>
      <c r="AQA12" s="5">
        <f>IFERROR(VLOOKUP(AQA$1,'CERA Conservador'!$B$28:$C$35,2,FALSE),0%)</f>
        <v>0</v>
      </c>
      <c r="AQB12" s="5">
        <f>IFERROR(VLOOKUP(AQB$1,'CERA Conservador'!$B$28:$C$35,2,FALSE),0%)</f>
        <v>0</v>
      </c>
      <c r="AQC12" s="5">
        <f>IFERROR(VLOOKUP(AQC$1,'CERA Conservador'!$B$28:$C$35,2,FALSE),0%)</f>
        <v>0</v>
      </c>
      <c r="AQD12" s="5">
        <f>IFERROR(VLOOKUP(AQD$1,'CERA Conservador'!$B$28:$C$35,2,FALSE),0%)</f>
        <v>0</v>
      </c>
      <c r="AQE12" s="5">
        <f>IFERROR(VLOOKUP(AQE$1,'CERA Conservador'!$B$28:$C$35,2,FALSE),0%)</f>
        <v>0</v>
      </c>
      <c r="AQF12" s="5">
        <f>IFERROR(VLOOKUP(AQF$1,'CERA Conservador'!$B$28:$C$35,2,FALSE),0%)</f>
        <v>0</v>
      </c>
      <c r="AQG12" s="5">
        <f>IFERROR(VLOOKUP(AQG$1,'CERA Conservador'!$B$28:$C$35,2,FALSE),0%)</f>
        <v>0</v>
      </c>
      <c r="AQH12" s="5">
        <f>IFERROR(VLOOKUP(AQH$1,'CERA Conservador'!$B$28:$C$35,2,FALSE),0%)</f>
        <v>0</v>
      </c>
      <c r="AQI12" s="5">
        <f>IFERROR(VLOOKUP(AQI$1,'CERA Conservador'!$B$28:$C$35,2,FALSE),0%)</f>
        <v>0</v>
      </c>
      <c r="AQJ12" s="5">
        <f>IFERROR(VLOOKUP(AQJ$1,'CERA Conservador'!$B$28:$C$35,2,FALSE),0%)</f>
        <v>0</v>
      </c>
      <c r="AQK12" s="5">
        <f>IFERROR(VLOOKUP(AQK$1,'CERA Conservador'!$B$28:$C$35,2,FALSE),0%)</f>
        <v>0</v>
      </c>
      <c r="AQL12" s="5">
        <f>IFERROR(VLOOKUP(AQL$1,'CERA Conservador'!$B$28:$C$35,2,FALSE),0%)</f>
        <v>0</v>
      </c>
      <c r="AQM12" s="5">
        <f>IFERROR(VLOOKUP(AQM$1,'CERA Conservador'!$B$28:$C$35,2,FALSE),0%)</f>
        <v>0</v>
      </c>
      <c r="AQN12" s="5">
        <f>IFERROR(VLOOKUP(AQN$1,'CERA Conservador'!$B$28:$C$35,2,FALSE),0%)</f>
        <v>0</v>
      </c>
      <c r="AQO12" s="5">
        <f>IFERROR(VLOOKUP(AQO$1,'CERA Conservador'!$B$28:$C$35,2,FALSE),0%)</f>
        <v>0</v>
      </c>
      <c r="AQP12" s="5">
        <f>IFERROR(VLOOKUP(AQP$1,'CERA Conservador'!$B$28:$C$35,2,FALSE),0%)</f>
        <v>0</v>
      </c>
      <c r="AQQ12" s="5">
        <f>IFERROR(VLOOKUP(AQQ$1,'CERA Conservador'!$B$28:$C$35,2,FALSE),0%)</f>
        <v>0</v>
      </c>
      <c r="AQR12" s="5">
        <f>IFERROR(VLOOKUP(AQR$1,'CERA Conservador'!$B$28:$C$35,2,FALSE),0%)</f>
        <v>0</v>
      </c>
      <c r="AQS12" s="5">
        <f>IFERROR(VLOOKUP(AQS$1,'CERA Conservador'!$B$28:$C$35,2,FALSE),0%)</f>
        <v>0</v>
      </c>
      <c r="AQT12" s="5">
        <f>IFERROR(VLOOKUP(AQT$1,'CERA Conservador'!$B$28:$C$35,2,FALSE),0%)</f>
        <v>0</v>
      </c>
      <c r="AQU12" s="5">
        <f>IFERROR(VLOOKUP(AQU$1,'CERA Conservador'!$B$28:$C$35,2,FALSE),0%)</f>
        <v>0</v>
      </c>
      <c r="AQV12" s="5">
        <f>IFERROR(VLOOKUP(AQV$1,'CERA Conservador'!$B$28:$C$35,2,FALSE),0%)</f>
        <v>0</v>
      </c>
      <c r="AQW12" s="5">
        <f>IFERROR(VLOOKUP(AQW$1,'CERA Conservador'!$B$28:$C$35,2,FALSE),0%)</f>
        <v>0</v>
      </c>
      <c r="AQX12" s="5">
        <f>IFERROR(VLOOKUP(AQX$1,'CERA Conservador'!$B$28:$C$35,2,FALSE),0%)</f>
        <v>0</v>
      </c>
      <c r="AQY12" s="5">
        <f>IFERROR(VLOOKUP(AQY$1,'CERA Conservador'!$B$28:$C$35,2,FALSE),0%)</f>
        <v>0</v>
      </c>
      <c r="AQZ12" s="5">
        <f>IFERROR(VLOOKUP(AQZ$1,'CERA Conservador'!$B$28:$C$35,2,FALSE),0%)</f>
        <v>0</v>
      </c>
      <c r="ARA12" s="5">
        <f>IFERROR(VLOOKUP(ARA$1,'CERA Conservador'!$B$28:$C$35,2,FALSE),0%)</f>
        <v>0</v>
      </c>
      <c r="ARB12" s="5">
        <f>IFERROR(VLOOKUP(ARB$1,'CERA Conservador'!$B$28:$C$35,2,FALSE),0%)</f>
        <v>0</v>
      </c>
      <c r="ARC12" s="5">
        <f>IFERROR(VLOOKUP(ARC$1,'CERA Conservador'!$B$28:$C$35,2,FALSE),0%)</f>
        <v>0</v>
      </c>
      <c r="ARD12" s="5">
        <f>IFERROR(VLOOKUP(ARD$1,'CERA Conservador'!$B$28:$C$35,2,FALSE),0%)</f>
        <v>0</v>
      </c>
      <c r="ARE12" s="5">
        <f>IFERROR(VLOOKUP(ARE$1,'CERA Conservador'!$B$28:$C$35,2,FALSE),0%)</f>
        <v>0</v>
      </c>
      <c r="ARF12" s="5">
        <f>IFERROR(VLOOKUP(ARF$1,'CERA Conservador'!$B$28:$C$35,2,FALSE),0%)</f>
        <v>0</v>
      </c>
      <c r="ARG12" s="5">
        <f>IFERROR(VLOOKUP(ARG$1,'CERA Conservador'!$B$28:$C$35,2,FALSE),0%)</f>
        <v>0</v>
      </c>
      <c r="ARH12" s="5">
        <f>IFERROR(VLOOKUP(ARH$1,'CERA Conservador'!$B$28:$C$35,2,FALSE),0%)</f>
        <v>0</v>
      </c>
      <c r="ARI12" s="5">
        <f>IFERROR(VLOOKUP(ARI$1,'CERA Conservador'!$B$28:$C$35,2,FALSE),0%)</f>
        <v>0</v>
      </c>
      <c r="ARJ12" s="5">
        <f>IFERROR(VLOOKUP(ARJ$1,'CERA Conservador'!$B$28:$C$35,2,FALSE),0%)</f>
        <v>0</v>
      </c>
      <c r="ARK12" s="5">
        <f>IFERROR(VLOOKUP(ARK$1,'CERA Conservador'!$B$28:$C$35,2,FALSE),0%)</f>
        <v>0</v>
      </c>
      <c r="ARL12" s="5">
        <f>IFERROR(VLOOKUP(ARL$1,'CERA Conservador'!$B$28:$C$35,2,FALSE),0%)</f>
        <v>0</v>
      </c>
      <c r="ARM12" s="5">
        <f>IFERROR(VLOOKUP(ARM$1,'CERA Conservador'!$B$28:$C$35,2,FALSE),0%)</f>
        <v>0</v>
      </c>
      <c r="ARN12" s="5">
        <f>IFERROR(VLOOKUP(ARN$1,'CERA Conservador'!$B$28:$C$35,2,FALSE),0%)</f>
        <v>0</v>
      </c>
      <c r="ARO12" s="5">
        <f>IFERROR(VLOOKUP(ARO$1,'CERA Conservador'!$B$28:$C$35,2,FALSE),0%)</f>
        <v>0</v>
      </c>
      <c r="ARP12" s="5">
        <f>IFERROR(VLOOKUP(ARP$1,'CERA Conservador'!$B$28:$C$35,2,FALSE),0%)</f>
        <v>0</v>
      </c>
      <c r="ARQ12" s="5">
        <f>IFERROR(VLOOKUP(ARQ$1,'CERA Conservador'!$B$28:$C$35,2,FALSE),0%)</f>
        <v>0</v>
      </c>
      <c r="ARR12" s="5">
        <f>IFERROR(VLOOKUP(ARR$1,'CERA Conservador'!$B$28:$C$35,2,FALSE),0%)</f>
        <v>0</v>
      </c>
      <c r="ARS12" s="5">
        <f>IFERROR(VLOOKUP(ARS$1,'CERA Conservador'!$B$28:$C$35,2,FALSE),0%)</f>
        <v>0</v>
      </c>
      <c r="ART12" s="5">
        <f>IFERROR(VLOOKUP(ART$1,'CERA Conservador'!$B$28:$C$35,2,FALSE),0%)</f>
        <v>0</v>
      </c>
      <c r="ARU12" s="5">
        <f>IFERROR(VLOOKUP(ARU$1,'CERA Conservador'!$B$28:$C$35,2,FALSE),0%)</f>
        <v>0</v>
      </c>
      <c r="ARV12" s="5">
        <f>IFERROR(VLOOKUP(ARV$1,'CERA Conservador'!$B$28:$C$35,2,FALSE),0%)</f>
        <v>0</v>
      </c>
      <c r="ARW12" s="5">
        <f>IFERROR(VLOOKUP(ARW$1,'CERA Conservador'!$B$28:$C$35,2,FALSE),0%)</f>
        <v>0</v>
      </c>
      <c r="ARX12" s="5">
        <f>IFERROR(VLOOKUP(ARX$1,'CERA Conservador'!$B$28:$C$35,2,FALSE),0%)</f>
        <v>0</v>
      </c>
      <c r="ARY12" s="5">
        <f>IFERROR(VLOOKUP(ARY$1,'CERA Conservador'!$B$28:$C$35,2,FALSE),0%)</f>
        <v>0</v>
      </c>
      <c r="ARZ12" s="5">
        <f>IFERROR(VLOOKUP(ARZ$1,'CERA Conservador'!$B$28:$C$35,2,FALSE),0%)</f>
        <v>0</v>
      </c>
      <c r="ASA12" s="5">
        <f>IFERROR(VLOOKUP(ASA$1,'CERA Conservador'!$B$28:$C$35,2,FALSE),0%)</f>
        <v>0</v>
      </c>
      <c r="ASB12" s="5">
        <f>IFERROR(VLOOKUP(ASB$1,'CERA Conservador'!$B$28:$C$35,2,FALSE),0%)</f>
        <v>0</v>
      </c>
      <c r="ASC12" s="5">
        <f>IFERROR(VLOOKUP(ASC$1,'CERA Conservador'!$B$28:$C$35,2,FALSE),0%)</f>
        <v>0</v>
      </c>
      <c r="ASD12" s="5">
        <f>IFERROR(VLOOKUP(ASD$1,'CERA Conservador'!$B$28:$C$35,2,FALSE),0%)</f>
        <v>0</v>
      </c>
      <c r="ASE12" s="5">
        <f>IFERROR(VLOOKUP(ASE$1,'CERA Conservador'!$B$28:$C$35,2,FALSE),0%)</f>
        <v>0</v>
      </c>
      <c r="ASF12" s="5">
        <f>IFERROR(VLOOKUP(ASF$1,'CERA Conservador'!$B$28:$C$35,2,FALSE),0%)</f>
        <v>0</v>
      </c>
      <c r="ASG12" s="5">
        <f>IFERROR(VLOOKUP(ASG$1,'CERA Conservador'!$B$28:$C$35,2,FALSE),0%)</f>
        <v>0</v>
      </c>
      <c r="ASH12" s="5">
        <f>IFERROR(VLOOKUP(ASH$1,'CERA Conservador'!$B$28:$C$35,2,FALSE),0%)</f>
        <v>0</v>
      </c>
      <c r="ASI12" s="5">
        <f>IFERROR(VLOOKUP(ASI$1,'CERA Conservador'!$B$28:$C$35,2,FALSE),0%)</f>
        <v>0</v>
      </c>
      <c r="ASJ12" s="5">
        <f>IFERROR(VLOOKUP(ASJ$1,'CERA Conservador'!$B$28:$C$35,2,FALSE),0%)</f>
        <v>0</v>
      </c>
      <c r="ASK12" s="5">
        <f>IFERROR(VLOOKUP(ASK$1,'CERA Conservador'!$B$28:$C$35,2,FALSE),0%)</f>
        <v>0</v>
      </c>
      <c r="ASL12" s="5">
        <f>IFERROR(VLOOKUP(ASL$1,'CERA Conservador'!$B$28:$C$35,2,FALSE),0%)</f>
        <v>0</v>
      </c>
      <c r="ASM12" s="5">
        <f>IFERROR(VLOOKUP(ASM$1,'CERA Conservador'!$B$28:$C$35,2,FALSE),0%)</f>
        <v>0</v>
      </c>
      <c r="ASN12" s="5">
        <f>IFERROR(VLOOKUP(ASN$1,'CERA Conservador'!$B$28:$C$35,2,FALSE),0%)</f>
        <v>0</v>
      </c>
      <c r="ASO12" s="5">
        <f>IFERROR(VLOOKUP(ASO$1,'CERA Conservador'!$B$28:$C$35,2,FALSE),0%)</f>
        <v>0</v>
      </c>
      <c r="ASP12" s="5">
        <f>IFERROR(VLOOKUP(ASP$1,'CERA Conservador'!$B$28:$C$35,2,FALSE),0%)</f>
        <v>0</v>
      </c>
      <c r="ASQ12" s="5">
        <f>IFERROR(VLOOKUP(ASQ$1,'CERA Conservador'!$B$28:$C$35,2,FALSE),0%)</f>
        <v>0</v>
      </c>
      <c r="ASR12" s="5">
        <f>IFERROR(VLOOKUP(ASR$1,'CERA Conservador'!$B$28:$C$35,2,FALSE),0%)</f>
        <v>0</v>
      </c>
      <c r="ASS12" s="5">
        <f>IFERROR(VLOOKUP(ASS$1,'CERA Conservador'!$B$28:$C$35,2,FALSE),0%)</f>
        <v>0</v>
      </c>
      <c r="AST12" s="5">
        <f>IFERROR(VLOOKUP(AST$1,'CERA Conservador'!$B$28:$C$35,2,FALSE),0%)</f>
        <v>0</v>
      </c>
      <c r="ASU12" s="5">
        <f>IFERROR(VLOOKUP(ASU$1,'CERA Conservador'!$B$28:$C$35,2,FALSE),0%)</f>
        <v>0</v>
      </c>
      <c r="ASV12" s="5">
        <f>IFERROR(VLOOKUP(ASV$1,'CERA Conservador'!$B$28:$C$35,2,FALSE),0%)</f>
        <v>0</v>
      </c>
      <c r="ASW12" s="5">
        <f>IFERROR(VLOOKUP(ASW$1,'CERA Conservador'!$B$28:$C$35,2,FALSE),0%)</f>
        <v>0</v>
      </c>
      <c r="ASX12" s="5">
        <f>IFERROR(VLOOKUP(ASX$1,'CERA Conservador'!$B$28:$C$35,2,FALSE),0%)</f>
        <v>0</v>
      </c>
      <c r="ASY12" s="5">
        <f>IFERROR(VLOOKUP(ASY$1,'CERA Conservador'!$B$28:$C$35,2,FALSE),0%)</f>
        <v>0</v>
      </c>
      <c r="ASZ12" s="5">
        <f>IFERROR(VLOOKUP(ASZ$1,'CERA Conservador'!$B$28:$C$35,2,FALSE),0%)</f>
        <v>0</v>
      </c>
      <c r="ATA12" s="5">
        <f>IFERROR(VLOOKUP(ATA$1,'CERA Conservador'!$B$28:$C$35,2,FALSE),0%)</f>
        <v>0</v>
      </c>
      <c r="ATB12" s="5">
        <f>IFERROR(VLOOKUP(ATB$1,'CERA Conservador'!$B$28:$C$35,2,FALSE),0%)</f>
        <v>0</v>
      </c>
      <c r="ATC12" s="5">
        <f>IFERROR(VLOOKUP(ATC$1,'CERA Conservador'!$B$28:$C$35,2,FALSE),0%)</f>
        <v>0</v>
      </c>
      <c r="ATD12" s="5">
        <f>IFERROR(VLOOKUP(ATD$1,'CERA Conservador'!$B$28:$C$35,2,FALSE),0%)</f>
        <v>0</v>
      </c>
      <c r="ATE12" s="5">
        <f>IFERROR(VLOOKUP(ATE$1,'CERA Conservador'!$B$28:$C$35,2,FALSE),0%)</f>
        <v>0</v>
      </c>
      <c r="ATF12" s="5">
        <f>IFERROR(VLOOKUP(ATF$1,'CERA Conservador'!$B$28:$C$35,2,FALSE),0%)</f>
        <v>0</v>
      </c>
      <c r="ATG12" s="5">
        <f>IFERROR(VLOOKUP(ATG$1,'CERA Conservador'!$B$28:$C$35,2,FALSE),0%)</f>
        <v>0</v>
      </c>
      <c r="ATH12" s="5">
        <f>IFERROR(VLOOKUP(ATH$1,'CERA Conservador'!$B$28:$C$35,2,FALSE),0%)</f>
        <v>0</v>
      </c>
      <c r="ATI12" s="5">
        <f>IFERROR(VLOOKUP(ATI$1,'CERA Conservador'!$B$28:$C$35,2,FALSE),0%)</f>
        <v>0</v>
      </c>
      <c r="ATJ12" s="5">
        <f>IFERROR(VLOOKUP(ATJ$1,'CERA Conservador'!$B$28:$C$35,2,FALSE),0%)</f>
        <v>0</v>
      </c>
      <c r="ATK12" s="5">
        <f>IFERROR(VLOOKUP(ATK$1,'CERA Conservador'!$B$28:$C$35,2,FALSE),0%)</f>
        <v>0</v>
      </c>
      <c r="ATL12" s="5">
        <f>IFERROR(VLOOKUP(ATL$1,'CERA Conservador'!$B$28:$C$35,2,FALSE),0%)</f>
        <v>0</v>
      </c>
      <c r="ATM12" s="5">
        <f>IFERROR(VLOOKUP(ATM$1,'CERA Conservador'!$B$28:$C$35,2,FALSE),0%)</f>
        <v>0</v>
      </c>
      <c r="ATN12" s="5">
        <f>IFERROR(VLOOKUP(ATN$1,'CERA Conservador'!$B$28:$C$35,2,FALSE),0%)</f>
        <v>0</v>
      </c>
      <c r="ATO12" s="5">
        <f>IFERROR(VLOOKUP(ATO$1,'CERA Conservador'!$B$28:$C$35,2,FALSE),0%)</f>
        <v>0</v>
      </c>
      <c r="ATP12" s="5">
        <f>IFERROR(VLOOKUP(ATP$1,'CERA Conservador'!$B$28:$C$35,2,FALSE),0%)</f>
        <v>0</v>
      </c>
      <c r="ATQ12" s="5">
        <f>IFERROR(VLOOKUP(ATQ$1,'CERA Conservador'!$B$28:$C$35,2,FALSE),0%)</f>
        <v>0</v>
      </c>
      <c r="ATR12" s="5">
        <f>IFERROR(VLOOKUP(ATR$1,'CERA Conservador'!$B$28:$C$35,2,FALSE),0%)</f>
        <v>0</v>
      </c>
      <c r="ATS12" s="5">
        <f>IFERROR(VLOOKUP(ATS$1,'CERA Conservador'!$B$28:$C$35,2,FALSE),0%)</f>
        <v>0</v>
      </c>
      <c r="ATT12" s="5">
        <f>IFERROR(VLOOKUP(ATT$1,'CERA Conservador'!$B$28:$C$35,2,FALSE),0%)</f>
        <v>0</v>
      </c>
      <c r="ATU12" s="5">
        <f>IFERROR(VLOOKUP(ATU$1,'CERA Conservador'!$B$28:$C$35,2,FALSE),0%)</f>
        <v>0</v>
      </c>
      <c r="ATV12" s="5">
        <f>IFERROR(VLOOKUP(ATV$1,'CERA Conservador'!$B$28:$C$35,2,FALSE),0%)</f>
        <v>0</v>
      </c>
      <c r="ATW12" s="5">
        <f>IFERROR(VLOOKUP(ATW$1,'CERA Conservador'!$B$28:$C$35,2,FALSE),0%)</f>
        <v>0</v>
      </c>
      <c r="ATX12" s="5">
        <f>IFERROR(VLOOKUP(ATX$1,'CERA Conservador'!$B$28:$C$35,2,FALSE),0%)</f>
        <v>0</v>
      </c>
      <c r="ATY12" s="5">
        <f>IFERROR(VLOOKUP(ATY$1,'CERA Conservador'!$B$28:$C$35,2,FALSE),0%)</f>
        <v>0</v>
      </c>
      <c r="ATZ12" s="5">
        <f>IFERROR(VLOOKUP(ATZ$1,'CERA Conservador'!$B$28:$C$35,2,FALSE),0%)</f>
        <v>0</v>
      </c>
      <c r="AUA12" s="5">
        <f>IFERROR(VLOOKUP(AUA$1,'CERA Conservador'!$B$28:$C$35,2,FALSE),0%)</f>
        <v>0</v>
      </c>
      <c r="AUB12" s="5">
        <f>IFERROR(VLOOKUP(AUB$1,'CERA Conservador'!$B$28:$C$35,2,FALSE),0%)</f>
        <v>0</v>
      </c>
      <c r="AUC12" s="5">
        <f>IFERROR(VLOOKUP(AUC$1,'CERA Conservador'!$B$28:$C$35,2,FALSE),0%)</f>
        <v>0</v>
      </c>
      <c r="AUD12" s="5">
        <f>IFERROR(VLOOKUP(AUD$1,'CERA Conservador'!$B$28:$C$35,2,FALSE),0%)</f>
        <v>0</v>
      </c>
      <c r="AUE12" s="5">
        <f>IFERROR(VLOOKUP(AUE$1,'CERA Conservador'!$B$28:$C$35,2,FALSE),0%)</f>
        <v>0</v>
      </c>
      <c r="AUF12" s="5">
        <f>IFERROR(VLOOKUP(AUF$1,'CERA Conservador'!$B$28:$C$35,2,FALSE),0%)</f>
        <v>0</v>
      </c>
      <c r="AUG12" s="5">
        <f>IFERROR(VLOOKUP(AUG$1,'CERA Conservador'!$B$28:$C$35,2,FALSE),0%)</f>
        <v>0</v>
      </c>
      <c r="AUH12" s="5">
        <f>IFERROR(VLOOKUP(AUH$1,'CERA Conservador'!$B$28:$C$35,2,FALSE),0%)</f>
        <v>0</v>
      </c>
      <c r="AUI12" s="5">
        <f>IFERROR(VLOOKUP(AUI$1,'CERA Conservador'!$B$28:$C$35,2,FALSE),0%)</f>
        <v>0</v>
      </c>
      <c r="AUJ12" s="5">
        <f>IFERROR(VLOOKUP(AUJ$1,'CERA Conservador'!$B$28:$C$35,2,FALSE),0%)</f>
        <v>0</v>
      </c>
      <c r="AUK12" s="5">
        <f>IFERROR(VLOOKUP(AUK$1,'CERA Conservador'!$B$28:$C$35,2,FALSE),0%)</f>
        <v>0</v>
      </c>
      <c r="AUL12" s="5">
        <f>IFERROR(VLOOKUP(AUL$1,'CERA Conservador'!$B$28:$C$35,2,FALSE),0%)</f>
        <v>0</v>
      </c>
      <c r="AUM12" s="5">
        <f>IFERROR(VLOOKUP(AUM$1,'CERA Conservador'!$B$28:$C$35,2,FALSE),0%)</f>
        <v>0</v>
      </c>
      <c r="AUN12" s="5">
        <f>IFERROR(VLOOKUP(AUN$1,'CERA Conservador'!$B$28:$C$35,2,FALSE),0%)</f>
        <v>0</v>
      </c>
      <c r="AUO12" s="5">
        <f>IFERROR(VLOOKUP(AUO$1,'CERA Conservador'!$B$28:$C$35,2,FALSE),0%)</f>
        <v>0</v>
      </c>
      <c r="AUP12" s="5">
        <f>IFERROR(VLOOKUP(AUP$1,'CERA Conservador'!$B$28:$C$35,2,FALSE),0%)</f>
        <v>0</v>
      </c>
      <c r="AUQ12" s="5">
        <f>IFERROR(VLOOKUP(AUQ$1,'CERA Conservador'!$B$28:$C$35,2,FALSE),0%)</f>
        <v>0</v>
      </c>
      <c r="AUR12" s="5">
        <f>IFERROR(VLOOKUP(AUR$1,'CERA Conservador'!$B$28:$C$35,2,FALSE),0%)</f>
        <v>0</v>
      </c>
      <c r="AUS12" s="5">
        <f>IFERROR(VLOOKUP(AUS$1,'CERA Conservador'!$B$28:$C$35,2,FALSE),0%)</f>
        <v>0</v>
      </c>
      <c r="AUT12" s="5">
        <f>IFERROR(VLOOKUP(AUT$1,'CERA Conservador'!$B$28:$C$35,2,FALSE),0%)</f>
        <v>0</v>
      </c>
      <c r="AUU12" s="5">
        <f>IFERROR(VLOOKUP(AUU$1,'CERA Conservador'!$B$28:$C$35,2,FALSE),0%)</f>
        <v>0</v>
      </c>
      <c r="AUV12" s="5">
        <f>IFERROR(VLOOKUP(AUV$1,'CERA Conservador'!$B$28:$C$35,2,FALSE),0%)</f>
        <v>0</v>
      </c>
      <c r="AUW12" s="5">
        <f>IFERROR(VLOOKUP(AUW$1,'CERA Conservador'!$B$28:$C$35,2,FALSE),0%)</f>
        <v>0</v>
      </c>
      <c r="AUX12" s="5">
        <f>IFERROR(VLOOKUP(AUX$1,'CERA Conservador'!$B$28:$C$35,2,FALSE),0%)</f>
        <v>0</v>
      </c>
      <c r="AUY12" s="5">
        <f>IFERROR(VLOOKUP(AUY$1,'CERA Conservador'!$B$28:$C$35,2,FALSE),0%)</f>
        <v>0</v>
      </c>
      <c r="AUZ12" s="5">
        <f>IFERROR(VLOOKUP(AUZ$1,'CERA Conservador'!$B$28:$C$35,2,FALSE),0%)</f>
        <v>0</v>
      </c>
      <c r="AVA12" s="5">
        <f>IFERROR(VLOOKUP(AVA$1,'CERA Conservador'!$B$28:$C$35,2,FALSE),0%)</f>
        <v>0</v>
      </c>
      <c r="AVB12" s="5">
        <f>IFERROR(VLOOKUP(AVB$1,'CERA Conservador'!$B$28:$C$35,2,FALSE),0%)</f>
        <v>0</v>
      </c>
      <c r="AVC12" s="5">
        <f>IFERROR(VLOOKUP(AVC$1,'CERA Conservador'!$B$28:$C$35,2,FALSE),0%)</f>
        <v>0</v>
      </c>
      <c r="AVD12" s="5">
        <f>IFERROR(VLOOKUP(AVD$1,'CERA Conservador'!$B$28:$C$35,2,FALSE),0%)</f>
        <v>0</v>
      </c>
      <c r="AVE12" s="5">
        <f>IFERROR(VLOOKUP(AVE$1,'CERA Conservador'!$B$28:$C$35,2,FALSE),0%)</f>
        <v>0</v>
      </c>
      <c r="AVF12" s="5">
        <f>IFERROR(VLOOKUP(AVF$1,'CERA Conservador'!$B$28:$C$35,2,FALSE),0%)</f>
        <v>0</v>
      </c>
      <c r="AVG12" s="5">
        <f>IFERROR(VLOOKUP(AVG$1,'CERA Conservador'!$B$28:$C$35,2,FALSE),0%)</f>
        <v>0</v>
      </c>
      <c r="AVH12" s="5">
        <f>IFERROR(VLOOKUP(AVH$1,'CERA Conservador'!$B$28:$C$35,2,FALSE),0%)</f>
        <v>0</v>
      </c>
      <c r="AVI12" s="5">
        <f>IFERROR(VLOOKUP(AVI$1,'CERA Conservador'!$B$28:$C$35,2,FALSE),0%)</f>
        <v>0</v>
      </c>
      <c r="AVJ12" s="5">
        <f>IFERROR(VLOOKUP(AVJ$1,'CERA Conservador'!$B$28:$C$35,2,FALSE),0%)</f>
        <v>0</v>
      </c>
      <c r="AVK12" s="5">
        <f>IFERROR(VLOOKUP(AVK$1,'CERA Conservador'!$B$28:$C$35,2,FALSE),0%)</f>
        <v>0</v>
      </c>
      <c r="AVL12" s="5">
        <f>IFERROR(VLOOKUP(AVL$1,'CERA Conservador'!$B$28:$C$35,2,FALSE),0%)</f>
        <v>0</v>
      </c>
      <c r="AVM12" s="5">
        <f>IFERROR(VLOOKUP(AVM$1,'CERA Conservador'!$B$28:$C$35,2,FALSE),0%)</f>
        <v>0</v>
      </c>
      <c r="AVN12" s="5">
        <f>IFERROR(VLOOKUP(AVN$1,'CERA Conservador'!$B$28:$C$35,2,FALSE),0%)</f>
        <v>0</v>
      </c>
      <c r="AVO12" s="5">
        <f>IFERROR(VLOOKUP(AVO$1,'CERA Conservador'!$B$28:$C$35,2,FALSE),0%)</f>
        <v>0</v>
      </c>
      <c r="AVP12" s="5">
        <f>IFERROR(VLOOKUP(AVP$1,'CERA Conservador'!$B$28:$C$35,2,FALSE),0%)</f>
        <v>0</v>
      </c>
      <c r="AVQ12" s="5">
        <f>IFERROR(VLOOKUP(AVQ$1,'CERA Conservador'!$B$28:$C$35,2,FALSE),0%)</f>
        <v>0</v>
      </c>
      <c r="AVR12" s="5">
        <f>IFERROR(VLOOKUP(AVR$1,'CERA Conservador'!$B$28:$C$35,2,FALSE),0%)</f>
        <v>0</v>
      </c>
      <c r="AVS12" s="5">
        <f>IFERROR(VLOOKUP(AVS$1,'CERA Conservador'!$B$28:$C$35,2,FALSE),0%)</f>
        <v>0</v>
      </c>
      <c r="AVT12" s="5">
        <f>IFERROR(VLOOKUP(AVT$1,'CERA Conservador'!$B$28:$C$35,2,FALSE),0%)</f>
        <v>0</v>
      </c>
      <c r="AVU12" s="5">
        <f>IFERROR(VLOOKUP(AVU$1,'CERA Conservador'!$B$28:$C$35,2,FALSE),0%)</f>
        <v>0</v>
      </c>
      <c r="AVV12" s="5">
        <f>IFERROR(VLOOKUP(AVV$1,'CERA Conservador'!$B$28:$C$35,2,FALSE),0%)</f>
        <v>0</v>
      </c>
      <c r="AVW12" s="5">
        <f>IFERROR(VLOOKUP(AVW$1,'CERA Conservador'!$B$28:$C$35,2,FALSE),0%)</f>
        <v>0</v>
      </c>
      <c r="AVX12" s="5">
        <f>IFERROR(VLOOKUP(AVX$1,'CERA Conservador'!$B$28:$C$35,2,FALSE),0%)</f>
        <v>0</v>
      </c>
      <c r="AVY12" s="5">
        <f>IFERROR(VLOOKUP(AVY$1,'CERA Conservador'!$B$28:$C$35,2,FALSE),0%)</f>
        <v>0</v>
      </c>
      <c r="AVZ12" s="5">
        <f>IFERROR(VLOOKUP(AVZ$1,'CERA Conservador'!$B$28:$C$35,2,FALSE),0%)</f>
        <v>0</v>
      </c>
      <c r="AWA12" s="5">
        <f>IFERROR(VLOOKUP(AWA$1,'CERA Conservador'!$B$28:$C$35,2,FALSE),0%)</f>
        <v>0</v>
      </c>
      <c r="AWB12" s="5">
        <f>IFERROR(VLOOKUP(AWB$1,'CERA Conservador'!$B$28:$C$35,2,FALSE),0%)</f>
        <v>0</v>
      </c>
      <c r="AWC12" s="5">
        <f>IFERROR(VLOOKUP(AWC$1,'CERA Conservador'!$B$28:$C$35,2,FALSE),0%)</f>
        <v>0</v>
      </c>
      <c r="AWD12" s="5">
        <f>IFERROR(VLOOKUP(AWD$1,'CERA Conservador'!$B$28:$C$35,2,FALSE),0%)</f>
        <v>0</v>
      </c>
      <c r="AWE12" s="5">
        <f>IFERROR(VLOOKUP(AWE$1,'CERA Conservador'!$B$28:$C$35,2,FALSE),0%)</f>
        <v>0</v>
      </c>
      <c r="AWF12" s="5">
        <f>IFERROR(VLOOKUP(AWF$1,'CERA Conservador'!$B$28:$C$35,2,FALSE),0%)</f>
        <v>0</v>
      </c>
      <c r="AWG12" s="5">
        <f>IFERROR(VLOOKUP(AWG$1,'CERA Conservador'!$B$28:$C$35,2,FALSE),0%)</f>
        <v>0</v>
      </c>
      <c r="AWH12" s="5">
        <f>IFERROR(VLOOKUP(AWH$1,'CERA Conservador'!$B$28:$C$35,2,FALSE),0%)</f>
        <v>0</v>
      </c>
      <c r="AWI12" s="5">
        <f>IFERROR(VLOOKUP(AWI$1,'CERA Conservador'!$B$28:$C$35,2,FALSE),0%)</f>
        <v>0</v>
      </c>
      <c r="AWJ12" s="5">
        <f>IFERROR(VLOOKUP(AWJ$1,'CERA Conservador'!$B$28:$C$35,2,FALSE),0%)</f>
        <v>0</v>
      </c>
      <c r="AWK12" s="5">
        <f>IFERROR(VLOOKUP(AWK$1,'CERA Conservador'!$B$28:$C$35,2,FALSE),0%)</f>
        <v>0</v>
      </c>
      <c r="AWL12" s="5">
        <f>IFERROR(VLOOKUP(AWL$1,'CERA Conservador'!$B$28:$C$35,2,FALSE),0%)</f>
        <v>0</v>
      </c>
      <c r="AWM12" s="5">
        <f>IFERROR(VLOOKUP(AWM$1,'CERA Conservador'!$B$28:$C$35,2,FALSE),0%)</f>
        <v>0</v>
      </c>
      <c r="AWN12" s="5">
        <f>IFERROR(VLOOKUP(AWN$1,'CERA Conservador'!$B$28:$C$35,2,FALSE),0%)</f>
        <v>0</v>
      </c>
      <c r="AWO12" s="5">
        <f>IFERROR(VLOOKUP(AWO$1,'CERA Conservador'!$B$28:$C$35,2,FALSE),0%)</f>
        <v>0</v>
      </c>
      <c r="AWP12" s="5">
        <f>IFERROR(VLOOKUP(AWP$1,'CERA Conservador'!$B$28:$C$35,2,FALSE),0%)</f>
        <v>0</v>
      </c>
      <c r="AWQ12" s="5">
        <f>IFERROR(VLOOKUP(AWQ$1,'CERA Conservador'!$B$28:$C$35,2,FALSE),0%)</f>
        <v>0</v>
      </c>
      <c r="AWR12" s="5">
        <f>IFERROR(VLOOKUP(AWR$1,'CERA Conservador'!$B$28:$C$35,2,FALSE),0%)</f>
        <v>0</v>
      </c>
      <c r="AWS12" s="5">
        <f>IFERROR(VLOOKUP(AWS$1,'CERA Conservador'!$B$28:$C$35,2,FALSE),0%)</f>
        <v>0</v>
      </c>
      <c r="AWT12" s="5">
        <f>IFERROR(VLOOKUP(AWT$1,'CERA Conservador'!$B$28:$C$35,2,FALSE),0%)</f>
        <v>0</v>
      </c>
      <c r="AWU12" s="5">
        <f>IFERROR(VLOOKUP(AWU$1,'CERA Conservador'!$B$28:$C$35,2,FALSE),0%)</f>
        <v>0</v>
      </c>
      <c r="AWV12" s="5">
        <f>IFERROR(VLOOKUP(AWV$1,'CERA Conservador'!$B$28:$C$35,2,FALSE),0%)</f>
        <v>0</v>
      </c>
      <c r="AWW12" s="5">
        <f>IFERROR(VLOOKUP(AWW$1,'CERA Conservador'!$B$28:$C$35,2,FALSE),0%)</f>
        <v>0</v>
      </c>
      <c r="AWX12" s="5">
        <f>IFERROR(VLOOKUP(AWX$1,'CERA Conservador'!$B$28:$C$35,2,FALSE),0%)</f>
        <v>0</v>
      </c>
      <c r="AWY12" s="5">
        <f>IFERROR(VLOOKUP(AWY$1,'CERA Conservador'!$B$28:$C$35,2,FALSE),0%)</f>
        <v>0</v>
      </c>
      <c r="AWZ12" s="5">
        <f>IFERROR(VLOOKUP(AWZ$1,'CERA Conservador'!$B$28:$C$35,2,FALSE),0%)</f>
        <v>0</v>
      </c>
      <c r="AXA12" s="5">
        <f>IFERROR(VLOOKUP(AXA$1,'CERA Conservador'!$B$28:$C$35,2,FALSE),0%)</f>
        <v>0</v>
      </c>
      <c r="AXB12" s="5">
        <f>IFERROR(VLOOKUP(AXB$1,'CERA Conservador'!$B$28:$C$35,2,FALSE),0%)</f>
        <v>0</v>
      </c>
      <c r="AXC12" s="5">
        <f>IFERROR(VLOOKUP(AXC$1,'CERA Conservador'!$B$28:$C$35,2,FALSE),0%)</f>
        <v>0</v>
      </c>
      <c r="AXD12" s="5">
        <f>IFERROR(VLOOKUP(AXD$1,'CERA Conservador'!$B$28:$C$35,2,FALSE),0%)</f>
        <v>0</v>
      </c>
      <c r="AXE12" s="5">
        <f>IFERROR(VLOOKUP(AXE$1,'CERA Conservador'!$B$28:$C$35,2,FALSE),0%)</f>
        <v>0</v>
      </c>
      <c r="AXF12" s="5">
        <f>IFERROR(VLOOKUP(AXF$1,'CERA Conservador'!$B$28:$C$35,2,FALSE),0%)</f>
        <v>0</v>
      </c>
      <c r="AXG12" s="5">
        <f>IFERROR(VLOOKUP(AXG$1,'CERA Conservador'!$B$28:$C$35,2,FALSE),0%)</f>
        <v>0</v>
      </c>
      <c r="AXH12" s="5">
        <f>IFERROR(VLOOKUP(AXH$1,'CERA Conservador'!$B$28:$C$35,2,FALSE),0%)</f>
        <v>0</v>
      </c>
      <c r="AXI12" s="5">
        <f>IFERROR(VLOOKUP(AXI$1,'CERA Conservador'!$B$28:$C$35,2,FALSE),0%)</f>
        <v>0</v>
      </c>
      <c r="AXJ12" s="5">
        <f>IFERROR(VLOOKUP(AXJ$1,'CERA Conservador'!$B$28:$C$35,2,FALSE),0%)</f>
        <v>0</v>
      </c>
      <c r="AXK12" s="5">
        <f>IFERROR(VLOOKUP(AXK$1,'CERA Conservador'!$B$28:$C$35,2,FALSE),0%)</f>
        <v>0</v>
      </c>
      <c r="AXL12" s="5">
        <f>IFERROR(VLOOKUP(AXL$1,'CERA Conservador'!$B$28:$C$35,2,FALSE),0%)</f>
        <v>0</v>
      </c>
      <c r="AXM12" s="5">
        <f>IFERROR(VLOOKUP(AXM$1,'CERA Conservador'!$B$28:$C$35,2,FALSE),0%)</f>
        <v>0</v>
      </c>
      <c r="AXN12" s="5">
        <f>IFERROR(VLOOKUP(AXN$1,'CERA Conservador'!$B$28:$C$35,2,FALSE),0%)</f>
        <v>0</v>
      </c>
      <c r="AXO12" s="5">
        <f>IFERROR(VLOOKUP(AXO$1,'CERA Conservador'!$B$28:$C$35,2,FALSE),0%)</f>
        <v>0</v>
      </c>
      <c r="AXP12" s="5">
        <f>IFERROR(VLOOKUP(AXP$1,'CERA Conservador'!$B$28:$C$35,2,FALSE),0%)</f>
        <v>0</v>
      </c>
      <c r="AXQ12" s="5">
        <f>IFERROR(VLOOKUP(AXQ$1,'CERA Conservador'!$B$28:$C$35,2,FALSE),0%)</f>
        <v>0</v>
      </c>
      <c r="AXR12" s="5">
        <f>IFERROR(VLOOKUP(AXR$1,'CERA Conservador'!$B$28:$C$35,2,FALSE),0%)</f>
        <v>0</v>
      </c>
      <c r="AXS12" s="5">
        <f>IFERROR(VLOOKUP(AXS$1,'CERA Conservador'!$B$28:$C$35,2,FALSE),0%)</f>
        <v>0</v>
      </c>
      <c r="AXT12" s="5">
        <f>IFERROR(VLOOKUP(AXT$1,'CERA Conservador'!$B$28:$C$35,2,FALSE),0%)</f>
        <v>0</v>
      </c>
      <c r="AXU12" s="5">
        <f>IFERROR(VLOOKUP(AXU$1,'CERA Conservador'!$B$28:$C$35,2,FALSE),0%)</f>
        <v>0</v>
      </c>
      <c r="AXV12" s="5">
        <f>IFERROR(VLOOKUP(AXV$1,'CERA Conservador'!$B$28:$C$35,2,FALSE),0%)</f>
        <v>0</v>
      </c>
      <c r="AXW12" s="5">
        <f>IFERROR(VLOOKUP(AXW$1,'CERA Conservador'!$B$28:$C$35,2,FALSE),0%)</f>
        <v>0</v>
      </c>
      <c r="AXX12" s="5">
        <f>IFERROR(VLOOKUP(AXX$1,'CERA Conservador'!$B$28:$C$35,2,FALSE),0%)</f>
        <v>0</v>
      </c>
      <c r="AXY12" s="5">
        <f>IFERROR(VLOOKUP(AXY$1,'CERA Conservador'!$B$28:$C$35,2,FALSE),0%)</f>
        <v>0</v>
      </c>
      <c r="AXZ12" s="5">
        <f>IFERROR(VLOOKUP(AXZ$1,'CERA Conservador'!$B$28:$C$35,2,FALSE),0%)</f>
        <v>0</v>
      </c>
      <c r="AYA12" s="5">
        <f>IFERROR(VLOOKUP(AYA$1,'CERA Conservador'!$B$28:$C$35,2,FALSE),0%)</f>
        <v>0</v>
      </c>
      <c r="AYB12" s="5">
        <f>IFERROR(VLOOKUP(AYB$1,'CERA Conservador'!$B$28:$C$35,2,FALSE),0%)</f>
        <v>0</v>
      </c>
      <c r="AYC12" s="5">
        <f>IFERROR(VLOOKUP(AYC$1,'CERA Conservador'!$B$28:$C$35,2,FALSE),0%)</f>
        <v>0</v>
      </c>
      <c r="AYD12" s="5">
        <f>IFERROR(VLOOKUP(AYD$1,'CERA Conservador'!$B$28:$C$35,2,FALSE),0%)</f>
        <v>0</v>
      </c>
      <c r="AYE12" s="5">
        <f>IFERROR(VLOOKUP(AYE$1,'CERA Conservador'!$B$28:$C$35,2,FALSE),0%)</f>
        <v>0</v>
      </c>
      <c r="AYF12" s="5">
        <f>IFERROR(VLOOKUP(AYF$1,'CERA Conservador'!$B$28:$C$35,2,FALSE),0%)</f>
        <v>0</v>
      </c>
      <c r="AYG12" s="5">
        <f>IFERROR(VLOOKUP(AYG$1,'CERA Conservador'!$B$28:$C$35,2,FALSE),0%)</f>
        <v>0</v>
      </c>
      <c r="AYH12" s="5">
        <f>IFERROR(VLOOKUP(AYH$1,'CERA Conservador'!$B$28:$C$35,2,FALSE),0%)</f>
        <v>0</v>
      </c>
      <c r="AYI12" s="5">
        <f>IFERROR(VLOOKUP(AYI$1,'CERA Conservador'!$B$28:$C$35,2,FALSE),0%)</f>
        <v>0</v>
      </c>
      <c r="AYJ12" s="5">
        <f>IFERROR(VLOOKUP(AYJ$1,'CERA Conservador'!$B$28:$C$35,2,FALSE),0%)</f>
        <v>0</v>
      </c>
      <c r="AYK12" s="5">
        <f>IFERROR(VLOOKUP(AYK$1,'CERA Conservador'!$B$28:$C$35,2,FALSE),0%)</f>
        <v>0</v>
      </c>
      <c r="AYL12" s="5">
        <f>IFERROR(VLOOKUP(AYL$1,'CERA Conservador'!$B$28:$C$35,2,FALSE),0%)</f>
        <v>0</v>
      </c>
      <c r="AYM12" s="5">
        <f>IFERROR(VLOOKUP(AYM$1,'CERA Conservador'!$B$28:$C$35,2,FALSE),0%)</f>
        <v>0</v>
      </c>
      <c r="AYN12" s="5">
        <f>IFERROR(VLOOKUP(AYN$1,'CERA Conservador'!$B$28:$C$35,2,FALSE),0%)</f>
        <v>0</v>
      </c>
      <c r="AYO12" s="5">
        <f>IFERROR(VLOOKUP(AYO$1,'CERA Conservador'!$B$28:$C$35,2,FALSE),0%)</f>
        <v>0</v>
      </c>
      <c r="AYP12" s="5">
        <f>IFERROR(VLOOKUP(AYP$1,'CERA Conservador'!$B$28:$C$35,2,FALSE),0%)</f>
        <v>0</v>
      </c>
      <c r="AYQ12" s="5">
        <f>IFERROR(VLOOKUP(AYQ$1,'CERA Conservador'!$B$28:$C$35,2,FALSE),0%)</f>
        <v>0</v>
      </c>
      <c r="AYR12" s="5">
        <f>IFERROR(VLOOKUP(AYR$1,'CERA Conservador'!$B$28:$C$35,2,FALSE),0%)</f>
        <v>0</v>
      </c>
      <c r="AYS12" s="5">
        <f>IFERROR(VLOOKUP(AYS$1,'CERA Conservador'!$B$28:$C$35,2,FALSE),0%)</f>
        <v>0</v>
      </c>
      <c r="AYT12" s="5">
        <f>IFERROR(VLOOKUP(AYT$1,'CERA Conservador'!$B$28:$C$35,2,FALSE),0%)</f>
        <v>0</v>
      </c>
      <c r="AYU12" s="5">
        <f>IFERROR(VLOOKUP(AYU$1,'CERA Conservador'!$B$28:$C$35,2,FALSE),0%)</f>
        <v>0</v>
      </c>
      <c r="AYV12" s="5">
        <f>IFERROR(VLOOKUP(AYV$1,'CERA Conservador'!$B$28:$C$35,2,FALSE),0%)</f>
        <v>0</v>
      </c>
      <c r="AYW12" s="5">
        <f>IFERROR(VLOOKUP(AYW$1,'CERA Conservador'!$B$28:$C$35,2,FALSE),0%)</f>
        <v>0</v>
      </c>
      <c r="AYX12" s="5">
        <f>IFERROR(VLOOKUP(AYX$1,'CERA Conservador'!$B$28:$C$35,2,FALSE),0%)</f>
        <v>0</v>
      </c>
      <c r="AYY12" s="5">
        <f>IFERROR(VLOOKUP(AYY$1,'CERA Conservador'!$B$28:$C$35,2,FALSE),0%)</f>
        <v>0</v>
      </c>
      <c r="AYZ12" s="5">
        <f>IFERROR(VLOOKUP(AYZ$1,'CERA Conservador'!$B$28:$C$35,2,FALSE),0%)</f>
        <v>0</v>
      </c>
      <c r="AZA12" s="5">
        <f>IFERROR(VLOOKUP(AZA$1,'CERA Conservador'!$B$28:$C$35,2,FALSE),0%)</f>
        <v>0</v>
      </c>
      <c r="AZB12" s="5">
        <f>IFERROR(VLOOKUP(AZB$1,'CERA Conservador'!$B$28:$C$35,2,FALSE),0%)</f>
        <v>0</v>
      </c>
      <c r="AZC12" s="5">
        <f>IFERROR(VLOOKUP(AZC$1,'CERA Conservador'!$B$28:$C$35,2,FALSE),0%)</f>
        <v>0</v>
      </c>
      <c r="AZD12" s="5">
        <f>IFERROR(VLOOKUP(AZD$1,'CERA Conservador'!$B$28:$C$35,2,FALSE),0%)</f>
        <v>0</v>
      </c>
      <c r="AZE12" s="5">
        <f>IFERROR(VLOOKUP(AZE$1,'CERA Conservador'!$B$28:$C$35,2,FALSE),0%)</f>
        <v>0</v>
      </c>
      <c r="AZF12" s="5">
        <f>IFERROR(VLOOKUP(AZF$1,'CERA Conservador'!$B$28:$C$35,2,FALSE),0%)</f>
        <v>0</v>
      </c>
      <c r="AZG12" s="5">
        <f>IFERROR(VLOOKUP(AZG$1,'CERA Conservador'!$B$28:$C$35,2,FALSE),0%)</f>
        <v>0</v>
      </c>
      <c r="AZH12" s="5">
        <f>IFERROR(VLOOKUP(AZH$1,'CERA Conservador'!$B$28:$C$35,2,FALSE),0%)</f>
        <v>0</v>
      </c>
      <c r="AZI12" s="5">
        <f>IFERROR(VLOOKUP(AZI$1,'CERA Conservador'!$B$28:$C$35,2,FALSE),0%)</f>
        <v>0</v>
      </c>
      <c r="AZJ12" s="5">
        <f>IFERROR(VLOOKUP(AZJ$1,'CERA Conservador'!$B$28:$C$35,2,FALSE),0%)</f>
        <v>0</v>
      </c>
      <c r="AZK12" s="5">
        <f>IFERROR(VLOOKUP(AZK$1,'CERA Conservador'!$B$28:$C$35,2,FALSE),0%)</f>
        <v>0</v>
      </c>
      <c r="AZL12" s="5">
        <f>IFERROR(VLOOKUP(AZL$1,'CERA Conservador'!$B$28:$C$35,2,FALSE),0%)</f>
        <v>0</v>
      </c>
      <c r="AZM12" s="5">
        <f>IFERROR(VLOOKUP(AZM$1,'CERA Conservador'!$B$28:$C$35,2,FALSE),0%)</f>
        <v>0</v>
      </c>
      <c r="AZN12" s="5">
        <f>IFERROR(VLOOKUP(AZN$1,'CERA Conservador'!$B$28:$C$35,2,FALSE),0%)</f>
        <v>0</v>
      </c>
      <c r="AZO12" s="5">
        <f>IFERROR(VLOOKUP(AZO$1,'CERA Conservador'!$B$28:$C$35,2,FALSE),0%)</f>
        <v>0</v>
      </c>
      <c r="AZP12" s="5">
        <f>IFERROR(VLOOKUP(AZP$1,'CERA Conservador'!$B$28:$C$35,2,FALSE),0%)</f>
        <v>0</v>
      </c>
      <c r="AZQ12" s="5">
        <f>IFERROR(VLOOKUP(AZQ$1,'CERA Conservador'!$B$28:$C$35,2,FALSE),0%)</f>
        <v>0</v>
      </c>
      <c r="AZR12" s="5">
        <f>IFERROR(VLOOKUP(AZR$1,'CERA Conservador'!$B$28:$C$35,2,FALSE),0%)</f>
        <v>0</v>
      </c>
      <c r="AZS12" s="5">
        <f>IFERROR(VLOOKUP(AZS$1,'CERA Conservador'!$B$28:$C$35,2,FALSE),0%)</f>
        <v>0</v>
      </c>
      <c r="AZT12" s="5">
        <f>IFERROR(VLOOKUP(AZT$1,'CERA Conservador'!$B$28:$C$35,2,FALSE),0%)</f>
        <v>0</v>
      </c>
      <c r="AZU12" s="5">
        <f>IFERROR(VLOOKUP(AZU$1,'CERA Conservador'!$B$28:$C$35,2,FALSE),0%)</f>
        <v>0</v>
      </c>
      <c r="AZV12" s="5">
        <f>IFERROR(VLOOKUP(AZV$1,'CERA Conservador'!$B$28:$C$35,2,FALSE),0%)</f>
        <v>0</v>
      </c>
      <c r="AZW12" s="5">
        <f>IFERROR(VLOOKUP(AZW$1,'CERA Conservador'!$B$28:$C$35,2,FALSE),0%)</f>
        <v>0</v>
      </c>
      <c r="AZX12" s="5">
        <f>IFERROR(VLOOKUP(AZX$1,'CERA Conservador'!$B$28:$C$35,2,FALSE),0%)</f>
        <v>0</v>
      </c>
      <c r="AZY12" s="5">
        <f>IFERROR(VLOOKUP(AZY$1,'CERA Conservador'!$B$28:$C$35,2,FALSE),0%)</f>
        <v>0</v>
      </c>
      <c r="AZZ12" s="5">
        <f>IFERROR(VLOOKUP(AZZ$1,'CERA Conservador'!$B$28:$C$35,2,FALSE),0%)</f>
        <v>0</v>
      </c>
      <c r="BAA12" s="5">
        <f>IFERROR(VLOOKUP(BAA$1,'CERA Conservador'!$B$28:$C$35,2,FALSE),0%)</f>
        <v>0</v>
      </c>
      <c r="BAB12" s="5">
        <f>IFERROR(VLOOKUP(BAB$1,'CERA Conservador'!$B$28:$C$35,2,FALSE),0%)</f>
        <v>0</v>
      </c>
      <c r="BAC12" s="5">
        <f>IFERROR(VLOOKUP(BAC$1,'CERA Conservador'!$B$28:$C$35,2,FALSE),0%)</f>
        <v>0</v>
      </c>
      <c r="BAD12" s="5">
        <f>IFERROR(VLOOKUP(BAD$1,'CERA Conservador'!$B$28:$C$35,2,FALSE),0%)</f>
        <v>0</v>
      </c>
      <c r="BAE12" s="5">
        <f>IFERROR(VLOOKUP(BAE$1,'CERA Conservador'!$B$28:$C$35,2,FALSE),0%)</f>
        <v>0</v>
      </c>
      <c r="BAF12" s="5">
        <f>IFERROR(VLOOKUP(BAF$1,'CERA Conservador'!$B$28:$C$35,2,FALSE),0%)</f>
        <v>0</v>
      </c>
      <c r="BAG12" s="5">
        <f>IFERROR(VLOOKUP(BAG$1,'CERA Conservador'!$B$28:$C$35,2,FALSE),0%)</f>
        <v>0</v>
      </c>
      <c r="BAH12" s="5">
        <f>IFERROR(VLOOKUP(BAH$1,'CERA Conservador'!$B$28:$C$35,2,FALSE),0%)</f>
        <v>0</v>
      </c>
      <c r="BAI12" s="5">
        <f>IFERROR(VLOOKUP(BAI$1,'CERA Conservador'!$B$28:$C$35,2,FALSE),0%)</f>
        <v>0</v>
      </c>
      <c r="BAJ12" s="5">
        <f>IFERROR(VLOOKUP(BAJ$1,'CERA Conservador'!$B$28:$C$35,2,FALSE),0%)</f>
        <v>0</v>
      </c>
      <c r="BAK12" s="5">
        <f>IFERROR(VLOOKUP(BAK$1,'CERA Conservador'!$B$28:$C$35,2,FALSE),0%)</f>
        <v>0</v>
      </c>
      <c r="BAL12" s="5">
        <f>IFERROR(VLOOKUP(BAL$1,'CERA Conservador'!$B$28:$C$35,2,FALSE),0%)</f>
        <v>0</v>
      </c>
      <c r="BAM12" s="5">
        <f>IFERROR(VLOOKUP(BAM$1,'CERA Conservador'!$B$28:$C$35,2,FALSE),0%)</f>
        <v>0</v>
      </c>
      <c r="BAN12" s="5">
        <f>IFERROR(VLOOKUP(BAN$1,'CERA Conservador'!$B$28:$C$35,2,FALSE),0%)</f>
        <v>0</v>
      </c>
      <c r="BAO12" s="5">
        <f>IFERROR(VLOOKUP(BAO$1,'CERA Conservador'!$B$28:$C$35,2,FALSE),0%)</f>
        <v>0</v>
      </c>
      <c r="BAP12" s="5">
        <f>IFERROR(VLOOKUP(BAP$1,'CERA Conservador'!$B$28:$C$35,2,FALSE),0%)</f>
        <v>0</v>
      </c>
      <c r="BAQ12" s="5">
        <f>IFERROR(VLOOKUP(BAQ$1,'CERA Conservador'!$B$28:$C$35,2,FALSE),0%)</f>
        <v>0</v>
      </c>
      <c r="BAR12" s="5">
        <f>IFERROR(VLOOKUP(BAR$1,'CERA Conservador'!$B$28:$C$35,2,FALSE),0%)</f>
        <v>0</v>
      </c>
      <c r="BAS12" s="5">
        <f>IFERROR(VLOOKUP(BAS$1,'CERA Conservador'!$B$28:$C$35,2,FALSE),0%)</f>
        <v>0</v>
      </c>
      <c r="BAT12" s="5">
        <f>IFERROR(VLOOKUP(BAT$1,'CERA Conservador'!$B$28:$C$35,2,FALSE),0%)</f>
        <v>0</v>
      </c>
      <c r="BAU12" s="5">
        <f>IFERROR(VLOOKUP(BAU$1,'CERA Conservador'!$B$28:$C$35,2,FALSE),0%)</f>
        <v>0</v>
      </c>
      <c r="BAV12" s="5">
        <f>IFERROR(VLOOKUP(BAV$1,'CERA Conservador'!$B$28:$C$35,2,FALSE),0%)</f>
        <v>0</v>
      </c>
      <c r="BAW12" s="5">
        <f>IFERROR(VLOOKUP(BAW$1,'CERA Conservador'!$B$28:$C$35,2,FALSE),0%)</f>
        <v>0</v>
      </c>
      <c r="BAX12" s="5">
        <f>IFERROR(VLOOKUP(BAX$1,'CERA Conservador'!$B$28:$C$35,2,FALSE),0%)</f>
        <v>0</v>
      </c>
      <c r="BAY12" s="5">
        <f>IFERROR(VLOOKUP(BAY$1,'CERA Conservador'!$B$28:$C$35,2,FALSE),0%)</f>
        <v>0</v>
      </c>
      <c r="BAZ12" s="5">
        <f>IFERROR(VLOOKUP(BAZ$1,'CERA Conservador'!$B$28:$C$35,2,FALSE),0%)</f>
        <v>0</v>
      </c>
      <c r="BBA12" s="5">
        <f>IFERROR(VLOOKUP(BBA$1,'CERA Conservador'!$B$28:$C$35,2,FALSE),0%)</f>
        <v>0</v>
      </c>
      <c r="BBB12" s="5">
        <f>IFERROR(VLOOKUP(BBB$1,'CERA Conservador'!$B$28:$C$35,2,FALSE),0%)</f>
        <v>0</v>
      </c>
      <c r="BBC12" s="5">
        <f>IFERROR(VLOOKUP(BBC$1,'CERA Conservador'!$B$28:$C$35,2,FALSE),0%)</f>
        <v>0</v>
      </c>
      <c r="BBD12" s="5">
        <f>IFERROR(VLOOKUP(BBD$1,'CERA Conservador'!$B$28:$C$35,2,FALSE),0%)</f>
        <v>0</v>
      </c>
      <c r="BBE12" s="5">
        <f>IFERROR(VLOOKUP(BBE$1,'CERA Conservador'!$B$28:$C$35,2,FALSE),0%)</f>
        <v>0</v>
      </c>
      <c r="BBF12" s="5">
        <f>IFERROR(VLOOKUP(BBF$1,'CERA Conservador'!$B$28:$C$35,2,FALSE),0%)</f>
        <v>0</v>
      </c>
      <c r="BBG12" s="5">
        <f>IFERROR(VLOOKUP(BBG$1,'CERA Conservador'!$B$28:$C$35,2,FALSE),0%)</f>
        <v>0</v>
      </c>
      <c r="BBH12" s="5">
        <f>IFERROR(VLOOKUP(BBH$1,'CERA Conservador'!$B$28:$C$35,2,FALSE),0%)</f>
        <v>0</v>
      </c>
      <c r="BBI12" s="5">
        <f>IFERROR(VLOOKUP(BBI$1,'CERA Conservador'!$B$28:$C$35,2,FALSE),0%)</f>
        <v>0</v>
      </c>
      <c r="BBJ12" s="5">
        <f>IFERROR(VLOOKUP(BBJ$1,'CERA Conservador'!$B$28:$C$35,2,FALSE),0%)</f>
        <v>0</v>
      </c>
      <c r="BBK12" s="5">
        <f>IFERROR(VLOOKUP(BBK$1,'CERA Conservador'!$B$28:$C$35,2,FALSE),0%)</f>
        <v>0</v>
      </c>
      <c r="BBL12" s="5">
        <f>IFERROR(VLOOKUP(BBL$1,'CERA Conservador'!$B$28:$C$35,2,FALSE),0%)</f>
        <v>0</v>
      </c>
      <c r="BBM12" s="5">
        <f>IFERROR(VLOOKUP(BBM$1,'CERA Conservador'!$B$28:$C$35,2,FALSE),0%)</f>
        <v>0</v>
      </c>
      <c r="BBN12" s="5">
        <f>IFERROR(VLOOKUP(BBN$1,'CERA Conservador'!$B$28:$C$35,2,FALSE),0%)</f>
        <v>0</v>
      </c>
      <c r="BBO12" s="5">
        <f>IFERROR(VLOOKUP(BBO$1,'CERA Conservador'!$B$28:$C$35,2,FALSE),0%)</f>
        <v>0</v>
      </c>
      <c r="BBP12" s="5">
        <f>IFERROR(VLOOKUP(BBP$1,'CERA Conservador'!$B$28:$C$35,2,FALSE),0%)</f>
        <v>0</v>
      </c>
      <c r="BBQ12" s="5">
        <f>IFERROR(VLOOKUP(BBQ$1,'CERA Conservador'!$B$28:$C$35,2,FALSE),0%)</f>
        <v>0</v>
      </c>
      <c r="BBR12" s="5">
        <f>IFERROR(VLOOKUP(BBR$1,'CERA Conservador'!$B$28:$C$35,2,FALSE),0%)</f>
        <v>0</v>
      </c>
      <c r="BBS12" s="5">
        <f>IFERROR(VLOOKUP(BBS$1,'CERA Conservador'!$B$28:$C$35,2,FALSE),0%)</f>
        <v>0</v>
      </c>
      <c r="BBT12" s="5">
        <f>IFERROR(VLOOKUP(BBT$1,'CERA Conservador'!$B$28:$C$35,2,FALSE),0%)</f>
        <v>0</v>
      </c>
      <c r="BBU12" s="5">
        <f>IFERROR(VLOOKUP(BBU$1,'CERA Conservador'!$B$28:$C$35,2,FALSE),0%)</f>
        <v>0</v>
      </c>
      <c r="BBV12" s="5">
        <f>IFERROR(VLOOKUP(BBV$1,'CERA Conservador'!$B$28:$C$35,2,FALSE),0%)</f>
        <v>0</v>
      </c>
      <c r="BBW12" s="5">
        <f>IFERROR(VLOOKUP(BBW$1,'CERA Conservador'!$B$28:$C$35,2,FALSE),0%)</f>
        <v>0</v>
      </c>
      <c r="BBX12" s="5">
        <f>IFERROR(VLOOKUP(BBX$1,'CERA Conservador'!$B$28:$C$35,2,FALSE),0%)</f>
        <v>0</v>
      </c>
      <c r="BBY12" s="5">
        <f>IFERROR(VLOOKUP(BBY$1,'CERA Conservador'!$B$28:$C$35,2,FALSE),0%)</f>
        <v>0</v>
      </c>
      <c r="BBZ12" s="5">
        <f>IFERROR(VLOOKUP(BBZ$1,'CERA Conservador'!$B$28:$C$35,2,FALSE),0%)</f>
        <v>0</v>
      </c>
      <c r="BCA12" s="5">
        <f>IFERROR(VLOOKUP(BCA$1,'CERA Conservador'!$B$28:$C$35,2,FALSE),0%)</f>
        <v>0</v>
      </c>
      <c r="BCB12" s="5">
        <f>IFERROR(VLOOKUP(BCB$1,'CERA Conservador'!$B$28:$C$35,2,FALSE),0%)</f>
        <v>0</v>
      </c>
      <c r="BCC12" s="5">
        <f>IFERROR(VLOOKUP(BCC$1,'CERA Conservador'!$B$28:$C$35,2,FALSE),0%)</f>
        <v>0</v>
      </c>
      <c r="BCD12" s="5">
        <f>IFERROR(VLOOKUP(BCD$1,'CERA Conservador'!$B$28:$C$35,2,FALSE),0%)</f>
        <v>0</v>
      </c>
      <c r="BCE12" s="5">
        <f>IFERROR(VLOOKUP(BCE$1,'CERA Conservador'!$B$28:$C$35,2,FALSE),0%)</f>
        <v>0</v>
      </c>
      <c r="BCF12" s="5">
        <f>IFERROR(VLOOKUP(BCF$1,'CERA Conservador'!$B$28:$C$35,2,FALSE),0%)</f>
        <v>0</v>
      </c>
      <c r="BCG12" s="5">
        <f>IFERROR(VLOOKUP(BCG$1,'CERA Conservador'!$B$28:$C$35,2,FALSE),0%)</f>
        <v>0</v>
      </c>
      <c r="BCH12" s="5">
        <f>IFERROR(VLOOKUP(BCH$1,'CERA Conservador'!$B$28:$C$35,2,FALSE),0%)</f>
        <v>0</v>
      </c>
      <c r="BCI12" s="5">
        <f>IFERROR(VLOOKUP(BCI$1,'CERA Conservador'!$B$28:$C$35,2,FALSE),0%)</f>
        <v>0</v>
      </c>
      <c r="BCJ12" s="5">
        <f>IFERROR(VLOOKUP(BCJ$1,'CERA Conservador'!$B$28:$C$35,2,FALSE),0%)</f>
        <v>0</v>
      </c>
      <c r="BCK12" s="5">
        <f>IFERROR(VLOOKUP(BCK$1,'CERA Conservador'!$B$28:$C$35,2,FALSE),0%)</f>
        <v>0</v>
      </c>
      <c r="BCL12" s="5">
        <f>IFERROR(VLOOKUP(BCL$1,'CERA Conservador'!$B$28:$C$35,2,FALSE),0%)</f>
        <v>0</v>
      </c>
      <c r="BCM12" s="5">
        <f>IFERROR(VLOOKUP(BCM$1,'CERA Conservador'!$B$28:$C$35,2,FALSE),0%)</f>
        <v>0</v>
      </c>
      <c r="BCN12" s="5">
        <f>IFERROR(VLOOKUP(BCN$1,'CERA Conservador'!$B$28:$C$35,2,FALSE),0%)</f>
        <v>0</v>
      </c>
      <c r="BCO12" s="5">
        <f>IFERROR(VLOOKUP(BCO$1,'CERA Conservador'!$B$28:$C$35,2,FALSE),0%)</f>
        <v>0</v>
      </c>
      <c r="BCP12" s="5">
        <f>IFERROR(VLOOKUP(BCP$1,'CERA Conservador'!$B$28:$C$35,2,FALSE),0%)</f>
        <v>0</v>
      </c>
      <c r="BCQ12" s="5">
        <f>IFERROR(VLOOKUP(BCQ$1,'CERA Conservador'!$B$28:$C$35,2,FALSE),0%)</f>
        <v>0</v>
      </c>
      <c r="BCR12" s="5">
        <f>IFERROR(VLOOKUP(BCR$1,'CERA Conservador'!$B$28:$C$35,2,FALSE),0%)</f>
        <v>0</v>
      </c>
      <c r="BCS12" s="5">
        <f>IFERROR(VLOOKUP(BCS$1,'CERA Conservador'!$B$28:$C$35,2,FALSE),0%)</f>
        <v>0</v>
      </c>
      <c r="BCT12" s="5">
        <f>IFERROR(VLOOKUP(BCT$1,'CERA Conservador'!$B$28:$C$35,2,FALSE),0%)</f>
        <v>0</v>
      </c>
      <c r="BCU12" s="5">
        <f>IFERROR(VLOOKUP(BCU$1,'CERA Conservador'!$B$28:$C$35,2,FALSE),0%)</f>
        <v>0</v>
      </c>
      <c r="BCV12" s="5">
        <f>IFERROR(VLOOKUP(BCV$1,'CERA Conservador'!$B$28:$C$35,2,FALSE),0%)</f>
        <v>0</v>
      </c>
      <c r="BCW12" s="5">
        <f>IFERROR(VLOOKUP(BCW$1,'CERA Conservador'!$B$28:$C$35,2,FALSE),0%)</f>
        <v>0</v>
      </c>
      <c r="BCX12" s="5">
        <f>IFERROR(VLOOKUP(BCX$1,'CERA Conservador'!$B$28:$C$35,2,FALSE),0%)</f>
        <v>0</v>
      </c>
      <c r="BCY12" s="5">
        <f>IFERROR(VLOOKUP(BCY$1,'CERA Conservador'!$B$28:$C$35,2,FALSE),0%)</f>
        <v>0</v>
      </c>
      <c r="BCZ12" s="5">
        <f>IFERROR(VLOOKUP(BCZ$1,'CERA Conservador'!$B$28:$C$35,2,FALSE),0%)</f>
        <v>0</v>
      </c>
      <c r="BDA12" s="5">
        <f>IFERROR(VLOOKUP(BDA$1,'CERA Conservador'!$B$28:$C$35,2,FALSE),0%)</f>
        <v>0</v>
      </c>
      <c r="BDB12" s="5">
        <f>IFERROR(VLOOKUP(BDB$1,'CERA Conservador'!$B$28:$C$35,2,FALSE),0%)</f>
        <v>0</v>
      </c>
      <c r="BDC12" s="5">
        <f>IFERROR(VLOOKUP(BDC$1,'CERA Conservador'!$B$28:$C$35,2,FALSE),0%)</f>
        <v>0</v>
      </c>
      <c r="BDD12" s="5">
        <f>IFERROR(VLOOKUP(BDD$1,'CERA Conservador'!$B$28:$C$35,2,FALSE),0%)</f>
        <v>0</v>
      </c>
      <c r="BDE12" s="5">
        <f>IFERROR(VLOOKUP(BDE$1,'CERA Conservador'!$B$28:$C$35,2,FALSE),0%)</f>
        <v>0</v>
      </c>
      <c r="BDF12" s="5">
        <f>IFERROR(VLOOKUP(BDF$1,'CERA Conservador'!$B$28:$C$35,2,FALSE),0%)</f>
        <v>0</v>
      </c>
      <c r="BDG12" s="5">
        <f>IFERROR(VLOOKUP(BDG$1,'CERA Conservador'!$B$28:$C$35,2,FALSE),0%)</f>
        <v>0</v>
      </c>
      <c r="BDH12" s="5">
        <f>IFERROR(VLOOKUP(BDH$1,'CERA Conservador'!$B$28:$C$35,2,FALSE),0%)</f>
        <v>0</v>
      </c>
      <c r="BDI12" s="5">
        <f>IFERROR(VLOOKUP(BDI$1,'CERA Conservador'!$B$28:$C$35,2,FALSE),0%)</f>
        <v>0</v>
      </c>
      <c r="BDJ12" s="5">
        <f>IFERROR(VLOOKUP(BDJ$1,'CERA Conservador'!$B$28:$C$35,2,FALSE),0%)</f>
        <v>0</v>
      </c>
      <c r="BDK12" s="5">
        <f>IFERROR(VLOOKUP(BDK$1,'CERA Conservador'!$B$28:$C$35,2,FALSE),0%)</f>
        <v>0</v>
      </c>
      <c r="BDL12" s="5">
        <f>IFERROR(VLOOKUP(BDL$1,'CERA Conservador'!$B$28:$C$35,2,FALSE),0%)</f>
        <v>0</v>
      </c>
      <c r="BDM12" s="5">
        <f>IFERROR(VLOOKUP(BDM$1,'CERA Conservador'!$B$28:$C$35,2,FALSE),0%)</f>
        <v>0</v>
      </c>
      <c r="BDN12" s="5">
        <f>IFERROR(VLOOKUP(BDN$1,'CERA Conservador'!$B$28:$C$35,2,FALSE),0%)</f>
        <v>0</v>
      </c>
      <c r="BDO12" s="5">
        <f>IFERROR(VLOOKUP(BDO$1,'CERA Conservador'!$B$28:$C$35,2,FALSE),0%)</f>
        <v>0</v>
      </c>
      <c r="BDP12" s="5">
        <f>IFERROR(VLOOKUP(BDP$1,'CERA Conservador'!$B$28:$C$35,2,FALSE),0%)</f>
        <v>0</v>
      </c>
      <c r="BDQ12" s="5">
        <f>IFERROR(VLOOKUP(BDQ$1,'CERA Conservador'!$B$28:$C$35,2,FALSE),0%)</f>
        <v>0</v>
      </c>
      <c r="BDR12" s="5">
        <f>IFERROR(VLOOKUP(BDR$1,'CERA Conservador'!$B$28:$C$35,2,FALSE),0%)</f>
        <v>0</v>
      </c>
      <c r="BDS12" s="5">
        <f>IFERROR(VLOOKUP(BDS$1,'CERA Conservador'!$B$28:$C$35,2,FALSE),0%)</f>
        <v>0</v>
      </c>
      <c r="BDT12" s="5">
        <f>IFERROR(VLOOKUP(BDT$1,'CERA Conservador'!$B$28:$C$35,2,FALSE),0%)</f>
        <v>0</v>
      </c>
      <c r="BDU12" s="5">
        <f>IFERROR(VLOOKUP(BDU$1,'CERA Conservador'!$B$28:$C$35,2,FALSE),0%)</f>
        <v>0</v>
      </c>
      <c r="BDV12" s="5">
        <f>IFERROR(VLOOKUP(BDV$1,'CERA Conservador'!$B$28:$C$35,2,FALSE),0%)</f>
        <v>0</v>
      </c>
      <c r="BDW12" s="5">
        <f>IFERROR(VLOOKUP(BDW$1,'CERA Conservador'!$B$28:$C$35,2,FALSE),0%)</f>
        <v>0</v>
      </c>
      <c r="BDX12" s="5">
        <f>IFERROR(VLOOKUP(BDX$1,'CERA Conservador'!$B$28:$C$35,2,FALSE),0%)</f>
        <v>0</v>
      </c>
      <c r="BDY12" s="5">
        <f>IFERROR(VLOOKUP(BDY$1,'CERA Conservador'!$B$28:$C$35,2,FALSE),0%)</f>
        <v>0</v>
      </c>
      <c r="BDZ12" s="5">
        <f>IFERROR(VLOOKUP(BDZ$1,'CERA Conservador'!$B$28:$C$35,2,FALSE),0%)</f>
        <v>0</v>
      </c>
      <c r="BEA12" s="5">
        <f>IFERROR(VLOOKUP(BEA$1,'CERA Conservador'!$B$28:$C$35,2,FALSE),0%)</f>
        <v>0</v>
      </c>
      <c r="BEB12" s="5">
        <f>IFERROR(VLOOKUP(BEB$1,'CERA Conservador'!$B$28:$C$35,2,FALSE),0%)</f>
        <v>0</v>
      </c>
      <c r="BEC12" s="5">
        <f>IFERROR(VLOOKUP(BEC$1,'CERA Conservador'!$B$28:$C$35,2,FALSE),0%)</f>
        <v>0</v>
      </c>
      <c r="BED12" s="5">
        <f>IFERROR(VLOOKUP(BED$1,'CERA Conservador'!$B$28:$C$35,2,FALSE),0%)</f>
        <v>0</v>
      </c>
      <c r="BEE12" s="5">
        <f>IFERROR(VLOOKUP(BEE$1,'CERA Conservador'!$B$28:$C$35,2,FALSE),0%)</f>
        <v>0</v>
      </c>
      <c r="BEF12" s="5">
        <f>IFERROR(VLOOKUP(BEF$1,'CERA Conservador'!$B$28:$C$35,2,FALSE),0%)</f>
        <v>0</v>
      </c>
      <c r="BEG12" s="5">
        <f>IFERROR(VLOOKUP(BEG$1,'CERA Conservador'!$B$28:$C$35,2,FALSE),0%)</f>
        <v>0</v>
      </c>
      <c r="BEH12" s="5">
        <f>IFERROR(VLOOKUP(BEH$1,'CERA Conservador'!$B$28:$C$35,2,FALSE),0%)</f>
        <v>0</v>
      </c>
      <c r="BEI12" s="5">
        <f>IFERROR(VLOOKUP(BEI$1,'CERA Conservador'!$B$28:$C$35,2,FALSE),0%)</f>
        <v>0</v>
      </c>
      <c r="BEJ12" s="5">
        <f>IFERROR(VLOOKUP(BEJ$1,'CERA Conservador'!$B$28:$C$35,2,FALSE),0%)</f>
        <v>0</v>
      </c>
      <c r="BEK12" s="5">
        <f>IFERROR(VLOOKUP(BEK$1,'CERA Conservador'!$B$28:$C$35,2,FALSE),0%)</f>
        <v>0</v>
      </c>
      <c r="BEL12" s="5">
        <f>IFERROR(VLOOKUP(BEL$1,'CERA Conservador'!$B$28:$C$35,2,FALSE),0%)</f>
        <v>0</v>
      </c>
      <c r="BEM12" s="5">
        <f>IFERROR(VLOOKUP(BEM$1,'CERA Conservador'!$B$28:$C$35,2,FALSE),0%)</f>
        <v>0</v>
      </c>
      <c r="BEN12" s="5">
        <f>IFERROR(VLOOKUP(BEN$1,'CERA Conservador'!$B$28:$C$35,2,FALSE),0%)</f>
        <v>0</v>
      </c>
      <c r="BEO12" s="5">
        <f>IFERROR(VLOOKUP(BEO$1,'CERA Conservador'!$B$28:$C$35,2,FALSE),0%)</f>
        <v>0</v>
      </c>
      <c r="BEP12" s="5">
        <f>IFERROR(VLOOKUP(BEP$1,'CERA Conservador'!$B$28:$C$35,2,FALSE),0%)</f>
        <v>0</v>
      </c>
      <c r="BEQ12" s="5">
        <f>IFERROR(VLOOKUP(BEQ$1,'CERA Conservador'!$B$28:$C$35,2,FALSE),0%)</f>
        <v>0</v>
      </c>
      <c r="BER12" s="5">
        <f>IFERROR(VLOOKUP(BER$1,'CERA Conservador'!$B$28:$C$35,2,FALSE),0%)</f>
        <v>0</v>
      </c>
      <c r="BES12" s="5">
        <f>IFERROR(VLOOKUP(BES$1,'CERA Conservador'!$B$28:$C$35,2,FALSE),0%)</f>
        <v>0</v>
      </c>
      <c r="BET12" s="5">
        <f>IFERROR(VLOOKUP(BET$1,'CERA Conservador'!$B$28:$C$35,2,FALSE),0%)</f>
        <v>0</v>
      </c>
      <c r="BEU12" s="5">
        <f>IFERROR(VLOOKUP(BEU$1,'CERA Conservador'!$B$28:$C$35,2,FALSE),0%)</f>
        <v>0</v>
      </c>
      <c r="BEV12" s="5">
        <f>IFERROR(VLOOKUP(BEV$1,'CERA Conservador'!$B$28:$C$35,2,FALSE),0%)</f>
        <v>0</v>
      </c>
      <c r="BEW12" s="5">
        <f>IFERROR(VLOOKUP(BEW$1,'CERA Conservador'!$B$28:$C$35,2,FALSE),0%)</f>
        <v>0</v>
      </c>
      <c r="BEX12" s="5">
        <f>IFERROR(VLOOKUP(BEX$1,'CERA Conservador'!$B$28:$C$35,2,FALSE),0%)</f>
        <v>0</v>
      </c>
      <c r="BEY12" s="5">
        <f>IFERROR(VLOOKUP(BEY$1,'CERA Conservador'!$B$28:$C$35,2,FALSE),0%)</f>
        <v>0</v>
      </c>
      <c r="BEZ12" s="5">
        <f>IFERROR(VLOOKUP(BEZ$1,'CERA Conservador'!$B$28:$C$35,2,FALSE),0%)</f>
        <v>0</v>
      </c>
      <c r="BFA12" s="5">
        <f>IFERROR(VLOOKUP(BFA$1,'CERA Conservador'!$B$28:$C$35,2,FALSE),0%)</f>
        <v>0</v>
      </c>
      <c r="BFB12" s="5">
        <f>IFERROR(VLOOKUP(BFB$1,'CERA Conservador'!$B$28:$C$35,2,FALSE),0%)</f>
        <v>0</v>
      </c>
      <c r="BFC12" s="5">
        <f>IFERROR(VLOOKUP(BFC$1,'CERA Conservador'!$B$28:$C$35,2,FALSE),0%)</f>
        <v>0</v>
      </c>
      <c r="BFD12" s="5">
        <f>IFERROR(VLOOKUP(BFD$1,'CERA Conservador'!$B$28:$C$35,2,FALSE),0%)</f>
        <v>0</v>
      </c>
      <c r="BFE12" s="5">
        <f>IFERROR(VLOOKUP(BFE$1,'CERA Conservador'!$B$28:$C$35,2,FALSE),0%)</f>
        <v>0</v>
      </c>
      <c r="BFF12" s="5">
        <f>IFERROR(VLOOKUP(BFF$1,'CERA Conservador'!$B$28:$C$35,2,FALSE),0%)</f>
        <v>0</v>
      </c>
      <c r="BFG12" s="5">
        <f>IFERROR(VLOOKUP(BFG$1,'CERA Conservador'!$B$28:$C$35,2,FALSE),0%)</f>
        <v>0</v>
      </c>
      <c r="BFH12" s="5">
        <f>IFERROR(VLOOKUP(BFH$1,'CERA Conservador'!$B$28:$C$35,2,FALSE),0%)</f>
        <v>0</v>
      </c>
      <c r="BFI12" s="5">
        <f>IFERROR(VLOOKUP(BFI$1,'CERA Conservador'!$B$28:$C$35,2,FALSE),0%)</f>
        <v>0</v>
      </c>
      <c r="BFJ12" s="5">
        <f>IFERROR(VLOOKUP(BFJ$1,'CERA Conservador'!$B$28:$C$35,2,FALSE),0%)</f>
        <v>0</v>
      </c>
      <c r="BFK12" s="5">
        <f>IFERROR(VLOOKUP(BFK$1,'CERA Conservador'!$B$28:$C$35,2,FALSE),0%)</f>
        <v>0</v>
      </c>
      <c r="BFL12" s="5">
        <f>IFERROR(VLOOKUP(BFL$1,'CERA Conservador'!$B$28:$C$35,2,FALSE),0%)</f>
        <v>0</v>
      </c>
      <c r="BFM12" s="5">
        <f>IFERROR(VLOOKUP(BFM$1,'CERA Conservador'!$B$28:$C$35,2,FALSE),0%)</f>
        <v>0</v>
      </c>
      <c r="BFN12" s="5">
        <f>IFERROR(VLOOKUP(BFN$1,'CERA Conservador'!$B$28:$C$35,2,FALSE),0%)</f>
        <v>0</v>
      </c>
      <c r="BFO12" s="5">
        <f>IFERROR(VLOOKUP(BFO$1,'CERA Conservador'!$B$28:$C$35,2,FALSE),0%)</f>
        <v>0</v>
      </c>
      <c r="BFP12" s="5">
        <f>IFERROR(VLOOKUP(BFP$1,'CERA Conservador'!$B$28:$C$35,2,FALSE),0%)</f>
        <v>0</v>
      </c>
      <c r="BFQ12" s="5">
        <f>IFERROR(VLOOKUP(BFQ$1,'CERA Conservador'!$B$28:$C$35,2,FALSE),0%)</f>
        <v>0</v>
      </c>
      <c r="BFR12" s="5">
        <f>IFERROR(VLOOKUP(BFR$1,'CERA Conservador'!$B$28:$C$35,2,FALSE),0%)</f>
        <v>0</v>
      </c>
      <c r="BFS12" s="5">
        <f>IFERROR(VLOOKUP(BFS$1,'CERA Conservador'!$B$28:$C$35,2,FALSE),0%)</f>
        <v>0</v>
      </c>
      <c r="BFT12" s="5">
        <f>IFERROR(VLOOKUP(BFT$1,'CERA Conservador'!$B$28:$C$35,2,FALSE),0%)</f>
        <v>0</v>
      </c>
      <c r="BFU12" s="5">
        <f>IFERROR(VLOOKUP(BFU$1,'CERA Conservador'!$B$28:$C$35,2,FALSE),0%)</f>
        <v>0</v>
      </c>
      <c r="BFV12" s="5">
        <f>IFERROR(VLOOKUP(BFV$1,'CERA Conservador'!$B$28:$C$35,2,FALSE),0%)</f>
        <v>0</v>
      </c>
      <c r="BFW12" s="5">
        <f>IFERROR(VLOOKUP(BFW$1,'CERA Conservador'!$B$28:$C$35,2,FALSE),0%)</f>
        <v>0</v>
      </c>
      <c r="BFX12" s="5">
        <f>IFERROR(VLOOKUP(BFX$1,'CERA Conservador'!$B$28:$C$35,2,FALSE),0%)</f>
        <v>0</v>
      </c>
      <c r="BFY12" s="5">
        <f>IFERROR(VLOOKUP(BFY$1,'CERA Conservador'!$B$28:$C$35,2,FALSE),0%)</f>
        <v>0</v>
      </c>
      <c r="BFZ12" s="5">
        <f>IFERROR(VLOOKUP(BFZ$1,'CERA Conservador'!$B$28:$C$35,2,FALSE),0%)</f>
        <v>0</v>
      </c>
      <c r="BGA12" s="5">
        <f>IFERROR(VLOOKUP(BGA$1,'CERA Conservador'!$B$28:$C$35,2,FALSE),0%)</f>
        <v>0</v>
      </c>
      <c r="BGB12" s="5">
        <f>IFERROR(VLOOKUP(BGB$1,'CERA Conservador'!$B$28:$C$35,2,FALSE),0%)</f>
        <v>0</v>
      </c>
      <c r="BGC12" s="5">
        <f>IFERROR(VLOOKUP(BGC$1,'CERA Conservador'!$B$28:$C$35,2,FALSE),0%)</f>
        <v>0</v>
      </c>
      <c r="BGD12" s="5">
        <f>IFERROR(VLOOKUP(BGD$1,'CERA Conservador'!$B$28:$C$35,2,FALSE),0%)</f>
        <v>0</v>
      </c>
      <c r="BGE12" s="5">
        <f>IFERROR(VLOOKUP(BGE$1,'CERA Conservador'!$B$28:$C$35,2,FALSE),0%)</f>
        <v>0</v>
      </c>
      <c r="BGF12" s="5">
        <f>IFERROR(VLOOKUP(BGF$1,'CERA Conservador'!$B$28:$C$35,2,FALSE),0%)</f>
        <v>0</v>
      </c>
      <c r="BGG12" s="5">
        <f>IFERROR(VLOOKUP(BGG$1,'CERA Conservador'!$B$28:$C$35,2,FALSE),0%)</f>
        <v>0</v>
      </c>
      <c r="BGH12" s="5">
        <f>IFERROR(VLOOKUP(BGH$1,'CERA Conservador'!$B$28:$C$35,2,FALSE),0%)</f>
        <v>0</v>
      </c>
      <c r="BGI12" s="5">
        <f>IFERROR(VLOOKUP(BGI$1,'CERA Conservador'!$B$28:$C$35,2,FALSE),0%)</f>
        <v>0</v>
      </c>
      <c r="BGJ12" s="5">
        <f>IFERROR(VLOOKUP(BGJ$1,'CERA Conservador'!$B$28:$C$35,2,FALSE),0%)</f>
        <v>0</v>
      </c>
      <c r="BGK12" s="5">
        <f>IFERROR(VLOOKUP(BGK$1,'CERA Conservador'!$B$28:$C$35,2,FALSE),0%)</f>
        <v>0</v>
      </c>
      <c r="BGL12" s="5">
        <f>IFERROR(VLOOKUP(BGL$1,'CERA Conservador'!$B$28:$C$35,2,FALSE),0%)</f>
        <v>0</v>
      </c>
      <c r="BGM12" s="5">
        <f>IFERROR(VLOOKUP(BGM$1,'CERA Conservador'!$B$28:$C$35,2,FALSE),0%)</f>
        <v>0</v>
      </c>
      <c r="BGN12" s="5">
        <f>IFERROR(VLOOKUP(BGN$1,'CERA Conservador'!$B$28:$C$35,2,FALSE),0%)</f>
        <v>0</v>
      </c>
      <c r="BGO12" s="5">
        <f>IFERROR(VLOOKUP(BGO$1,'CERA Conservador'!$B$28:$C$35,2,FALSE),0%)</f>
        <v>0</v>
      </c>
      <c r="BGP12" s="5">
        <f>IFERROR(VLOOKUP(BGP$1,'CERA Conservador'!$B$28:$C$35,2,FALSE),0%)</f>
        <v>0</v>
      </c>
      <c r="BGQ12" s="5">
        <f>IFERROR(VLOOKUP(BGQ$1,'CERA Conservador'!$B$28:$C$35,2,FALSE),0%)</f>
        <v>0</v>
      </c>
      <c r="BGR12" s="5">
        <f>IFERROR(VLOOKUP(BGR$1,'CERA Conservador'!$B$28:$C$35,2,FALSE),0%)</f>
        <v>0</v>
      </c>
      <c r="BGS12" s="5">
        <f>IFERROR(VLOOKUP(BGS$1,'CERA Conservador'!$B$28:$C$35,2,FALSE),0%)</f>
        <v>0</v>
      </c>
      <c r="BGT12" s="5">
        <f>IFERROR(VLOOKUP(BGT$1,'CERA Conservador'!$B$28:$C$35,2,FALSE),0%)</f>
        <v>0</v>
      </c>
      <c r="BGU12" s="5">
        <f>IFERROR(VLOOKUP(BGU$1,'CERA Conservador'!$B$28:$C$35,2,FALSE),0%)</f>
        <v>0</v>
      </c>
      <c r="BGV12" s="5">
        <f>IFERROR(VLOOKUP(BGV$1,'CERA Conservador'!$B$28:$C$35,2,FALSE),0%)</f>
        <v>0</v>
      </c>
      <c r="BGW12" s="5">
        <f>IFERROR(VLOOKUP(BGW$1,'CERA Conservador'!$B$28:$C$35,2,FALSE),0%)</f>
        <v>0</v>
      </c>
      <c r="BGX12" s="5">
        <f>IFERROR(VLOOKUP(BGX$1,'CERA Conservador'!$B$28:$C$35,2,FALSE),0%)</f>
        <v>0</v>
      </c>
      <c r="BGY12" s="5">
        <f>IFERROR(VLOOKUP(BGY$1,'CERA Conservador'!$B$28:$C$35,2,FALSE),0%)</f>
        <v>0</v>
      </c>
      <c r="BGZ12" s="5">
        <f>IFERROR(VLOOKUP(BGZ$1,'CERA Conservador'!$B$28:$C$35,2,FALSE),0%)</f>
        <v>0</v>
      </c>
      <c r="BHA12" s="5">
        <f>IFERROR(VLOOKUP(BHA$1,'CERA Conservador'!$B$28:$C$35,2,FALSE),0%)</f>
        <v>0</v>
      </c>
      <c r="BHB12" s="5">
        <f>IFERROR(VLOOKUP(BHB$1,'CERA Conservador'!$B$28:$C$35,2,FALSE),0%)</f>
        <v>0</v>
      </c>
      <c r="BHC12" s="5">
        <f>IFERROR(VLOOKUP(BHC$1,'CERA Conservador'!$B$28:$C$35,2,FALSE),0%)</f>
        <v>0</v>
      </c>
      <c r="BHD12" s="5">
        <f>IFERROR(VLOOKUP(BHD$1,'CERA Conservador'!$B$28:$C$35,2,FALSE),0%)</f>
        <v>0</v>
      </c>
      <c r="BHE12" s="5">
        <f>IFERROR(VLOOKUP(BHE$1,'CERA Conservador'!$B$28:$C$35,2,FALSE),0%)</f>
        <v>0</v>
      </c>
      <c r="BHF12" s="5">
        <f>IFERROR(VLOOKUP(BHF$1,'CERA Conservador'!$B$28:$C$35,2,FALSE),0%)</f>
        <v>0</v>
      </c>
      <c r="BHG12" s="5">
        <f>IFERROR(VLOOKUP(BHG$1,'CERA Conservador'!$B$28:$C$35,2,FALSE),0%)</f>
        <v>0</v>
      </c>
      <c r="BHH12" s="5">
        <f>IFERROR(VLOOKUP(BHH$1,'CERA Conservador'!$B$28:$C$35,2,FALSE),0%)</f>
        <v>0</v>
      </c>
      <c r="BHI12" s="5">
        <f>IFERROR(VLOOKUP(BHI$1,'CERA Conservador'!$B$28:$C$35,2,FALSE),0%)</f>
        <v>0</v>
      </c>
      <c r="BHJ12" s="5">
        <f>IFERROR(VLOOKUP(BHJ$1,'CERA Conservador'!$B$28:$C$35,2,FALSE),0%)</f>
        <v>0</v>
      </c>
      <c r="BHK12" s="5">
        <f>IFERROR(VLOOKUP(BHK$1,'CERA Conservador'!$B$28:$C$35,2,FALSE),0%)</f>
        <v>0</v>
      </c>
      <c r="BHL12" s="5">
        <f>IFERROR(VLOOKUP(BHL$1,'CERA Conservador'!$B$28:$C$35,2,FALSE),0%)</f>
        <v>0</v>
      </c>
      <c r="BHM12" s="5">
        <f>IFERROR(VLOOKUP(BHM$1,'CERA Conservador'!$B$28:$C$35,2,FALSE),0%)</f>
        <v>0</v>
      </c>
      <c r="BHN12" s="5">
        <f>IFERROR(VLOOKUP(BHN$1,'CERA Conservador'!$B$28:$C$35,2,FALSE),0%)</f>
        <v>0</v>
      </c>
      <c r="BHO12" s="5">
        <f>IFERROR(VLOOKUP(BHO$1,'CERA Conservador'!$B$28:$C$35,2,FALSE),0%)</f>
        <v>0</v>
      </c>
      <c r="BHP12" s="5">
        <f>IFERROR(VLOOKUP(BHP$1,'CERA Conservador'!$B$28:$C$35,2,FALSE),0%)</f>
        <v>0</v>
      </c>
      <c r="BHQ12" s="5">
        <f>IFERROR(VLOOKUP(BHQ$1,'CERA Conservador'!$B$28:$C$35,2,FALSE),0%)</f>
        <v>0</v>
      </c>
      <c r="BHR12" s="5">
        <f>IFERROR(VLOOKUP(BHR$1,'CERA Conservador'!$B$28:$C$35,2,FALSE),0%)</f>
        <v>0</v>
      </c>
      <c r="BHS12" s="5">
        <f>IFERROR(VLOOKUP(BHS$1,'CERA Conservador'!$B$28:$C$35,2,FALSE),0%)</f>
        <v>0</v>
      </c>
      <c r="BHT12" s="5">
        <f>IFERROR(VLOOKUP(BHT$1,'CERA Conservador'!$B$28:$C$35,2,FALSE),0%)</f>
        <v>0</v>
      </c>
      <c r="BHU12" s="5">
        <f>IFERROR(VLOOKUP(BHU$1,'CERA Conservador'!$B$28:$C$35,2,FALSE),0%)</f>
        <v>0</v>
      </c>
      <c r="BHV12" s="5">
        <f>IFERROR(VLOOKUP(BHV$1,'CERA Conservador'!$B$28:$C$35,2,FALSE),0%)</f>
        <v>0</v>
      </c>
      <c r="BHW12" s="5">
        <f>IFERROR(VLOOKUP(BHW$1,'CERA Conservador'!$B$28:$C$35,2,FALSE),0%)</f>
        <v>0</v>
      </c>
      <c r="BHX12" s="5">
        <f>IFERROR(VLOOKUP(BHX$1,'CERA Conservador'!$B$28:$C$35,2,FALSE),0%)</f>
        <v>0</v>
      </c>
      <c r="BHY12" s="5">
        <f>IFERROR(VLOOKUP(BHY$1,'CERA Conservador'!$B$28:$C$35,2,FALSE),0%)</f>
        <v>0</v>
      </c>
      <c r="BHZ12" s="5">
        <f>IFERROR(VLOOKUP(BHZ$1,'CERA Conservador'!$B$28:$C$35,2,FALSE),0%)</f>
        <v>0</v>
      </c>
      <c r="BIA12" s="5">
        <f>IFERROR(VLOOKUP(BIA$1,'CERA Conservador'!$B$28:$C$35,2,FALSE),0%)</f>
        <v>0</v>
      </c>
      <c r="BIB12" s="5">
        <f>IFERROR(VLOOKUP(BIB$1,'CERA Conservador'!$B$28:$C$35,2,FALSE),0%)</f>
        <v>0</v>
      </c>
      <c r="BIC12" s="5">
        <f>IFERROR(VLOOKUP(BIC$1,'CERA Conservador'!$B$28:$C$35,2,FALSE),0%)</f>
        <v>0</v>
      </c>
      <c r="BID12" s="5">
        <f>IFERROR(VLOOKUP(BID$1,'CERA Conservador'!$B$28:$C$35,2,FALSE),0%)</f>
        <v>0</v>
      </c>
      <c r="BIE12" s="5">
        <f>IFERROR(VLOOKUP(BIE$1,'CERA Conservador'!$B$28:$C$35,2,FALSE),0%)</f>
        <v>0</v>
      </c>
      <c r="BIF12" s="5">
        <f>IFERROR(VLOOKUP(BIF$1,'CERA Conservador'!$B$28:$C$35,2,FALSE),0%)</f>
        <v>0</v>
      </c>
      <c r="BIG12" s="5">
        <f>IFERROR(VLOOKUP(BIG$1,'CERA Conservador'!$B$28:$C$35,2,FALSE),0%)</f>
        <v>0</v>
      </c>
      <c r="BIH12" s="5">
        <f>IFERROR(VLOOKUP(BIH$1,'CERA Conservador'!$B$28:$C$35,2,FALSE),0%)</f>
        <v>0</v>
      </c>
      <c r="BII12" s="5">
        <f>IFERROR(VLOOKUP(BII$1,'CERA Conservador'!$B$28:$C$35,2,FALSE),0%)</f>
        <v>0</v>
      </c>
      <c r="BIJ12" s="5">
        <f>IFERROR(VLOOKUP(BIJ$1,'CERA Conservador'!$B$28:$C$35,2,FALSE),0%)</f>
        <v>0</v>
      </c>
      <c r="BIK12" s="5">
        <f>IFERROR(VLOOKUP(BIK$1,'CERA Conservador'!$B$28:$C$35,2,FALSE),0%)</f>
        <v>0.3342564357</v>
      </c>
      <c r="BIL12" s="5">
        <f>IFERROR(VLOOKUP(BIL$1,'CERA Conservador'!$B$28:$C$35,2,FALSE),0%)</f>
        <v>0</v>
      </c>
      <c r="BIM12" s="5">
        <f>IFERROR(VLOOKUP(BIM$1,'CERA Conservador'!$B$28:$C$35,2,FALSE),0%)</f>
        <v>0</v>
      </c>
      <c r="BIN12" s="5">
        <f>IFERROR(VLOOKUP(BIN$1,'CERA Conservador'!$B$28:$C$35,2,FALSE),0%)</f>
        <v>0</v>
      </c>
      <c r="BIO12" s="5">
        <f>IFERROR(VLOOKUP(BIO$1,'CERA Conservador'!$B$28:$C$35,2,FALSE),0%)</f>
        <v>0</v>
      </c>
      <c r="BIP12" s="5">
        <f>IFERROR(VLOOKUP(BIP$1,'CERA Conservador'!$B$28:$C$35,2,FALSE),0%)</f>
        <v>0</v>
      </c>
      <c r="BIQ12" s="5">
        <f>IFERROR(VLOOKUP(BIQ$1,'CERA Conservador'!$B$28:$C$35,2,FALSE),0%)</f>
        <v>0</v>
      </c>
      <c r="BIR12" s="5">
        <f>IFERROR(VLOOKUP(BIR$1,'CERA Conservador'!$B$28:$C$35,2,FALSE),0%)</f>
        <v>0</v>
      </c>
      <c r="BIS12" s="5">
        <f>IFERROR(VLOOKUP(BIS$1,'CERA Conservador'!$B$28:$C$35,2,FALSE),0%)</f>
        <v>0</v>
      </c>
      <c r="BIT12" s="5">
        <f>IFERROR(VLOOKUP(BIT$1,'CERA Conservador'!$B$28:$C$35,2,FALSE),0%)</f>
        <v>0</v>
      </c>
      <c r="BIU12" s="5">
        <f>IFERROR(VLOOKUP(BIU$1,'CERA Conservador'!$B$28:$C$35,2,FALSE),0%)</f>
        <v>0</v>
      </c>
      <c r="BIV12" s="5">
        <f>IFERROR(VLOOKUP(BIV$1,'CERA Conservador'!$B$28:$C$35,2,FALSE),0%)</f>
        <v>0</v>
      </c>
      <c r="BIW12" s="5">
        <f>IFERROR(VLOOKUP(BIW$1,'CERA Conservador'!$B$28:$C$35,2,FALSE),0%)</f>
        <v>0</v>
      </c>
      <c r="BIX12" s="5">
        <f>IFERROR(VLOOKUP(BIX$1,'CERA Conservador'!$B$28:$C$35,2,FALSE),0%)</f>
        <v>0</v>
      </c>
      <c r="BIY12" s="5">
        <f>IFERROR(VLOOKUP(BIY$1,'CERA Conservador'!$B$28:$C$35,2,FALSE),0%)</f>
        <v>0</v>
      </c>
      <c r="BIZ12" s="5">
        <f>IFERROR(VLOOKUP(BIZ$1,'CERA Conservador'!$B$28:$C$35,2,FALSE),0%)</f>
        <v>0</v>
      </c>
      <c r="BJA12" s="5">
        <f>IFERROR(VLOOKUP(BJA$1,'CERA Conservador'!$B$28:$C$35,2,FALSE),0%)</f>
        <v>0</v>
      </c>
      <c r="BJB12" s="5">
        <f>IFERROR(VLOOKUP(BJB$1,'CERA Conservador'!$B$28:$C$35,2,FALSE),0%)</f>
        <v>0</v>
      </c>
      <c r="BJC12" s="5">
        <f>IFERROR(VLOOKUP(BJC$1,'CERA Conservador'!$B$28:$C$35,2,FALSE),0%)</f>
        <v>0</v>
      </c>
      <c r="BJD12" s="5">
        <f>IFERROR(VLOOKUP(BJD$1,'CERA Conservador'!$B$28:$C$35,2,FALSE),0%)</f>
        <v>0</v>
      </c>
      <c r="BJE12" s="5">
        <f>IFERROR(VLOOKUP(BJE$1,'CERA Conservador'!$B$28:$C$35,2,FALSE),0%)</f>
        <v>0</v>
      </c>
      <c r="BJF12" s="5">
        <f>IFERROR(VLOOKUP(BJF$1,'CERA Conservador'!$B$28:$C$35,2,FALSE),0%)</f>
        <v>0</v>
      </c>
      <c r="BJG12" s="5">
        <f>IFERROR(VLOOKUP(BJG$1,'CERA Conservador'!$B$28:$C$35,2,FALSE),0%)</f>
        <v>0</v>
      </c>
      <c r="BJH12" s="5">
        <f>IFERROR(VLOOKUP(BJH$1,'CERA Conservador'!$B$28:$C$35,2,FALSE),0%)</f>
        <v>0</v>
      </c>
      <c r="BJI12" s="5">
        <f>IFERROR(VLOOKUP(BJI$1,'CERA Conservador'!$B$28:$C$35,2,FALSE),0%)</f>
        <v>0</v>
      </c>
      <c r="BJJ12" s="5">
        <f>IFERROR(VLOOKUP(BJJ$1,'CERA Conservador'!$B$28:$C$35,2,FALSE),0%)</f>
        <v>0</v>
      </c>
      <c r="BJK12" s="5">
        <f>IFERROR(VLOOKUP(BJK$1,'CERA Conservador'!$B$28:$C$35,2,FALSE),0%)</f>
        <v>0</v>
      </c>
      <c r="BJL12" s="5">
        <f>IFERROR(VLOOKUP(BJL$1,'CERA Conservador'!$B$28:$C$35,2,FALSE),0%)</f>
        <v>0</v>
      </c>
      <c r="BJM12" s="5">
        <f>IFERROR(VLOOKUP(BJM$1,'CERA Conservador'!$B$28:$C$35,2,FALSE),0%)</f>
        <v>0</v>
      </c>
      <c r="BJN12" s="5">
        <f>IFERROR(VLOOKUP(BJN$1,'CERA Conservador'!$B$28:$C$35,2,FALSE),0%)</f>
        <v>0</v>
      </c>
      <c r="BJO12" s="5">
        <f>IFERROR(VLOOKUP(BJO$1,'CERA Conservador'!$B$28:$C$35,2,FALSE),0%)</f>
        <v>0</v>
      </c>
      <c r="BJP12" s="5">
        <f>IFERROR(VLOOKUP(BJP$1,'CERA Conservador'!$B$28:$C$35,2,FALSE),0%)</f>
        <v>0</v>
      </c>
      <c r="BJQ12" s="5">
        <f>IFERROR(VLOOKUP(BJQ$1,'CERA Conservador'!$B$28:$C$35,2,FALSE),0%)</f>
        <v>0</v>
      </c>
      <c r="BJR12" s="5">
        <f>IFERROR(VLOOKUP(BJR$1,'CERA Conservador'!$B$28:$C$35,2,FALSE),0%)</f>
        <v>0</v>
      </c>
      <c r="BJS12" s="5">
        <f>IFERROR(VLOOKUP(BJS$1,'CERA Conservador'!$B$28:$C$35,2,FALSE),0%)</f>
        <v>0</v>
      </c>
      <c r="BJT12" s="5">
        <f>IFERROR(VLOOKUP(BJT$1,'CERA Conservador'!$B$28:$C$35,2,FALSE),0%)</f>
        <v>0</v>
      </c>
      <c r="BJU12" s="5">
        <f>IFERROR(VLOOKUP(BJU$1,'CERA Conservador'!$B$28:$C$35,2,FALSE),0%)</f>
        <v>0</v>
      </c>
      <c r="BJV12" s="5">
        <f>IFERROR(VLOOKUP(BJV$1,'CERA Conservador'!$B$28:$C$35,2,FALSE),0%)</f>
        <v>0</v>
      </c>
      <c r="BJW12" s="5">
        <f>IFERROR(VLOOKUP(BJW$1,'CERA Conservador'!$B$28:$C$35,2,FALSE),0%)</f>
        <v>0</v>
      </c>
      <c r="BJX12" s="5">
        <f>IFERROR(VLOOKUP(BJX$1,'CERA Conservador'!$B$28:$C$35,2,FALSE),0%)</f>
        <v>0</v>
      </c>
      <c r="BJY12" s="5">
        <f>IFERROR(VLOOKUP(BJY$1,'CERA Conservador'!$B$28:$C$35,2,FALSE),0%)</f>
        <v>0</v>
      </c>
      <c r="BJZ12" s="5">
        <f>IFERROR(VLOOKUP(BJZ$1,'CERA Conservador'!$B$28:$C$35,2,FALSE),0%)</f>
        <v>0</v>
      </c>
      <c r="BKA12" s="5">
        <f>IFERROR(VLOOKUP(BKA$1,'CERA Conservador'!$B$28:$C$35,2,FALSE),0%)</f>
        <v>0</v>
      </c>
      <c r="BKB12" s="5">
        <f>IFERROR(VLOOKUP(BKB$1,'CERA Conservador'!$B$28:$C$35,2,FALSE),0%)</f>
        <v>0</v>
      </c>
      <c r="BKC12" s="5">
        <f>IFERROR(VLOOKUP(BKC$1,'CERA Conservador'!$B$28:$C$35,2,FALSE),0%)</f>
        <v>0</v>
      </c>
      <c r="BKD12" s="5">
        <f>IFERROR(VLOOKUP(BKD$1,'CERA Conservador'!$B$28:$C$35,2,FALSE),0%)</f>
        <v>0</v>
      </c>
      <c r="BKE12" s="5">
        <f>IFERROR(VLOOKUP(BKE$1,'CERA Conservador'!$B$28:$C$35,2,FALSE),0%)</f>
        <v>0</v>
      </c>
      <c r="BKF12" s="5">
        <f>IFERROR(VLOOKUP(BKF$1,'CERA Conservador'!$B$28:$C$35,2,FALSE),0%)</f>
        <v>0</v>
      </c>
      <c r="BKG12" s="5">
        <f>IFERROR(VLOOKUP(BKG$1,'CERA Conservador'!$B$28:$C$35,2,FALSE),0%)</f>
        <v>0</v>
      </c>
      <c r="BKH12" s="5">
        <f>IFERROR(VLOOKUP(BKH$1,'CERA Conservador'!$B$28:$C$35,2,FALSE),0%)</f>
        <v>0</v>
      </c>
      <c r="BKI12" s="5">
        <f>IFERROR(VLOOKUP(BKI$1,'CERA Conservador'!$B$28:$C$35,2,FALSE),0%)</f>
        <v>0</v>
      </c>
      <c r="BKJ12" s="5">
        <f>IFERROR(VLOOKUP(BKJ$1,'CERA Conservador'!$B$28:$C$35,2,FALSE),0%)</f>
        <v>0</v>
      </c>
      <c r="BKK12" s="5">
        <f>IFERROR(VLOOKUP(BKK$1,'CERA Conservador'!$B$28:$C$35,2,FALSE),0%)</f>
        <v>0</v>
      </c>
      <c r="BKL12" s="5">
        <f>IFERROR(VLOOKUP(BKL$1,'CERA Conservador'!$B$28:$C$35,2,FALSE),0%)</f>
        <v>0</v>
      </c>
      <c r="BKM12" s="5">
        <f>IFERROR(VLOOKUP(BKM$1,'CERA Conservador'!$B$28:$C$35,2,FALSE),0%)</f>
        <v>0</v>
      </c>
      <c r="BKN12" s="5">
        <f>IFERROR(VLOOKUP(BKN$1,'CERA Conservador'!$B$28:$C$35,2,FALSE),0%)</f>
        <v>0</v>
      </c>
      <c r="BKO12" s="5">
        <f>IFERROR(VLOOKUP(BKO$1,'CERA Conservador'!$B$28:$C$35,2,FALSE),0%)</f>
        <v>0</v>
      </c>
      <c r="BKP12" s="5">
        <f>IFERROR(VLOOKUP(BKP$1,'CERA Conservador'!$B$28:$C$35,2,FALSE),0%)</f>
        <v>0</v>
      </c>
      <c r="BKQ12" s="5">
        <f>IFERROR(VLOOKUP(BKQ$1,'CERA Conservador'!$B$28:$C$35,2,FALSE),0%)</f>
        <v>0</v>
      </c>
      <c r="BKR12" s="5">
        <f>IFERROR(VLOOKUP(BKR$1,'CERA Conservador'!$B$28:$C$35,2,FALSE),0%)</f>
        <v>0</v>
      </c>
      <c r="BKS12" s="5">
        <f>IFERROR(VLOOKUP(BKS$1,'CERA Conservador'!$B$28:$C$35,2,FALSE),0%)</f>
        <v>0</v>
      </c>
      <c r="BKT12" s="5">
        <f>IFERROR(VLOOKUP(BKT$1,'CERA Conservador'!$B$28:$C$35,2,FALSE),0%)</f>
        <v>0</v>
      </c>
      <c r="BKU12" s="5">
        <f>IFERROR(VLOOKUP(BKU$1,'CERA Conservador'!$B$28:$C$35,2,FALSE),0%)</f>
        <v>0</v>
      </c>
      <c r="BKV12" s="5">
        <f>IFERROR(VLOOKUP(BKV$1,'CERA Conservador'!$B$28:$C$35,2,FALSE),0%)</f>
        <v>0</v>
      </c>
      <c r="BKW12" s="5">
        <f>IFERROR(VLOOKUP(BKW$1,'CERA Conservador'!$B$28:$C$35,2,FALSE),0%)</f>
        <v>0</v>
      </c>
      <c r="BKX12" s="5">
        <f>IFERROR(VLOOKUP(BKX$1,'CERA Conservador'!$B$28:$C$35,2,FALSE),0%)</f>
        <v>0</v>
      </c>
      <c r="BKY12" s="5">
        <f>IFERROR(VLOOKUP(BKY$1,'CERA Conservador'!$B$28:$C$35,2,FALSE),0%)</f>
        <v>0</v>
      </c>
      <c r="BKZ12" s="5">
        <f>IFERROR(VLOOKUP(BKZ$1,'CERA Conservador'!$B$28:$C$35,2,FALSE),0%)</f>
        <v>0</v>
      </c>
      <c r="BLA12" s="5">
        <f>IFERROR(VLOOKUP(BLA$1,'CERA Conservador'!$B$28:$C$35,2,FALSE),0%)</f>
        <v>0</v>
      </c>
      <c r="BLB12" s="5">
        <f>IFERROR(VLOOKUP(BLB$1,'CERA Conservador'!$B$28:$C$35,2,FALSE),0%)</f>
        <v>0</v>
      </c>
      <c r="BLC12" s="5">
        <f>IFERROR(VLOOKUP(BLC$1,'CERA Conservador'!$B$28:$C$35,2,FALSE),0%)</f>
        <v>0</v>
      </c>
      <c r="BLD12" s="5">
        <f>IFERROR(VLOOKUP(BLD$1,'CERA Conservador'!$B$28:$C$35,2,FALSE),0%)</f>
        <v>0</v>
      </c>
      <c r="BLE12" s="5">
        <f>IFERROR(VLOOKUP(BLE$1,'CERA Conservador'!$B$28:$C$35,2,FALSE),0%)</f>
        <v>0</v>
      </c>
      <c r="BLF12" s="5">
        <f>IFERROR(VLOOKUP(BLF$1,'CERA Conservador'!$B$28:$C$35,2,FALSE),0%)</f>
        <v>0</v>
      </c>
      <c r="BLG12" s="5">
        <f>IFERROR(VLOOKUP(BLG$1,'CERA Conservador'!$B$28:$C$35,2,FALSE),0%)</f>
        <v>0</v>
      </c>
      <c r="BLH12" s="5">
        <f>IFERROR(VLOOKUP(BLH$1,'CERA Conservador'!$B$28:$C$35,2,FALSE),0%)</f>
        <v>0</v>
      </c>
      <c r="BLI12" s="5">
        <f>IFERROR(VLOOKUP(BLI$1,'CERA Conservador'!$B$28:$C$35,2,FALSE),0%)</f>
        <v>0</v>
      </c>
      <c r="BLJ12" s="5">
        <f>IFERROR(VLOOKUP(BLJ$1,'CERA Conservador'!$B$28:$C$35,2,FALSE),0%)</f>
        <v>0</v>
      </c>
      <c r="BLK12" s="5">
        <f>IFERROR(VLOOKUP(BLK$1,'CERA Conservador'!$B$28:$C$35,2,FALSE),0%)</f>
        <v>0</v>
      </c>
      <c r="BLL12" s="5">
        <f>IFERROR(VLOOKUP(BLL$1,'CERA Conservador'!$B$28:$C$35,2,FALSE),0%)</f>
        <v>0</v>
      </c>
      <c r="BLM12" s="5">
        <f>IFERROR(VLOOKUP(BLM$1,'CERA Conservador'!$B$28:$C$35,2,FALSE),0%)</f>
        <v>0</v>
      </c>
      <c r="BLN12" s="5">
        <f>IFERROR(VLOOKUP(BLN$1,'CERA Conservador'!$B$28:$C$35,2,FALSE),0%)</f>
        <v>0</v>
      </c>
      <c r="BLO12" s="5">
        <f>IFERROR(VLOOKUP(BLO$1,'CERA Conservador'!$B$28:$C$35,2,FALSE),0%)</f>
        <v>0</v>
      </c>
      <c r="BLP12" s="5">
        <f>IFERROR(VLOOKUP(BLP$1,'CERA Conservador'!$B$28:$C$35,2,FALSE),0%)</f>
        <v>0</v>
      </c>
      <c r="BLQ12" s="5">
        <f>IFERROR(VLOOKUP(BLQ$1,'CERA Conservador'!$B$28:$C$35,2,FALSE),0%)</f>
        <v>0</v>
      </c>
      <c r="BLR12" s="5">
        <f>IFERROR(VLOOKUP(BLR$1,'CERA Conservador'!$B$28:$C$35,2,FALSE),0%)</f>
        <v>0</v>
      </c>
      <c r="BLS12" s="5">
        <f>IFERROR(VLOOKUP(BLS$1,'CERA Conservador'!$B$28:$C$35,2,FALSE),0%)</f>
        <v>0</v>
      </c>
      <c r="BLT12" s="5">
        <f>IFERROR(VLOOKUP(BLT$1,'CERA Conservador'!$B$28:$C$35,2,FALSE),0%)</f>
        <v>0</v>
      </c>
      <c r="BLU12" s="5">
        <f>IFERROR(VLOOKUP(BLU$1,'CERA Conservador'!$B$28:$C$35,2,FALSE),0%)</f>
        <v>0</v>
      </c>
      <c r="BLV12" s="5">
        <f>IFERROR(VLOOKUP(BLV$1,'CERA Conservador'!$B$28:$C$35,2,FALSE),0%)</f>
        <v>0</v>
      </c>
      <c r="BLW12" s="5">
        <f>IFERROR(VLOOKUP(BLW$1,'CERA Conservador'!$B$28:$C$35,2,FALSE),0%)</f>
        <v>0</v>
      </c>
      <c r="BLX12" s="5">
        <f>IFERROR(VLOOKUP(BLX$1,'CERA Conservador'!$B$28:$C$35,2,FALSE),0%)</f>
        <v>0</v>
      </c>
      <c r="BLY12" s="5">
        <f>IFERROR(VLOOKUP(BLY$1,'CERA Conservador'!$B$28:$C$35,2,FALSE),0%)</f>
        <v>0</v>
      </c>
      <c r="BLZ12" s="5">
        <f>IFERROR(VLOOKUP(BLZ$1,'CERA Conservador'!$B$28:$C$35,2,FALSE),0%)</f>
        <v>0</v>
      </c>
      <c r="BMA12" s="5">
        <f>IFERROR(VLOOKUP(BMA$1,'CERA Conservador'!$B$28:$C$35,2,FALSE),0%)</f>
        <v>0</v>
      </c>
      <c r="BMB12" s="5">
        <f>IFERROR(VLOOKUP(BMB$1,'CERA Conservador'!$B$28:$C$35,2,FALSE),0%)</f>
        <v>0</v>
      </c>
      <c r="BMC12" s="5">
        <f>IFERROR(VLOOKUP(BMC$1,'CERA Conservador'!$B$28:$C$35,2,FALSE),0%)</f>
        <v>0</v>
      </c>
      <c r="BMD12" s="5">
        <f>IFERROR(VLOOKUP(BMD$1,'CERA Conservador'!$B$28:$C$35,2,FALSE),0%)</f>
        <v>0</v>
      </c>
      <c r="BME12" s="5">
        <f>IFERROR(VLOOKUP(BME$1,'CERA Conservador'!$B$28:$C$35,2,FALSE),0%)</f>
        <v>0</v>
      </c>
      <c r="BMF12" s="5">
        <f>IFERROR(VLOOKUP(BMF$1,'CERA Conservador'!$B$28:$C$35,2,FALSE),0%)</f>
        <v>0</v>
      </c>
      <c r="BMG12" s="5">
        <f>IFERROR(VLOOKUP(BMG$1,'CERA Conservador'!$B$28:$C$35,2,FALSE),0%)</f>
        <v>0</v>
      </c>
      <c r="BMH12" s="5">
        <f>IFERROR(VLOOKUP(BMH$1,'CERA Conservador'!$B$28:$C$35,2,FALSE),0%)</f>
        <v>0</v>
      </c>
      <c r="BMI12" s="5">
        <f>IFERROR(VLOOKUP(BMI$1,'CERA Conservador'!$B$28:$C$35,2,FALSE),0%)</f>
        <v>0</v>
      </c>
      <c r="BMJ12" s="5">
        <f>IFERROR(VLOOKUP(BMJ$1,'CERA Conservador'!$B$28:$C$35,2,FALSE),0%)</f>
        <v>0</v>
      </c>
      <c r="BMK12" s="5">
        <f>IFERROR(VLOOKUP(BMK$1,'CERA Conservador'!$B$28:$C$35,2,FALSE),0%)</f>
        <v>0</v>
      </c>
      <c r="BML12" s="5">
        <f>IFERROR(VLOOKUP(BML$1,'CERA Conservador'!$B$28:$C$35,2,FALSE),0%)</f>
        <v>0</v>
      </c>
      <c r="BMM12" s="5">
        <f>IFERROR(VLOOKUP(BMM$1,'CERA Conservador'!$B$28:$C$35,2,FALSE),0%)</f>
        <v>0</v>
      </c>
      <c r="BMN12" s="5">
        <f>IFERROR(VLOOKUP(BMN$1,'CERA Conservador'!$B$28:$C$35,2,FALSE),0%)</f>
        <v>0</v>
      </c>
      <c r="BMO12" s="5">
        <f>IFERROR(VLOOKUP(BMO$1,'CERA Conservador'!$B$28:$C$35,2,FALSE),0%)</f>
        <v>0</v>
      </c>
      <c r="BMP12" s="5">
        <f>IFERROR(VLOOKUP(BMP$1,'CERA Conservador'!$B$28:$C$35,2,FALSE),0%)</f>
        <v>0</v>
      </c>
      <c r="BMQ12" s="5">
        <f>IFERROR(VLOOKUP(BMQ$1,'CERA Conservador'!$B$28:$C$35,2,FALSE),0%)</f>
        <v>0</v>
      </c>
      <c r="BMR12" s="5">
        <f>IFERROR(VLOOKUP(BMR$1,'CERA Conservador'!$B$28:$C$35,2,FALSE),0%)</f>
        <v>0</v>
      </c>
      <c r="BMS12" s="5">
        <f>IFERROR(VLOOKUP(BMS$1,'CERA Conservador'!$B$28:$C$35,2,FALSE),0%)</f>
        <v>0</v>
      </c>
      <c r="BMT12" s="5">
        <f>IFERROR(VLOOKUP(BMT$1,'CERA Conservador'!$B$28:$C$35,2,FALSE),0%)</f>
        <v>0</v>
      </c>
      <c r="BMU12" s="5">
        <f>IFERROR(VLOOKUP(BMU$1,'CERA Conservador'!$B$28:$C$35,2,FALSE),0%)</f>
        <v>0</v>
      </c>
      <c r="BMV12" s="5">
        <f>IFERROR(VLOOKUP(BMV$1,'CERA Conservador'!$B$28:$C$35,2,FALSE),0%)</f>
        <v>0</v>
      </c>
      <c r="BMW12" s="5">
        <f>IFERROR(VLOOKUP(BMW$1,'CERA Conservador'!$B$28:$C$35,2,FALSE),0%)</f>
        <v>0</v>
      </c>
      <c r="BMX12" s="5">
        <f>IFERROR(VLOOKUP(BMX$1,'CERA Conservador'!$B$28:$C$35,2,FALSE),0%)</f>
        <v>0</v>
      </c>
      <c r="BMY12" s="5">
        <f>IFERROR(VLOOKUP(BMY$1,'CERA Conservador'!$B$28:$C$35,2,FALSE),0%)</f>
        <v>0</v>
      </c>
      <c r="BMZ12" s="5">
        <f>IFERROR(VLOOKUP(BMZ$1,'CERA Conservador'!$B$28:$C$35,2,FALSE),0%)</f>
        <v>0</v>
      </c>
      <c r="BNA12" s="5">
        <f>IFERROR(VLOOKUP(BNA$1,'CERA Conservador'!$B$28:$C$35,2,FALSE),0%)</f>
        <v>0</v>
      </c>
      <c r="BNB12" s="5">
        <f>IFERROR(VLOOKUP(BNB$1,'CERA Conservador'!$B$28:$C$35,2,FALSE),0%)</f>
        <v>0</v>
      </c>
      <c r="BNC12" s="5">
        <f>IFERROR(VLOOKUP(BNC$1,'CERA Conservador'!$B$28:$C$35,2,FALSE),0%)</f>
        <v>0</v>
      </c>
      <c r="BND12" s="5">
        <f>IFERROR(VLOOKUP(BND$1,'CERA Conservador'!$B$28:$C$35,2,FALSE),0%)</f>
        <v>0</v>
      </c>
      <c r="BNE12" s="5">
        <f>IFERROR(VLOOKUP(BNE$1,'CERA Conservador'!$B$28:$C$35,2,FALSE),0%)</f>
        <v>0</v>
      </c>
      <c r="BNF12" s="5">
        <f>IFERROR(VLOOKUP(BNF$1,'CERA Conservador'!$B$28:$C$35,2,FALSE),0%)</f>
        <v>0</v>
      </c>
      <c r="BNG12" s="5">
        <f>IFERROR(VLOOKUP(BNG$1,'CERA Conservador'!$B$28:$C$35,2,FALSE),0%)</f>
        <v>0</v>
      </c>
      <c r="BNH12" s="5">
        <f>IFERROR(VLOOKUP(BNH$1,'CERA Conservador'!$B$28:$C$35,2,FALSE),0%)</f>
        <v>0</v>
      </c>
      <c r="BNI12" s="5">
        <f>IFERROR(VLOOKUP(BNI$1,'CERA Conservador'!$B$28:$C$35,2,FALSE),0%)</f>
        <v>0</v>
      </c>
      <c r="BNJ12" s="5">
        <f>IFERROR(VLOOKUP(BNJ$1,'CERA Conservador'!$B$28:$C$35,2,FALSE),0%)</f>
        <v>0</v>
      </c>
      <c r="BNK12" s="5">
        <f>IFERROR(VLOOKUP(BNK$1,'CERA Conservador'!$B$28:$C$35,2,FALSE),0%)</f>
        <v>0</v>
      </c>
      <c r="BNL12" s="5">
        <f>IFERROR(VLOOKUP(BNL$1,'CERA Conservador'!$B$28:$C$35,2,FALSE),0%)</f>
        <v>0</v>
      </c>
      <c r="BNM12" s="5">
        <f>IFERROR(VLOOKUP(BNM$1,'CERA Conservador'!$B$28:$C$35,2,FALSE),0%)</f>
        <v>0</v>
      </c>
      <c r="BNN12" s="5">
        <f>IFERROR(VLOOKUP(BNN$1,'CERA Conservador'!$B$28:$C$35,2,FALSE),0%)</f>
        <v>0</v>
      </c>
      <c r="BNO12" s="5">
        <f>IFERROR(VLOOKUP(BNO$1,'CERA Conservador'!$B$28:$C$35,2,FALSE),0%)</f>
        <v>0</v>
      </c>
      <c r="BNP12" s="5">
        <f>IFERROR(VLOOKUP(BNP$1,'CERA Conservador'!$B$28:$C$35,2,FALSE),0%)</f>
        <v>0</v>
      </c>
      <c r="BNQ12" s="5">
        <f>IFERROR(VLOOKUP(BNQ$1,'CERA Conservador'!$B$28:$C$35,2,FALSE),0%)</f>
        <v>0</v>
      </c>
      <c r="BNR12" s="5">
        <f>IFERROR(VLOOKUP(BNR$1,'CERA Conservador'!$B$28:$C$35,2,FALSE),0%)</f>
        <v>0</v>
      </c>
      <c r="BNS12" s="5">
        <f>IFERROR(VLOOKUP(BNS$1,'CERA Conservador'!$B$28:$C$35,2,FALSE),0%)</f>
        <v>0</v>
      </c>
      <c r="BNT12" s="5">
        <f>IFERROR(VLOOKUP(BNT$1,'CERA Conservador'!$B$28:$C$35,2,FALSE),0%)</f>
        <v>0</v>
      </c>
      <c r="BNU12" s="5">
        <f>IFERROR(VLOOKUP(BNU$1,'CERA Conservador'!$B$28:$C$35,2,FALSE),0%)</f>
        <v>0</v>
      </c>
      <c r="BNV12" s="5">
        <f>IFERROR(VLOOKUP(BNV$1,'CERA Conservador'!$B$28:$C$35,2,FALSE),0%)</f>
        <v>0</v>
      </c>
      <c r="BNW12" s="5">
        <f>IFERROR(VLOOKUP(BNW$1,'CERA Conservador'!$B$28:$C$35,2,FALSE),0%)</f>
        <v>0</v>
      </c>
      <c r="BNX12" s="5">
        <f>IFERROR(VLOOKUP(BNX$1,'CERA Conservador'!$B$28:$C$35,2,FALSE),0%)</f>
        <v>0</v>
      </c>
      <c r="BNY12" s="5">
        <f>IFERROR(VLOOKUP(BNY$1,'CERA Conservador'!$B$28:$C$35,2,FALSE),0%)</f>
        <v>0</v>
      </c>
      <c r="BNZ12" s="5">
        <f>IFERROR(VLOOKUP(BNZ$1,'CERA Conservador'!$B$28:$C$35,2,FALSE),0%)</f>
        <v>0</v>
      </c>
      <c r="BOA12" s="5">
        <f>IFERROR(VLOOKUP(BOA$1,'CERA Conservador'!$B$28:$C$35,2,FALSE),0%)</f>
        <v>0</v>
      </c>
      <c r="BOB12" s="5">
        <f>IFERROR(VLOOKUP(BOB$1,'CERA Conservador'!$B$28:$C$35,2,FALSE),0%)</f>
        <v>0</v>
      </c>
      <c r="BOC12" s="5">
        <f>IFERROR(VLOOKUP(BOC$1,'CERA Conservador'!$B$28:$C$35,2,FALSE),0%)</f>
        <v>0</v>
      </c>
      <c r="BOD12" s="5">
        <f>IFERROR(VLOOKUP(BOD$1,'CERA Conservador'!$B$28:$C$35,2,FALSE),0%)</f>
        <v>0</v>
      </c>
      <c r="BOE12" s="5">
        <f>IFERROR(VLOOKUP(BOE$1,'CERA Conservador'!$B$28:$C$35,2,FALSE),0%)</f>
        <v>0</v>
      </c>
      <c r="BOF12" s="5">
        <f>IFERROR(VLOOKUP(BOF$1,'CERA Conservador'!$B$28:$C$35,2,FALSE),0%)</f>
        <v>0</v>
      </c>
      <c r="BOG12" s="5">
        <f>IFERROR(VLOOKUP(BOG$1,'CERA Conservador'!$B$28:$C$35,2,FALSE),0%)</f>
        <v>0</v>
      </c>
      <c r="BOH12" s="5">
        <f>IFERROR(VLOOKUP(BOH$1,'CERA Conservador'!$B$28:$C$35,2,FALSE),0%)</f>
        <v>0</v>
      </c>
      <c r="BOI12" s="5">
        <f>IFERROR(VLOOKUP(BOI$1,'CERA Conservador'!$B$28:$C$35,2,FALSE),0%)</f>
        <v>0</v>
      </c>
      <c r="BOJ12" s="5">
        <f>IFERROR(VLOOKUP(BOJ$1,'CERA Conservador'!$B$28:$C$35,2,FALSE),0%)</f>
        <v>0</v>
      </c>
      <c r="BOK12" s="5">
        <f>IFERROR(VLOOKUP(BOK$1,'CERA Conservador'!$B$28:$C$35,2,FALSE),0%)</f>
        <v>0</v>
      </c>
      <c r="BOL12" s="5">
        <f>IFERROR(VLOOKUP(BOL$1,'CERA Conservador'!$B$28:$C$35,2,FALSE),0%)</f>
        <v>0</v>
      </c>
      <c r="BOM12" s="5">
        <f>IFERROR(VLOOKUP(BOM$1,'CERA Conservador'!$B$28:$C$35,2,FALSE),0%)</f>
        <v>0</v>
      </c>
      <c r="BON12" s="5">
        <f>IFERROR(VLOOKUP(BON$1,'CERA Conservador'!$B$28:$C$35,2,FALSE),0%)</f>
        <v>0</v>
      </c>
      <c r="BOO12" s="5">
        <f>IFERROR(VLOOKUP(BOO$1,'CERA Conservador'!$B$28:$C$35,2,FALSE),0%)</f>
        <v>0</v>
      </c>
      <c r="BOP12" s="5">
        <f>IFERROR(VLOOKUP(BOP$1,'CERA Conservador'!$B$28:$C$35,2,FALSE),0%)</f>
        <v>0</v>
      </c>
      <c r="BOQ12" s="5">
        <f>IFERROR(VLOOKUP(BOQ$1,'CERA Conservador'!$B$28:$C$35,2,FALSE),0%)</f>
        <v>0</v>
      </c>
      <c r="BOR12" s="5">
        <f>IFERROR(VLOOKUP(BOR$1,'CERA Conservador'!$B$28:$C$35,2,FALSE),0%)</f>
        <v>0</v>
      </c>
      <c r="BOS12" s="5">
        <f>IFERROR(VLOOKUP(BOS$1,'CERA Conservador'!$B$28:$C$35,2,FALSE),0%)</f>
        <v>0</v>
      </c>
      <c r="BOT12" s="5">
        <f>IFERROR(VLOOKUP(BOT$1,'CERA Conservador'!$B$28:$C$35,2,FALSE),0%)</f>
        <v>0</v>
      </c>
      <c r="BOU12" s="5">
        <f>IFERROR(VLOOKUP(BOU$1,'CERA Conservador'!$B$28:$C$35,2,FALSE),0%)</f>
        <v>0</v>
      </c>
      <c r="BOV12" s="5">
        <f>IFERROR(VLOOKUP(BOV$1,'CERA Conservador'!$B$28:$C$35,2,FALSE),0%)</f>
        <v>0</v>
      </c>
      <c r="BOW12" s="5">
        <f>IFERROR(VLOOKUP(BOW$1,'CERA Conservador'!$B$28:$C$35,2,FALSE),0%)</f>
        <v>0</v>
      </c>
      <c r="BOX12" s="5">
        <f>IFERROR(VLOOKUP(BOX$1,'CERA Conservador'!$B$28:$C$35,2,FALSE),0%)</f>
        <v>0</v>
      </c>
      <c r="BOY12" s="5">
        <f>IFERROR(VLOOKUP(BOY$1,'CERA Conservador'!$B$28:$C$35,2,FALSE),0%)</f>
        <v>0</v>
      </c>
      <c r="BOZ12" s="5">
        <f>IFERROR(VLOOKUP(BOZ$1,'CERA Conservador'!$B$28:$C$35,2,FALSE),0%)</f>
        <v>0</v>
      </c>
      <c r="BPA12" s="5">
        <f>IFERROR(VLOOKUP(BPA$1,'CERA Conservador'!$B$28:$C$35,2,FALSE),0%)</f>
        <v>0</v>
      </c>
      <c r="BPB12" s="5">
        <f>IFERROR(VLOOKUP(BPB$1,'CERA Conservador'!$B$28:$C$35,2,FALSE),0%)</f>
        <v>0</v>
      </c>
      <c r="BPC12" s="5">
        <f>IFERROR(VLOOKUP(BPC$1,'CERA Conservador'!$B$28:$C$35,2,FALSE),0%)</f>
        <v>0</v>
      </c>
      <c r="BPD12" s="5">
        <f>IFERROR(VLOOKUP(BPD$1,'CERA Conservador'!$B$28:$C$35,2,FALSE),0%)</f>
        <v>0</v>
      </c>
      <c r="BPE12" s="5">
        <f>IFERROR(VLOOKUP(BPE$1,'CERA Conservador'!$B$28:$C$35,2,FALSE),0%)</f>
        <v>0</v>
      </c>
      <c r="BPF12" s="5">
        <f>IFERROR(VLOOKUP(BPF$1,'CERA Conservador'!$B$28:$C$35,2,FALSE),0%)</f>
        <v>0</v>
      </c>
      <c r="BPG12" s="5">
        <f>IFERROR(VLOOKUP(BPG$1,'CERA Conservador'!$B$28:$C$35,2,FALSE),0%)</f>
        <v>0</v>
      </c>
      <c r="BPH12" s="5">
        <f>IFERROR(VLOOKUP(BPH$1,'CERA Conservador'!$B$28:$C$35,2,FALSE),0%)</f>
        <v>0</v>
      </c>
      <c r="BPI12" s="5">
        <f>IFERROR(VLOOKUP(BPI$1,'CERA Conservador'!$B$28:$C$35,2,FALSE),0%)</f>
        <v>0</v>
      </c>
      <c r="BPJ12" s="5">
        <f>IFERROR(VLOOKUP(BPJ$1,'CERA Conservador'!$B$28:$C$35,2,FALSE),0%)</f>
        <v>0</v>
      </c>
      <c r="BPK12" s="5">
        <f>IFERROR(VLOOKUP(BPK$1,'CERA Conservador'!$B$28:$C$35,2,FALSE),0%)</f>
        <v>0</v>
      </c>
      <c r="BPL12" s="5">
        <f>IFERROR(VLOOKUP(BPL$1,'CERA Conservador'!$B$28:$C$35,2,FALSE),0%)</f>
        <v>0</v>
      </c>
      <c r="BPM12" s="5">
        <f>IFERROR(VLOOKUP(BPM$1,'CERA Conservador'!$B$28:$C$35,2,FALSE),0%)</f>
        <v>0</v>
      </c>
      <c r="BPN12" s="5">
        <f>IFERROR(VLOOKUP(BPN$1,'CERA Conservador'!$B$28:$C$35,2,FALSE),0%)</f>
        <v>0</v>
      </c>
      <c r="BPO12" s="5">
        <f>IFERROR(VLOOKUP(BPO$1,'CERA Conservador'!$B$28:$C$35,2,FALSE),0%)</f>
        <v>0</v>
      </c>
      <c r="BPP12" s="5">
        <f>IFERROR(VLOOKUP(BPP$1,'CERA Conservador'!$B$28:$C$35,2,FALSE),0%)</f>
        <v>0</v>
      </c>
      <c r="BPQ12" s="5">
        <f>IFERROR(VLOOKUP(BPQ$1,'CERA Conservador'!$B$28:$C$35,2,FALSE),0%)</f>
        <v>0</v>
      </c>
      <c r="BPR12" s="5">
        <f>IFERROR(VLOOKUP(BPR$1,'CERA Conservador'!$B$28:$C$35,2,FALSE),0%)</f>
        <v>0</v>
      </c>
      <c r="BPS12" s="5">
        <f>IFERROR(VLOOKUP(BPS$1,'CERA Conservador'!$B$28:$C$35,2,FALSE),0%)</f>
        <v>0</v>
      </c>
      <c r="BPT12" s="5">
        <f>IFERROR(VLOOKUP(BPT$1,'CERA Conservador'!$B$28:$C$35,2,FALSE),0%)</f>
        <v>0</v>
      </c>
      <c r="BPU12" s="5">
        <f>IFERROR(VLOOKUP(BPU$1,'CERA Conservador'!$B$28:$C$35,2,FALSE),0%)</f>
        <v>0</v>
      </c>
      <c r="BPV12" s="5">
        <f>IFERROR(VLOOKUP(BPV$1,'CERA Conservador'!$B$28:$C$35,2,FALSE),0%)</f>
        <v>0</v>
      </c>
      <c r="BPW12" s="5">
        <f>IFERROR(VLOOKUP(BPW$1,'CERA Conservador'!$B$28:$C$35,2,FALSE),0%)</f>
        <v>0</v>
      </c>
      <c r="BPX12" s="5">
        <f>IFERROR(VLOOKUP(BPX$1,'CERA Conservador'!$B$28:$C$35,2,FALSE),0%)</f>
        <v>0</v>
      </c>
      <c r="BPY12" s="5">
        <f>IFERROR(VLOOKUP(BPY$1,'CERA Conservador'!$B$28:$C$35,2,FALSE),0%)</f>
        <v>0</v>
      </c>
      <c r="BPZ12" s="5">
        <f>IFERROR(VLOOKUP(BPZ$1,'CERA Conservador'!$B$28:$C$35,2,FALSE),0%)</f>
        <v>0</v>
      </c>
      <c r="BQA12" s="5">
        <f>IFERROR(VLOOKUP(BQA$1,'CERA Conservador'!$B$28:$C$35,2,FALSE),0%)</f>
        <v>0</v>
      </c>
      <c r="BQB12" s="5">
        <f>IFERROR(VLOOKUP(BQB$1,'CERA Conservador'!$B$28:$C$35,2,FALSE),0%)</f>
        <v>0</v>
      </c>
      <c r="BQC12" s="5">
        <f>IFERROR(VLOOKUP(BQC$1,'CERA Conservador'!$B$28:$C$35,2,FALSE),0%)</f>
        <v>0</v>
      </c>
      <c r="BQD12" s="5">
        <f>IFERROR(VLOOKUP(BQD$1,'CERA Conservador'!$B$28:$C$35,2,FALSE),0%)</f>
        <v>0</v>
      </c>
      <c r="BQE12" s="5">
        <f>IFERROR(VLOOKUP(BQE$1,'CERA Conservador'!$B$28:$C$35,2,FALSE),0%)</f>
        <v>0</v>
      </c>
      <c r="BQF12" s="5">
        <f>IFERROR(VLOOKUP(BQF$1,'CERA Conservador'!$B$28:$C$35,2,FALSE),0%)</f>
        <v>0</v>
      </c>
      <c r="BQG12" s="5">
        <f>IFERROR(VLOOKUP(BQG$1,'CERA Conservador'!$B$28:$C$35,2,FALSE),0%)</f>
        <v>0</v>
      </c>
      <c r="BQH12" s="5">
        <f>IFERROR(VLOOKUP(BQH$1,'CERA Conservador'!$B$28:$C$35,2,FALSE),0%)</f>
        <v>0</v>
      </c>
      <c r="BQI12" s="5">
        <f>IFERROR(VLOOKUP(BQI$1,'CERA Conservador'!$B$28:$C$35,2,FALSE),0%)</f>
        <v>0</v>
      </c>
      <c r="BQJ12" s="5">
        <f>IFERROR(VLOOKUP(BQJ$1,'CERA Conservador'!$B$28:$C$35,2,FALSE),0%)</f>
        <v>0</v>
      </c>
      <c r="BQK12" s="5">
        <f>IFERROR(VLOOKUP(BQK$1,'CERA Conservador'!$B$28:$C$35,2,FALSE),0%)</f>
        <v>0</v>
      </c>
      <c r="BQL12" s="5">
        <f>IFERROR(VLOOKUP(BQL$1,'CERA Conservador'!$B$28:$C$35,2,FALSE),0%)</f>
        <v>0</v>
      </c>
      <c r="BQM12" s="5">
        <f>IFERROR(VLOOKUP(BQM$1,'CERA Conservador'!$B$28:$C$35,2,FALSE),0%)</f>
        <v>0</v>
      </c>
      <c r="BQN12" s="5">
        <f>IFERROR(VLOOKUP(BQN$1,'CERA Conservador'!$B$28:$C$35,2,FALSE),0%)</f>
        <v>0</v>
      </c>
      <c r="BQO12" s="5">
        <f>IFERROR(VLOOKUP(BQO$1,'CERA Conservador'!$B$28:$C$35,2,FALSE),0%)</f>
        <v>0</v>
      </c>
      <c r="BQP12" s="5">
        <f>IFERROR(VLOOKUP(BQP$1,'CERA Conservador'!$B$28:$C$35,2,FALSE),0%)</f>
        <v>0</v>
      </c>
      <c r="BQQ12" s="5">
        <f>IFERROR(VLOOKUP(BQQ$1,'CERA Conservador'!$B$28:$C$35,2,FALSE),0%)</f>
        <v>0</v>
      </c>
      <c r="BQR12" s="5">
        <f>IFERROR(VLOOKUP(BQR$1,'CERA Conservador'!$B$28:$C$35,2,FALSE),0%)</f>
        <v>0</v>
      </c>
      <c r="BQS12" s="5">
        <f>IFERROR(VLOOKUP(BQS$1,'CERA Conservador'!$B$28:$C$35,2,FALSE),0%)</f>
        <v>0</v>
      </c>
      <c r="BQT12" s="5">
        <f>IFERROR(VLOOKUP(BQT$1,'CERA Conservador'!$B$28:$C$35,2,FALSE),0%)</f>
        <v>0</v>
      </c>
      <c r="BQU12" s="5">
        <f>IFERROR(VLOOKUP(BQU$1,'CERA Conservador'!$B$28:$C$35,2,FALSE),0%)</f>
        <v>0</v>
      </c>
      <c r="BQV12" s="5">
        <f>IFERROR(VLOOKUP(BQV$1,'CERA Conservador'!$B$28:$C$35,2,FALSE),0%)</f>
        <v>0</v>
      </c>
      <c r="BQW12" s="5">
        <f>IFERROR(VLOOKUP(BQW$1,'CERA Conservador'!$B$28:$C$35,2,FALSE),0%)</f>
        <v>0</v>
      </c>
      <c r="BQX12" s="5">
        <f>IFERROR(VLOOKUP(BQX$1,'CERA Conservador'!$B$28:$C$35,2,FALSE),0%)</f>
        <v>0</v>
      </c>
      <c r="BQY12" s="5">
        <f>IFERROR(VLOOKUP(BQY$1,'CERA Conservador'!$B$28:$C$35,2,FALSE),0%)</f>
        <v>0</v>
      </c>
      <c r="BQZ12" s="5">
        <f>IFERROR(VLOOKUP(BQZ$1,'CERA Conservador'!$B$28:$C$35,2,FALSE),0%)</f>
        <v>0</v>
      </c>
      <c r="BRA12" s="5">
        <f>IFERROR(VLOOKUP(BRA$1,'CERA Conservador'!$B$28:$C$35,2,FALSE),0%)</f>
        <v>0</v>
      </c>
      <c r="BRB12" s="5">
        <f>IFERROR(VLOOKUP(BRB$1,'CERA Conservador'!$B$28:$C$35,2,FALSE),0%)</f>
        <v>0</v>
      </c>
      <c r="BRC12" s="5">
        <f>IFERROR(VLOOKUP(BRC$1,'CERA Conservador'!$B$28:$C$35,2,FALSE),0%)</f>
        <v>0</v>
      </c>
      <c r="BRD12" s="5">
        <f>IFERROR(VLOOKUP(BRD$1,'CERA Conservador'!$B$28:$C$35,2,FALSE),0%)</f>
        <v>0</v>
      </c>
      <c r="BRE12" s="5">
        <f>IFERROR(VLOOKUP(BRE$1,'CERA Conservador'!$B$28:$C$35,2,FALSE),0%)</f>
        <v>0</v>
      </c>
      <c r="BRF12" s="5">
        <f>IFERROR(VLOOKUP(BRF$1,'CERA Conservador'!$B$28:$C$35,2,FALSE),0%)</f>
        <v>0</v>
      </c>
      <c r="BRG12" s="5">
        <f>IFERROR(VLOOKUP(BRG$1,'CERA Conservador'!$B$28:$C$35,2,FALSE),0%)</f>
        <v>0</v>
      </c>
      <c r="BRH12" s="5">
        <f>IFERROR(VLOOKUP(BRH$1,'CERA Conservador'!$B$28:$C$35,2,FALSE),0%)</f>
        <v>0</v>
      </c>
      <c r="BRI12" s="5">
        <f>IFERROR(VLOOKUP(BRI$1,'CERA Conservador'!$B$28:$C$35,2,FALSE),0%)</f>
        <v>0</v>
      </c>
      <c r="BRJ12" s="5">
        <f>IFERROR(VLOOKUP(BRJ$1,'CERA Conservador'!$B$28:$C$35,2,FALSE),0%)</f>
        <v>0</v>
      </c>
      <c r="BRK12" s="5">
        <f>IFERROR(VLOOKUP(BRK$1,'CERA Conservador'!$B$28:$C$35,2,FALSE),0%)</f>
        <v>0</v>
      </c>
      <c r="BRL12" s="5">
        <f>IFERROR(VLOOKUP(BRL$1,'CERA Conservador'!$B$28:$C$35,2,FALSE),0%)</f>
        <v>0</v>
      </c>
      <c r="BRM12" s="5">
        <f>IFERROR(VLOOKUP(BRM$1,'CERA Conservador'!$B$28:$C$35,2,FALSE),0%)</f>
        <v>0</v>
      </c>
      <c r="BRN12" s="5">
        <f>IFERROR(VLOOKUP(BRN$1,'CERA Conservador'!$B$28:$C$35,2,FALSE),0%)</f>
        <v>0</v>
      </c>
      <c r="BRO12" s="5">
        <f>IFERROR(VLOOKUP(BRO$1,'CERA Conservador'!$B$28:$C$35,2,FALSE),0%)</f>
        <v>0</v>
      </c>
      <c r="BRP12" s="5">
        <f>IFERROR(VLOOKUP(BRP$1,'CERA Conservador'!$B$28:$C$35,2,FALSE),0%)</f>
        <v>0</v>
      </c>
      <c r="BRQ12" s="5">
        <f>IFERROR(VLOOKUP(BRQ$1,'CERA Conservador'!$B$28:$C$35,2,FALSE),0%)</f>
        <v>0</v>
      </c>
      <c r="BRR12" s="5">
        <f>IFERROR(VLOOKUP(BRR$1,'CERA Conservador'!$B$28:$C$35,2,FALSE),0%)</f>
        <v>0</v>
      </c>
      <c r="BRS12" s="5">
        <f>IFERROR(VLOOKUP(BRS$1,'CERA Conservador'!$B$28:$C$35,2,FALSE),0%)</f>
        <v>0</v>
      </c>
      <c r="BRT12" s="5">
        <f>IFERROR(VLOOKUP(BRT$1,'CERA Conservador'!$B$28:$C$35,2,FALSE),0%)</f>
        <v>0</v>
      </c>
      <c r="BRU12" s="5">
        <f>IFERROR(VLOOKUP(BRU$1,'CERA Conservador'!$B$28:$C$35,2,FALSE),0%)</f>
        <v>0</v>
      </c>
      <c r="BRV12" s="5">
        <f>IFERROR(VLOOKUP(BRV$1,'CERA Conservador'!$B$28:$C$35,2,FALSE),0%)</f>
        <v>0</v>
      </c>
      <c r="BRW12" s="5">
        <f>IFERROR(VLOOKUP(BRW$1,'CERA Conservador'!$B$28:$C$35,2,FALSE),0%)</f>
        <v>0</v>
      </c>
      <c r="BRX12" s="5">
        <f>IFERROR(VLOOKUP(BRX$1,'CERA Conservador'!$B$28:$C$35,2,FALSE),0%)</f>
        <v>0</v>
      </c>
      <c r="BRY12" s="5">
        <f>IFERROR(VLOOKUP(BRY$1,'CERA Conservador'!$B$28:$C$35,2,FALSE),0%)</f>
        <v>0</v>
      </c>
      <c r="BRZ12" s="5">
        <f>IFERROR(VLOOKUP(BRZ$1,'CERA Conservador'!$B$28:$C$35,2,FALSE),0%)</f>
        <v>0</v>
      </c>
      <c r="BSA12" s="5">
        <f>IFERROR(VLOOKUP(BSA$1,'CERA Conservador'!$B$28:$C$35,2,FALSE),0%)</f>
        <v>0</v>
      </c>
      <c r="BSB12" s="5">
        <f>IFERROR(VLOOKUP(BSB$1,'CERA Conservador'!$B$28:$C$35,2,FALSE),0%)</f>
        <v>0</v>
      </c>
      <c r="BSC12" s="5">
        <f>IFERROR(VLOOKUP(BSC$1,'CERA Conservador'!$B$28:$C$35,2,FALSE),0%)</f>
        <v>0</v>
      </c>
      <c r="BSD12" s="5">
        <f>IFERROR(VLOOKUP(BSD$1,'CERA Conservador'!$B$28:$C$35,2,FALSE),0%)</f>
        <v>0</v>
      </c>
      <c r="BSE12" s="5">
        <f>IFERROR(VLOOKUP(BSE$1,'CERA Conservador'!$B$28:$C$35,2,FALSE),0%)</f>
        <v>0</v>
      </c>
      <c r="BSF12" s="5">
        <f>IFERROR(VLOOKUP(BSF$1,'CERA Conservador'!$B$28:$C$35,2,FALSE),0%)</f>
        <v>0</v>
      </c>
      <c r="BSG12" s="5">
        <f>IFERROR(VLOOKUP(BSG$1,'CERA Conservador'!$B$28:$C$35,2,FALSE),0%)</f>
        <v>0</v>
      </c>
      <c r="BSH12" s="5">
        <f>IFERROR(VLOOKUP(BSH$1,'CERA Conservador'!$B$28:$C$35,2,FALSE),0%)</f>
        <v>0</v>
      </c>
      <c r="BSI12" s="5">
        <f>IFERROR(VLOOKUP(BSI$1,'CERA Conservador'!$B$28:$C$35,2,FALSE),0%)</f>
        <v>0</v>
      </c>
      <c r="BSJ12" s="5">
        <f>IFERROR(VLOOKUP(BSJ$1,'CERA Conservador'!$B$28:$C$35,2,FALSE),0%)</f>
        <v>0</v>
      </c>
      <c r="BSK12" s="5">
        <f>IFERROR(VLOOKUP(BSK$1,'CERA Conservador'!$B$28:$C$35,2,FALSE),0%)</f>
        <v>0</v>
      </c>
      <c r="BSL12" s="5">
        <f>IFERROR(VLOOKUP(BSL$1,'CERA Conservador'!$B$28:$C$35,2,FALSE),0%)</f>
        <v>0</v>
      </c>
      <c r="BSM12" s="5">
        <f>IFERROR(VLOOKUP(BSM$1,'CERA Conservador'!$B$28:$C$35,2,FALSE),0%)</f>
        <v>0</v>
      </c>
      <c r="BSN12" s="5">
        <f>IFERROR(VLOOKUP(BSN$1,'CERA Conservador'!$B$28:$C$35,2,FALSE),0%)</f>
        <v>0</v>
      </c>
      <c r="BSO12" s="5">
        <f>IFERROR(VLOOKUP(BSO$1,'CERA Conservador'!$B$28:$C$35,2,FALSE),0%)</f>
        <v>0</v>
      </c>
      <c r="BSP12" s="5">
        <f>IFERROR(VLOOKUP(BSP$1,'CERA Conservador'!$B$28:$C$35,2,FALSE),0%)</f>
        <v>0</v>
      </c>
      <c r="BSQ12" s="5">
        <f>IFERROR(VLOOKUP(BSQ$1,'CERA Conservador'!$B$28:$C$35,2,FALSE),0%)</f>
        <v>0</v>
      </c>
      <c r="BSR12" s="5">
        <f>IFERROR(VLOOKUP(BSR$1,'CERA Conservador'!$B$28:$C$35,2,FALSE),0%)</f>
        <v>0</v>
      </c>
      <c r="BSS12" s="5">
        <f>IFERROR(VLOOKUP(BSS$1,'CERA Conservador'!$B$28:$C$35,2,FALSE),0%)</f>
        <v>0</v>
      </c>
      <c r="BST12" s="5">
        <f>IFERROR(VLOOKUP(BST$1,'CERA Conservador'!$B$28:$C$35,2,FALSE),0%)</f>
        <v>0</v>
      </c>
      <c r="BSU12" s="5">
        <f>IFERROR(VLOOKUP(BSU$1,'CERA Conservador'!$B$28:$C$35,2,FALSE),0%)</f>
        <v>0</v>
      </c>
      <c r="BSV12" s="5">
        <f>IFERROR(VLOOKUP(BSV$1,'CERA Conservador'!$B$28:$C$35,2,FALSE),0%)</f>
        <v>0</v>
      </c>
      <c r="BSW12" s="5">
        <f>IFERROR(VLOOKUP(BSW$1,'CERA Conservador'!$B$28:$C$35,2,FALSE),0%)</f>
        <v>0</v>
      </c>
      <c r="BSX12" s="5">
        <f>IFERROR(VLOOKUP(BSX$1,'CERA Conservador'!$B$28:$C$35,2,FALSE),0%)</f>
        <v>0</v>
      </c>
      <c r="BSY12" s="5">
        <f>IFERROR(VLOOKUP(BSY$1,'CERA Conservador'!$B$28:$C$35,2,FALSE),0%)</f>
        <v>0</v>
      </c>
      <c r="BSZ12" s="5">
        <f>IFERROR(VLOOKUP(BSZ$1,'CERA Conservador'!$B$28:$C$35,2,FALSE),0%)</f>
        <v>0</v>
      </c>
      <c r="BTA12" s="5">
        <f>IFERROR(VLOOKUP(BTA$1,'CERA Conservador'!$B$28:$C$35,2,FALSE),0%)</f>
        <v>0</v>
      </c>
      <c r="BTB12" s="5">
        <f>IFERROR(VLOOKUP(BTB$1,'CERA Conservador'!$B$28:$C$35,2,FALSE),0%)</f>
        <v>0</v>
      </c>
      <c r="BTC12" s="5">
        <f>IFERROR(VLOOKUP(BTC$1,'CERA Conservador'!$B$28:$C$35,2,FALSE),0%)</f>
        <v>0</v>
      </c>
      <c r="BTD12" s="5">
        <f>IFERROR(VLOOKUP(BTD$1,'CERA Conservador'!$B$28:$C$35,2,FALSE),0%)</f>
        <v>0</v>
      </c>
      <c r="BTE12" s="5">
        <f>IFERROR(VLOOKUP(BTE$1,'CERA Conservador'!$B$28:$C$35,2,FALSE),0%)</f>
        <v>0</v>
      </c>
      <c r="BTF12" s="5">
        <f>IFERROR(VLOOKUP(BTF$1,'CERA Conservador'!$B$28:$C$35,2,FALSE),0%)</f>
        <v>0</v>
      </c>
      <c r="BTG12" s="5">
        <f>IFERROR(VLOOKUP(BTG$1,'CERA Conservador'!$B$28:$C$35,2,FALSE),0%)</f>
        <v>0</v>
      </c>
      <c r="BTH12" s="5">
        <f>IFERROR(VLOOKUP(BTH$1,'CERA Conservador'!$B$28:$C$35,2,FALSE),0%)</f>
        <v>0</v>
      </c>
      <c r="BTI12" s="5">
        <f>IFERROR(VLOOKUP(BTI$1,'CERA Conservador'!$B$28:$C$35,2,FALSE),0%)</f>
        <v>0</v>
      </c>
      <c r="BTJ12" s="5">
        <f>IFERROR(VLOOKUP(BTJ$1,'CERA Conservador'!$B$28:$C$35,2,FALSE),0%)</f>
        <v>0</v>
      </c>
      <c r="BTK12" s="5">
        <f>IFERROR(VLOOKUP(BTK$1,'CERA Conservador'!$B$28:$C$35,2,FALSE),0%)</f>
        <v>0</v>
      </c>
      <c r="BTL12" s="5">
        <f>IFERROR(VLOOKUP(BTL$1,'CERA Conservador'!$B$28:$C$35,2,FALSE),0%)</f>
        <v>0</v>
      </c>
      <c r="BTM12" s="5">
        <f>IFERROR(VLOOKUP(BTM$1,'CERA Conservador'!$B$28:$C$35,2,FALSE),0%)</f>
        <v>0</v>
      </c>
      <c r="BTN12" s="5">
        <f>IFERROR(VLOOKUP(BTN$1,'CERA Conservador'!$B$28:$C$35,2,FALSE),0%)</f>
        <v>0</v>
      </c>
      <c r="BTO12" s="5">
        <f>IFERROR(VLOOKUP(BTO$1,'CERA Conservador'!$B$28:$C$35,2,FALSE),0%)</f>
        <v>0</v>
      </c>
      <c r="BTP12" s="5">
        <f>IFERROR(VLOOKUP(BTP$1,'CERA Conservador'!$B$28:$C$35,2,FALSE),0%)</f>
        <v>0</v>
      </c>
      <c r="BTQ12" s="5">
        <f>IFERROR(VLOOKUP(BTQ$1,'CERA Conservador'!$B$28:$C$35,2,FALSE),0%)</f>
        <v>0</v>
      </c>
      <c r="BTR12" s="5">
        <f>IFERROR(VLOOKUP(BTR$1,'CERA Conservador'!$B$28:$C$35,2,FALSE),0%)</f>
        <v>0</v>
      </c>
      <c r="BTS12" s="5">
        <f>IFERROR(VLOOKUP(BTS$1,'CERA Conservador'!$B$28:$C$35,2,FALSE),0%)</f>
        <v>0</v>
      </c>
      <c r="BTT12" s="5">
        <f>IFERROR(VLOOKUP(BTT$1,'CERA Conservador'!$B$28:$C$35,2,FALSE),0%)</f>
        <v>0</v>
      </c>
      <c r="BTU12" s="5">
        <f>IFERROR(VLOOKUP(BTU$1,'CERA Conservador'!$B$28:$C$35,2,FALSE),0%)</f>
        <v>0</v>
      </c>
      <c r="BTV12" s="5">
        <f>IFERROR(VLOOKUP(BTV$1,'CERA Conservador'!$B$28:$C$35,2,FALSE),0%)</f>
        <v>0</v>
      </c>
      <c r="BTW12" s="5">
        <f>IFERROR(VLOOKUP(BTW$1,'CERA Conservador'!$B$28:$C$35,2,FALSE),0%)</f>
        <v>0</v>
      </c>
      <c r="BTX12" s="5">
        <f>IFERROR(VLOOKUP(BTX$1,'CERA Conservador'!$B$28:$C$35,2,FALSE),0%)</f>
        <v>0</v>
      </c>
      <c r="BTY12" s="5">
        <f>IFERROR(VLOOKUP(BTY$1,'CERA Conservador'!$B$28:$C$35,2,FALSE),0%)</f>
        <v>0</v>
      </c>
      <c r="BTZ12" s="5">
        <f>IFERROR(VLOOKUP(BTZ$1,'CERA Conservador'!$B$28:$C$35,2,FALSE),0%)</f>
        <v>0</v>
      </c>
      <c r="BUA12" s="5">
        <f>IFERROR(VLOOKUP(BUA$1,'CERA Conservador'!$B$28:$C$35,2,FALSE),0%)</f>
        <v>0</v>
      </c>
      <c r="BUB12" s="5">
        <f>IFERROR(VLOOKUP(BUB$1,'CERA Conservador'!$B$28:$C$35,2,FALSE),0%)</f>
        <v>0</v>
      </c>
      <c r="BUC12" s="5">
        <f>IFERROR(VLOOKUP(BUC$1,'CERA Conservador'!$B$28:$C$35,2,FALSE),0%)</f>
        <v>0</v>
      </c>
      <c r="BUD12" s="5">
        <f>IFERROR(VLOOKUP(BUD$1,'CERA Conservador'!$B$28:$C$35,2,FALSE),0%)</f>
        <v>0</v>
      </c>
      <c r="BUE12" s="5">
        <f>IFERROR(VLOOKUP(BUE$1,'CERA Conservador'!$B$28:$C$35,2,FALSE),0%)</f>
        <v>0</v>
      </c>
      <c r="BUF12" s="5">
        <f>IFERROR(VLOOKUP(BUF$1,'CERA Conservador'!$B$28:$C$35,2,FALSE),0%)</f>
        <v>0</v>
      </c>
      <c r="BUG12" s="5">
        <f>IFERROR(VLOOKUP(BUG$1,'CERA Conservador'!$B$28:$C$35,2,FALSE),0%)</f>
        <v>0</v>
      </c>
      <c r="BUH12" s="5">
        <f>IFERROR(VLOOKUP(BUH$1,'CERA Conservador'!$B$28:$C$35,2,FALSE),0%)</f>
        <v>0</v>
      </c>
      <c r="BUI12" s="5">
        <f>IFERROR(VLOOKUP(BUI$1,'CERA Conservador'!$B$28:$C$35,2,FALSE),0%)</f>
        <v>0</v>
      </c>
      <c r="BUJ12" s="5">
        <f>IFERROR(VLOOKUP(BUJ$1,'CERA Conservador'!$B$28:$C$35,2,FALSE),0%)</f>
        <v>0</v>
      </c>
      <c r="BUK12" s="5">
        <f>IFERROR(VLOOKUP(BUK$1,'CERA Conservador'!$B$28:$C$35,2,FALSE),0%)</f>
        <v>0</v>
      </c>
      <c r="BUL12" s="5">
        <f>IFERROR(VLOOKUP(BUL$1,'CERA Conservador'!$B$28:$C$35,2,FALSE),0%)</f>
        <v>0</v>
      </c>
      <c r="BUM12" s="5">
        <f>IFERROR(VLOOKUP(BUM$1,'CERA Conservador'!$B$28:$C$35,2,FALSE),0%)</f>
        <v>0</v>
      </c>
      <c r="BUN12" s="5">
        <f>IFERROR(VLOOKUP(BUN$1,'CERA Conservador'!$B$28:$C$35,2,FALSE),0%)</f>
        <v>0</v>
      </c>
      <c r="BUO12" s="5">
        <f>IFERROR(VLOOKUP(BUO$1,'CERA Conservador'!$B$28:$C$35,2,FALSE),0%)</f>
        <v>0</v>
      </c>
      <c r="BUP12" s="5">
        <f>IFERROR(VLOOKUP(BUP$1,'CERA Conservador'!$B$28:$C$35,2,FALSE),0%)</f>
        <v>0</v>
      </c>
      <c r="BUQ12" s="5">
        <f>IFERROR(VLOOKUP(BUQ$1,'CERA Conservador'!$B$28:$C$35,2,FALSE),0%)</f>
        <v>0</v>
      </c>
      <c r="BUR12" s="5">
        <f>IFERROR(VLOOKUP(BUR$1,'CERA Conservador'!$B$28:$C$35,2,FALSE),0%)</f>
        <v>0</v>
      </c>
      <c r="BUS12" s="5">
        <f>IFERROR(VLOOKUP(BUS$1,'CERA Conservador'!$B$28:$C$35,2,FALSE),0%)</f>
        <v>0</v>
      </c>
      <c r="BUT12" s="5">
        <f>IFERROR(VLOOKUP(BUT$1,'CERA Conservador'!$B$28:$C$35,2,FALSE),0%)</f>
        <v>0</v>
      </c>
      <c r="BUU12" s="5">
        <f>IFERROR(VLOOKUP(BUU$1,'CERA Conservador'!$B$28:$C$35,2,FALSE),0%)</f>
        <v>0</v>
      </c>
      <c r="BUV12" s="5">
        <f>IFERROR(VLOOKUP(BUV$1,'CERA Conservador'!$B$28:$C$35,2,FALSE),0%)</f>
        <v>0</v>
      </c>
      <c r="BUW12" s="5">
        <f>IFERROR(VLOOKUP(BUW$1,'CERA Conservador'!$B$28:$C$35,2,FALSE),0%)</f>
        <v>0</v>
      </c>
      <c r="BUX12" s="5">
        <f>IFERROR(VLOOKUP(BUX$1,'CERA Conservador'!$B$28:$C$35,2,FALSE),0%)</f>
        <v>0</v>
      </c>
      <c r="BUY12" s="5">
        <f>IFERROR(VLOOKUP(BUY$1,'CERA Conservador'!$B$28:$C$35,2,FALSE),0%)</f>
        <v>0</v>
      </c>
      <c r="BUZ12" s="5">
        <f>IFERROR(VLOOKUP(BUZ$1,'CERA Conservador'!$B$28:$C$35,2,FALSE),0%)</f>
        <v>0</v>
      </c>
      <c r="BVA12" s="5">
        <f>IFERROR(VLOOKUP(BVA$1,'CERA Conservador'!$B$28:$C$35,2,FALSE),0%)</f>
        <v>0</v>
      </c>
      <c r="BVB12" s="5">
        <f>IFERROR(VLOOKUP(BVB$1,'CERA Conservador'!$B$28:$C$35,2,FALSE),0%)</f>
        <v>0</v>
      </c>
      <c r="BVC12" s="5">
        <f>IFERROR(VLOOKUP(BVC$1,'CERA Conservador'!$B$28:$C$35,2,FALSE),0%)</f>
        <v>0</v>
      </c>
      <c r="BVD12" s="5">
        <f>IFERROR(VLOOKUP(BVD$1,'CERA Conservador'!$B$28:$C$35,2,FALSE),0%)</f>
        <v>0</v>
      </c>
      <c r="BVE12" s="5">
        <f>IFERROR(VLOOKUP(BVE$1,'CERA Conservador'!$B$28:$C$35,2,FALSE),0%)</f>
        <v>0</v>
      </c>
      <c r="BVF12" s="5">
        <f>IFERROR(VLOOKUP(BVF$1,'CERA Conservador'!$B$28:$C$35,2,FALSE),0%)</f>
        <v>0</v>
      </c>
      <c r="BVG12" s="5">
        <f>IFERROR(VLOOKUP(BVG$1,'CERA Conservador'!$B$28:$C$35,2,FALSE),0%)</f>
        <v>0</v>
      </c>
      <c r="BVH12" s="5">
        <f>IFERROR(VLOOKUP(BVH$1,'CERA Conservador'!$B$28:$C$35,2,FALSE),0%)</f>
        <v>0</v>
      </c>
      <c r="BVI12" s="5">
        <f>IFERROR(VLOOKUP(BVI$1,'CERA Conservador'!$B$28:$C$35,2,FALSE),0%)</f>
        <v>0</v>
      </c>
      <c r="BVJ12" s="5">
        <f>IFERROR(VLOOKUP(BVJ$1,'CERA Conservador'!$B$28:$C$35,2,FALSE),0%)</f>
        <v>0</v>
      </c>
      <c r="BVK12" s="5">
        <f>IFERROR(VLOOKUP(BVK$1,'CERA Conservador'!$B$28:$C$35,2,FALSE),0%)</f>
        <v>0</v>
      </c>
      <c r="BVL12" s="5">
        <f>IFERROR(VLOOKUP(BVL$1,'CERA Conservador'!$B$28:$C$35,2,FALSE),0%)</f>
        <v>0</v>
      </c>
      <c r="BVM12" s="5">
        <f>IFERROR(VLOOKUP(BVM$1,'CERA Conservador'!$B$28:$C$35,2,FALSE),0%)</f>
        <v>0</v>
      </c>
      <c r="BVN12" s="5">
        <f>IFERROR(VLOOKUP(BVN$1,'CERA Conservador'!$B$28:$C$35,2,FALSE),0%)</f>
        <v>0</v>
      </c>
      <c r="BVO12" s="5">
        <f>IFERROR(VLOOKUP(BVO$1,'CERA Conservador'!$B$28:$C$35,2,FALSE),0%)</f>
        <v>0</v>
      </c>
      <c r="BVP12" s="5">
        <f>IFERROR(VLOOKUP(BVP$1,'CERA Conservador'!$B$28:$C$35,2,FALSE),0%)</f>
        <v>0</v>
      </c>
      <c r="BVQ12" s="5">
        <f>IFERROR(VLOOKUP(BVQ$1,'CERA Conservador'!$B$28:$C$35,2,FALSE),0%)</f>
        <v>0</v>
      </c>
      <c r="BVR12" s="5">
        <f>IFERROR(VLOOKUP(BVR$1,'CERA Conservador'!$B$28:$C$35,2,FALSE),0%)</f>
        <v>0</v>
      </c>
      <c r="BVS12" s="5">
        <f>IFERROR(VLOOKUP(BVS$1,'CERA Conservador'!$B$28:$C$35,2,FALSE),0%)</f>
        <v>0</v>
      </c>
      <c r="BVT12" s="5">
        <f>IFERROR(VLOOKUP(BVT$1,'CERA Conservador'!$B$28:$C$35,2,FALSE),0%)</f>
        <v>0</v>
      </c>
      <c r="BVU12" s="5">
        <f>IFERROR(VLOOKUP(BVU$1,'CERA Conservador'!$B$28:$C$35,2,FALSE),0%)</f>
        <v>0</v>
      </c>
      <c r="BVV12" s="5">
        <f>IFERROR(VLOOKUP(BVV$1,'CERA Conservador'!$B$28:$C$35,2,FALSE),0%)</f>
        <v>0</v>
      </c>
      <c r="BVW12" s="5">
        <f>IFERROR(VLOOKUP(BVW$1,'CERA Conservador'!$B$28:$C$35,2,FALSE),0%)</f>
        <v>0</v>
      </c>
      <c r="BVX12" s="5">
        <f>IFERROR(VLOOKUP(BVX$1,'CERA Conservador'!$B$28:$C$35,2,FALSE),0%)</f>
        <v>0</v>
      </c>
      <c r="BVY12" s="5">
        <f>IFERROR(VLOOKUP(BVY$1,'CERA Conservador'!$B$28:$C$35,2,FALSE),0%)</f>
        <v>0</v>
      </c>
      <c r="BVZ12" s="5">
        <f>IFERROR(VLOOKUP(BVZ$1,'CERA Conservador'!$B$28:$C$35,2,FALSE),0%)</f>
        <v>0</v>
      </c>
      <c r="BWA12" s="5">
        <f>IFERROR(VLOOKUP(BWA$1,'CERA Conservador'!$B$28:$C$35,2,FALSE),0%)</f>
        <v>0</v>
      </c>
      <c r="BWB12" s="5">
        <f>IFERROR(VLOOKUP(BWB$1,'CERA Conservador'!$B$28:$C$35,2,FALSE),0%)</f>
        <v>0</v>
      </c>
      <c r="BWC12" s="5">
        <f>IFERROR(VLOOKUP(BWC$1,'CERA Conservador'!$B$28:$C$35,2,FALSE),0%)</f>
        <v>0</v>
      </c>
      <c r="BWD12" s="5">
        <f>IFERROR(VLOOKUP(BWD$1,'CERA Conservador'!$B$28:$C$35,2,FALSE),0%)</f>
        <v>0</v>
      </c>
      <c r="BWE12" s="5">
        <f>IFERROR(VLOOKUP(BWE$1,'CERA Conservador'!$B$28:$C$35,2,FALSE),0%)</f>
        <v>0</v>
      </c>
      <c r="BWF12" s="5">
        <f>IFERROR(VLOOKUP(BWF$1,'CERA Conservador'!$B$28:$C$35,2,FALSE),0%)</f>
        <v>0</v>
      </c>
      <c r="BWG12" s="5">
        <f>IFERROR(VLOOKUP(BWG$1,'CERA Conservador'!$B$28:$C$35,2,FALSE),0%)</f>
        <v>0</v>
      </c>
      <c r="BWH12" s="5">
        <f>IFERROR(VLOOKUP(BWH$1,'CERA Conservador'!$B$28:$C$35,2,FALSE),0%)</f>
        <v>0</v>
      </c>
      <c r="BWI12" s="5">
        <f>IFERROR(VLOOKUP(BWI$1,'CERA Conservador'!$B$28:$C$35,2,FALSE),0%)</f>
        <v>0</v>
      </c>
      <c r="BWJ12" s="5">
        <f>IFERROR(VLOOKUP(BWJ$1,'CERA Conservador'!$B$28:$C$35,2,FALSE),0%)</f>
        <v>0</v>
      </c>
      <c r="BWK12" s="5">
        <f>IFERROR(VLOOKUP(BWK$1,'CERA Conservador'!$B$28:$C$35,2,FALSE),0%)</f>
        <v>0</v>
      </c>
      <c r="BWL12" s="5">
        <f>IFERROR(VLOOKUP(BWL$1,'CERA Conservador'!$B$28:$C$35,2,FALSE),0%)</f>
        <v>0</v>
      </c>
      <c r="BWM12" s="5">
        <f>IFERROR(VLOOKUP(BWM$1,'CERA Conservador'!$B$28:$C$35,2,FALSE),0%)</f>
        <v>0</v>
      </c>
      <c r="BWN12" s="5">
        <f>IFERROR(VLOOKUP(BWN$1,'CERA Conservador'!$B$28:$C$35,2,FALSE),0%)</f>
        <v>0</v>
      </c>
      <c r="BWO12" s="5">
        <f>IFERROR(VLOOKUP(BWO$1,'CERA Conservador'!$B$28:$C$35,2,FALSE),0%)</f>
        <v>0</v>
      </c>
      <c r="BWP12" s="5">
        <f>IFERROR(VLOOKUP(BWP$1,'CERA Conservador'!$B$28:$C$35,2,FALSE),0%)</f>
        <v>0</v>
      </c>
      <c r="BWQ12" s="5">
        <f>IFERROR(VLOOKUP(BWQ$1,'CERA Conservador'!$B$28:$C$35,2,FALSE),0%)</f>
        <v>0</v>
      </c>
      <c r="BWR12" s="5">
        <f>IFERROR(VLOOKUP(BWR$1,'CERA Conservador'!$B$28:$C$35,2,FALSE),0%)</f>
        <v>0</v>
      </c>
      <c r="BWS12" s="5">
        <f>IFERROR(VLOOKUP(BWS$1,'CERA Conservador'!$B$28:$C$35,2,FALSE),0%)</f>
        <v>0</v>
      </c>
      <c r="BWT12" s="5">
        <f>IFERROR(VLOOKUP(BWT$1,'CERA Conservador'!$B$28:$C$35,2,FALSE),0%)</f>
        <v>0</v>
      </c>
      <c r="BWU12" s="5">
        <f>IFERROR(VLOOKUP(BWU$1,'CERA Conservador'!$B$28:$C$35,2,FALSE),0%)</f>
        <v>0</v>
      </c>
      <c r="BWV12" s="5">
        <f>IFERROR(VLOOKUP(BWV$1,'CERA Conservador'!$B$28:$C$35,2,FALSE),0%)</f>
        <v>0</v>
      </c>
      <c r="BWW12" s="5">
        <f>IFERROR(VLOOKUP(BWW$1,'CERA Conservador'!$B$28:$C$35,2,FALSE),0%)</f>
        <v>0</v>
      </c>
      <c r="BWX12" s="5">
        <f>IFERROR(VLOOKUP(BWX$1,'CERA Conservador'!$B$28:$C$35,2,FALSE),0%)</f>
        <v>0</v>
      </c>
      <c r="BWY12" s="5">
        <f>IFERROR(VLOOKUP(BWY$1,'CERA Conservador'!$B$28:$C$35,2,FALSE),0%)</f>
        <v>0</v>
      </c>
      <c r="BWZ12" s="5">
        <f>IFERROR(VLOOKUP(BWZ$1,'CERA Conservador'!$B$28:$C$35,2,FALSE),0%)</f>
        <v>0</v>
      </c>
      <c r="BXA12" s="5">
        <f>IFERROR(VLOOKUP(BXA$1,'CERA Conservador'!$B$28:$C$35,2,FALSE),0%)</f>
        <v>0</v>
      </c>
      <c r="BXB12" s="5">
        <f>IFERROR(VLOOKUP(BXB$1,'CERA Conservador'!$B$28:$C$35,2,FALSE),0%)</f>
        <v>0</v>
      </c>
      <c r="BXC12" s="5">
        <f>IFERROR(VLOOKUP(BXC$1,'CERA Conservador'!$B$28:$C$35,2,FALSE),0%)</f>
        <v>0</v>
      </c>
      <c r="BXD12" s="5">
        <f>IFERROR(VLOOKUP(BXD$1,'CERA Conservador'!$B$28:$C$35,2,FALSE),0%)</f>
        <v>0</v>
      </c>
      <c r="BXE12" s="5">
        <f>IFERROR(VLOOKUP(BXE$1,'CERA Conservador'!$B$28:$C$35,2,FALSE),0%)</f>
        <v>0</v>
      </c>
      <c r="BXF12" s="5">
        <f>IFERROR(VLOOKUP(BXF$1,'CERA Conservador'!$B$28:$C$35,2,FALSE),0%)</f>
        <v>0</v>
      </c>
      <c r="BXG12" s="5">
        <f>IFERROR(VLOOKUP(BXG$1,'CERA Conservador'!$B$28:$C$35,2,FALSE),0%)</f>
        <v>0</v>
      </c>
      <c r="BXH12" s="5">
        <f>IFERROR(VLOOKUP(BXH$1,'CERA Conservador'!$B$28:$C$35,2,FALSE),0%)</f>
        <v>0</v>
      </c>
      <c r="BXI12" s="5">
        <f>IFERROR(VLOOKUP(BXI$1,'CERA Conservador'!$B$28:$C$35,2,FALSE),0%)</f>
        <v>0</v>
      </c>
      <c r="BXJ12" s="5">
        <f>IFERROR(VLOOKUP(BXJ$1,'CERA Conservador'!$B$28:$C$35,2,FALSE),0%)</f>
        <v>0</v>
      </c>
      <c r="BXK12" s="5">
        <f>IFERROR(VLOOKUP(BXK$1,'CERA Conservador'!$B$28:$C$35,2,FALSE),0%)</f>
        <v>0</v>
      </c>
      <c r="BXL12" s="5">
        <f>IFERROR(VLOOKUP(BXL$1,'CERA Conservador'!$B$28:$C$35,2,FALSE),0%)</f>
        <v>0</v>
      </c>
      <c r="BXM12" s="5">
        <f>IFERROR(VLOOKUP(BXM$1,'CERA Conservador'!$B$28:$C$35,2,FALSE),0%)</f>
        <v>0</v>
      </c>
      <c r="BXN12" s="5">
        <f>IFERROR(VLOOKUP(BXN$1,'CERA Conservador'!$B$28:$C$35,2,FALSE),0%)</f>
        <v>0</v>
      </c>
      <c r="BXO12" s="5">
        <f>IFERROR(VLOOKUP(BXO$1,'CERA Conservador'!$B$28:$C$35,2,FALSE),0%)</f>
        <v>0</v>
      </c>
      <c r="BXP12" s="5">
        <f>IFERROR(VLOOKUP(BXP$1,'CERA Conservador'!$B$28:$C$35,2,FALSE),0%)</f>
        <v>0</v>
      </c>
      <c r="BXQ12" s="5">
        <f>IFERROR(VLOOKUP(BXQ$1,'CERA Conservador'!$B$28:$C$35,2,FALSE),0%)</f>
        <v>0</v>
      </c>
      <c r="BXR12" s="5">
        <f>IFERROR(VLOOKUP(BXR$1,'CERA Conservador'!$B$28:$C$35,2,FALSE),0%)</f>
        <v>0</v>
      </c>
      <c r="BXS12" s="5">
        <f>IFERROR(VLOOKUP(BXS$1,'CERA Conservador'!$B$28:$C$35,2,FALSE),0%)</f>
        <v>0</v>
      </c>
      <c r="BXT12" s="5">
        <f>IFERROR(VLOOKUP(BXT$1,'CERA Conservador'!$B$28:$C$35,2,FALSE),0%)</f>
        <v>0</v>
      </c>
      <c r="BXU12" s="5">
        <f>IFERROR(VLOOKUP(BXU$1,'CERA Conservador'!$B$28:$C$35,2,FALSE),0%)</f>
        <v>0</v>
      </c>
      <c r="BXV12" s="5">
        <f>IFERROR(VLOOKUP(BXV$1,'CERA Conservador'!$B$28:$C$35,2,FALSE),0%)</f>
        <v>0</v>
      </c>
      <c r="BXW12" s="5">
        <f>IFERROR(VLOOKUP(BXW$1,'CERA Conservador'!$B$28:$C$35,2,FALSE),0%)</f>
        <v>0</v>
      </c>
      <c r="BXX12" s="5">
        <f>IFERROR(VLOOKUP(BXX$1,'CERA Conservador'!$B$28:$C$35,2,FALSE),0%)</f>
        <v>0</v>
      </c>
      <c r="BXY12" s="5">
        <f>IFERROR(VLOOKUP(BXY$1,'CERA Conservador'!$B$28:$C$35,2,FALSE),0%)</f>
        <v>0</v>
      </c>
      <c r="BXZ12" s="5">
        <f>IFERROR(VLOOKUP(BXZ$1,'CERA Conservador'!$B$28:$C$35,2,FALSE),0%)</f>
        <v>0</v>
      </c>
      <c r="BYA12" s="5">
        <f>IFERROR(VLOOKUP(BYA$1,'CERA Conservador'!$B$28:$C$35,2,FALSE),0%)</f>
        <v>0</v>
      </c>
      <c r="BYB12" s="5">
        <f>IFERROR(VLOOKUP(BYB$1,'CERA Conservador'!$B$28:$C$35,2,FALSE),0%)</f>
        <v>0.0609</v>
      </c>
      <c r="BYC12" s="5">
        <f>IFERROR(VLOOKUP(BYC$1,'CERA Conservador'!$B$28:$C$35,2,FALSE),0%)</f>
        <v>0</v>
      </c>
      <c r="BYD12" s="5">
        <f>IFERROR(VLOOKUP(BYD$1,'CERA Conservador'!$B$28:$C$35,2,FALSE),0%)</f>
        <v>0</v>
      </c>
      <c r="BYE12" s="5">
        <f>IFERROR(VLOOKUP(BYE$1,'CERA Conservador'!$B$28:$C$35,2,FALSE),0%)</f>
        <v>0</v>
      </c>
      <c r="BYF12" s="5">
        <f>IFERROR(VLOOKUP(BYF$1,'CERA Conservador'!$B$28:$C$35,2,FALSE),0%)</f>
        <v>0</v>
      </c>
      <c r="BYG12" s="5">
        <f>IFERROR(VLOOKUP(BYG$1,'CERA Conservador'!$B$28:$C$35,2,FALSE),0%)</f>
        <v>0</v>
      </c>
      <c r="BYH12" s="5">
        <f>IFERROR(VLOOKUP(BYH$1,'CERA Conservador'!$B$28:$C$35,2,FALSE),0%)</f>
        <v>0</v>
      </c>
      <c r="BYI12" s="5">
        <f>IFERROR(VLOOKUP(BYI$1,'CERA Conservador'!$B$28:$C$35,2,FALSE),0%)</f>
        <v>0</v>
      </c>
      <c r="BYJ12" s="5">
        <f>IFERROR(VLOOKUP(BYJ$1,'CERA Conservador'!$B$28:$C$35,2,FALSE),0%)</f>
        <v>0</v>
      </c>
      <c r="BYK12" s="5">
        <f>IFERROR(VLOOKUP(BYK$1,'CERA Conservador'!$B$28:$C$35,2,FALSE),0%)</f>
        <v>0</v>
      </c>
      <c r="BYL12" s="5">
        <f>IFERROR(VLOOKUP(BYL$1,'CERA Conservador'!$B$28:$C$35,2,FALSE),0%)</f>
        <v>0</v>
      </c>
    </row>
    <row r="13">
      <c r="A13" s="4" t="s">
        <v>2024</v>
      </c>
      <c r="B13" s="5">
        <f>IFERROR(VLOOKUP(B$1,'CERA Agresivo'!$B$23:$C$40,2,FALSE),0%)</f>
        <v>0</v>
      </c>
      <c r="C13" s="5">
        <f>IFERROR(VLOOKUP(C$1,'CERA Agresivo'!$B$23:$C$40,2,FALSE),0%)</f>
        <v>0</v>
      </c>
      <c r="D13" s="5">
        <f>IFERROR(VLOOKUP(D$1,'CERA Agresivo'!$B$23:$C$40,2,FALSE),0%)</f>
        <v>0</v>
      </c>
      <c r="E13" s="5">
        <f>IFERROR(VLOOKUP(E$1,'CERA Agresivo'!$B$23:$C$40,2,FALSE),0%)</f>
        <v>0</v>
      </c>
      <c r="F13" s="5">
        <f>IFERROR(VLOOKUP(F$1,'CERA Agresivo'!$B$23:$C$40,2,FALSE),0%)</f>
        <v>0</v>
      </c>
      <c r="G13" s="5">
        <f>IFERROR(VLOOKUP(G$1,'CERA Agresivo'!$B$23:$C$40,2,FALSE),0%)</f>
        <v>0</v>
      </c>
      <c r="H13" s="5">
        <f>IFERROR(VLOOKUP(H$1,'CERA Agresivo'!$B$23:$C$40,2,FALSE),0%)</f>
        <v>0</v>
      </c>
      <c r="I13" s="5">
        <f>IFERROR(VLOOKUP(I$1,'CERA Agresivo'!$B$23:$C$40,2,FALSE),0%)</f>
        <v>0</v>
      </c>
      <c r="J13" s="5">
        <f>IFERROR(VLOOKUP(J$1,'CERA Agresivo'!$B$23:$C$40,2,FALSE),0%)</f>
        <v>0</v>
      </c>
      <c r="K13" s="5">
        <f>IFERROR(VLOOKUP(K$1,'CERA Agresivo'!$B$23:$C$40,2,FALSE),0%)</f>
        <v>0</v>
      </c>
      <c r="L13" s="5">
        <f>IFERROR(VLOOKUP(L$1,'CERA Agresivo'!$B$23:$C$40,2,FALSE),0%)</f>
        <v>0</v>
      </c>
      <c r="M13" s="5">
        <f>IFERROR(VLOOKUP(M$1,'CERA Agresivo'!$B$23:$C$40,2,FALSE),0%)</f>
        <v>0</v>
      </c>
      <c r="N13" s="5">
        <f>IFERROR(VLOOKUP(N$1,'CERA Agresivo'!$B$23:$C$40,2,FALSE),0%)</f>
        <v>0</v>
      </c>
      <c r="O13" s="5">
        <f>IFERROR(VLOOKUP(O$1,'CERA Agresivo'!$B$23:$C$40,2,FALSE),0%)</f>
        <v>0</v>
      </c>
      <c r="P13" s="5">
        <f>IFERROR(VLOOKUP(P$1,'CERA Agresivo'!$B$23:$C$40,2,FALSE),0%)</f>
        <v>0</v>
      </c>
      <c r="Q13" s="5">
        <f>IFERROR(VLOOKUP(Q$1,'CERA Agresivo'!$B$23:$C$40,2,FALSE),0%)</f>
        <v>0</v>
      </c>
      <c r="R13" s="5">
        <f>IFERROR(VLOOKUP(R$1,'CERA Agresivo'!$B$23:$C$40,2,FALSE),0%)</f>
        <v>0</v>
      </c>
      <c r="S13" s="5">
        <f>IFERROR(VLOOKUP(S$1,'CERA Agresivo'!$B$23:$C$40,2,FALSE),0%)</f>
        <v>0</v>
      </c>
      <c r="T13" s="5">
        <f>IFERROR(VLOOKUP(T$1,'CERA Agresivo'!$B$23:$C$40,2,FALSE),0%)</f>
        <v>0</v>
      </c>
      <c r="U13" s="5">
        <f>IFERROR(VLOOKUP(U$1,'CERA Agresivo'!$B$23:$C$40,2,FALSE),0%)</f>
        <v>0</v>
      </c>
      <c r="V13" s="5">
        <f>IFERROR(VLOOKUP(V$1,'CERA Agresivo'!$B$23:$C$40,2,FALSE),0%)</f>
        <v>0</v>
      </c>
      <c r="W13" s="5">
        <f>IFERROR(VLOOKUP(W$1,'CERA Agresivo'!$B$23:$C$40,2,FALSE),0%)</f>
        <v>0</v>
      </c>
      <c r="X13" s="5">
        <f>IFERROR(VLOOKUP(X$1,'CERA Agresivo'!$B$23:$C$40,2,FALSE),0%)</f>
        <v>0</v>
      </c>
      <c r="Y13" s="5">
        <f>IFERROR(VLOOKUP(Y$1,'CERA Agresivo'!$B$23:$C$40,2,FALSE),0%)</f>
        <v>0</v>
      </c>
      <c r="Z13" s="5">
        <f>IFERROR(VLOOKUP(Z$1,'CERA Agresivo'!$B$23:$C$40,2,FALSE),0%)</f>
        <v>0</v>
      </c>
      <c r="AA13" s="5">
        <f>IFERROR(VLOOKUP(AA$1,'CERA Agresivo'!$B$23:$C$40,2,FALSE),0%)</f>
        <v>0</v>
      </c>
      <c r="AB13" s="5">
        <f>IFERROR(VLOOKUP(AB$1,'CERA Agresivo'!$B$23:$C$40,2,FALSE),0%)</f>
        <v>0</v>
      </c>
      <c r="AC13" s="5">
        <f>IFERROR(VLOOKUP(AC$1,'CERA Agresivo'!$B$23:$C$40,2,FALSE),0%)</f>
        <v>0</v>
      </c>
      <c r="AD13" s="5">
        <f>IFERROR(VLOOKUP(AD$1,'CERA Agresivo'!$B$23:$C$40,2,FALSE),0%)</f>
        <v>0</v>
      </c>
      <c r="AE13" s="5">
        <f>IFERROR(VLOOKUP(AE$1,'CERA Agresivo'!$B$23:$C$40,2,FALSE),0%)</f>
        <v>0</v>
      </c>
      <c r="AF13" s="5">
        <f>IFERROR(VLOOKUP(AF$1,'CERA Agresivo'!$B$23:$C$40,2,FALSE),0%)</f>
        <v>0</v>
      </c>
      <c r="AG13" s="5">
        <f>IFERROR(VLOOKUP(AG$1,'CERA Agresivo'!$B$23:$C$40,2,FALSE),0%)</f>
        <v>0</v>
      </c>
      <c r="AH13" s="5">
        <f>IFERROR(VLOOKUP(AH$1,'CERA Agresivo'!$B$23:$C$40,2,FALSE),0%)</f>
        <v>0</v>
      </c>
      <c r="AI13" s="5">
        <f>IFERROR(VLOOKUP(AI$1,'CERA Agresivo'!$B$23:$C$40,2,FALSE),0%)</f>
        <v>0</v>
      </c>
      <c r="AJ13" s="5">
        <f>IFERROR(VLOOKUP(AJ$1,'CERA Agresivo'!$B$23:$C$40,2,FALSE),0%)</f>
        <v>0</v>
      </c>
      <c r="AK13" s="5">
        <f>IFERROR(VLOOKUP(AK$1,'CERA Agresivo'!$B$23:$C$40,2,FALSE),0%)</f>
        <v>0.1091021053</v>
      </c>
      <c r="AL13" s="5">
        <f>IFERROR(VLOOKUP(AL$1,'CERA Agresivo'!$B$23:$C$40,2,FALSE),0%)</f>
        <v>0</v>
      </c>
      <c r="AM13" s="5">
        <f>IFERROR(VLOOKUP(AM$1,'CERA Agresivo'!$B$23:$C$40,2,FALSE),0%)</f>
        <v>0</v>
      </c>
      <c r="AN13" s="5">
        <f>IFERROR(VLOOKUP(AN$1,'CERA Agresivo'!$B$23:$C$40,2,FALSE),0%)</f>
        <v>0</v>
      </c>
      <c r="AO13" s="5">
        <f>IFERROR(VLOOKUP(AO$1,'CERA Agresivo'!$B$23:$C$40,2,FALSE),0%)</f>
        <v>0</v>
      </c>
      <c r="AP13" s="5">
        <f>IFERROR(VLOOKUP(AP$1,'CERA Agresivo'!$B$23:$C$40,2,FALSE),0%)</f>
        <v>0</v>
      </c>
      <c r="AQ13" s="5">
        <f>IFERROR(VLOOKUP(AQ$1,'CERA Agresivo'!$B$23:$C$40,2,FALSE),0%)</f>
        <v>0</v>
      </c>
      <c r="AR13" s="5">
        <f>IFERROR(VLOOKUP(AR$1,'CERA Agresivo'!$B$23:$C$40,2,FALSE),0%)</f>
        <v>0</v>
      </c>
      <c r="AS13" s="5">
        <f>IFERROR(VLOOKUP(AS$1,'CERA Agresivo'!$B$23:$C$40,2,FALSE),0%)</f>
        <v>0</v>
      </c>
      <c r="AT13" s="5">
        <f>IFERROR(VLOOKUP(AT$1,'CERA Agresivo'!$B$23:$C$40,2,FALSE),0%)</f>
        <v>0</v>
      </c>
      <c r="AU13" s="5">
        <f>IFERROR(VLOOKUP(AU$1,'CERA Agresivo'!$B$23:$C$40,2,FALSE),0%)</f>
        <v>0</v>
      </c>
      <c r="AV13" s="5">
        <f>IFERROR(VLOOKUP(AV$1,'CERA Agresivo'!$B$23:$C$40,2,FALSE),0%)</f>
        <v>0</v>
      </c>
      <c r="AW13" s="5">
        <f>IFERROR(VLOOKUP(AW$1,'CERA Agresivo'!$B$23:$C$40,2,FALSE),0%)</f>
        <v>0</v>
      </c>
      <c r="AX13" s="5">
        <f>IFERROR(VLOOKUP(AX$1,'CERA Agresivo'!$B$23:$C$40,2,FALSE),0%)</f>
        <v>0</v>
      </c>
      <c r="AY13" s="5">
        <f>IFERROR(VLOOKUP(AY$1,'CERA Agresivo'!$B$23:$C$40,2,FALSE),0%)</f>
        <v>0</v>
      </c>
      <c r="AZ13" s="5">
        <f>IFERROR(VLOOKUP(AZ$1,'CERA Agresivo'!$B$23:$C$40,2,FALSE),0%)</f>
        <v>0</v>
      </c>
      <c r="BA13" s="5">
        <f>IFERROR(VLOOKUP(BA$1,'CERA Agresivo'!$B$23:$C$40,2,FALSE),0%)</f>
        <v>0</v>
      </c>
      <c r="BB13" s="5">
        <f>IFERROR(VLOOKUP(BB$1,'CERA Agresivo'!$B$23:$C$40,2,FALSE),0%)</f>
        <v>0</v>
      </c>
      <c r="BC13" s="5">
        <f>IFERROR(VLOOKUP(BC$1,'CERA Agresivo'!$B$23:$C$40,2,FALSE),0%)</f>
        <v>0</v>
      </c>
      <c r="BD13" s="5">
        <f>IFERROR(VLOOKUP(BD$1,'CERA Agresivo'!$B$23:$C$40,2,FALSE),0%)</f>
        <v>0</v>
      </c>
      <c r="BE13" s="5">
        <f>IFERROR(VLOOKUP(BE$1,'CERA Agresivo'!$B$23:$C$40,2,FALSE),0%)</f>
        <v>0</v>
      </c>
      <c r="BF13" s="5">
        <f>IFERROR(VLOOKUP(BF$1,'CERA Agresivo'!$B$23:$C$40,2,FALSE),0%)</f>
        <v>0</v>
      </c>
      <c r="BG13" s="5">
        <f>IFERROR(VLOOKUP(BG$1,'CERA Agresivo'!$B$23:$C$40,2,FALSE),0%)</f>
        <v>0</v>
      </c>
      <c r="BH13" s="5">
        <f>IFERROR(VLOOKUP(BH$1,'CERA Agresivo'!$B$23:$C$40,2,FALSE),0%)</f>
        <v>0</v>
      </c>
      <c r="BI13" s="5">
        <f>IFERROR(VLOOKUP(BI$1,'CERA Agresivo'!$B$23:$C$40,2,FALSE),0%)</f>
        <v>0</v>
      </c>
      <c r="BJ13" s="5">
        <f>IFERROR(VLOOKUP(BJ$1,'CERA Agresivo'!$B$23:$C$40,2,FALSE),0%)</f>
        <v>0</v>
      </c>
      <c r="BK13" s="5">
        <f>IFERROR(VLOOKUP(BK$1,'CERA Agresivo'!$B$23:$C$40,2,FALSE),0%)</f>
        <v>0</v>
      </c>
      <c r="BL13" s="5">
        <f>IFERROR(VLOOKUP(BL$1,'CERA Agresivo'!$B$23:$C$40,2,FALSE),0%)</f>
        <v>0</v>
      </c>
      <c r="BM13" s="5">
        <f>IFERROR(VLOOKUP(BM$1,'CERA Agresivo'!$B$23:$C$40,2,FALSE),0%)</f>
        <v>0</v>
      </c>
      <c r="BN13" s="5">
        <f>IFERROR(VLOOKUP(BN$1,'CERA Agresivo'!$B$23:$C$40,2,FALSE),0%)</f>
        <v>0</v>
      </c>
      <c r="BO13" s="5">
        <f>IFERROR(VLOOKUP(BO$1,'CERA Agresivo'!$B$23:$C$40,2,FALSE),0%)</f>
        <v>0</v>
      </c>
      <c r="BP13" s="5">
        <f>IFERROR(VLOOKUP(BP$1,'CERA Agresivo'!$B$23:$C$40,2,FALSE),0%)</f>
        <v>0</v>
      </c>
      <c r="BQ13" s="5">
        <f>IFERROR(VLOOKUP(BQ$1,'CERA Agresivo'!$B$23:$C$40,2,FALSE),0%)</f>
        <v>0</v>
      </c>
      <c r="BR13" s="5">
        <f>IFERROR(VLOOKUP(BR$1,'CERA Agresivo'!$B$23:$C$40,2,FALSE),0%)</f>
        <v>0.05123098656</v>
      </c>
      <c r="BS13" s="5">
        <f>IFERROR(VLOOKUP(BS$1,'CERA Agresivo'!$B$23:$C$40,2,FALSE),0%)</f>
        <v>0</v>
      </c>
      <c r="BT13" s="5">
        <f>IFERROR(VLOOKUP(BT$1,'CERA Agresivo'!$B$23:$C$40,2,FALSE),0%)</f>
        <v>0</v>
      </c>
      <c r="BU13" s="5">
        <f>IFERROR(VLOOKUP(BU$1,'CERA Agresivo'!$B$23:$C$40,2,FALSE),0%)</f>
        <v>0</v>
      </c>
      <c r="BV13" s="5">
        <f>IFERROR(VLOOKUP(BV$1,'CERA Agresivo'!$B$23:$C$40,2,FALSE),0%)</f>
        <v>0</v>
      </c>
      <c r="BW13" s="5">
        <f>IFERROR(VLOOKUP(BW$1,'CERA Agresivo'!$B$23:$C$40,2,FALSE),0%)</f>
        <v>0</v>
      </c>
      <c r="BX13" s="5">
        <f>IFERROR(VLOOKUP(BX$1,'CERA Agresivo'!$B$23:$C$40,2,FALSE),0%)</f>
        <v>0</v>
      </c>
      <c r="BY13" s="5">
        <f>IFERROR(VLOOKUP(BY$1,'CERA Agresivo'!$B$23:$C$40,2,FALSE),0%)</f>
        <v>0</v>
      </c>
      <c r="BZ13" s="5">
        <f>IFERROR(VLOOKUP(BZ$1,'CERA Agresivo'!$B$23:$C$40,2,FALSE),0%)</f>
        <v>0</v>
      </c>
      <c r="CA13" s="5">
        <f>IFERROR(VLOOKUP(CA$1,'CERA Agresivo'!$B$23:$C$40,2,FALSE),0%)</f>
        <v>0</v>
      </c>
      <c r="CB13" s="5">
        <f>IFERROR(VLOOKUP(CB$1,'CERA Agresivo'!$B$23:$C$40,2,FALSE),0%)</f>
        <v>0</v>
      </c>
      <c r="CC13" s="5">
        <f>IFERROR(VLOOKUP(CC$1,'CERA Agresivo'!$B$23:$C$40,2,FALSE),0%)</f>
        <v>0</v>
      </c>
      <c r="CD13" s="5">
        <f>IFERROR(VLOOKUP(CD$1,'CERA Agresivo'!$B$23:$C$40,2,FALSE),0%)</f>
        <v>0</v>
      </c>
      <c r="CE13" s="5">
        <f>IFERROR(VLOOKUP(CE$1,'CERA Agresivo'!$B$23:$C$40,2,FALSE),0%)</f>
        <v>0</v>
      </c>
      <c r="CF13" s="5">
        <f>IFERROR(VLOOKUP(CF$1,'CERA Agresivo'!$B$23:$C$40,2,FALSE),0%)</f>
        <v>0</v>
      </c>
      <c r="CG13" s="5">
        <f>IFERROR(VLOOKUP(CG$1,'CERA Agresivo'!$B$23:$C$40,2,FALSE),0%)</f>
        <v>0</v>
      </c>
      <c r="CH13" s="5">
        <f>IFERROR(VLOOKUP(CH$1,'CERA Agresivo'!$B$23:$C$40,2,FALSE),0%)</f>
        <v>0</v>
      </c>
      <c r="CI13" s="5">
        <f>IFERROR(VLOOKUP(CI$1,'CERA Agresivo'!$B$23:$C$40,2,FALSE),0%)</f>
        <v>0</v>
      </c>
      <c r="CJ13" s="5">
        <f>IFERROR(VLOOKUP(CJ$1,'CERA Agresivo'!$B$23:$C$40,2,FALSE),0%)</f>
        <v>0</v>
      </c>
      <c r="CK13" s="5">
        <f>IFERROR(VLOOKUP(CK$1,'CERA Agresivo'!$B$23:$C$40,2,FALSE),0%)</f>
        <v>0</v>
      </c>
      <c r="CL13" s="5">
        <f>IFERROR(VLOOKUP(CL$1,'CERA Agresivo'!$B$23:$C$40,2,FALSE),0%)</f>
        <v>0</v>
      </c>
      <c r="CM13" s="5">
        <f>IFERROR(VLOOKUP(CM$1,'CERA Agresivo'!$B$23:$C$40,2,FALSE),0%)</f>
        <v>0</v>
      </c>
      <c r="CN13" s="5">
        <f>IFERROR(VLOOKUP(CN$1,'CERA Agresivo'!$B$23:$C$40,2,FALSE),0%)</f>
        <v>0</v>
      </c>
      <c r="CO13" s="5">
        <f>IFERROR(VLOOKUP(CO$1,'CERA Agresivo'!$B$23:$C$40,2,FALSE),0%)</f>
        <v>0</v>
      </c>
      <c r="CP13" s="5">
        <f>IFERROR(VLOOKUP(CP$1,'CERA Agresivo'!$B$23:$C$40,2,FALSE),0%)</f>
        <v>0</v>
      </c>
      <c r="CQ13" s="5">
        <f>IFERROR(VLOOKUP(CQ$1,'CERA Agresivo'!$B$23:$C$40,2,FALSE),0%)</f>
        <v>0</v>
      </c>
      <c r="CR13" s="5">
        <f>IFERROR(VLOOKUP(CR$1,'CERA Agresivo'!$B$23:$C$40,2,FALSE),0%)</f>
        <v>0</v>
      </c>
      <c r="CS13" s="5">
        <f>IFERROR(VLOOKUP(CS$1,'CERA Agresivo'!$B$23:$C$40,2,FALSE),0%)</f>
        <v>0</v>
      </c>
      <c r="CT13" s="5">
        <f>IFERROR(VLOOKUP(CT$1,'CERA Agresivo'!$B$23:$C$40,2,FALSE),0%)</f>
        <v>0</v>
      </c>
      <c r="CU13" s="5">
        <f>IFERROR(VLOOKUP(CU$1,'CERA Agresivo'!$B$23:$C$40,2,FALSE),0%)</f>
        <v>0</v>
      </c>
      <c r="CV13" s="5">
        <f>IFERROR(VLOOKUP(CV$1,'CERA Agresivo'!$B$23:$C$40,2,FALSE),0%)</f>
        <v>0</v>
      </c>
      <c r="CW13" s="5">
        <f>IFERROR(VLOOKUP(CW$1,'CERA Agresivo'!$B$23:$C$40,2,FALSE),0%)</f>
        <v>0</v>
      </c>
      <c r="CX13" s="5">
        <f>IFERROR(VLOOKUP(CX$1,'CERA Agresivo'!$B$23:$C$40,2,FALSE),0%)</f>
        <v>0</v>
      </c>
      <c r="CY13" s="5">
        <f>IFERROR(VLOOKUP(CY$1,'CERA Agresivo'!$B$23:$C$40,2,FALSE),0%)</f>
        <v>0</v>
      </c>
      <c r="CZ13" s="5">
        <f>IFERROR(VLOOKUP(CZ$1,'CERA Agresivo'!$B$23:$C$40,2,FALSE),0%)</f>
        <v>0</v>
      </c>
      <c r="DA13" s="5">
        <f>IFERROR(VLOOKUP(DA$1,'CERA Agresivo'!$B$23:$C$40,2,FALSE),0%)</f>
        <v>0</v>
      </c>
      <c r="DB13" s="5">
        <f>IFERROR(VLOOKUP(DB$1,'CERA Agresivo'!$B$23:$C$40,2,FALSE),0%)</f>
        <v>0</v>
      </c>
      <c r="DC13" s="5">
        <f>IFERROR(VLOOKUP(DC$1,'CERA Agresivo'!$B$23:$C$40,2,FALSE),0%)</f>
        <v>0</v>
      </c>
      <c r="DD13" s="5">
        <f>IFERROR(VLOOKUP(DD$1,'CERA Agresivo'!$B$23:$C$40,2,FALSE),0%)</f>
        <v>0</v>
      </c>
      <c r="DE13" s="5">
        <f>IFERROR(VLOOKUP(DE$1,'CERA Agresivo'!$B$23:$C$40,2,FALSE),0%)</f>
        <v>0</v>
      </c>
      <c r="DF13" s="5">
        <f>IFERROR(VLOOKUP(DF$1,'CERA Agresivo'!$B$23:$C$40,2,FALSE),0%)</f>
        <v>0</v>
      </c>
      <c r="DG13" s="5">
        <f>IFERROR(VLOOKUP(DG$1,'CERA Agresivo'!$B$23:$C$40,2,FALSE),0%)</f>
        <v>0</v>
      </c>
      <c r="DH13" s="5">
        <f>IFERROR(VLOOKUP(DH$1,'CERA Agresivo'!$B$23:$C$40,2,FALSE),0%)</f>
        <v>0</v>
      </c>
      <c r="DI13" s="5">
        <f>IFERROR(VLOOKUP(DI$1,'CERA Agresivo'!$B$23:$C$40,2,FALSE),0%)</f>
        <v>0</v>
      </c>
      <c r="DJ13" s="5">
        <f>IFERROR(VLOOKUP(DJ$1,'CERA Agresivo'!$B$23:$C$40,2,FALSE),0%)</f>
        <v>0</v>
      </c>
      <c r="DK13" s="5">
        <f>IFERROR(VLOOKUP(DK$1,'CERA Agresivo'!$B$23:$C$40,2,FALSE),0%)</f>
        <v>0</v>
      </c>
      <c r="DL13" s="5">
        <f>IFERROR(VLOOKUP(DL$1,'CERA Agresivo'!$B$23:$C$40,2,FALSE),0%)</f>
        <v>0</v>
      </c>
      <c r="DM13" s="5">
        <f>IFERROR(VLOOKUP(DM$1,'CERA Agresivo'!$B$23:$C$40,2,FALSE),0%)</f>
        <v>0</v>
      </c>
      <c r="DN13" s="5">
        <f>IFERROR(VLOOKUP(DN$1,'CERA Agresivo'!$B$23:$C$40,2,FALSE),0%)</f>
        <v>0</v>
      </c>
      <c r="DO13" s="5">
        <f>IFERROR(VLOOKUP(DO$1,'CERA Agresivo'!$B$23:$C$40,2,FALSE),0%)</f>
        <v>0</v>
      </c>
      <c r="DP13" s="5">
        <f>IFERROR(VLOOKUP(DP$1,'CERA Agresivo'!$B$23:$C$40,2,FALSE),0%)</f>
        <v>0</v>
      </c>
      <c r="DQ13" s="5">
        <f>IFERROR(VLOOKUP(DQ$1,'CERA Agresivo'!$B$23:$C$40,2,FALSE),0%)</f>
        <v>0</v>
      </c>
      <c r="DR13" s="5">
        <f>IFERROR(VLOOKUP(DR$1,'CERA Agresivo'!$B$23:$C$40,2,FALSE),0%)</f>
        <v>0</v>
      </c>
      <c r="DS13" s="5">
        <f>IFERROR(VLOOKUP(DS$1,'CERA Agresivo'!$B$23:$C$40,2,FALSE),0%)</f>
        <v>0</v>
      </c>
      <c r="DT13" s="5">
        <f>IFERROR(VLOOKUP(DT$1,'CERA Agresivo'!$B$23:$C$40,2,FALSE),0%)</f>
        <v>0</v>
      </c>
      <c r="DU13" s="5">
        <f>IFERROR(VLOOKUP(DU$1,'CERA Agresivo'!$B$23:$C$40,2,FALSE),0%)</f>
        <v>0</v>
      </c>
      <c r="DV13" s="5">
        <f>IFERROR(VLOOKUP(DV$1,'CERA Agresivo'!$B$23:$C$40,2,FALSE),0%)</f>
        <v>0</v>
      </c>
      <c r="DW13" s="5">
        <f>IFERROR(VLOOKUP(DW$1,'CERA Agresivo'!$B$23:$C$40,2,FALSE),0%)</f>
        <v>0</v>
      </c>
      <c r="DX13" s="5">
        <f>IFERROR(VLOOKUP(DX$1,'CERA Agresivo'!$B$23:$C$40,2,FALSE),0%)</f>
        <v>0</v>
      </c>
      <c r="DY13" s="5">
        <f>IFERROR(VLOOKUP(DY$1,'CERA Agresivo'!$B$23:$C$40,2,FALSE),0%)</f>
        <v>0</v>
      </c>
      <c r="DZ13" s="5">
        <f>IFERROR(VLOOKUP(DZ$1,'CERA Agresivo'!$B$23:$C$40,2,FALSE),0%)</f>
        <v>0</v>
      </c>
      <c r="EA13" s="5">
        <f>IFERROR(VLOOKUP(EA$1,'CERA Agresivo'!$B$23:$C$40,2,FALSE),0%)</f>
        <v>0</v>
      </c>
      <c r="EB13" s="5">
        <f>IFERROR(VLOOKUP(EB$1,'CERA Agresivo'!$B$23:$C$40,2,FALSE),0%)</f>
        <v>0</v>
      </c>
      <c r="EC13" s="5">
        <f>IFERROR(VLOOKUP(EC$1,'CERA Agresivo'!$B$23:$C$40,2,FALSE),0%)</f>
        <v>0</v>
      </c>
      <c r="ED13" s="5">
        <f>IFERROR(VLOOKUP(ED$1,'CERA Agresivo'!$B$23:$C$40,2,FALSE),0%)</f>
        <v>0</v>
      </c>
      <c r="EE13" s="5">
        <f>IFERROR(VLOOKUP(EE$1,'CERA Agresivo'!$B$23:$C$40,2,FALSE),0%)</f>
        <v>0</v>
      </c>
      <c r="EF13" s="5">
        <f>IFERROR(VLOOKUP(EF$1,'CERA Agresivo'!$B$23:$C$40,2,FALSE),0%)</f>
        <v>0</v>
      </c>
      <c r="EG13" s="5">
        <f>IFERROR(VLOOKUP(EG$1,'CERA Agresivo'!$B$23:$C$40,2,FALSE),0%)</f>
        <v>0</v>
      </c>
      <c r="EH13" s="5">
        <f>IFERROR(VLOOKUP(EH$1,'CERA Agresivo'!$B$23:$C$40,2,FALSE),0%)</f>
        <v>0</v>
      </c>
      <c r="EI13" s="5">
        <f>IFERROR(VLOOKUP(EI$1,'CERA Agresivo'!$B$23:$C$40,2,FALSE),0%)</f>
        <v>0</v>
      </c>
      <c r="EJ13" s="5">
        <f>IFERROR(VLOOKUP(EJ$1,'CERA Agresivo'!$B$23:$C$40,2,FALSE),0%)</f>
        <v>0</v>
      </c>
      <c r="EK13" s="5">
        <f>IFERROR(VLOOKUP(EK$1,'CERA Agresivo'!$B$23:$C$40,2,FALSE),0%)</f>
        <v>0</v>
      </c>
      <c r="EL13" s="5">
        <f>IFERROR(VLOOKUP(EL$1,'CERA Agresivo'!$B$23:$C$40,2,FALSE),0%)</f>
        <v>0</v>
      </c>
      <c r="EM13" s="5">
        <f>IFERROR(VLOOKUP(EM$1,'CERA Agresivo'!$B$23:$C$40,2,FALSE),0%)</f>
        <v>0</v>
      </c>
      <c r="EN13" s="5">
        <f>IFERROR(VLOOKUP(EN$1,'CERA Agresivo'!$B$23:$C$40,2,FALSE),0%)</f>
        <v>0</v>
      </c>
      <c r="EO13" s="5">
        <f>IFERROR(VLOOKUP(EO$1,'CERA Agresivo'!$B$23:$C$40,2,FALSE),0%)</f>
        <v>0</v>
      </c>
      <c r="EP13" s="5">
        <f>IFERROR(VLOOKUP(EP$1,'CERA Agresivo'!$B$23:$C$40,2,FALSE),0%)</f>
        <v>0</v>
      </c>
      <c r="EQ13" s="5">
        <f>IFERROR(VLOOKUP(EQ$1,'CERA Agresivo'!$B$23:$C$40,2,FALSE),0%)</f>
        <v>0</v>
      </c>
      <c r="ER13" s="5">
        <f>IFERROR(VLOOKUP(ER$1,'CERA Agresivo'!$B$23:$C$40,2,FALSE),0%)</f>
        <v>0</v>
      </c>
      <c r="ES13" s="5">
        <f>IFERROR(VLOOKUP(ES$1,'CERA Agresivo'!$B$23:$C$40,2,FALSE),0%)</f>
        <v>0</v>
      </c>
      <c r="ET13" s="5">
        <f>IFERROR(VLOOKUP(ET$1,'CERA Agresivo'!$B$23:$C$40,2,FALSE),0%)</f>
        <v>0</v>
      </c>
      <c r="EU13" s="5">
        <f>IFERROR(VLOOKUP(EU$1,'CERA Agresivo'!$B$23:$C$40,2,FALSE),0%)</f>
        <v>0</v>
      </c>
      <c r="EV13" s="5">
        <f>IFERROR(VLOOKUP(EV$1,'CERA Agresivo'!$B$23:$C$40,2,FALSE),0%)</f>
        <v>0</v>
      </c>
      <c r="EW13" s="5">
        <f>IFERROR(VLOOKUP(EW$1,'CERA Agresivo'!$B$23:$C$40,2,FALSE),0%)</f>
        <v>0</v>
      </c>
      <c r="EX13" s="5">
        <f>IFERROR(VLOOKUP(EX$1,'CERA Agresivo'!$B$23:$C$40,2,FALSE),0%)</f>
        <v>0</v>
      </c>
      <c r="EY13" s="5">
        <f>IFERROR(VLOOKUP(EY$1,'CERA Agresivo'!$B$23:$C$40,2,FALSE),0%)</f>
        <v>0</v>
      </c>
      <c r="EZ13" s="5">
        <f>IFERROR(VLOOKUP(EZ$1,'CERA Agresivo'!$B$23:$C$40,2,FALSE),0%)</f>
        <v>0</v>
      </c>
      <c r="FA13" s="5">
        <f>IFERROR(VLOOKUP(FA$1,'CERA Agresivo'!$B$23:$C$40,2,FALSE),0%)</f>
        <v>0</v>
      </c>
      <c r="FB13" s="5">
        <f>IFERROR(VLOOKUP(FB$1,'CERA Agresivo'!$B$23:$C$40,2,FALSE),0%)</f>
        <v>0</v>
      </c>
      <c r="FC13" s="5">
        <f>IFERROR(VLOOKUP(FC$1,'CERA Agresivo'!$B$23:$C$40,2,FALSE),0%)</f>
        <v>0</v>
      </c>
      <c r="FD13" s="5">
        <f>IFERROR(VLOOKUP(FD$1,'CERA Agresivo'!$B$23:$C$40,2,FALSE),0%)</f>
        <v>0</v>
      </c>
      <c r="FE13" s="5">
        <f>IFERROR(VLOOKUP(FE$1,'CERA Agresivo'!$B$23:$C$40,2,FALSE),0%)</f>
        <v>0</v>
      </c>
      <c r="FF13" s="5">
        <f>IFERROR(VLOOKUP(FF$1,'CERA Agresivo'!$B$23:$C$40,2,FALSE),0%)</f>
        <v>0</v>
      </c>
      <c r="FG13" s="5">
        <f>IFERROR(VLOOKUP(FG$1,'CERA Agresivo'!$B$23:$C$40,2,FALSE),0%)</f>
        <v>0</v>
      </c>
      <c r="FH13" s="5">
        <f>IFERROR(VLOOKUP(FH$1,'CERA Agresivo'!$B$23:$C$40,2,FALSE),0%)</f>
        <v>0</v>
      </c>
      <c r="FI13" s="5">
        <f>IFERROR(VLOOKUP(FI$1,'CERA Agresivo'!$B$23:$C$40,2,FALSE),0%)</f>
        <v>0</v>
      </c>
      <c r="FJ13" s="5">
        <f>IFERROR(VLOOKUP(FJ$1,'CERA Agresivo'!$B$23:$C$40,2,FALSE),0%)</f>
        <v>0</v>
      </c>
      <c r="FK13" s="5">
        <f>IFERROR(VLOOKUP(FK$1,'CERA Agresivo'!$B$23:$C$40,2,FALSE),0%)</f>
        <v>0</v>
      </c>
      <c r="FL13" s="5">
        <f>IFERROR(VLOOKUP(FL$1,'CERA Agresivo'!$B$23:$C$40,2,FALSE),0%)</f>
        <v>0</v>
      </c>
      <c r="FM13" s="5">
        <f>IFERROR(VLOOKUP(FM$1,'CERA Agresivo'!$B$23:$C$40,2,FALSE),0%)</f>
        <v>0</v>
      </c>
      <c r="FN13" s="5">
        <f>IFERROR(VLOOKUP(FN$1,'CERA Agresivo'!$B$23:$C$40,2,FALSE),0%)</f>
        <v>0</v>
      </c>
      <c r="FO13" s="5">
        <f>IFERROR(VLOOKUP(FO$1,'CERA Agresivo'!$B$23:$C$40,2,FALSE),0%)</f>
        <v>0</v>
      </c>
      <c r="FP13" s="5">
        <f>IFERROR(VLOOKUP(FP$1,'CERA Agresivo'!$B$23:$C$40,2,FALSE),0%)</f>
        <v>0</v>
      </c>
      <c r="FQ13" s="5">
        <f>IFERROR(VLOOKUP(FQ$1,'CERA Agresivo'!$B$23:$C$40,2,FALSE),0%)</f>
        <v>0</v>
      </c>
      <c r="FR13" s="5">
        <f>IFERROR(VLOOKUP(FR$1,'CERA Agresivo'!$B$23:$C$40,2,FALSE),0%)</f>
        <v>0</v>
      </c>
      <c r="FS13" s="5">
        <f>IFERROR(VLOOKUP(FS$1,'CERA Agresivo'!$B$23:$C$40,2,FALSE),0%)</f>
        <v>0</v>
      </c>
      <c r="FT13" s="5">
        <f>IFERROR(VLOOKUP(FT$1,'CERA Agresivo'!$B$23:$C$40,2,FALSE),0%)</f>
        <v>0</v>
      </c>
      <c r="FU13" s="5">
        <f>IFERROR(VLOOKUP(FU$1,'CERA Agresivo'!$B$23:$C$40,2,FALSE),0%)</f>
        <v>0</v>
      </c>
      <c r="FV13" s="5">
        <f>IFERROR(VLOOKUP(FV$1,'CERA Agresivo'!$B$23:$C$40,2,FALSE),0%)</f>
        <v>0</v>
      </c>
      <c r="FW13" s="5">
        <f>IFERROR(VLOOKUP(FW$1,'CERA Agresivo'!$B$23:$C$40,2,FALSE),0%)</f>
        <v>0</v>
      </c>
      <c r="FX13" s="5">
        <f>IFERROR(VLOOKUP(FX$1,'CERA Agresivo'!$B$23:$C$40,2,FALSE),0%)</f>
        <v>0</v>
      </c>
      <c r="FY13" s="5">
        <f>IFERROR(VLOOKUP(FY$1,'CERA Agresivo'!$B$23:$C$40,2,FALSE),0%)</f>
        <v>0</v>
      </c>
      <c r="FZ13" s="5">
        <f>IFERROR(VLOOKUP(FZ$1,'CERA Agresivo'!$B$23:$C$40,2,FALSE),0%)</f>
        <v>0</v>
      </c>
      <c r="GA13" s="5">
        <f>IFERROR(VLOOKUP(GA$1,'CERA Agresivo'!$B$23:$C$40,2,FALSE),0%)</f>
        <v>0</v>
      </c>
      <c r="GB13" s="5">
        <f>IFERROR(VLOOKUP(GB$1,'CERA Agresivo'!$B$23:$C$40,2,FALSE),0%)</f>
        <v>0</v>
      </c>
      <c r="GC13" s="5">
        <f>IFERROR(VLOOKUP(GC$1,'CERA Agresivo'!$B$23:$C$40,2,FALSE),0%)</f>
        <v>0</v>
      </c>
      <c r="GD13" s="5">
        <f>IFERROR(VLOOKUP(GD$1,'CERA Agresivo'!$B$23:$C$40,2,FALSE),0%)</f>
        <v>0</v>
      </c>
      <c r="GE13" s="5">
        <f>IFERROR(VLOOKUP(GE$1,'CERA Agresivo'!$B$23:$C$40,2,FALSE),0%)</f>
        <v>0</v>
      </c>
      <c r="GF13" s="5">
        <f>IFERROR(VLOOKUP(GF$1,'CERA Agresivo'!$B$23:$C$40,2,FALSE),0%)</f>
        <v>0</v>
      </c>
      <c r="GG13" s="5">
        <f>IFERROR(VLOOKUP(GG$1,'CERA Agresivo'!$B$23:$C$40,2,FALSE),0%)</f>
        <v>0</v>
      </c>
      <c r="GH13" s="5">
        <f>IFERROR(VLOOKUP(GH$1,'CERA Agresivo'!$B$23:$C$40,2,FALSE),0%)</f>
        <v>0</v>
      </c>
      <c r="GI13" s="5">
        <f>IFERROR(VLOOKUP(GI$1,'CERA Agresivo'!$B$23:$C$40,2,FALSE),0%)</f>
        <v>0</v>
      </c>
      <c r="GJ13" s="5">
        <f>IFERROR(VLOOKUP(GJ$1,'CERA Agresivo'!$B$23:$C$40,2,FALSE),0%)</f>
        <v>0</v>
      </c>
      <c r="GK13" s="5">
        <f>IFERROR(VLOOKUP(GK$1,'CERA Agresivo'!$B$23:$C$40,2,FALSE),0%)</f>
        <v>0</v>
      </c>
      <c r="GL13" s="5">
        <f>IFERROR(VLOOKUP(GL$1,'CERA Agresivo'!$B$23:$C$40,2,FALSE),0%)</f>
        <v>0</v>
      </c>
      <c r="GM13" s="5">
        <f>IFERROR(VLOOKUP(GM$1,'CERA Agresivo'!$B$23:$C$40,2,FALSE),0%)</f>
        <v>0</v>
      </c>
      <c r="GN13" s="5">
        <f>IFERROR(VLOOKUP(GN$1,'CERA Agresivo'!$B$23:$C$40,2,FALSE),0%)</f>
        <v>0</v>
      </c>
      <c r="GO13" s="5">
        <f>IFERROR(VLOOKUP(GO$1,'CERA Agresivo'!$B$23:$C$40,2,FALSE),0%)</f>
        <v>0</v>
      </c>
      <c r="GP13" s="5">
        <f>IFERROR(VLOOKUP(GP$1,'CERA Agresivo'!$B$23:$C$40,2,FALSE),0%)</f>
        <v>0</v>
      </c>
      <c r="GQ13" s="5">
        <f>IFERROR(VLOOKUP(GQ$1,'CERA Agresivo'!$B$23:$C$40,2,FALSE),0%)</f>
        <v>0</v>
      </c>
      <c r="GR13" s="5">
        <f>IFERROR(VLOOKUP(GR$1,'CERA Agresivo'!$B$23:$C$40,2,FALSE),0%)</f>
        <v>0</v>
      </c>
      <c r="GS13" s="5">
        <f>IFERROR(VLOOKUP(GS$1,'CERA Agresivo'!$B$23:$C$40,2,FALSE),0%)</f>
        <v>0</v>
      </c>
      <c r="GT13" s="5">
        <f>IFERROR(VLOOKUP(GT$1,'CERA Agresivo'!$B$23:$C$40,2,FALSE),0%)</f>
        <v>0</v>
      </c>
      <c r="GU13" s="5">
        <f>IFERROR(VLOOKUP(GU$1,'CERA Agresivo'!$B$23:$C$40,2,FALSE),0%)</f>
        <v>0</v>
      </c>
      <c r="GV13" s="5">
        <f>IFERROR(VLOOKUP(GV$1,'CERA Agresivo'!$B$23:$C$40,2,FALSE),0%)</f>
        <v>0</v>
      </c>
      <c r="GW13" s="5">
        <f>IFERROR(VLOOKUP(GW$1,'CERA Agresivo'!$B$23:$C$40,2,FALSE),0%)</f>
        <v>0</v>
      </c>
      <c r="GX13" s="5">
        <f>IFERROR(VLOOKUP(GX$1,'CERA Agresivo'!$B$23:$C$40,2,FALSE),0%)</f>
        <v>0</v>
      </c>
      <c r="GY13" s="5">
        <f>IFERROR(VLOOKUP(GY$1,'CERA Agresivo'!$B$23:$C$40,2,FALSE),0%)</f>
        <v>0</v>
      </c>
      <c r="GZ13" s="5">
        <f>IFERROR(VLOOKUP(GZ$1,'CERA Agresivo'!$B$23:$C$40,2,FALSE),0%)</f>
        <v>0</v>
      </c>
      <c r="HA13" s="5">
        <f>IFERROR(VLOOKUP(HA$1,'CERA Agresivo'!$B$23:$C$40,2,FALSE),0%)</f>
        <v>0</v>
      </c>
      <c r="HB13" s="5">
        <f>IFERROR(VLOOKUP(HB$1,'CERA Agresivo'!$B$23:$C$40,2,FALSE),0%)</f>
        <v>0</v>
      </c>
      <c r="HC13" s="5">
        <f>IFERROR(VLOOKUP(HC$1,'CERA Agresivo'!$B$23:$C$40,2,FALSE),0%)</f>
        <v>0</v>
      </c>
      <c r="HD13" s="5">
        <f>IFERROR(VLOOKUP(HD$1,'CERA Agresivo'!$B$23:$C$40,2,FALSE),0%)</f>
        <v>0.04680028291</v>
      </c>
      <c r="HE13" s="5">
        <f>IFERROR(VLOOKUP(HE$1,'CERA Agresivo'!$B$23:$C$40,2,FALSE),0%)</f>
        <v>0</v>
      </c>
      <c r="HF13" s="5">
        <f>IFERROR(VLOOKUP(HF$1,'CERA Agresivo'!$B$23:$C$40,2,FALSE),0%)</f>
        <v>0</v>
      </c>
      <c r="HG13" s="5">
        <f>IFERROR(VLOOKUP(HG$1,'CERA Agresivo'!$B$23:$C$40,2,FALSE),0%)</f>
        <v>0</v>
      </c>
      <c r="HH13" s="5">
        <f>IFERROR(VLOOKUP(HH$1,'CERA Agresivo'!$B$23:$C$40,2,FALSE),0%)</f>
        <v>0</v>
      </c>
      <c r="HI13" s="5">
        <f>IFERROR(VLOOKUP(HI$1,'CERA Agresivo'!$B$23:$C$40,2,FALSE),0%)</f>
        <v>0</v>
      </c>
      <c r="HJ13" s="5">
        <f>IFERROR(VLOOKUP(HJ$1,'CERA Agresivo'!$B$23:$C$40,2,FALSE),0%)</f>
        <v>0</v>
      </c>
      <c r="HK13" s="5">
        <f>IFERROR(VLOOKUP(HK$1,'CERA Agresivo'!$B$23:$C$40,2,FALSE),0%)</f>
        <v>0</v>
      </c>
      <c r="HL13" s="5">
        <f>IFERROR(VLOOKUP(HL$1,'CERA Agresivo'!$B$23:$C$40,2,FALSE),0%)</f>
        <v>0</v>
      </c>
      <c r="HM13" s="5">
        <f>IFERROR(VLOOKUP(HM$1,'CERA Agresivo'!$B$23:$C$40,2,FALSE),0%)</f>
        <v>0</v>
      </c>
      <c r="HN13" s="5">
        <f>IFERROR(VLOOKUP(HN$1,'CERA Agresivo'!$B$23:$C$40,2,FALSE),0%)</f>
        <v>0</v>
      </c>
      <c r="HO13" s="5">
        <f>IFERROR(VLOOKUP(HO$1,'CERA Agresivo'!$B$23:$C$40,2,FALSE),0%)</f>
        <v>0</v>
      </c>
      <c r="HP13" s="5">
        <f>IFERROR(VLOOKUP(HP$1,'CERA Agresivo'!$B$23:$C$40,2,FALSE),0%)</f>
        <v>0</v>
      </c>
      <c r="HQ13" s="5">
        <f>IFERROR(VLOOKUP(HQ$1,'CERA Agresivo'!$B$23:$C$40,2,FALSE),0%)</f>
        <v>0</v>
      </c>
      <c r="HR13" s="5">
        <f>IFERROR(VLOOKUP(HR$1,'CERA Agresivo'!$B$23:$C$40,2,FALSE),0%)</f>
        <v>0</v>
      </c>
      <c r="HS13" s="5">
        <f>IFERROR(VLOOKUP(HS$1,'CERA Agresivo'!$B$23:$C$40,2,FALSE),0%)</f>
        <v>0</v>
      </c>
      <c r="HT13" s="5">
        <f>IFERROR(VLOOKUP(HT$1,'CERA Agresivo'!$B$23:$C$40,2,FALSE),0%)</f>
        <v>0</v>
      </c>
      <c r="HU13" s="5">
        <f>IFERROR(VLOOKUP(HU$1,'CERA Agresivo'!$B$23:$C$40,2,FALSE),0%)</f>
        <v>0</v>
      </c>
      <c r="HV13" s="5">
        <f>IFERROR(VLOOKUP(HV$1,'CERA Agresivo'!$B$23:$C$40,2,FALSE),0%)</f>
        <v>0</v>
      </c>
      <c r="HW13" s="5">
        <f>IFERROR(VLOOKUP(HW$1,'CERA Agresivo'!$B$23:$C$40,2,FALSE),0%)</f>
        <v>0</v>
      </c>
      <c r="HX13" s="5">
        <f>IFERROR(VLOOKUP(HX$1,'CERA Agresivo'!$B$23:$C$40,2,FALSE),0%)</f>
        <v>0</v>
      </c>
      <c r="HY13" s="5">
        <f>IFERROR(VLOOKUP(HY$1,'CERA Agresivo'!$B$23:$C$40,2,FALSE),0%)</f>
        <v>0</v>
      </c>
      <c r="HZ13" s="5">
        <f>IFERROR(VLOOKUP(HZ$1,'CERA Agresivo'!$B$23:$C$40,2,FALSE),0%)</f>
        <v>0</v>
      </c>
      <c r="IA13" s="5">
        <f>IFERROR(VLOOKUP(IA$1,'CERA Agresivo'!$B$23:$C$40,2,FALSE),0%)</f>
        <v>0</v>
      </c>
      <c r="IB13" s="5">
        <f>IFERROR(VLOOKUP(IB$1,'CERA Agresivo'!$B$23:$C$40,2,FALSE),0%)</f>
        <v>0</v>
      </c>
      <c r="IC13" s="5">
        <f>IFERROR(VLOOKUP(IC$1,'CERA Agresivo'!$B$23:$C$40,2,FALSE),0%)</f>
        <v>0</v>
      </c>
      <c r="ID13" s="5">
        <f>IFERROR(VLOOKUP(ID$1,'CERA Agresivo'!$B$23:$C$40,2,FALSE),0%)</f>
        <v>0</v>
      </c>
      <c r="IE13" s="5">
        <f>IFERROR(VLOOKUP(IE$1,'CERA Agresivo'!$B$23:$C$40,2,FALSE),0%)</f>
        <v>0</v>
      </c>
      <c r="IF13" s="5">
        <f>IFERROR(VLOOKUP(IF$1,'CERA Agresivo'!$B$23:$C$40,2,FALSE),0%)</f>
        <v>0</v>
      </c>
      <c r="IG13" s="5">
        <f>IFERROR(VLOOKUP(IG$1,'CERA Agresivo'!$B$23:$C$40,2,FALSE),0%)</f>
        <v>0</v>
      </c>
      <c r="IH13" s="5">
        <f>IFERROR(VLOOKUP(IH$1,'CERA Agresivo'!$B$23:$C$40,2,FALSE),0%)</f>
        <v>0</v>
      </c>
      <c r="II13" s="5">
        <f>IFERROR(VLOOKUP(II$1,'CERA Agresivo'!$B$23:$C$40,2,FALSE),0%)</f>
        <v>0</v>
      </c>
      <c r="IJ13" s="5">
        <f>IFERROR(VLOOKUP(IJ$1,'CERA Agresivo'!$B$23:$C$40,2,FALSE),0%)</f>
        <v>0</v>
      </c>
      <c r="IK13" s="5">
        <f>IFERROR(VLOOKUP(IK$1,'CERA Agresivo'!$B$23:$C$40,2,FALSE),0%)</f>
        <v>0</v>
      </c>
      <c r="IL13" s="5">
        <f>IFERROR(VLOOKUP(IL$1,'CERA Agresivo'!$B$23:$C$40,2,FALSE),0%)</f>
        <v>0</v>
      </c>
      <c r="IM13" s="5">
        <f>IFERROR(VLOOKUP(IM$1,'CERA Agresivo'!$B$23:$C$40,2,FALSE),0%)</f>
        <v>0</v>
      </c>
      <c r="IN13" s="5">
        <f>IFERROR(VLOOKUP(IN$1,'CERA Agresivo'!$B$23:$C$40,2,FALSE),0%)</f>
        <v>0</v>
      </c>
      <c r="IO13" s="5">
        <f>IFERROR(VLOOKUP(IO$1,'CERA Agresivo'!$B$23:$C$40,2,FALSE),0%)</f>
        <v>0</v>
      </c>
      <c r="IP13" s="5">
        <f>IFERROR(VLOOKUP(IP$1,'CERA Agresivo'!$B$23:$C$40,2,FALSE),0%)</f>
        <v>0</v>
      </c>
      <c r="IQ13" s="5">
        <f>IFERROR(VLOOKUP(IQ$1,'CERA Agresivo'!$B$23:$C$40,2,FALSE),0%)</f>
        <v>0</v>
      </c>
      <c r="IR13" s="5">
        <f>IFERROR(VLOOKUP(IR$1,'CERA Agresivo'!$B$23:$C$40,2,FALSE),0%)</f>
        <v>0</v>
      </c>
      <c r="IS13" s="5">
        <f>IFERROR(VLOOKUP(IS$1,'CERA Agresivo'!$B$23:$C$40,2,FALSE),0%)</f>
        <v>0</v>
      </c>
      <c r="IT13" s="5">
        <f>IFERROR(VLOOKUP(IT$1,'CERA Agresivo'!$B$23:$C$40,2,FALSE),0%)</f>
        <v>0</v>
      </c>
      <c r="IU13" s="5">
        <f>IFERROR(VLOOKUP(IU$1,'CERA Agresivo'!$B$23:$C$40,2,FALSE),0%)</f>
        <v>0</v>
      </c>
      <c r="IV13" s="5">
        <f>IFERROR(VLOOKUP(IV$1,'CERA Agresivo'!$B$23:$C$40,2,FALSE),0%)</f>
        <v>0</v>
      </c>
      <c r="IW13" s="5">
        <f>IFERROR(VLOOKUP(IW$1,'CERA Agresivo'!$B$23:$C$40,2,FALSE),0%)</f>
        <v>0</v>
      </c>
      <c r="IX13" s="5">
        <f>IFERROR(VLOOKUP(IX$1,'CERA Agresivo'!$B$23:$C$40,2,FALSE),0%)</f>
        <v>0</v>
      </c>
      <c r="IY13" s="5">
        <f>IFERROR(VLOOKUP(IY$1,'CERA Agresivo'!$B$23:$C$40,2,FALSE),0%)</f>
        <v>0</v>
      </c>
      <c r="IZ13" s="5">
        <f>IFERROR(VLOOKUP(IZ$1,'CERA Agresivo'!$B$23:$C$40,2,FALSE),0%)</f>
        <v>0</v>
      </c>
      <c r="JA13" s="5">
        <f>IFERROR(VLOOKUP(JA$1,'CERA Agresivo'!$B$23:$C$40,2,FALSE),0%)</f>
        <v>0</v>
      </c>
      <c r="JB13" s="5">
        <f>IFERROR(VLOOKUP(JB$1,'CERA Agresivo'!$B$23:$C$40,2,FALSE),0%)</f>
        <v>0</v>
      </c>
      <c r="JC13" s="5">
        <f>IFERROR(VLOOKUP(JC$1,'CERA Agresivo'!$B$23:$C$40,2,FALSE),0%)</f>
        <v>0</v>
      </c>
      <c r="JD13" s="5">
        <f>IFERROR(VLOOKUP(JD$1,'CERA Agresivo'!$B$23:$C$40,2,FALSE),0%)</f>
        <v>0</v>
      </c>
      <c r="JE13" s="5">
        <f>IFERROR(VLOOKUP(JE$1,'CERA Agresivo'!$B$23:$C$40,2,FALSE),0%)</f>
        <v>0</v>
      </c>
      <c r="JF13" s="5">
        <f>IFERROR(VLOOKUP(JF$1,'CERA Agresivo'!$B$23:$C$40,2,FALSE),0%)</f>
        <v>0</v>
      </c>
      <c r="JG13" s="5">
        <f>IFERROR(VLOOKUP(JG$1,'CERA Agresivo'!$B$23:$C$40,2,FALSE),0%)</f>
        <v>0</v>
      </c>
      <c r="JH13" s="5">
        <f>IFERROR(VLOOKUP(JH$1,'CERA Agresivo'!$B$23:$C$40,2,FALSE),0%)</f>
        <v>0.06496690819</v>
      </c>
      <c r="JI13" s="5">
        <f>IFERROR(VLOOKUP(JI$1,'CERA Agresivo'!$B$23:$C$40,2,FALSE),0%)</f>
        <v>0</v>
      </c>
      <c r="JJ13" s="5">
        <f>IFERROR(VLOOKUP(JJ$1,'CERA Agresivo'!$B$23:$C$40,2,FALSE),0%)</f>
        <v>0</v>
      </c>
      <c r="JK13" s="5">
        <f>IFERROR(VLOOKUP(JK$1,'CERA Agresivo'!$B$23:$C$40,2,FALSE),0%)</f>
        <v>0</v>
      </c>
      <c r="JL13" s="5">
        <f>IFERROR(VLOOKUP(JL$1,'CERA Agresivo'!$B$23:$C$40,2,FALSE),0%)</f>
        <v>0</v>
      </c>
      <c r="JM13" s="5">
        <f>IFERROR(VLOOKUP(JM$1,'CERA Agresivo'!$B$23:$C$40,2,FALSE),0%)</f>
        <v>0</v>
      </c>
      <c r="JN13" s="5">
        <f>IFERROR(VLOOKUP(JN$1,'CERA Agresivo'!$B$23:$C$40,2,FALSE),0%)</f>
        <v>0</v>
      </c>
      <c r="JO13" s="5">
        <f>IFERROR(VLOOKUP(JO$1,'CERA Agresivo'!$B$23:$C$40,2,FALSE),0%)</f>
        <v>0</v>
      </c>
      <c r="JP13" s="5">
        <f>IFERROR(VLOOKUP(JP$1,'CERA Agresivo'!$B$23:$C$40,2,FALSE),0%)</f>
        <v>0</v>
      </c>
      <c r="JQ13" s="5">
        <f>IFERROR(VLOOKUP(JQ$1,'CERA Agresivo'!$B$23:$C$40,2,FALSE),0%)</f>
        <v>0</v>
      </c>
      <c r="JR13" s="5">
        <f>IFERROR(VLOOKUP(JR$1,'CERA Agresivo'!$B$23:$C$40,2,FALSE),0%)</f>
        <v>0</v>
      </c>
      <c r="JS13" s="5">
        <f>IFERROR(VLOOKUP(JS$1,'CERA Agresivo'!$B$23:$C$40,2,FALSE),0%)</f>
        <v>0</v>
      </c>
      <c r="JT13" s="5">
        <f>IFERROR(VLOOKUP(JT$1,'CERA Agresivo'!$B$23:$C$40,2,FALSE),0%)</f>
        <v>0</v>
      </c>
      <c r="JU13" s="5">
        <f>IFERROR(VLOOKUP(JU$1,'CERA Agresivo'!$B$23:$C$40,2,FALSE),0%)</f>
        <v>0</v>
      </c>
      <c r="JV13" s="5">
        <f>IFERROR(VLOOKUP(JV$1,'CERA Agresivo'!$B$23:$C$40,2,FALSE),0%)</f>
        <v>0</v>
      </c>
      <c r="JW13" s="5">
        <f>IFERROR(VLOOKUP(JW$1,'CERA Agresivo'!$B$23:$C$40,2,FALSE),0%)</f>
        <v>0</v>
      </c>
      <c r="JX13" s="5">
        <f>IFERROR(VLOOKUP(JX$1,'CERA Agresivo'!$B$23:$C$40,2,FALSE),0%)</f>
        <v>0</v>
      </c>
      <c r="JY13" s="5">
        <f>IFERROR(VLOOKUP(JY$1,'CERA Agresivo'!$B$23:$C$40,2,FALSE),0%)</f>
        <v>0</v>
      </c>
      <c r="JZ13" s="5">
        <f>IFERROR(VLOOKUP(JZ$1,'CERA Agresivo'!$B$23:$C$40,2,FALSE),0%)</f>
        <v>0</v>
      </c>
      <c r="KA13" s="5">
        <f>IFERROR(VLOOKUP(KA$1,'CERA Agresivo'!$B$23:$C$40,2,FALSE),0%)</f>
        <v>0</v>
      </c>
      <c r="KB13" s="5">
        <f>IFERROR(VLOOKUP(KB$1,'CERA Agresivo'!$B$23:$C$40,2,FALSE),0%)</f>
        <v>0</v>
      </c>
      <c r="KC13" s="5">
        <f>IFERROR(VLOOKUP(KC$1,'CERA Agresivo'!$B$23:$C$40,2,FALSE),0%)</f>
        <v>0</v>
      </c>
      <c r="KD13" s="5">
        <f>IFERROR(VLOOKUP(KD$1,'CERA Agresivo'!$B$23:$C$40,2,FALSE),0%)</f>
        <v>0</v>
      </c>
      <c r="KE13" s="5">
        <f>IFERROR(VLOOKUP(KE$1,'CERA Agresivo'!$B$23:$C$40,2,FALSE),0%)</f>
        <v>0</v>
      </c>
      <c r="KF13" s="5">
        <f>IFERROR(VLOOKUP(KF$1,'CERA Agresivo'!$B$23:$C$40,2,FALSE),0%)</f>
        <v>0</v>
      </c>
      <c r="KG13" s="5">
        <f>IFERROR(VLOOKUP(KG$1,'CERA Agresivo'!$B$23:$C$40,2,FALSE),0%)</f>
        <v>0</v>
      </c>
      <c r="KH13" s="5">
        <f>IFERROR(VLOOKUP(KH$1,'CERA Agresivo'!$B$23:$C$40,2,FALSE),0%)</f>
        <v>0</v>
      </c>
      <c r="KI13" s="5">
        <f>IFERROR(VLOOKUP(KI$1,'CERA Agresivo'!$B$23:$C$40,2,FALSE),0%)</f>
        <v>0</v>
      </c>
      <c r="KJ13" s="5">
        <f>IFERROR(VLOOKUP(KJ$1,'CERA Agresivo'!$B$23:$C$40,2,FALSE),0%)</f>
        <v>0</v>
      </c>
      <c r="KK13" s="5">
        <f>IFERROR(VLOOKUP(KK$1,'CERA Agresivo'!$B$23:$C$40,2,FALSE),0%)</f>
        <v>0</v>
      </c>
      <c r="KL13" s="5">
        <f>IFERROR(VLOOKUP(KL$1,'CERA Agresivo'!$B$23:$C$40,2,FALSE),0%)</f>
        <v>0</v>
      </c>
      <c r="KM13" s="5">
        <f>IFERROR(VLOOKUP(KM$1,'CERA Agresivo'!$B$23:$C$40,2,FALSE),0%)</f>
        <v>0</v>
      </c>
      <c r="KN13" s="5">
        <f>IFERROR(VLOOKUP(KN$1,'CERA Agresivo'!$B$23:$C$40,2,FALSE),0%)</f>
        <v>0</v>
      </c>
      <c r="KO13" s="5">
        <f>IFERROR(VLOOKUP(KO$1,'CERA Agresivo'!$B$23:$C$40,2,FALSE),0%)</f>
        <v>0</v>
      </c>
      <c r="KP13" s="5">
        <f>IFERROR(VLOOKUP(KP$1,'CERA Agresivo'!$B$23:$C$40,2,FALSE),0%)</f>
        <v>0</v>
      </c>
      <c r="KQ13" s="5">
        <f>IFERROR(VLOOKUP(KQ$1,'CERA Agresivo'!$B$23:$C$40,2,FALSE),0%)</f>
        <v>0</v>
      </c>
      <c r="KR13" s="5">
        <f>IFERROR(VLOOKUP(KR$1,'CERA Agresivo'!$B$23:$C$40,2,FALSE),0%)</f>
        <v>0</v>
      </c>
      <c r="KS13" s="5">
        <f>IFERROR(VLOOKUP(KS$1,'CERA Agresivo'!$B$23:$C$40,2,FALSE),0%)</f>
        <v>0</v>
      </c>
      <c r="KT13" s="5">
        <f>IFERROR(VLOOKUP(KT$1,'CERA Agresivo'!$B$23:$C$40,2,FALSE),0%)</f>
        <v>0.01173843162</v>
      </c>
      <c r="KU13" s="5">
        <f>IFERROR(VLOOKUP(KU$1,'CERA Agresivo'!$B$23:$C$40,2,FALSE),0%)</f>
        <v>0</v>
      </c>
      <c r="KV13" s="5">
        <f>IFERROR(VLOOKUP(KV$1,'CERA Agresivo'!$B$23:$C$40,2,FALSE),0%)</f>
        <v>0</v>
      </c>
      <c r="KW13" s="5">
        <f>IFERROR(VLOOKUP(KW$1,'CERA Agresivo'!$B$23:$C$40,2,FALSE),0%)</f>
        <v>0</v>
      </c>
      <c r="KX13" s="5">
        <f>IFERROR(VLOOKUP(KX$1,'CERA Agresivo'!$B$23:$C$40,2,FALSE),0%)</f>
        <v>0</v>
      </c>
      <c r="KY13" s="5">
        <f>IFERROR(VLOOKUP(KY$1,'CERA Agresivo'!$B$23:$C$40,2,FALSE),0%)</f>
        <v>0</v>
      </c>
      <c r="KZ13" s="5">
        <f>IFERROR(VLOOKUP(KZ$1,'CERA Agresivo'!$B$23:$C$40,2,FALSE),0%)</f>
        <v>0</v>
      </c>
      <c r="LA13" s="5">
        <f>IFERROR(VLOOKUP(LA$1,'CERA Agresivo'!$B$23:$C$40,2,FALSE),0%)</f>
        <v>0</v>
      </c>
      <c r="LB13" s="5">
        <f>IFERROR(VLOOKUP(LB$1,'CERA Agresivo'!$B$23:$C$40,2,FALSE),0%)</f>
        <v>0</v>
      </c>
      <c r="LC13" s="5">
        <f>IFERROR(VLOOKUP(LC$1,'CERA Agresivo'!$B$23:$C$40,2,FALSE),0%)</f>
        <v>0</v>
      </c>
      <c r="LD13" s="5">
        <f>IFERROR(VLOOKUP(LD$1,'CERA Agresivo'!$B$23:$C$40,2,FALSE),0%)</f>
        <v>0</v>
      </c>
      <c r="LE13" s="5">
        <f>IFERROR(VLOOKUP(LE$1,'CERA Agresivo'!$B$23:$C$40,2,FALSE),0%)</f>
        <v>0</v>
      </c>
      <c r="LF13" s="5">
        <f>IFERROR(VLOOKUP(LF$1,'CERA Agresivo'!$B$23:$C$40,2,FALSE),0%)</f>
        <v>0</v>
      </c>
      <c r="LG13" s="5">
        <f>IFERROR(VLOOKUP(LG$1,'CERA Agresivo'!$B$23:$C$40,2,FALSE),0%)</f>
        <v>0</v>
      </c>
      <c r="LH13" s="5">
        <f>IFERROR(VLOOKUP(LH$1,'CERA Agresivo'!$B$23:$C$40,2,FALSE),0%)</f>
        <v>0</v>
      </c>
      <c r="LI13" s="5">
        <f>IFERROR(VLOOKUP(LI$1,'CERA Agresivo'!$B$23:$C$40,2,FALSE),0%)</f>
        <v>0</v>
      </c>
      <c r="LJ13" s="5">
        <f>IFERROR(VLOOKUP(LJ$1,'CERA Agresivo'!$B$23:$C$40,2,FALSE),0%)</f>
        <v>0</v>
      </c>
      <c r="LK13" s="5">
        <f>IFERROR(VLOOKUP(LK$1,'CERA Agresivo'!$B$23:$C$40,2,FALSE),0%)</f>
        <v>0</v>
      </c>
      <c r="LL13" s="5">
        <f>IFERROR(VLOOKUP(LL$1,'CERA Agresivo'!$B$23:$C$40,2,FALSE),0%)</f>
        <v>0</v>
      </c>
      <c r="LM13" s="5">
        <f>IFERROR(VLOOKUP(LM$1,'CERA Agresivo'!$B$23:$C$40,2,FALSE),0%)</f>
        <v>0</v>
      </c>
      <c r="LN13" s="5">
        <f>IFERROR(VLOOKUP(LN$1,'CERA Agresivo'!$B$23:$C$40,2,FALSE),0%)</f>
        <v>0</v>
      </c>
      <c r="LO13" s="5">
        <f>IFERROR(VLOOKUP(LO$1,'CERA Agresivo'!$B$23:$C$40,2,FALSE),0%)</f>
        <v>0</v>
      </c>
      <c r="LP13" s="5">
        <f>IFERROR(VLOOKUP(LP$1,'CERA Agresivo'!$B$23:$C$40,2,FALSE),0%)</f>
        <v>0</v>
      </c>
      <c r="LQ13" s="5">
        <f>IFERROR(VLOOKUP(LQ$1,'CERA Agresivo'!$B$23:$C$40,2,FALSE),0%)</f>
        <v>0</v>
      </c>
      <c r="LR13" s="5">
        <f>IFERROR(VLOOKUP(LR$1,'CERA Agresivo'!$B$23:$C$40,2,FALSE),0%)</f>
        <v>0</v>
      </c>
      <c r="LS13" s="5">
        <f>IFERROR(VLOOKUP(LS$1,'CERA Agresivo'!$B$23:$C$40,2,FALSE),0%)</f>
        <v>0</v>
      </c>
      <c r="LT13" s="5">
        <f>IFERROR(VLOOKUP(LT$1,'CERA Agresivo'!$B$23:$C$40,2,FALSE),0%)</f>
        <v>0</v>
      </c>
      <c r="LU13" s="5">
        <f>IFERROR(VLOOKUP(LU$1,'CERA Agresivo'!$B$23:$C$40,2,FALSE),0%)</f>
        <v>0</v>
      </c>
      <c r="LV13" s="5">
        <f>IFERROR(VLOOKUP(LV$1,'CERA Agresivo'!$B$23:$C$40,2,FALSE),0%)</f>
        <v>0</v>
      </c>
      <c r="LW13" s="5">
        <f>IFERROR(VLOOKUP(LW$1,'CERA Agresivo'!$B$23:$C$40,2,FALSE),0%)</f>
        <v>0</v>
      </c>
      <c r="LX13" s="5">
        <f>IFERROR(VLOOKUP(LX$1,'CERA Agresivo'!$B$23:$C$40,2,FALSE),0%)</f>
        <v>0</v>
      </c>
      <c r="LY13" s="5">
        <f>IFERROR(VLOOKUP(LY$1,'CERA Agresivo'!$B$23:$C$40,2,FALSE),0%)</f>
        <v>0</v>
      </c>
      <c r="LZ13" s="5">
        <f>IFERROR(VLOOKUP(LZ$1,'CERA Agresivo'!$B$23:$C$40,2,FALSE),0%)</f>
        <v>0</v>
      </c>
      <c r="MA13" s="5">
        <f>IFERROR(VLOOKUP(MA$1,'CERA Agresivo'!$B$23:$C$40,2,FALSE),0%)</f>
        <v>0</v>
      </c>
      <c r="MB13" s="5">
        <f>IFERROR(VLOOKUP(MB$1,'CERA Agresivo'!$B$23:$C$40,2,FALSE),0%)</f>
        <v>0</v>
      </c>
      <c r="MC13" s="5">
        <f>IFERROR(VLOOKUP(MC$1,'CERA Agresivo'!$B$23:$C$40,2,FALSE),0%)</f>
        <v>0</v>
      </c>
      <c r="MD13" s="5">
        <f>IFERROR(VLOOKUP(MD$1,'CERA Agresivo'!$B$23:$C$40,2,FALSE),0%)</f>
        <v>0</v>
      </c>
      <c r="ME13" s="5">
        <f>IFERROR(VLOOKUP(ME$1,'CERA Agresivo'!$B$23:$C$40,2,FALSE),0%)</f>
        <v>0</v>
      </c>
      <c r="MF13" s="5">
        <f>IFERROR(VLOOKUP(MF$1,'CERA Agresivo'!$B$23:$C$40,2,FALSE),0%)</f>
        <v>0</v>
      </c>
      <c r="MG13" s="5">
        <f>IFERROR(VLOOKUP(MG$1,'CERA Agresivo'!$B$23:$C$40,2,FALSE),0%)</f>
        <v>0</v>
      </c>
      <c r="MH13" s="5">
        <f>IFERROR(VLOOKUP(MH$1,'CERA Agresivo'!$B$23:$C$40,2,FALSE),0%)</f>
        <v>0</v>
      </c>
      <c r="MI13" s="5">
        <f>IFERROR(VLOOKUP(MI$1,'CERA Agresivo'!$B$23:$C$40,2,FALSE),0%)</f>
        <v>0.01663903501</v>
      </c>
      <c r="MJ13" s="5">
        <f>IFERROR(VLOOKUP(MJ$1,'CERA Agresivo'!$B$23:$C$40,2,FALSE),0%)</f>
        <v>0</v>
      </c>
      <c r="MK13" s="5">
        <f>IFERROR(VLOOKUP(MK$1,'CERA Agresivo'!$B$23:$C$40,2,FALSE),0%)</f>
        <v>0</v>
      </c>
      <c r="ML13" s="5">
        <f>IFERROR(VLOOKUP(ML$1,'CERA Agresivo'!$B$23:$C$40,2,FALSE),0%)</f>
        <v>0</v>
      </c>
      <c r="MM13" s="5">
        <f>IFERROR(VLOOKUP(MM$1,'CERA Agresivo'!$B$23:$C$40,2,FALSE),0%)</f>
        <v>0</v>
      </c>
      <c r="MN13" s="5">
        <f>IFERROR(VLOOKUP(MN$1,'CERA Agresivo'!$B$23:$C$40,2,FALSE),0%)</f>
        <v>0</v>
      </c>
      <c r="MO13" s="5">
        <f>IFERROR(VLOOKUP(MO$1,'CERA Agresivo'!$B$23:$C$40,2,FALSE),0%)</f>
        <v>0</v>
      </c>
      <c r="MP13" s="5">
        <f>IFERROR(VLOOKUP(MP$1,'CERA Agresivo'!$B$23:$C$40,2,FALSE),0%)</f>
        <v>0</v>
      </c>
      <c r="MQ13" s="5">
        <f>IFERROR(VLOOKUP(MQ$1,'CERA Agresivo'!$B$23:$C$40,2,FALSE),0%)</f>
        <v>0</v>
      </c>
      <c r="MR13" s="5">
        <f>IFERROR(VLOOKUP(MR$1,'CERA Agresivo'!$B$23:$C$40,2,FALSE),0%)</f>
        <v>0</v>
      </c>
      <c r="MS13" s="5">
        <f>IFERROR(VLOOKUP(MS$1,'CERA Agresivo'!$B$23:$C$40,2,FALSE),0%)</f>
        <v>0</v>
      </c>
      <c r="MT13" s="5">
        <f>IFERROR(VLOOKUP(MT$1,'CERA Agresivo'!$B$23:$C$40,2,FALSE),0%)</f>
        <v>0</v>
      </c>
      <c r="MU13" s="5">
        <f>IFERROR(VLOOKUP(MU$1,'CERA Agresivo'!$B$23:$C$40,2,FALSE),0%)</f>
        <v>0</v>
      </c>
      <c r="MV13" s="5">
        <f>IFERROR(VLOOKUP(MV$1,'CERA Agresivo'!$B$23:$C$40,2,FALSE),0%)</f>
        <v>0</v>
      </c>
      <c r="MW13" s="5">
        <f>IFERROR(VLOOKUP(MW$1,'CERA Agresivo'!$B$23:$C$40,2,FALSE),0%)</f>
        <v>0</v>
      </c>
      <c r="MX13" s="5">
        <f>IFERROR(VLOOKUP(MX$1,'CERA Agresivo'!$B$23:$C$40,2,FALSE),0%)</f>
        <v>0</v>
      </c>
      <c r="MY13" s="5">
        <f>IFERROR(VLOOKUP(MY$1,'CERA Agresivo'!$B$23:$C$40,2,FALSE),0%)</f>
        <v>0</v>
      </c>
      <c r="MZ13" s="5">
        <f>IFERROR(VLOOKUP(MZ$1,'CERA Agresivo'!$B$23:$C$40,2,FALSE),0%)</f>
        <v>0</v>
      </c>
      <c r="NA13" s="5">
        <f>IFERROR(VLOOKUP(NA$1,'CERA Agresivo'!$B$23:$C$40,2,FALSE),0%)</f>
        <v>0</v>
      </c>
      <c r="NB13" s="5">
        <f>IFERROR(VLOOKUP(NB$1,'CERA Agresivo'!$B$23:$C$40,2,FALSE),0%)</f>
        <v>0</v>
      </c>
      <c r="NC13" s="5">
        <f>IFERROR(VLOOKUP(NC$1,'CERA Agresivo'!$B$23:$C$40,2,FALSE),0%)</f>
        <v>0</v>
      </c>
      <c r="ND13" s="5">
        <f>IFERROR(VLOOKUP(ND$1,'CERA Agresivo'!$B$23:$C$40,2,FALSE),0%)</f>
        <v>0</v>
      </c>
      <c r="NE13" s="5">
        <f>IFERROR(VLOOKUP(NE$1,'CERA Agresivo'!$B$23:$C$40,2,FALSE),0%)</f>
        <v>0</v>
      </c>
      <c r="NF13" s="5">
        <f>IFERROR(VLOOKUP(NF$1,'CERA Agresivo'!$B$23:$C$40,2,FALSE),0%)</f>
        <v>0</v>
      </c>
      <c r="NG13" s="5">
        <f>IFERROR(VLOOKUP(NG$1,'CERA Agresivo'!$B$23:$C$40,2,FALSE),0%)</f>
        <v>0</v>
      </c>
      <c r="NH13" s="5">
        <f>IFERROR(VLOOKUP(NH$1,'CERA Agresivo'!$B$23:$C$40,2,FALSE),0%)</f>
        <v>0</v>
      </c>
      <c r="NI13" s="5">
        <f>IFERROR(VLOOKUP(NI$1,'CERA Agresivo'!$B$23:$C$40,2,FALSE),0%)</f>
        <v>0</v>
      </c>
      <c r="NJ13" s="5">
        <f>IFERROR(VLOOKUP(NJ$1,'CERA Agresivo'!$B$23:$C$40,2,FALSE),0%)</f>
        <v>0</v>
      </c>
      <c r="NK13" s="5">
        <f>IFERROR(VLOOKUP(NK$1,'CERA Agresivo'!$B$23:$C$40,2,FALSE),0%)</f>
        <v>0</v>
      </c>
      <c r="NL13" s="5">
        <f>IFERROR(VLOOKUP(NL$1,'CERA Agresivo'!$B$23:$C$40,2,FALSE),0%)</f>
        <v>0</v>
      </c>
      <c r="NM13" s="5">
        <f>IFERROR(VLOOKUP(NM$1,'CERA Agresivo'!$B$23:$C$40,2,FALSE),0%)</f>
        <v>0</v>
      </c>
      <c r="NN13" s="5">
        <f>IFERROR(VLOOKUP(NN$1,'CERA Agresivo'!$B$23:$C$40,2,FALSE),0%)</f>
        <v>0</v>
      </c>
      <c r="NO13" s="5">
        <f>IFERROR(VLOOKUP(NO$1,'CERA Agresivo'!$B$23:$C$40,2,FALSE),0%)</f>
        <v>0</v>
      </c>
      <c r="NP13" s="5">
        <f>IFERROR(VLOOKUP(NP$1,'CERA Agresivo'!$B$23:$C$40,2,FALSE),0%)</f>
        <v>0</v>
      </c>
      <c r="NQ13" s="5">
        <f>IFERROR(VLOOKUP(NQ$1,'CERA Agresivo'!$B$23:$C$40,2,FALSE),0%)</f>
        <v>0</v>
      </c>
      <c r="NR13" s="5">
        <f>IFERROR(VLOOKUP(NR$1,'CERA Agresivo'!$B$23:$C$40,2,FALSE),0%)</f>
        <v>0</v>
      </c>
      <c r="NS13" s="5">
        <f>IFERROR(VLOOKUP(NS$1,'CERA Agresivo'!$B$23:$C$40,2,FALSE),0%)</f>
        <v>0</v>
      </c>
      <c r="NT13" s="5">
        <f>IFERROR(VLOOKUP(NT$1,'CERA Agresivo'!$B$23:$C$40,2,FALSE),0%)</f>
        <v>0</v>
      </c>
      <c r="NU13" s="5">
        <f>IFERROR(VLOOKUP(NU$1,'CERA Agresivo'!$B$23:$C$40,2,FALSE),0%)</f>
        <v>0</v>
      </c>
      <c r="NV13" s="5">
        <f>IFERROR(VLOOKUP(NV$1,'CERA Agresivo'!$B$23:$C$40,2,FALSE),0%)</f>
        <v>0</v>
      </c>
      <c r="NW13" s="5">
        <f>IFERROR(VLOOKUP(NW$1,'CERA Agresivo'!$B$23:$C$40,2,FALSE),0%)</f>
        <v>0</v>
      </c>
      <c r="NX13" s="5">
        <f>IFERROR(VLOOKUP(NX$1,'CERA Agresivo'!$B$23:$C$40,2,FALSE),0%)</f>
        <v>0</v>
      </c>
      <c r="NY13" s="5">
        <f>IFERROR(VLOOKUP(NY$1,'CERA Agresivo'!$B$23:$C$40,2,FALSE),0%)</f>
        <v>0</v>
      </c>
      <c r="NZ13" s="5">
        <f>IFERROR(VLOOKUP(NZ$1,'CERA Agresivo'!$B$23:$C$40,2,FALSE),0%)</f>
        <v>0</v>
      </c>
      <c r="OA13" s="5">
        <f>IFERROR(VLOOKUP(OA$1,'CERA Agresivo'!$B$23:$C$40,2,FALSE),0%)</f>
        <v>0</v>
      </c>
      <c r="OB13" s="5">
        <f>IFERROR(VLOOKUP(OB$1,'CERA Agresivo'!$B$23:$C$40,2,FALSE),0%)</f>
        <v>0</v>
      </c>
      <c r="OC13" s="5">
        <f>IFERROR(VLOOKUP(OC$1,'CERA Agresivo'!$B$23:$C$40,2,FALSE),0%)</f>
        <v>0</v>
      </c>
      <c r="OD13" s="5">
        <f>IFERROR(VLOOKUP(OD$1,'CERA Agresivo'!$B$23:$C$40,2,FALSE),0%)</f>
        <v>0</v>
      </c>
      <c r="OE13" s="5">
        <f>IFERROR(VLOOKUP(OE$1,'CERA Agresivo'!$B$23:$C$40,2,FALSE),0%)</f>
        <v>0</v>
      </c>
      <c r="OF13" s="5">
        <f>IFERROR(VLOOKUP(OF$1,'CERA Agresivo'!$B$23:$C$40,2,FALSE),0%)</f>
        <v>0</v>
      </c>
      <c r="OG13" s="5">
        <f>IFERROR(VLOOKUP(OG$1,'CERA Agresivo'!$B$23:$C$40,2,FALSE),0%)</f>
        <v>0</v>
      </c>
      <c r="OH13" s="5">
        <f>IFERROR(VLOOKUP(OH$1,'CERA Agresivo'!$B$23:$C$40,2,FALSE),0%)</f>
        <v>0</v>
      </c>
      <c r="OI13" s="5">
        <f>IFERROR(VLOOKUP(OI$1,'CERA Agresivo'!$B$23:$C$40,2,FALSE),0%)</f>
        <v>0</v>
      </c>
      <c r="OJ13" s="5">
        <f>IFERROR(VLOOKUP(OJ$1,'CERA Agresivo'!$B$23:$C$40,2,FALSE),0%)</f>
        <v>0</v>
      </c>
      <c r="OK13" s="5">
        <f>IFERROR(VLOOKUP(OK$1,'CERA Agresivo'!$B$23:$C$40,2,FALSE),0%)</f>
        <v>0</v>
      </c>
      <c r="OL13" s="5">
        <f>IFERROR(VLOOKUP(OL$1,'CERA Agresivo'!$B$23:$C$40,2,FALSE),0%)</f>
        <v>0</v>
      </c>
      <c r="OM13" s="5">
        <f>IFERROR(VLOOKUP(OM$1,'CERA Agresivo'!$B$23:$C$40,2,FALSE),0%)</f>
        <v>0</v>
      </c>
      <c r="ON13" s="5">
        <f>IFERROR(VLOOKUP(ON$1,'CERA Agresivo'!$B$23:$C$40,2,FALSE),0%)</f>
        <v>0</v>
      </c>
      <c r="OO13" s="5">
        <f>IFERROR(VLOOKUP(OO$1,'CERA Agresivo'!$B$23:$C$40,2,FALSE),0%)</f>
        <v>0</v>
      </c>
      <c r="OP13" s="5">
        <f>IFERROR(VLOOKUP(OP$1,'CERA Agresivo'!$B$23:$C$40,2,FALSE),0%)</f>
        <v>0</v>
      </c>
      <c r="OQ13" s="5">
        <f>IFERROR(VLOOKUP(OQ$1,'CERA Agresivo'!$B$23:$C$40,2,FALSE),0%)</f>
        <v>0</v>
      </c>
      <c r="OR13" s="5">
        <f>IFERROR(VLOOKUP(OR$1,'CERA Agresivo'!$B$23:$C$40,2,FALSE),0%)</f>
        <v>0</v>
      </c>
      <c r="OS13" s="5">
        <f>IFERROR(VLOOKUP(OS$1,'CERA Agresivo'!$B$23:$C$40,2,FALSE),0%)</f>
        <v>0</v>
      </c>
      <c r="OT13" s="5">
        <f>IFERROR(VLOOKUP(OT$1,'CERA Agresivo'!$B$23:$C$40,2,FALSE),0%)</f>
        <v>0</v>
      </c>
      <c r="OU13" s="5">
        <f>IFERROR(VLOOKUP(OU$1,'CERA Agresivo'!$B$23:$C$40,2,FALSE),0%)</f>
        <v>0</v>
      </c>
      <c r="OV13" s="5">
        <f>IFERROR(VLOOKUP(OV$1,'CERA Agresivo'!$B$23:$C$40,2,FALSE),0%)</f>
        <v>0</v>
      </c>
      <c r="OW13" s="5">
        <f>IFERROR(VLOOKUP(OW$1,'CERA Agresivo'!$B$23:$C$40,2,FALSE),0%)</f>
        <v>0</v>
      </c>
      <c r="OX13" s="5">
        <f>IFERROR(VLOOKUP(OX$1,'CERA Agresivo'!$B$23:$C$40,2,FALSE),0%)</f>
        <v>0</v>
      </c>
      <c r="OY13" s="5">
        <f>IFERROR(VLOOKUP(OY$1,'CERA Agresivo'!$B$23:$C$40,2,FALSE),0%)</f>
        <v>0</v>
      </c>
      <c r="OZ13" s="5">
        <f>IFERROR(VLOOKUP(OZ$1,'CERA Agresivo'!$B$23:$C$40,2,FALSE),0%)</f>
        <v>0</v>
      </c>
      <c r="PA13" s="5">
        <f>IFERROR(VLOOKUP(PA$1,'CERA Agresivo'!$B$23:$C$40,2,FALSE),0%)</f>
        <v>0</v>
      </c>
      <c r="PB13" s="5">
        <f>IFERROR(VLOOKUP(PB$1,'CERA Agresivo'!$B$23:$C$40,2,FALSE),0%)</f>
        <v>0</v>
      </c>
      <c r="PC13" s="5">
        <f>IFERROR(VLOOKUP(PC$1,'CERA Agresivo'!$B$23:$C$40,2,FALSE),0%)</f>
        <v>0</v>
      </c>
      <c r="PD13" s="5">
        <f>IFERROR(VLOOKUP(PD$1,'CERA Agresivo'!$B$23:$C$40,2,FALSE),0%)</f>
        <v>0</v>
      </c>
      <c r="PE13" s="5">
        <f>IFERROR(VLOOKUP(PE$1,'CERA Agresivo'!$B$23:$C$40,2,FALSE),0%)</f>
        <v>0</v>
      </c>
      <c r="PF13" s="5">
        <f>IFERROR(VLOOKUP(PF$1,'CERA Agresivo'!$B$23:$C$40,2,FALSE),0%)</f>
        <v>0</v>
      </c>
      <c r="PG13" s="5">
        <f>IFERROR(VLOOKUP(PG$1,'CERA Agresivo'!$B$23:$C$40,2,FALSE),0%)</f>
        <v>0</v>
      </c>
      <c r="PH13" s="5">
        <f>IFERROR(VLOOKUP(PH$1,'CERA Agresivo'!$B$23:$C$40,2,FALSE),0%)</f>
        <v>0</v>
      </c>
      <c r="PI13" s="5">
        <f>IFERROR(VLOOKUP(PI$1,'CERA Agresivo'!$B$23:$C$40,2,FALSE),0%)</f>
        <v>0</v>
      </c>
      <c r="PJ13" s="5">
        <f>IFERROR(VLOOKUP(PJ$1,'CERA Agresivo'!$B$23:$C$40,2,FALSE),0%)</f>
        <v>0</v>
      </c>
      <c r="PK13" s="5">
        <f>IFERROR(VLOOKUP(PK$1,'CERA Agresivo'!$B$23:$C$40,2,FALSE),0%)</f>
        <v>0</v>
      </c>
      <c r="PL13" s="5">
        <f>IFERROR(VLOOKUP(PL$1,'CERA Agresivo'!$B$23:$C$40,2,FALSE),0%)</f>
        <v>0</v>
      </c>
      <c r="PM13" s="5">
        <f>IFERROR(VLOOKUP(PM$1,'CERA Agresivo'!$B$23:$C$40,2,FALSE),0%)</f>
        <v>0</v>
      </c>
      <c r="PN13" s="5">
        <f>IFERROR(VLOOKUP(PN$1,'CERA Agresivo'!$B$23:$C$40,2,FALSE),0%)</f>
        <v>0</v>
      </c>
      <c r="PO13" s="5">
        <f>IFERROR(VLOOKUP(PO$1,'CERA Agresivo'!$B$23:$C$40,2,FALSE),0%)</f>
        <v>0</v>
      </c>
      <c r="PP13" s="5">
        <f>IFERROR(VLOOKUP(PP$1,'CERA Agresivo'!$B$23:$C$40,2,FALSE),0%)</f>
        <v>0</v>
      </c>
      <c r="PQ13" s="5">
        <f>IFERROR(VLOOKUP(PQ$1,'CERA Agresivo'!$B$23:$C$40,2,FALSE),0%)</f>
        <v>0</v>
      </c>
      <c r="PR13" s="5">
        <f>IFERROR(VLOOKUP(PR$1,'CERA Agresivo'!$B$23:$C$40,2,FALSE),0%)</f>
        <v>0</v>
      </c>
      <c r="PS13" s="5">
        <f>IFERROR(VLOOKUP(PS$1,'CERA Agresivo'!$B$23:$C$40,2,FALSE),0%)</f>
        <v>0</v>
      </c>
      <c r="PT13" s="5">
        <f>IFERROR(VLOOKUP(PT$1,'CERA Agresivo'!$B$23:$C$40,2,FALSE),0%)</f>
        <v>0</v>
      </c>
      <c r="PU13" s="5">
        <f>IFERROR(VLOOKUP(PU$1,'CERA Agresivo'!$B$23:$C$40,2,FALSE),0%)</f>
        <v>0</v>
      </c>
      <c r="PV13" s="5">
        <f>IFERROR(VLOOKUP(PV$1,'CERA Agresivo'!$B$23:$C$40,2,FALSE),0%)</f>
        <v>0</v>
      </c>
      <c r="PW13" s="5">
        <f>IFERROR(VLOOKUP(PW$1,'CERA Agresivo'!$B$23:$C$40,2,FALSE),0%)</f>
        <v>0</v>
      </c>
      <c r="PX13" s="5">
        <f>IFERROR(VLOOKUP(PX$1,'CERA Agresivo'!$B$23:$C$40,2,FALSE),0%)</f>
        <v>0</v>
      </c>
      <c r="PY13" s="5">
        <f>IFERROR(VLOOKUP(PY$1,'CERA Agresivo'!$B$23:$C$40,2,FALSE),0%)</f>
        <v>0</v>
      </c>
      <c r="PZ13" s="5">
        <f>IFERROR(VLOOKUP(PZ$1,'CERA Agresivo'!$B$23:$C$40,2,FALSE),0%)</f>
        <v>0</v>
      </c>
      <c r="QA13" s="5">
        <f>IFERROR(VLOOKUP(QA$1,'CERA Agresivo'!$B$23:$C$40,2,FALSE),0%)</f>
        <v>0</v>
      </c>
      <c r="QB13" s="5">
        <f>IFERROR(VLOOKUP(QB$1,'CERA Agresivo'!$B$23:$C$40,2,FALSE),0%)</f>
        <v>0</v>
      </c>
      <c r="QC13" s="5">
        <f>IFERROR(VLOOKUP(QC$1,'CERA Agresivo'!$B$23:$C$40,2,FALSE),0%)</f>
        <v>0</v>
      </c>
      <c r="QD13" s="5">
        <f>IFERROR(VLOOKUP(QD$1,'CERA Agresivo'!$B$23:$C$40,2,FALSE),0%)</f>
        <v>0</v>
      </c>
      <c r="QE13" s="5">
        <f>IFERROR(VLOOKUP(QE$1,'CERA Agresivo'!$B$23:$C$40,2,FALSE),0%)</f>
        <v>0</v>
      </c>
      <c r="QF13" s="5">
        <f>IFERROR(VLOOKUP(QF$1,'CERA Agresivo'!$B$23:$C$40,2,FALSE),0%)</f>
        <v>0</v>
      </c>
      <c r="QG13" s="5">
        <f>IFERROR(VLOOKUP(QG$1,'CERA Agresivo'!$B$23:$C$40,2,FALSE),0%)</f>
        <v>0</v>
      </c>
      <c r="QH13" s="5">
        <f>IFERROR(VLOOKUP(QH$1,'CERA Agresivo'!$B$23:$C$40,2,FALSE),0%)</f>
        <v>0</v>
      </c>
      <c r="QI13" s="5">
        <f>IFERROR(VLOOKUP(QI$1,'CERA Agresivo'!$B$23:$C$40,2,FALSE),0%)</f>
        <v>0</v>
      </c>
      <c r="QJ13" s="5">
        <f>IFERROR(VLOOKUP(QJ$1,'CERA Agresivo'!$B$23:$C$40,2,FALSE),0%)</f>
        <v>0</v>
      </c>
      <c r="QK13" s="5">
        <f>IFERROR(VLOOKUP(QK$1,'CERA Agresivo'!$B$23:$C$40,2,FALSE),0%)</f>
        <v>0</v>
      </c>
      <c r="QL13" s="5">
        <f>IFERROR(VLOOKUP(QL$1,'CERA Agresivo'!$B$23:$C$40,2,FALSE),0%)</f>
        <v>0</v>
      </c>
      <c r="QM13" s="5">
        <f>IFERROR(VLOOKUP(QM$1,'CERA Agresivo'!$B$23:$C$40,2,FALSE),0%)</f>
        <v>0</v>
      </c>
      <c r="QN13" s="5">
        <f>IFERROR(VLOOKUP(QN$1,'CERA Agresivo'!$B$23:$C$40,2,FALSE),0%)</f>
        <v>0</v>
      </c>
      <c r="QO13" s="5">
        <f>IFERROR(VLOOKUP(QO$1,'CERA Agresivo'!$B$23:$C$40,2,FALSE),0%)</f>
        <v>0</v>
      </c>
      <c r="QP13" s="5">
        <f>IFERROR(VLOOKUP(QP$1,'CERA Agresivo'!$B$23:$C$40,2,FALSE),0%)</f>
        <v>0</v>
      </c>
      <c r="QQ13" s="5">
        <f>IFERROR(VLOOKUP(QQ$1,'CERA Agresivo'!$B$23:$C$40,2,FALSE),0%)</f>
        <v>0</v>
      </c>
      <c r="QR13" s="5">
        <f>IFERROR(VLOOKUP(QR$1,'CERA Agresivo'!$B$23:$C$40,2,FALSE),0%)</f>
        <v>0</v>
      </c>
      <c r="QS13" s="5">
        <f>IFERROR(VLOOKUP(QS$1,'CERA Agresivo'!$B$23:$C$40,2,FALSE),0%)</f>
        <v>0</v>
      </c>
      <c r="QT13" s="5">
        <f>IFERROR(VLOOKUP(QT$1,'CERA Agresivo'!$B$23:$C$40,2,FALSE),0%)</f>
        <v>0</v>
      </c>
      <c r="QU13" s="5">
        <f>IFERROR(VLOOKUP(QU$1,'CERA Agresivo'!$B$23:$C$40,2,FALSE),0%)</f>
        <v>0</v>
      </c>
      <c r="QV13" s="5">
        <f>IFERROR(VLOOKUP(QV$1,'CERA Agresivo'!$B$23:$C$40,2,FALSE),0%)</f>
        <v>0</v>
      </c>
      <c r="QW13" s="5">
        <f>IFERROR(VLOOKUP(QW$1,'CERA Agresivo'!$B$23:$C$40,2,FALSE),0%)</f>
        <v>0</v>
      </c>
      <c r="QX13" s="5">
        <f>IFERROR(VLOOKUP(QX$1,'CERA Agresivo'!$B$23:$C$40,2,FALSE),0%)</f>
        <v>0</v>
      </c>
      <c r="QY13" s="5">
        <f>IFERROR(VLOOKUP(QY$1,'CERA Agresivo'!$B$23:$C$40,2,FALSE),0%)</f>
        <v>0</v>
      </c>
      <c r="QZ13" s="5">
        <f>IFERROR(VLOOKUP(QZ$1,'CERA Agresivo'!$B$23:$C$40,2,FALSE),0%)</f>
        <v>0</v>
      </c>
      <c r="RA13" s="5">
        <f>IFERROR(VLOOKUP(RA$1,'CERA Agresivo'!$B$23:$C$40,2,FALSE),0%)</f>
        <v>0</v>
      </c>
      <c r="RB13" s="5">
        <f>IFERROR(VLOOKUP(RB$1,'CERA Agresivo'!$B$23:$C$40,2,FALSE),0%)</f>
        <v>0</v>
      </c>
      <c r="RC13" s="5">
        <f>IFERROR(VLOOKUP(RC$1,'CERA Agresivo'!$B$23:$C$40,2,FALSE),0%)</f>
        <v>0</v>
      </c>
      <c r="RD13" s="5">
        <f>IFERROR(VLOOKUP(RD$1,'CERA Agresivo'!$B$23:$C$40,2,FALSE),0%)</f>
        <v>0</v>
      </c>
      <c r="RE13" s="5">
        <f>IFERROR(VLOOKUP(RE$1,'CERA Agresivo'!$B$23:$C$40,2,FALSE),0%)</f>
        <v>0</v>
      </c>
      <c r="RF13" s="5">
        <f>IFERROR(VLOOKUP(RF$1,'CERA Agresivo'!$B$23:$C$40,2,FALSE),0%)</f>
        <v>0</v>
      </c>
      <c r="RG13" s="5">
        <f>IFERROR(VLOOKUP(RG$1,'CERA Agresivo'!$B$23:$C$40,2,FALSE),0%)</f>
        <v>0</v>
      </c>
      <c r="RH13" s="5">
        <f>IFERROR(VLOOKUP(RH$1,'CERA Agresivo'!$B$23:$C$40,2,FALSE),0%)</f>
        <v>0</v>
      </c>
      <c r="RI13" s="5">
        <f>IFERROR(VLOOKUP(RI$1,'CERA Agresivo'!$B$23:$C$40,2,FALSE),0%)</f>
        <v>0</v>
      </c>
      <c r="RJ13" s="5">
        <f>IFERROR(VLOOKUP(RJ$1,'CERA Agresivo'!$B$23:$C$40,2,FALSE),0%)</f>
        <v>0</v>
      </c>
      <c r="RK13" s="5">
        <f>IFERROR(VLOOKUP(RK$1,'CERA Agresivo'!$B$23:$C$40,2,FALSE),0%)</f>
        <v>0</v>
      </c>
      <c r="RL13" s="5">
        <f>IFERROR(VLOOKUP(RL$1,'CERA Agresivo'!$B$23:$C$40,2,FALSE),0%)</f>
        <v>0</v>
      </c>
      <c r="RM13" s="5">
        <f>IFERROR(VLOOKUP(RM$1,'CERA Agresivo'!$B$23:$C$40,2,FALSE),0%)</f>
        <v>0</v>
      </c>
      <c r="RN13" s="5">
        <f>IFERROR(VLOOKUP(RN$1,'CERA Agresivo'!$B$23:$C$40,2,FALSE),0%)</f>
        <v>0</v>
      </c>
      <c r="RO13" s="5">
        <f>IFERROR(VLOOKUP(RO$1,'CERA Agresivo'!$B$23:$C$40,2,FALSE),0%)</f>
        <v>0</v>
      </c>
      <c r="RP13" s="5">
        <f>IFERROR(VLOOKUP(RP$1,'CERA Agresivo'!$B$23:$C$40,2,FALSE),0%)</f>
        <v>0</v>
      </c>
      <c r="RQ13" s="5">
        <f>IFERROR(VLOOKUP(RQ$1,'CERA Agresivo'!$B$23:$C$40,2,FALSE),0%)</f>
        <v>0</v>
      </c>
      <c r="RR13" s="5">
        <f>IFERROR(VLOOKUP(RR$1,'CERA Agresivo'!$B$23:$C$40,2,FALSE),0%)</f>
        <v>0</v>
      </c>
      <c r="RS13" s="5">
        <f>IFERROR(VLOOKUP(RS$1,'CERA Agresivo'!$B$23:$C$40,2,FALSE),0%)</f>
        <v>0</v>
      </c>
      <c r="RT13" s="5">
        <f>IFERROR(VLOOKUP(RT$1,'CERA Agresivo'!$B$23:$C$40,2,FALSE),0%)</f>
        <v>0</v>
      </c>
      <c r="RU13" s="5">
        <f>IFERROR(VLOOKUP(RU$1,'CERA Agresivo'!$B$23:$C$40,2,FALSE),0%)</f>
        <v>0</v>
      </c>
      <c r="RV13" s="5">
        <f>IFERROR(VLOOKUP(RV$1,'CERA Agresivo'!$B$23:$C$40,2,FALSE),0%)</f>
        <v>0</v>
      </c>
      <c r="RW13" s="5">
        <f>IFERROR(VLOOKUP(RW$1,'CERA Agresivo'!$B$23:$C$40,2,FALSE),0%)</f>
        <v>0</v>
      </c>
      <c r="RX13" s="5">
        <f>IFERROR(VLOOKUP(RX$1,'CERA Agresivo'!$B$23:$C$40,2,FALSE),0%)</f>
        <v>0</v>
      </c>
      <c r="RY13" s="5">
        <f>IFERROR(VLOOKUP(RY$1,'CERA Agresivo'!$B$23:$C$40,2,FALSE),0%)</f>
        <v>0</v>
      </c>
      <c r="RZ13" s="5">
        <f>IFERROR(VLOOKUP(RZ$1,'CERA Agresivo'!$B$23:$C$40,2,FALSE),0%)</f>
        <v>0</v>
      </c>
      <c r="SA13" s="5">
        <f>IFERROR(VLOOKUP(SA$1,'CERA Agresivo'!$B$23:$C$40,2,FALSE),0%)</f>
        <v>0</v>
      </c>
      <c r="SB13" s="5">
        <f>IFERROR(VLOOKUP(SB$1,'CERA Agresivo'!$B$23:$C$40,2,FALSE),0%)</f>
        <v>0</v>
      </c>
      <c r="SC13" s="5">
        <f>IFERROR(VLOOKUP(SC$1,'CERA Agresivo'!$B$23:$C$40,2,FALSE),0%)</f>
        <v>0</v>
      </c>
      <c r="SD13" s="5">
        <f>IFERROR(VLOOKUP(SD$1,'CERA Agresivo'!$B$23:$C$40,2,FALSE),0%)</f>
        <v>0</v>
      </c>
      <c r="SE13" s="5">
        <f>IFERROR(VLOOKUP(SE$1,'CERA Agresivo'!$B$23:$C$40,2,FALSE),0%)</f>
        <v>0</v>
      </c>
      <c r="SF13" s="5">
        <f>IFERROR(VLOOKUP(SF$1,'CERA Agresivo'!$B$23:$C$40,2,FALSE),0%)</f>
        <v>0</v>
      </c>
      <c r="SG13" s="5">
        <f>IFERROR(VLOOKUP(SG$1,'CERA Agresivo'!$B$23:$C$40,2,FALSE),0%)</f>
        <v>0</v>
      </c>
      <c r="SH13" s="5">
        <f>IFERROR(VLOOKUP(SH$1,'CERA Agresivo'!$B$23:$C$40,2,FALSE),0%)</f>
        <v>0</v>
      </c>
      <c r="SI13" s="5">
        <f>IFERROR(VLOOKUP(SI$1,'CERA Agresivo'!$B$23:$C$40,2,FALSE),0%)</f>
        <v>0</v>
      </c>
      <c r="SJ13" s="5">
        <f>IFERROR(VLOOKUP(SJ$1,'CERA Agresivo'!$B$23:$C$40,2,FALSE),0%)</f>
        <v>0</v>
      </c>
      <c r="SK13" s="5">
        <f>IFERROR(VLOOKUP(SK$1,'CERA Agresivo'!$B$23:$C$40,2,FALSE),0%)</f>
        <v>0</v>
      </c>
      <c r="SL13" s="5">
        <f>IFERROR(VLOOKUP(SL$1,'CERA Agresivo'!$B$23:$C$40,2,FALSE),0%)</f>
        <v>0</v>
      </c>
      <c r="SM13" s="5">
        <f>IFERROR(VLOOKUP(SM$1,'CERA Agresivo'!$B$23:$C$40,2,FALSE),0%)</f>
        <v>0</v>
      </c>
      <c r="SN13" s="5">
        <f>IFERROR(VLOOKUP(SN$1,'CERA Agresivo'!$B$23:$C$40,2,FALSE),0%)</f>
        <v>0</v>
      </c>
      <c r="SO13" s="5">
        <f>IFERROR(VLOOKUP(SO$1,'CERA Agresivo'!$B$23:$C$40,2,FALSE),0%)</f>
        <v>0</v>
      </c>
      <c r="SP13" s="5">
        <f>IFERROR(VLOOKUP(SP$1,'CERA Agresivo'!$B$23:$C$40,2,FALSE),0%)</f>
        <v>0</v>
      </c>
      <c r="SQ13" s="5">
        <f>IFERROR(VLOOKUP(SQ$1,'CERA Agresivo'!$B$23:$C$40,2,FALSE),0%)</f>
        <v>0</v>
      </c>
      <c r="SR13" s="5">
        <f>IFERROR(VLOOKUP(SR$1,'CERA Agresivo'!$B$23:$C$40,2,FALSE),0%)</f>
        <v>0</v>
      </c>
      <c r="SS13" s="5">
        <f>IFERROR(VLOOKUP(SS$1,'CERA Agresivo'!$B$23:$C$40,2,FALSE),0%)</f>
        <v>0</v>
      </c>
      <c r="ST13" s="5">
        <f>IFERROR(VLOOKUP(ST$1,'CERA Agresivo'!$B$23:$C$40,2,FALSE),0%)</f>
        <v>0</v>
      </c>
      <c r="SU13" s="5">
        <f>IFERROR(VLOOKUP(SU$1,'CERA Agresivo'!$B$23:$C$40,2,FALSE),0%)</f>
        <v>0</v>
      </c>
      <c r="SV13" s="5">
        <f>IFERROR(VLOOKUP(SV$1,'CERA Agresivo'!$B$23:$C$40,2,FALSE),0%)</f>
        <v>0</v>
      </c>
      <c r="SW13" s="5">
        <f>IFERROR(VLOOKUP(SW$1,'CERA Agresivo'!$B$23:$C$40,2,FALSE),0%)</f>
        <v>0</v>
      </c>
      <c r="SX13" s="5">
        <f>IFERROR(VLOOKUP(SX$1,'CERA Agresivo'!$B$23:$C$40,2,FALSE),0%)</f>
        <v>0</v>
      </c>
      <c r="SY13" s="5">
        <f>IFERROR(VLOOKUP(SY$1,'CERA Agresivo'!$B$23:$C$40,2,FALSE),0%)</f>
        <v>0.02856583309</v>
      </c>
      <c r="SZ13" s="5">
        <f>IFERROR(VLOOKUP(SZ$1,'CERA Agresivo'!$B$23:$C$40,2,FALSE),0%)</f>
        <v>0</v>
      </c>
      <c r="TA13" s="5">
        <f>IFERROR(VLOOKUP(TA$1,'CERA Agresivo'!$B$23:$C$40,2,FALSE),0%)</f>
        <v>0</v>
      </c>
      <c r="TB13" s="5">
        <f>IFERROR(VLOOKUP(TB$1,'CERA Agresivo'!$B$23:$C$40,2,FALSE),0%)</f>
        <v>0</v>
      </c>
      <c r="TC13" s="5">
        <f>IFERROR(VLOOKUP(TC$1,'CERA Agresivo'!$B$23:$C$40,2,FALSE),0%)</f>
        <v>0</v>
      </c>
      <c r="TD13" s="5">
        <f>IFERROR(VLOOKUP(TD$1,'CERA Agresivo'!$B$23:$C$40,2,FALSE),0%)</f>
        <v>0</v>
      </c>
      <c r="TE13" s="5">
        <f>IFERROR(VLOOKUP(TE$1,'CERA Agresivo'!$B$23:$C$40,2,FALSE),0%)</f>
        <v>0</v>
      </c>
      <c r="TF13" s="5">
        <f>IFERROR(VLOOKUP(TF$1,'CERA Agresivo'!$B$23:$C$40,2,FALSE),0%)</f>
        <v>0</v>
      </c>
      <c r="TG13" s="5">
        <f>IFERROR(VLOOKUP(TG$1,'CERA Agresivo'!$B$23:$C$40,2,FALSE),0%)</f>
        <v>0</v>
      </c>
      <c r="TH13" s="5">
        <f>IFERROR(VLOOKUP(TH$1,'CERA Agresivo'!$B$23:$C$40,2,FALSE),0%)</f>
        <v>0</v>
      </c>
      <c r="TI13" s="5">
        <f>IFERROR(VLOOKUP(TI$1,'CERA Agresivo'!$B$23:$C$40,2,FALSE),0%)</f>
        <v>0</v>
      </c>
      <c r="TJ13" s="5">
        <f>IFERROR(VLOOKUP(TJ$1,'CERA Agresivo'!$B$23:$C$40,2,FALSE),0%)</f>
        <v>0</v>
      </c>
      <c r="TK13" s="5">
        <f>IFERROR(VLOOKUP(TK$1,'CERA Agresivo'!$B$23:$C$40,2,FALSE),0%)</f>
        <v>0</v>
      </c>
      <c r="TL13" s="5">
        <f>IFERROR(VLOOKUP(TL$1,'CERA Agresivo'!$B$23:$C$40,2,FALSE),0%)</f>
        <v>0</v>
      </c>
      <c r="TM13" s="5">
        <f>IFERROR(VLOOKUP(TM$1,'CERA Agresivo'!$B$23:$C$40,2,FALSE),0%)</f>
        <v>0</v>
      </c>
      <c r="TN13" s="5">
        <f>IFERROR(VLOOKUP(TN$1,'CERA Agresivo'!$B$23:$C$40,2,FALSE),0%)</f>
        <v>0</v>
      </c>
      <c r="TO13" s="5">
        <f>IFERROR(VLOOKUP(TO$1,'CERA Agresivo'!$B$23:$C$40,2,FALSE),0%)</f>
        <v>0</v>
      </c>
      <c r="TP13" s="5">
        <f>IFERROR(VLOOKUP(TP$1,'CERA Agresivo'!$B$23:$C$40,2,FALSE),0%)</f>
        <v>0</v>
      </c>
      <c r="TQ13" s="5">
        <f>IFERROR(VLOOKUP(TQ$1,'CERA Agresivo'!$B$23:$C$40,2,FALSE),0%)</f>
        <v>0</v>
      </c>
      <c r="TR13" s="5">
        <f>IFERROR(VLOOKUP(TR$1,'CERA Agresivo'!$B$23:$C$40,2,FALSE),0%)</f>
        <v>0</v>
      </c>
      <c r="TS13" s="5">
        <f>IFERROR(VLOOKUP(TS$1,'CERA Agresivo'!$B$23:$C$40,2,FALSE),0%)</f>
        <v>0</v>
      </c>
      <c r="TT13" s="5">
        <f>IFERROR(VLOOKUP(TT$1,'CERA Agresivo'!$B$23:$C$40,2,FALSE),0%)</f>
        <v>0</v>
      </c>
      <c r="TU13" s="5">
        <f>IFERROR(VLOOKUP(TU$1,'CERA Agresivo'!$B$23:$C$40,2,FALSE),0%)</f>
        <v>0</v>
      </c>
      <c r="TV13" s="5">
        <f>IFERROR(VLOOKUP(TV$1,'CERA Agresivo'!$B$23:$C$40,2,FALSE),0%)</f>
        <v>0</v>
      </c>
      <c r="TW13" s="5">
        <f>IFERROR(VLOOKUP(TW$1,'CERA Agresivo'!$B$23:$C$40,2,FALSE),0%)</f>
        <v>0</v>
      </c>
      <c r="TX13" s="5">
        <f>IFERROR(VLOOKUP(TX$1,'CERA Agresivo'!$B$23:$C$40,2,FALSE),0%)</f>
        <v>0</v>
      </c>
      <c r="TY13" s="5">
        <f>IFERROR(VLOOKUP(TY$1,'CERA Agresivo'!$B$23:$C$40,2,FALSE),0%)</f>
        <v>0</v>
      </c>
      <c r="TZ13" s="5">
        <f>IFERROR(VLOOKUP(TZ$1,'CERA Agresivo'!$B$23:$C$40,2,FALSE),0%)</f>
        <v>0</v>
      </c>
      <c r="UA13" s="5">
        <f>IFERROR(VLOOKUP(UA$1,'CERA Agresivo'!$B$23:$C$40,2,FALSE),0%)</f>
        <v>0</v>
      </c>
      <c r="UB13" s="5">
        <f>IFERROR(VLOOKUP(UB$1,'CERA Agresivo'!$B$23:$C$40,2,FALSE),0%)</f>
        <v>0</v>
      </c>
      <c r="UC13" s="5">
        <f>IFERROR(VLOOKUP(UC$1,'CERA Agresivo'!$B$23:$C$40,2,FALSE),0%)</f>
        <v>0</v>
      </c>
      <c r="UD13" s="5">
        <f>IFERROR(VLOOKUP(UD$1,'CERA Agresivo'!$B$23:$C$40,2,FALSE),0%)</f>
        <v>0</v>
      </c>
      <c r="UE13" s="5">
        <f>IFERROR(VLOOKUP(UE$1,'CERA Agresivo'!$B$23:$C$40,2,FALSE),0%)</f>
        <v>0</v>
      </c>
      <c r="UF13" s="5">
        <f>IFERROR(VLOOKUP(UF$1,'CERA Agresivo'!$B$23:$C$40,2,FALSE),0%)</f>
        <v>0</v>
      </c>
      <c r="UG13" s="5">
        <f>IFERROR(VLOOKUP(UG$1,'CERA Agresivo'!$B$23:$C$40,2,FALSE),0%)</f>
        <v>0</v>
      </c>
      <c r="UH13" s="5">
        <f>IFERROR(VLOOKUP(UH$1,'CERA Agresivo'!$B$23:$C$40,2,FALSE),0%)</f>
        <v>0</v>
      </c>
      <c r="UI13" s="5">
        <f>IFERROR(VLOOKUP(UI$1,'CERA Agresivo'!$B$23:$C$40,2,FALSE),0%)</f>
        <v>0</v>
      </c>
      <c r="UJ13" s="5">
        <f>IFERROR(VLOOKUP(UJ$1,'CERA Agresivo'!$B$23:$C$40,2,FALSE),0%)</f>
        <v>0</v>
      </c>
      <c r="UK13" s="5">
        <f>IFERROR(VLOOKUP(UK$1,'CERA Agresivo'!$B$23:$C$40,2,FALSE),0%)</f>
        <v>0</v>
      </c>
      <c r="UL13" s="5">
        <f>IFERROR(VLOOKUP(UL$1,'CERA Agresivo'!$B$23:$C$40,2,FALSE),0%)</f>
        <v>0</v>
      </c>
      <c r="UM13" s="5">
        <f>IFERROR(VLOOKUP(UM$1,'CERA Agresivo'!$B$23:$C$40,2,FALSE),0%)</f>
        <v>0</v>
      </c>
      <c r="UN13" s="5">
        <f>IFERROR(VLOOKUP(UN$1,'CERA Agresivo'!$B$23:$C$40,2,FALSE),0%)</f>
        <v>0</v>
      </c>
      <c r="UO13" s="5">
        <f>IFERROR(VLOOKUP(UO$1,'CERA Agresivo'!$B$23:$C$40,2,FALSE),0%)</f>
        <v>0</v>
      </c>
      <c r="UP13" s="5">
        <f>IFERROR(VLOOKUP(UP$1,'CERA Agresivo'!$B$23:$C$40,2,FALSE),0%)</f>
        <v>0</v>
      </c>
      <c r="UQ13" s="5">
        <f>IFERROR(VLOOKUP(UQ$1,'CERA Agresivo'!$B$23:$C$40,2,FALSE),0%)</f>
        <v>0</v>
      </c>
      <c r="UR13" s="5">
        <f>IFERROR(VLOOKUP(UR$1,'CERA Agresivo'!$B$23:$C$40,2,FALSE),0%)</f>
        <v>0</v>
      </c>
      <c r="US13" s="5">
        <f>IFERROR(VLOOKUP(US$1,'CERA Agresivo'!$B$23:$C$40,2,FALSE),0%)</f>
        <v>0</v>
      </c>
      <c r="UT13" s="5">
        <f>IFERROR(VLOOKUP(UT$1,'CERA Agresivo'!$B$23:$C$40,2,FALSE),0%)</f>
        <v>0</v>
      </c>
      <c r="UU13" s="5">
        <f>IFERROR(VLOOKUP(UU$1,'CERA Agresivo'!$B$23:$C$40,2,FALSE),0%)</f>
        <v>0</v>
      </c>
      <c r="UV13" s="5">
        <f>IFERROR(VLOOKUP(UV$1,'CERA Agresivo'!$B$23:$C$40,2,FALSE),0%)</f>
        <v>0</v>
      </c>
      <c r="UW13" s="5">
        <f>IFERROR(VLOOKUP(UW$1,'CERA Agresivo'!$B$23:$C$40,2,FALSE),0%)</f>
        <v>0</v>
      </c>
      <c r="UX13" s="5">
        <f>IFERROR(VLOOKUP(UX$1,'CERA Agresivo'!$B$23:$C$40,2,FALSE),0%)</f>
        <v>0</v>
      </c>
      <c r="UY13" s="5">
        <f>IFERROR(VLOOKUP(UY$1,'CERA Agresivo'!$B$23:$C$40,2,FALSE),0%)</f>
        <v>0</v>
      </c>
      <c r="UZ13" s="5">
        <f>IFERROR(VLOOKUP(UZ$1,'CERA Agresivo'!$B$23:$C$40,2,FALSE),0%)</f>
        <v>0</v>
      </c>
      <c r="VA13" s="5">
        <f>IFERROR(VLOOKUP(VA$1,'CERA Agresivo'!$B$23:$C$40,2,FALSE),0%)</f>
        <v>0</v>
      </c>
      <c r="VB13" s="5">
        <f>IFERROR(VLOOKUP(VB$1,'CERA Agresivo'!$B$23:$C$40,2,FALSE),0%)</f>
        <v>0</v>
      </c>
      <c r="VC13" s="5">
        <f>IFERROR(VLOOKUP(VC$1,'CERA Agresivo'!$B$23:$C$40,2,FALSE),0%)</f>
        <v>0</v>
      </c>
      <c r="VD13" s="5">
        <f>IFERROR(VLOOKUP(VD$1,'CERA Agresivo'!$B$23:$C$40,2,FALSE),0%)</f>
        <v>0</v>
      </c>
      <c r="VE13" s="5">
        <f>IFERROR(VLOOKUP(VE$1,'CERA Agresivo'!$B$23:$C$40,2,FALSE),0%)</f>
        <v>0</v>
      </c>
      <c r="VF13" s="5">
        <f>IFERROR(VLOOKUP(VF$1,'CERA Agresivo'!$B$23:$C$40,2,FALSE),0%)</f>
        <v>0</v>
      </c>
      <c r="VG13" s="5">
        <f>IFERROR(VLOOKUP(VG$1,'CERA Agresivo'!$B$23:$C$40,2,FALSE),0%)</f>
        <v>0</v>
      </c>
      <c r="VH13" s="5">
        <f>IFERROR(VLOOKUP(VH$1,'CERA Agresivo'!$B$23:$C$40,2,FALSE),0%)</f>
        <v>0</v>
      </c>
      <c r="VI13" s="5">
        <f>IFERROR(VLOOKUP(VI$1,'CERA Agresivo'!$B$23:$C$40,2,FALSE),0%)</f>
        <v>0</v>
      </c>
      <c r="VJ13" s="5">
        <f>IFERROR(VLOOKUP(VJ$1,'CERA Agresivo'!$B$23:$C$40,2,FALSE),0%)</f>
        <v>0</v>
      </c>
      <c r="VK13" s="5">
        <f>IFERROR(VLOOKUP(VK$1,'CERA Agresivo'!$B$23:$C$40,2,FALSE),0%)</f>
        <v>0</v>
      </c>
      <c r="VL13" s="5">
        <f>IFERROR(VLOOKUP(VL$1,'CERA Agresivo'!$B$23:$C$40,2,FALSE),0%)</f>
        <v>0</v>
      </c>
      <c r="VM13" s="5">
        <f>IFERROR(VLOOKUP(VM$1,'CERA Agresivo'!$B$23:$C$40,2,FALSE),0%)</f>
        <v>0</v>
      </c>
      <c r="VN13" s="5">
        <f>IFERROR(VLOOKUP(VN$1,'CERA Agresivo'!$B$23:$C$40,2,FALSE),0%)</f>
        <v>0</v>
      </c>
      <c r="VO13" s="5">
        <f>IFERROR(VLOOKUP(VO$1,'CERA Agresivo'!$B$23:$C$40,2,FALSE),0%)</f>
        <v>0</v>
      </c>
      <c r="VP13" s="5">
        <f>IFERROR(VLOOKUP(VP$1,'CERA Agresivo'!$B$23:$C$40,2,FALSE),0%)</f>
        <v>0</v>
      </c>
      <c r="VQ13" s="5">
        <f>IFERROR(VLOOKUP(VQ$1,'CERA Agresivo'!$B$23:$C$40,2,FALSE),0%)</f>
        <v>0</v>
      </c>
      <c r="VR13" s="5">
        <f>IFERROR(VLOOKUP(VR$1,'CERA Agresivo'!$B$23:$C$40,2,FALSE),0%)</f>
        <v>0</v>
      </c>
      <c r="VS13" s="5">
        <f>IFERROR(VLOOKUP(VS$1,'CERA Agresivo'!$B$23:$C$40,2,FALSE),0%)</f>
        <v>0</v>
      </c>
      <c r="VT13" s="5">
        <f>IFERROR(VLOOKUP(VT$1,'CERA Agresivo'!$B$23:$C$40,2,FALSE),0%)</f>
        <v>0</v>
      </c>
      <c r="VU13" s="5">
        <f>IFERROR(VLOOKUP(VU$1,'CERA Agresivo'!$B$23:$C$40,2,FALSE),0%)</f>
        <v>0</v>
      </c>
      <c r="VV13" s="5">
        <f>IFERROR(VLOOKUP(VV$1,'CERA Agresivo'!$B$23:$C$40,2,FALSE),0%)</f>
        <v>0</v>
      </c>
      <c r="VW13" s="5">
        <f>IFERROR(VLOOKUP(VW$1,'CERA Agresivo'!$B$23:$C$40,2,FALSE),0%)</f>
        <v>0</v>
      </c>
      <c r="VX13" s="5">
        <f>IFERROR(VLOOKUP(VX$1,'CERA Agresivo'!$B$23:$C$40,2,FALSE),0%)</f>
        <v>0</v>
      </c>
      <c r="VY13" s="5">
        <f>IFERROR(VLOOKUP(VY$1,'CERA Agresivo'!$B$23:$C$40,2,FALSE),0%)</f>
        <v>0</v>
      </c>
      <c r="VZ13" s="5">
        <f>IFERROR(VLOOKUP(VZ$1,'CERA Agresivo'!$B$23:$C$40,2,FALSE),0%)</f>
        <v>0</v>
      </c>
      <c r="WA13" s="5">
        <f>IFERROR(VLOOKUP(WA$1,'CERA Agresivo'!$B$23:$C$40,2,FALSE),0%)</f>
        <v>0</v>
      </c>
      <c r="WB13" s="5">
        <f>IFERROR(VLOOKUP(WB$1,'CERA Agresivo'!$B$23:$C$40,2,FALSE),0%)</f>
        <v>0</v>
      </c>
      <c r="WC13" s="5">
        <f>IFERROR(VLOOKUP(WC$1,'CERA Agresivo'!$B$23:$C$40,2,FALSE),0%)</f>
        <v>0</v>
      </c>
      <c r="WD13" s="5">
        <f>IFERROR(VLOOKUP(WD$1,'CERA Agresivo'!$B$23:$C$40,2,FALSE),0%)</f>
        <v>0</v>
      </c>
      <c r="WE13" s="5">
        <f>IFERROR(VLOOKUP(WE$1,'CERA Agresivo'!$B$23:$C$40,2,FALSE),0%)</f>
        <v>0</v>
      </c>
      <c r="WF13" s="5">
        <f>IFERROR(VLOOKUP(WF$1,'CERA Agresivo'!$B$23:$C$40,2,FALSE),0%)</f>
        <v>0</v>
      </c>
      <c r="WG13" s="5">
        <f>IFERROR(VLOOKUP(WG$1,'CERA Agresivo'!$B$23:$C$40,2,FALSE),0%)</f>
        <v>0</v>
      </c>
      <c r="WH13" s="5">
        <f>IFERROR(VLOOKUP(WH$1,'CERA Agresivo'!$B$23:$C$40,2,FALSE),0%)</f>
        <v>0</v>
      </c>
      <c r="WI13" s="5">
        <f>IFERROR(VLOOKUP(WI$1,'CERA Agresivo'!$B$23:$C$40,2,FALSE),0%)</f>
        <v>0</v>
      </c>
      <c r="WJ13" s="5">
        <f>IFERROR(VLOOKUP(WJ$1,'CERA Agresivo'!$B$23:$C$40,2,FALSE),0%)</f>
        <v>0</v>
      </c>
      <c r="WK13" s="5">
        <f>IFERROR(VLOOKUP(WK$1,'CERA Agresivo'!$B$23:$C$40,2,FALSE),0%)</f>
        <v>0</v>
      </c>
      <c r="WL13" s="5">
        <f>IFERROR(VLOOKUP(WL$1,'CERA Agresivo'!$B$23:$C$40,2,FALSE),0%)</f>
        <v>0</v>
      </c>
      <c r="WM13" s="5">
        <f>IFERROR(VLOOKUP(WM$1,'CERA Agresivo'!$B$23:$C$40,2,FALSE),0%)</f>
        <v>0</v>
      </c>
      <c r="WN13" s="5">
        <f>IFERROR(VLOOKUP(WN$1,'CERA Agresivo'!$B$23:$C$40,2,FALSE),0%)</f>
        <v>0</v>
      </c>
      <c r="WO13" s="5">
        <f>IFERROR(VLOOKUP(WO$1,'CERA Agresivo'!$B$23:$C$40,2,FALSE),0%)</f>
        <v>0</v>
      </c>
      <c r="WP13" s="5">
        <f>IFERROR(VLOOKUP(WP$1,'CERA Agresivo'!$B$23:$C$40,2,FALSE),0%)</f>
        <v>0</v>
      </c>
      <c r="WQ13" s="5">
        <f>IFERROR(VLOOKUP(WQ$1,'CERA Agresivo'!$B$23:$C$40,2,FALSE),0%)</f>
        <v>0</v>
      </c>
      <c r="WR13" s="5">
        <f>IFERROR(VLOOKUP(WR$1,'CERA Agresivo'!$B$23:$C$40,2,FALSE),0%)</f>
        <v>0</v>
      </c>
      <c r="WS13" s="5">
        <f>IFERROR(VLOOKUP(WS$1,'CERA Agresivo'!$B$23:$C$40,2,FALSE),0%)</f>
        <v>0</v>
      </c>
      <c r="WT13" s="5">
        <f>IFERROR(VLOOKUP(WT$1,'CERA Agresivo'!$B$23:$C$40,2,FALSE),0%)</f>
        <v>0</v>
      </c>
      <c r="WU13" s="5">
        <f>IFERROR(VLOOKUP(WU$1,'CERA Agresivo'!$B$23:$C$40,2,FALSE),0%)</f>
        <v>0</v>
      </c>
      <c r="WV13" s="5">
        <f>IFERROR(VLOOKUP(WV$1,'CERA Agresivo'!$B$23:$C$40,2,FALSE),0%)</f>
        <v>0</v>
      </c>
      <c r="WW13" s="5">
        <f>IFERROR(VLOOKUP(WW$1,'CERA Agresivo'!$B$23:$C$40,2,FALSE),0%)</f>
        <v>0</v>
      </c>
      <c r="WX13" s="5">
        <f>IFERROR(VLOOKUP(WX$1,'CERA Agresivo'!$B$23:$C$40,2,FALSE),0%)</f>
        <v>0</v>
      </c>
      <c r="WY13" s="5">
        <f>IFERROR(VLOOKUP(WY$1,'CERA Agresivo'!$B$23:$C$40,2,FALSE),0%)</f>
        <v>0</v>
      </c>
      <c r="WZ13" s="5">
        <f>IFERROR(VLOOKUP(WZ$1,'CERA Agresivo'!$B$23:$C$40,2,FALSE),0%)</f>
        <v>0</v>
      </c>
      <c r="XA13" s="5">
        <f>IFERROR(VLOOKUP(XA$1,'CERA Agresivo'!$B$23:$C$40,2,FALSE),0%)</f>
        <v>0</v>
      </c>
      <c r="XB13" s="5">
        <f>IFERROR(VLOOKUP(XB$1,'CERA Agresivo'!$B$23:$C$40,2,FALSE),0%)</f>
        <v>0</v>
      </c>
      <c r="XC13" s="5">
        <f>IFERROR(VLOOKUP(XC$1,'CERA Agresivo'!$B$23:$C$40,2,FALSE),0%)</f>
        <v>0</v>
      </c>
      <c r="XD13" s="5">
        <f>IFERROR(VLOOKUP(XD$1,'CERA Agresivo'!$B$23:$C$40,2,FALSE),0%)</f>
        <v>0</v>
      </c>
      <c r="XE13" s="5">
        <f>IFERROR(VLOOKUP(XE$1,'CERA Agresivo'!$B$23:$C$40,2,FALSE),0%)</f>
        <v>0</v>
      </c>
      <c r="XF13" s="5">
        <f>IFERROR(VLOOKUP(XF$1,'CERA Agresivo'!$B$23:$C$40,2,FALSE),0%)</f>
        <v>0</v>
      </c>
      <c r="XG13" s="5">
        <f>IFERROR(VLOOKUP(XG$1,'CERA Agresivo'!$B$23:$C$40,2,FALSE),0%)</f>
        <v>0</v>
      </c>
      <c r="XH13" s="5">
        <f>IFERROR(VLOOKUP(XH$1,'CERA Agresivo'!$B$23:$C$40,2,FALSE),0%)</f>
        <v>0</v>
      </c>
      <c r="XI13" s="5">
        <f>IFERROR(VLOOKUP(XI$1,'CERA Agresivo'!$B$23:$C$40,2,FALSE),0%)</f>
        <v>0</v>
      </c>
      <c r="XJ13" s="5">
        <f>IFERROR(VLOOKUP(XJ$1,'CERA Agresivo'!$B$23:$C$40,2,FALSE),0%)</f>
        <v>0</v>
      </c>
      <c r="XK13" s="5">
        <f>IFERROR(VLOOKUP(XK$1,'CERA Agresivo'!$B$23:$C$40,2,FALSE),0%)</f>
        <v>0</v>
      </c>
      <c r="XL13" s="5">
        <f>IFERROR(VLOOKUP(XL$1,'CERA Agresivo'!$B$23:$C$40,2,FALSE),0%)</f>
        <v>0</v>
      </c>
      <c r="XM13" s="5">
        <f>IFERROR(VLOOKUP(XM$1,'CERA Agresivo'!$B$23:$C$40,2,FALSE),0%)</f>
        <v>0</v>
      </c>
      <c r="XN13" s="5">
        <f>IFERROR(VLOOKUP(XN$1,'CERA Agresivo'!$B$23:$C$40,2,FALSE),0%)</f>
        <v>0</v>
      </c>
      <c r="XO13" s="5">
        <f>IFERROR(VLOOKUP(XO$1,'CERA Agresivo'!$B$23:$C$40,2,FALSE),0%)</f>
        <v>0</v>
      </c>
      <c r="XP13" s="5">
        <f>IFERROR(VLOOKUP(XP$1,'CERA Agresivo'!$B$23:$C$40,2,FALSE),0%)</f>
        <v>0</v>
      </c>
      <c r="XQ13" s="5">
        <f>IFERROR(VLOOKUP(XQ$1,'CERA Agresivo'!$B$23:$C$40,2,FALSE),0%)</f>
        <v>0</v>
      </c>
      <c r="XR13" s="5">
        <f>IFERROR(VLOOKUP(XR$1,'CERA Agresivo'!$B$23:$C$40,2,FALSE),0%)</f>
        <v>0.07830416188</v>
      </c>
      <c r="XS13" s="5">
        <f>IFERROR(VLOOKUP(XS$1,'CERA Agresivo'!$B$23:$C$40,2,FALSE),0%)</f>
        <v>0</v>
      </c>
      <c r="XT13" s="5">
        <f>IFERROR(VLOOKUP(XT$1,'CERA Agresivo'!$B$23:$C$40,2,FALSE),0%)</f>
        <v>0</v>
      </c>
      <c r="XU13" s="5">
        <f>IFERROR(VLOOKUP(XU$1,'CERA Agresivo'!$B$23:$C$40,2,FALSE),0%)</f>
        <v>0</v>
      </c>
      <c r="XV13" s="5">
        <f>IFERROR(VLOOKUP(XV$1,'CERA Agresivo'!$B$23:$C$40,2,FALSE),0%)</f>
        <v>0</v>
      </c>
      <c r="XW13" s="5">
        <f>IFERROR(VLOOKUP(XW$1,'CERA Agresivo'!$B$23:$C$40,2,FALSE),0%)</f>
        <v>0</v>
      </c>
      <c r="XX13" s="5">
        <f>IFERROR(VLOOKUP(XX$1,'CERA Agresivo'!$B$23:$C$40,2,FALSE),0%)</f>
        <v>0</v>
      </c>
      <c r="XY13" s="5">
        <f>IFERROR(VLOOKUP(XY$1,'CERA Agresivo'!$B$23:$C$40,2,FALSE),0%)</f>
        <v>0</v>
      </c>
      <c r="XZ13" s="5">
        <f>IFERROR(VLOOKUP(XZ$1,'CERA Agresivo'!$B$23:$C$40,2,FALSE),0%)</f>
        <v>0</v>
      </c>
      <c r="YA13" s="5">
        <f>IFERROR(VLOOKUP(YA$1,'CERA Agresivo'!$B$23:$C$40,2,FALSE),0%)</f>
        <v>0</v>
      </c>
      <c r="YB13" s="5">
        <f>IFERROR(VLOOKUP(YB$1,'CERA Agresivo'!$B$23:$C$40,2,FALSE),0%)</f>
        <v>0</v>
      </c>
      <c r="YC13" s="5">
        <f>IFERROR(VLOOKUP(YC$1,'CERA Agresivo'!$B$23:$C$40,2,FALSE),0%)</f>
        <v>0</v>
      </c>
      <c r="YD13" s="5">
        <f>IFERROR(VLOOKUP(YD$1,'CERA Agresivo'!$B$23:$C$40,2,FALSE),0%)</f>
        <v>0</v>
      </c>
      <c r="YE13" s="5">
        <f>IFERROR(VLOOKUP(YE$1,'CERA Agresivo'!$B$23:$C$40,2,FALSE),0%)</f>
        <v>0</v>
      </c>
      <c r="YF13" s="5">
        <f>IFERROR(VLOOKUP(YF$1,'CERA Agresivo'!$B$23:$C$40,2,FALSE),0%)</f>
        <v>0</v>
      </c>
      <c r="YG13" s="5">
        <f>IFERROR(VLOOKUP(YG$1,'CERA Agresivo'!$B$23:$C$40,2,FALSE),0%)</f>
        <v>0</v>
      </c>
      <c r="YH13" s="5">
        <f>IFERROR(VLOOKUP(YH$1,'CERA Agresivo'!$B$23:$C$40,2,FALSE),0%)</f>
        <v>0</v>
      </c>
      <c r="YI13" s="5">
        <f>IFERROR(VLOOKUP(YI$1,'CERA Agresivo'!$B$23:$C$40,2,FALSE),0%)</f>
        <v>0</v>
      </c>
      <c r="YJ13" s="5">
        <f>IFERROR(VLOOKUP(YJ$1,'CERA Agresivo'!$B$23:$C$40,2,FALSE),0%)</f>
        <v>0</v>
      </c>
      <c r="YK13" s="5">
        <f>IFERROR(VLOOKUP(YK$1,'CERA Agresivo'!$B$23:$C$40,2,FALSE),0%)</f>
        <v>0</v>
      </c>
      <c r="YL13" s="5">
        <f>IFERROR(VLOOKUP(YL$1,'CERA Agresivo'!$B$23:$C$40,2,FALSE),0%)</f>
        <v>0</v>
      </c>
      <c r="YM13" s="5">
        <f>IFERROR(VLOOKUP(YM$1,'CERA Agresivo'!$B$23:$C$40,2,FALSE),0%)</f>
        <v>0</v>
      </c>
      <c r="YN13" s="5">
        <f>IFERROR(VLOOKUP(YN$1,'CERA Agresivo'!$B$23:$C$40,2,FALSE),0%)</f>
        <v>0</v>
      </c>
      <c r="YO13" s="5">
        <f>IFERROR(VLOOKUP(YO$1,'CERA Agresivo'!$B$23:$C$40,2,FALSE),0%)</f>
        <v>0</v>
      </c>
      <c r="YP13" s="5">
        <f>IFERROR(VLOOKUP(YP$1,'CERA Agresivo'!$B$23:$C$40,2,FALSE),0%)</f>
        <v>0</v>
      </c>
      <c r="YQ13" s="5">
        <f>IFERROR(VLOOKUP(YQ$1,'CERA Agresivo'!$B$23:$C$40,2,FALSE),0%)</f>
        <v>0</v>
      </c>
      <c r="YR13" s="5">
        <f>IFERROR(VLOOKUP(YR$1,'CERA Agresivo'!$B$23:$C$40,2,FALSE),0%)</f>
        <v>0</v>
      </c>
      <c r="YS13" s="5">
        <f>IFERROR(VLOOKUP(YS$1,'CERA Agresivo'!$B$23:$C$40,2,FALSE),0%)</f>
        <v>0</v>
      </c>
      <c r="YT13" s="5">
        <f>IFERROR(VLOOKUP(YT$1,'CERA Agresivo'!$B$23:$C$40,2,FALSE),0%)</f>
        <v>0</v>
      </c>
      <c r="YU13" s="5">
        <f>IFERROR(VLOOKUP(YU$1,'CERA Agresivo'!$B$23:$C$40,2,FALSE),0%)</f>
        <v>0</v>
      </c>
      <c r="YV13" s="5">
        <f>IFERROR(VLOOKUP(YV$1,'CERA Agresivo'!$B$23:$C$40,2,FALSE),0%)</f>
        <v>0</v>
      </c>
      <c r="YW13" s="5">
        <f>IFERROR(VLOOKUP(YW$1,'CERA Agresivo'!$B$23:$C$40,2,FALSE),0%)</f>
        <v>0</v>
      </c>
      <c r="YX13" s="5">
        <f>IFERROR(VLOOKUP(YX$1,'CERA Agresivo'!$B$23:$C$40,2,FALSE),0%)</f>
        <v>0</v>
      </c>
      <c r="YY13" s="5">
        <f>IFERROR(VLOOKUP(YY$1,'CERA Agresivo'!$B$23:$C$40,2,FALSE),0%)</f>
        <v>0</v>
      </c>
      <c r="YZ13" s="5">
        <f>IFERROR(VLOOKUP(YZ$1,'CERA Agresivo'!$B$23:$C$40,2,FALSE),0%)</f>
        <v>0</v>
      </c>
      <c r="ZA13" s="5">
        <f>IFERROR(VLOOKUP(ZA$1,'CERA Agresivo'!$B$23:$C$40,2,FALSE),0%)</f>
        <v>0</v>
      </c>
      <c r="ZB13" s="5">
        <f>IFERROR(VLOOKUP(ZB$1,'CERA Agresivo'!$B$23:$C$40,2,FALSE),0%)</f>
        <v>0</v>
      </c>
      <c r="ZC13" s="5">
        <f>IFERROR(VLOOKUP(ZC$1,'CERA Agresivo'!$B$23:$C$40,2,FALSE),0%)</f>
        <v>0</v>
      </c>
      <c r="ZD13" s="5">
        <f>IFERROR(VLOOKUP(ZD$1,'CERA Agresivo'!$B$23:$C$40,2,FALSE),0%)</f>
        <v>0</v>
      </c>
      <c r="ZE13" s="5">
        <f>IFERROR(VLOOKUP(ZE$1,'CERA Agresivo'!$B$23:$C$40,2,FALSE),0%)</f>
        <v>0</v>
      </c>
      <c r="ZF13" s="5">
        <f>IFERROR(VLOOKUP(ZF$1,'CERA Agresivo'!$B$23:$C$40,2,FALSE),0%)</f>
        <v>0</v>
      </c>
      <c r="ZG13" s="5">
        <f>IFERROR(VLOOKUP(ZG$1,'CERA Agresivo'!$B$23:$C$40,2,FALSE),0%)</f>
        <v>0</v>
      </c>
      <c r="ZH13" s="5">
        <f>IFERROR(VLOOKUP(ZH$1,'CERA Agresivo'!$B$23:$C$40,2,FALSE),0%)</f>
        <v>0</v>
      </c>
      <c r="ZI13" s="5">
        <f>IFERROR(VLOOKUP(ZI$1,'CERA Agresivo'!$B$23:$C$40,2,FALSE),0%)</f>
        <v>0</v>
      </c>
      <c r="ZJ13" s="5">
        <f>IFERROR(VLOOKUP(ZJ$1,'CERA Agresivo'!$B$23:$C$40,2,FALSE),0%)</f>
        <v>0</v>
      </c>
      <c r="ZK13" s="5">
        <f>IFERROR(VLOOKUP(ZK$1,'CERA Agresivo'!$B$23:$C$40,2,FALSE),0%)</f>
        <v>0</v>
      </c>
      <c r="ZL13" s="5">
        <f>IFERROR(VLOOKUP(ZL$1,'CERA Agresivo'!$B$23:$C$40,2,FALSE),0%)</f>
        <v>0</v>
      </c>
      <c r="ZM13" s="5">
        <f>IFERROR(VLOOKUP(ZM$1,'CERA Agresivo'!$B$23:$C$40,2,FALSE),0%)</f>
        <v>0</v>
      </c>
      <c r="ZN13" s="5">
        <f>IFERROR(VLOOKUP(ZN$1,'CERA Agresivo'!$B$23:$C$40,2,FALSE),0%)</f>
        <v>0</v>
      </c>
      <c r="ZO13" s="5">
        <f>IFERROR(VLOOKUP(ZO$1,'CERA Agresivo'!$B$23:$C$40,2,FALSE),0%)</f>
        <v>0</v>
      </c>
      <c r="ZP13" s="5">
        <f>IFERROR(VLOOKUP(ZP$1,'CERA Agresivo'!$B$23:$C$40,2,FALSE),0%)</f>
        <v>0</v>
      </c>
      <c r="ZQ13" s="5">
        <f>IFERROR(VLOOKUP(ZQ$1,'CERA Agresivo'!$B$23:$C$40,2,FALSE),0%)</f>
        <v>0</v>
      </c>
      <c r="ZR13" s="5">
        <f>IFERROR(VLOOKUP(ZR$1,'CERA Agresivo'!$B$23:$C$40,2,FALSE),0%)</f>
        <v>0</v>
      </c>
      <c r="ZS13" s="5">
        <f>IFERROR(VLOOKUP(ZS$1,'CERA Agresivo'!$B$23:$C$40,2,FALSE),0%)</f>
        <v>0</v>
      </c>
      <c r="ZT13" s="5">
        <f>IFERROR(VLOOKUP(ZT$1,'CERA Agresivo'!$B$23:$C$40,2,FALSE),0%)</f>
        <v>0</v>
      </c>
      <c r="ZU13" s="5">
        <f>IFERROR(VLOOKUP(ZU$1,'CERA Agresivo'!$B$23:$C$40,2,FALSE),0%)</f>
        <v>0</v>
      </c>
      <c r="ZV13" s="5">
        <f>IFERROR(VLOOKUP(ZV$1,'CERA Agresivo'!$B$23:$C$40,2,FALSE),0%)</f>
        <v>0</v>
      </c>
      <c r="ZW13" s="5">
        <f>IFERROR(VLOOKUP(ZW$1,'CERA Agresivo'!$B$23:$C$40,2,FALSE),0%)</f>
        <v>0</v>
      </c>
      <c r="ZX13" s="5">
        <f>IFERROR(VLOOKUP(ZX$1,'CERA Agresivo'!$B$23:$C$40,2,FALSE),0%)</f>
        <v>0</v>
      </c>
      <c r="ZY13" s="5">
        <f>IFERROR(VLOOKUP(ZY$1,'CERA Agresivo'!$B$23:$C$40,2,FALSE),0%)</f>
        <v>0</v>
      </c>
      <c r="ZZ13" s="5">
        <f>IFERROR(VLOOKUP(ZZ$1,'CERA Agresivo'!$B$23:$C$40,2,FALSE),0%)</f>
        <v>0</v>
      </c>
      <c r="AAA13" s="5">
        <f>IFERROR(VLOOKUP(AAA$1,'CERA Agresivo'!$B$23:$C$40,2,FALSE),0%)</f>
        <v>0</v>
      </c>
      <c r="AAB13" s="5">
        <f>IFERROR(VLOOKUP(AAB$1,'CERA Agresivo'!$B$23:$C$40,2,FALSE),0%)</f>
        <v>0</v>
      </c>
      <c r="AAC13" s="5">
        <f>IFERROR(VLOOKUP(AAC$1,'CERA Agresivo'!$B$23:$C$40,2,FALSE),0%)</f>
        <v>0</v>
      </c>
      <c r="AAD13" s="5">
        <f>IFERROR(VLOOKUP(AAD$1,'CERA Agresivo'!$B$23:$C$40,2,FALSE),0%)</f>
        <v>0</v>
      </c>
      <c r="AAE13" s="5">
        <f>IFERROR(VLOOKUP(AAE$1,'CERA Agresivo'!$B$23:$C$40,2,FALSE),0%)</f>
        <v>0</v>
      </c>
      <c r="AAF13" s="5">
        <f>IFERROR(VLOOKUP(AAF$1,'CERA Agresivo'!$B$23:$C$40,2,FALSE),0%)</f>
        <v>0</v>
      </c>
      <c r="AAG13" s="5">
        <f>IFERROR(VLOOKUP(AAG$1,'CERA Agresivo'!$B$23:$C$40,2,FALSE),0%)</f>
        <v>0</v>
      </c>
      <c r="AAH13" s="5">
        <f>IFERROR(VLOOKUP(AAH$1,'CERA Agresivo'!$B$23:$C$40,2,FALSE),0%)</f>
        <v>0</v>
      </c>
      <c r="AAI13" s="5">
        <f>IFERROR(VLOOKUP(AAI$1,'CERA Agresivo'!$B$23:$C$40,2,FALSE),0%)</f>
        <v>0</v>
      </c>
      <c r="AAJ13" s="5">
        <f>IFERROR(VLOOKUP(AAJ$1,'CERA Agresivo'!$B$23:$C$40,2,FALSE),0%)</f>
        <v>0</v>
      </c>
      <c r="AAK13" s="5">
        <f>IFERROR(VLOOKUP(AAK$1,'CERA Agresivo'!$B$23:$C$40,2,FALSE),0%)</f>
        <v>0</v>
      </c>
      <c r="AAL13" s="5">
        <f>IFERROR(VLOOKUP(AAL$1,'CERA Agresivo'!$B$23:$C$40,2,FALSE),0%)</f>
        <v>0</v>
      </c>
      <c r="AAM13" s="5">
        <f>IFERROR(VLOOKUP(AAM$1,'CERA Agresivo'!$B$23:$C$40,2,FALSE),0%)</f>
        <v>0</v>
      </c>
      <c r="AAN13" s="5">
        <f>IFERROR(VLOOKUP(AAN$1,'CERA Agresivo'!$B$23:$C$40,2,FALSE),0%)</f>
        <v>0</v>
      </c>
      <c r="AAO13" s="5">
        <f>IFERROR(VLOOKUP(AAO$1,'CERA Agresivo'!$B$23:$C$40,2,FALSE),0%)</f>
        <v>0</v>
      </c>
      <c r="AAP13" s="5">
        <f>IFERROR(VLOOKUP(AAP$1,'CERA Agresivo'!$B$23:$C$40,2,FALSE),0%)</f>
        <v>0</v>
      </c>
      <c r="AAQ13" s="5">
        <f>IFERROR(VLOOKUP(AAQ$1,'CERA Agresivo'!$B$23:$C$40,2,FALSE),0%)</f>
        <v>0</v>
      </c>
      <c r="AAR13" s="5">
        <f>IFERROR(VLOOKUP(AAR$1,'CERA Agresivo'!$B$23:$C$40,2,FALSE),0%)</f>
        <v>0</v>
      </c>
      <c r="AAS13" s="5">
        <f>IFERROR(VLOOKUP(AAS$1,'CERA Agresivo'!$B$23:$C$40,2,FALSE),0%)</f>
        <v>0</v>
      </c>
      <c r="AAT13" s="5">
        <f>IFERROR(VLOOKUP(AAT$1,'CERA Agresivo'!$B$23:$C$40,2,FALSE),0%)</f>
        <v>0</v>
      </c>
      <c r="AAU13" s="5">
        <f>IFERROR(VLOOKUP(AAU$1,'CERA Agresivo'!$B$23:$C$40,2,FALSE),0%)</f>
        <v>0</v>
      </c>
      <c r="AAV13" s="5">
        <f>IFERROR(VLOOKUP(AAV$1,'CERA Agresivo'!$B$23:$C$40,2,FALSE),0%)</f>
        <v>0</v>
      </c>
      <c r="AAW13" s="5">
        <f>IFERROR(VLOOKUP(AAW$1,'CERA Agresivo'!$B$23:$C$40,2,FALSE),0%)</f>
        <v>0</v>
      </c>
      <c r="AAX13" s="5">
        <f>IFERROR(VLOOKUP(AAX$1,'CERA Agresivo'!$B$23:$C$40,2,FALSE),0%)</f>
        <v>0</v>
      </c>
      <c r="AAY13" s="5">
        <f>IFERROR(VLOOKUP(AAY$1,'CERA Agresivo'!$B$23:$C$40,2,FALSE),0%)</f>
        <v>0</v>
      </c>
      <c r="AAZ13" s="5">
        <f>IFERROR(VLOOKUP(AAZ$1,'CERA Agresivo'!$B$23:$C$40,2,FALSE),0%)</f>
        <v>0</v>
      </c>
      <c r="ABA13" s="5">
        <f>IFERROR(VLOOKUP(ABA$1,'CERA Agresivo'!$B$23:$C$40,2,FALSE),0%)</f>
        <v>0</v>
      </c>
      <c r="ABB13" s="5">
        <f>IFERROR(VLOOKUP(ABB$1,'CERA Agresivo'!$B$23:$C$40,2,FALSE),0%)</f>
        <v>0</v>
      </c>
      <c r="ABC13" s="5">
        <f>IFERROR(VLOOKUP(ABC$1,'CERA Agresivo'!$B$23:$C$40,2,FALSE),0%)</f>
        <v>0</v>
      </c>
      <c r="ABD13" s="5">
        <f>IFERROR(VLOOKUP(ABD$1,'CERA Agresivo'!$B$23:$C$40,2,FALSE),0%)</f>
        <v>0</v>
      </c>
      <c r="ABE13" s="5">
        <f>IFERROR(VLOOKUP(ABE$1,'CERA Agresivo'!$B$23:$C$40,2,FALSE),0%)</f>
        <v>0</v>
      </c>
      <c r="ABF13" s="5">
        <f>IFERROR(VLOOKUP(ABF$1,'CERA Agresivo'!$B$23:$C$40,2,FALSE),0%)</f>
        <v>0</v>
      </c>
      <c r="ABG13" s="5">
        <f>IFERROR(VLOOKUP(ABG$1,'CERA Agresivo'!$B$23:$C$40,2,FALSE),0%)</f>
        <v>0</v>
      </c>
      <c r="ABH13" s="5">
        <f>IFERROR(VLOOKUP(ABH$1,'CERA Agresivo'!$B$23:$C$40,2,FALSE),0%)</f>
        <v>0</v>
      </c>
      <c r="ABI13" s="5">
        <f>IFERROR(VLOOKUP(ABI$1,'CERA Agresivo'!$B$23:$C$40,2,FALSE),0%)</f>
        <v>0</v>
      </c>
      <c r="ABJ13" s="5">
        <f>IFERROR(VLOOKUP(ABJ$1,'CERA Agresivo'!$B$23:$C$40,2,FALSE),0%)</f>
        <v>0</v>
      </c>
      <c r="ABK13" s="5">
        <f>IFERROR(VLOOKUP(ABK$1,'CERA Agresivo'!$B$23:$C$40,2,FALSE),0%)</f>
        <v>0</v>
      </c>
      <c r="ABL13" s="5">
        <f>IFERROR(VLOOKUP(ABL$1,'CERA Agresivo'!$B$23:$C$40,2,FALSE),0%)</f>
        <v>0</v>
      </c>
      <c r="ABM13" s="5">
        <f>IFERROR(VLOOKUP(ABM$1,'CERA Agresivo'!$B$23:$C$40,2,FALSE),0%)</f>
        <v>0</v>
      </c>
      <c r="ABN13" s="5">
        <f>IFERROR(VLOOKUP(ABN$1,'CERA Agresivo'!$B$23:$C$40,2,FALSE),0%)</f>
        <v>0</v>
      </c>
      <c r="ABO13" s="5">
        <f>IFERROR(VLOOKUP(ABO$1,'CERA Agresivo'!$B$23:$C$40,2,FALSE),0%)</f>
        <v>0</v>
      </c>
      <c r="ABP13" s="5">
        <f>IFERROR(VLOOKUP(ABP$1,'CERA Agresivo'!$B$23:$C$40,2,FALSE),0%)</f>
        <v>0</v>
      </c>
      <c r="ABQ13" s="5">
        <f>IFERROR(VLOOKUP(ABQ$1,'CERA Agresivo'!$B$23:$C$40,2,FALSE),0%)</f>
        <v>0</v>
      </c>
      <c r="ABR13" s="5">
        <f>IFERROR(VLOOKUP(ABR$1,'CERA Agresivo'!$B$23:$C$40,2,FALSE),0%)</f>
        <v>0</v>
      </c>
      <c r="ABS13" s="5">
        <f>IFERROR(VLOOKUP(ABS$1,'CERA Agresivo'!$B$23:$C$40,2,FALSE),0%)</f>
        <v>0</v>
      </c>
      <c r="ABT13" s="5">
        <f>IFERROR(VLOOKUP(ABT$1,'CERA Agresivo'!$B$23:$C$40,2,FALSE),0%)</f>
        <v>0</v>
      </c>
      <c r="ABU13" s="5">
        <f>IFERROR(VLOOKUP(ABU$1,'CERA Agresivo'!$B$23:$C$40,2,FALSE),0%)</f>
        <v>0</v>
      </c>
      <c r="ABV13" s="5">
        <f>IFERROR(VLOOKUP(ABV$1,'CERA Agresivo'!$B$23:$C$40,2,FALSE),0%)</f>
        <v>0</v>
      </c>
      <c r="ABW13" s="5">
        <f>IFERROR(VLOOKUP(ABW$1,'CERA Agresivo'!$B$23:$C$40,2,FALSE),0%)</f>
        <v>0</v>
      </c>
      <c r="ABX13" s="5">
        <f>IFERROR(VLOOKUP(ABX$1,'CERA Agresivo'!$B$23:$C$40,2,FALSE),0%)</f>
        <v>0</v>
      </c>
      <c r="ABY13" s="5">
        <f>IFERROR(VLOOKUP(ABY$1,'CERA Agresivo'!$B$23:$C$40,2,FALSE),0%)</f>
        <v>0</v>
      </c>
      <c r="ABZ13" s="5">
        <f>IFERROR(VLOOKUP(ABZ$1,'CERA Agresivo'!$B$23:$C$40,2,FALSE),0%)</f>
        <v>0</v>
      </c>
      <c r="ACA13" s="5">
        <f>IFERROR(VLOOKUP(ACA$1,'CERA Agresivo'!$B$23:$C$40,2,FALSE),0%)</f>
        <v>0</v>
      </c>
      <c r="ACB13" s="5">
        <f>IFERROR(VLOOKUP(ACB$1,'CERA Agresivo'!$B$23:$C$40,2,FALSE),0%)</f>
        <v>0</v>
      </c>
      <c r="ACC13" s="5">
        <f>IFERROR(VLOOKUP(ACC$1,'CERA Agresivo'!$B$23:$C$40,2,FALSE),0%)</f>
        <v>0</v>
      </c>
      <c r="ACD13" s="5">
        <f>IFERROR(VLOOKUP(ACD$1,'CERA Agresivo'!$B$23:$C$40,2,FALSE),0%)</f>
        <v>0</v>
      </c>
      <c r="ACE13" s="5">
        <f>IFERROR(VLOOKUP(ACE$1,'CERA Agresivo'!$B$23:$C$40,2,FALSE),0%)</f>
        <v>0</v>
      </c>
      <c r="ACF13" s="5">
        <f>IFERROR(VLOOKUP(ACF$1,'CERA Agresivo'!$B$23:$C$40,2,FALSE),0%)</f>
        <v>0</v>
      </c>
      <c r="ACG13" s="5">
        <f>IFERROR(VLOOKUP(ACG$1,'CERA Agresivo'!$B$23:$C$40,2,FALSE),0%)</f>
        <v>0</v>
      </c>
      <c r="ACH13" s="5">
        <f>IFERROR(VLOOKUP(ACH$1,'CERA Agresivo'!$B$23:$C$40,2,FALSE),0%)</f>
        <v>0</v>
      </c>
      <c r="ACI13" s="5">
        <f>IFERROR(VLOOKUP(ACI$1,'CERA Agresivo'!$B$23:$C$40,2,FALSE),0%)</f>
        <v>0</v>
      </c>
      <c r="ACJ13" s="5">
        <f>IFERROR(VLOOKUP(ACJ$1,'CERA Agresivo'!$B$23:$C$40,2,FALSE),0%)</f>
        <v>0</v>
      </c>
      <c r="ACK13" s="5">
        <f>IFERROR(VLOOKUP(ACK$1,'CERA Agresivo'!$B$23:$C$40,2,FALSE),0%)</f>
        <v>0</v>
      </c>
      <c r="ACL13" s="5">
        <f>IFERROR(VLOOKUP(ACL$1,'CERA Agresivo'!$B$23:$C$40,2,FALSE),0%)</f>
        <v>0</v>
      </c>
      <c r="ACM13" s="5">
        <f>IFERROR(VLOOKUP(ACM$1,'CERA Agresivo'!$B$23:$C$40,2,FALSE),0%)</f>
        <v>0</v>
      </c>
      <c r="ACN13" s="5">
        <f>IFERROR(VLOOKUP(ACN$1,'CERA Agresivo'!$B$23:$C$40,2,FALSE),0%)</f>
        <v>0</v>
      </c>
      <c r="ACO13" s="5">
        <f>IFERROR(VLOOKUP(ACO$1,'CERA Agresivo'!$B$23:$C$40,2,FALSE),0%)</f>
        <v>0</v>
      </c>
      <c r="ACP13" s="5">
        <f>IFERROR(VLOOKUP(ACP$1,'CERA Agresivo'!$B$23:$C$40,2,FALSE),0%)</f>
        <v>0</v>
      </c>
      <c r="ACQ13" s="5">
        <f>IFERROR(VLOOKUP(ACQ$1,'CERA Agresivo'!$B$23:$C$40,2,FALSE),0%)</f>
        <v>0</v>
      </c>
      <c r="ACR13" s="5">
        <f>IFERROR(VLOOKUP(ACR$1,'CERA Agresivo'!$B$23:$C$40,2,FALSE),0%)</f>
        <v>0</v>
      </c>
      <c r="ACS13" s="5">
        <f>IFERROR(VLOOKUP(ACS$1,'CERA Agresivo'!$B$23:$C$40,2,FALSE),0%)</f>
        <v>0</v>
      </c>
      <c r="ACT13" s="5">
        <f>IFERROR(VLOOKUP(ACT$1,'CERA Agresivo'!$B$23:$C$40,2,FALSE),0%)</f>
        <v>0</v>
      </c>
      <c r="ACU13" s="5">
        <f>IFERROR(VLOOKUP(ACU$1,'CERA Agresivo'!$B$23:$C$40,2,FALSE),0%)</f>
        <v>0</v>
      </c>
      <c r="ACV13" s="5">
        <f>IFERROR(VLOOKUP(ACV$1,'CERA Agresivo'!$B$23:$C$40,2,FALSE),0%)</f>
        <v>0</v>
      </c>
      <c r="ACW13" s="5">
        <f>IFERROR(VLOOKUP(ACW$1,'CERA Agresivo'!$B$23:$C$40,2,FALSE),0%)</f>
        <v>0</v>
      </c>
      <c r="ACX13" s="5">
        <f>IFERROR(VLOOKUP(ACX$1,'CERA Agresivo'!$B$23:$C$40,2,FALSE),0%)</f>
        <v>0</v>
      </c>
      <c r="ACY13" s="5">
        <f>IFERROR(VLOOKUP(ACY$1,'CERA Agresivo'!$B$23:$C$40,2,FALSE),0%)</f>
        <v>0</v>
      </c>
      <c r="ACZ13" s="5">
        <f>IFERROR(VLOOKUP(ACZ$1,'CERA Agresivo'!$B$23:$C$40,2,FALSE),0%)</f>
        <v>0</v>
      </c>
      <c r="ADA13" s="5">
        <f>IFERROR(VLOOKUP(ADA$1,'CERA Agresivo'!$B$23:$C$40,2,FALSE),0%)</f>
        <v>0</v>
      </c>
      <c r="ADB13" s="5">
        <f>IFERROR(VLOOKUP(ADB$1,'CERA Agresivo'!$B$23:$C$40,2,FALSE),0%)</f>
        <v>0</v>
      </c>
      <c r="ADC13" s="5">
        <f>IFERROR(VLOOKUP(ADC$1,'CERA Agresivo'!$B$23:$C$40,2,FALSE),0%)</f>
        <v>0</v>
      </c>
      <c r="ADD13" s="5">
        <f>IFERROR(VLOOKUP(ADD$1,'CERA Agresivo'!$B$23:$C$40,2,FALSE),0%)</f>
        <v>0</v>
      </c>
      <c r="ADE13" s="5">
        <f>IFERROR(VLOOKUP(ADE$1,'CERA Agresivo'!$B$23:$C$40,2,FALSE),0%)</f>
        <v>0</v>
      </c>
      <c r="ADF13" s="5">
        <f>IFERROR(VLOOKUP(ADF$1,'CERA Agresivo'!$B$23:$C$40,2,FALSE),0%)</f>
        <v>0</v>
      </c>
      <c r="ADG13" s="5">
        <f>IFERROR(VLOOKUP(ADG$1,'CERA Agresivo'!$B$23:$C$40,2,FALSE),0%)</f>
        <v>0</v>
      </c>
      <c r="ADH13" s="5">
        <f>IFERROR(VLOOKUP(ADH$1,'CERA Agresivo'!$B$23:$C$40,2,FALSE),0%)</f>
        <v>0</v>
      </c>
      <c r="ADI13" s="5">
        <f>IFERROR(VLOOKUP(ADI$1,'CERA Agresivo'!$B$23:$C$40,2,FALSE),0%)</f>
        <v>0</v>
      </c>
      <c r="ADJ13" s="5">
        <f>IFERROR(VLOOKUP(ADJ$1,'CERA Agresivo'!$B$23:$C$40,2,FALSE),0%)</f>
        <v>0</v>
      </c>
      <c r="ADK13" s="5">
        <f>IFERROR(VLOOKUP(ADK$1,'CERA Agresivo'!$B$23:$C$40,2,FALSE),0%)</f>
        <v>0</v>
      </c>
      <c r="ADL13" s="5">
        <f>IFERROR(VLOOKUP(ADL$1,'CERA Agresivo'!$B$23:$C$40,2,FALSE),0%)</f>
        <v>0</v>
      </c>
      <c r="ADM13" s="5">
        <f>IFERROR(VLOOKUP(ADM$1,'CERA Agresivo'!$B$23:$C$40,2,FALSE),0%)</f>
        <v>0</v>
      </c>
      <c r="ADN13" s="5">
        <f>IFERROR(VLOOKUP(ADN$1,'CERA Agresivo'!$B$23:$C$40,2,FALSE),0%)</f>
        <v>0</v>
      </c>
      <c r="ADO13" s="5">
        <f>IFERROR(VLOOKUP(ADO$1,'CERA Agresivo'!$B$23:$C$40,2,FALSE),0%)</f>
        <v>0</v>
      </c>
      <c r="ADP13" s="5">
        <f>IFERROR(VLOOKUP(ADP$1,'CERA Agresivo'!$B$23:$C$40,2,FALSE),0%)</f>
        <v>0</v>
      </c>
      <c r="ADQ13" s="5">
        <f>IFERROR(VLOOKUP(ADQ$1,'CERA Agresivo'!$B$23:$C$40,2,FALSE),0%)</f>
        <v>0</v>
      </c>
      <c r="ADR13" s="5">
        <f>IFERROR(VLOOKUP(ADR$1,'CERA Agresivo'!$B$23:$C$40,2,FALSE),0%)</f>
        <v>0</v>
      </c>
      <c r="ADS13" s="5">
        <f>IFERROR(VLOOKUP(ADS$1,'CERA Agresivo'!$B$23:$C$40,2,FALSE),0%)</f>
        <v>0</v>
      </c>
      <c r="ADT13" s="5">
        <f>IFERROR(VLOOKUP(ADT$1,'CERA Agresivo'!$B$23:$C$40,2,FALSE),0%)</f>
        <v>0</v>
      </c>
      <c r="ADU13" s="5">
        <f>IFERROR(VLOOKUP(ADU$1,'CERA Agresivo'!$B$23:$C$40,2,FALSE),0%)</f>
        <v>0</v>
      </c>
      <c r="ADV13" s="5">
        <f>IFERROR(VLOOKUP(ADV$1,'CERA Agresivo'!$B$23:$C$40,2,FALSE),0%)</f>
        <v>0</v>
      </c>
      <c r="ADW13" s="5">
        <f>IFERROR(VLOOKUP(ADW$1,'CERA Agresivo'!$B$23:$C$40,2,FALSE),0%)</f>
        <v>0</v>
      </c>
      <c r="ADX13" s="5">
        <f>IFERROR(VLOOKUP(ADX$1,'CERA Agresivo'!$B$23:$C$40,2,FALSE),0%)</f>
        <v>0</v>
      </c>
      <c r="ADY13" s="5">
        <f>IFERROR(VLOOKUP(ADY$1,'CERA Agresivo'!$B$23:$C$40,2,FALSE),0%)</f>
        <v>0</v>
      </c>
      <c r="ADZ13" s="5">
        <f>IFERROR(VLOOKUP(ADZ$1,'CERA Agresivo'!$B$23:$C$40,2,FALSE),0%)</f>
        <v>0</v>
      </c>
      <c r="AEA13" s="5">
        <f>IFERROR(VLOOKUP(AEA$1,'CERA Agresivo'!$B$23:$C$40,2,FALSE),0%)</f>
        <v>0</v>
      </c>
      <c r="AEB13" s="5">
        <f>IFERROR(VLOOKUP(AEB$1,'CERA Agresivo'!$B$23:$C$40,2,FALSE),0%)</f>
        <v>0</v>
      </c>
      <c r="AEC13" s="5">
        <f>IFERROR(VLOOKUP(AEC$1,'CERA Agresivo'!$B$23:$C$40,2,FALSE),0%)</f>
        <v>0</v>
      </c>
      <c r="AED13" s="5">
        <f>IFERROR(VLOOKUP(AED$1,'CERA Agresivo'!$B$23:$C$40,2,FALSE),0%)</f>
        <v>0</v>
      </c>
      <c r="AEE13" s="5">
        <f>IFERROR(VLOOKUP(AEE$1,'CERA Agresivo'!$B$23:$C$40,2,FALSE),0%)</f>
        <v>0</v>
      </c>
      <c r="AEF13" s="5">
        <f>IFERROR(VLOOKUP(AEF$1,'CERA Agresivo'!$B$23:$C$40,2,FALSE),0%)</f>
        <v>0</v>
      </c>
      <c r="AEG13" s="5">
        <f>IFERROR(VLOOKUP(AEG$1,'CERA Agresivo'!$B$23:$C$40,2,FALSE),0%)</f>
        <v>0</v>
      </c>
      <c r="AEH13" s="5">
        <f>IFERROR(VLOOKUP(AEH$1,'CERA Agresivo'!$B$23:$C$40,2,FALSE),0%)</f>
        <v>0</v>
      </c>
      <c r="AEI13" s="5">
        <f>IFERROR(VLOOKUP(AEI$1,'CERA Agresivo'!$B$23:$C$40,2,FALSE),0%)</f>
        <v>0</v>
      </c>
      <c r="AEJ13" s="5">
        <f>IFERROR(VLOOKUP(AEJ$1,'CERA Agresivo'!$B$23:$C$40,2,FALSE),0%)</f>
        <v>0</v>
      </c>
      <c r="AEK13" s="5">
        <f>IFERROR(VLOOKUP(AEK$1,'CERA Agresivo'!$B$23:$C$40,2,FALSE),0%)</f>
        <v>0</v>
      </c>
      <c r="AEL13" s="5">
        <f>IFERROR(VLOOKUP(AEL$1,'CERA Agresivo'!$B$23:$C$40,2,FALSE),0%)</f>
        <v>0</v>
      </c>
      <c r="AEM13" s="5">
        <f>IFERROR(VLOOKUP(AEM$1,'CERA Agresivo'!$B$23:$C$40,2,FALSE),0%)</f>
        <v>0</v>
      </c>
      <c r="AEN13" s="5">
        <f>IFERROR(VLOOKUP(AEN$1,'CERA Agresivo'!$B$23:$C$40,2,FALSE),0%)</f>
        <v>0</v>
      </c>
      <c r="AEO13" s="5">
        <f>IFERROR(VLOOKUP(AEO$1,'CERA Agresivo'!$B$23:$C$40,2,FALSE),0%)</f>
        <v>0</v>
      </c>
      <c r="AEP13" s="5">
        <f>IFERROR(VLOOKUP(AEP$1,'CERA Agresivo'!$B$23:$C$40,2,FALSE),0%)</f>
        <v>0</v>
      </c>
      <c r="AEQ13" s="5">
        <f>IFERROR(VLOOKUP(AEQ$1,'CERA Agresivo'!$B$23:$C$40,2,FALSE),0%)</f>
        <v>0</v>
      </c>
      <c r="AER13" s="5">
        <f>IFERROR(VLOOKUP(AER$1,'CERA Agresivo'!$B$23:$C$40,2,FALSE),0%)</f>
        <v>0</v>
      </c>
      <c r="AES13" s="5">
        <f>IFERROR(VLOOKUP(AES$1,'CERA Agresivo'!$B$23:$C$40,2,FALSE),0%)</f>
        <v>0</v>
      </c>
      <c r="AET13" s="5">
        <f>IFERROR(VLOOKUP(AET$1,'CERA Agresivo'!$B$23:$C$40,2,FALSE),0%)</f>
        <v>0</v>
      </c>
      <c r="AEU13" s="5">
        <f>IFERROR(VLOOKUP(AEU$1,'CERA Agresivo'!$B$23:$C$40,2,FALSE),0%)</f>
        <v>0</v>
      </c>
      <c r="AEV13" s="5">
        <f>IFERROR(VLOOKUP(AEV$1,'CERA Agresivo'!$B$23:$C$40,2,FALSE),0%)</f>
        <v>0</v>
      </c>
      <c r="AEW13" s="5">
        <f>IFERROR(VLOOKUP(AEW$1,'CERA Agresivo'!$B$23:$C$40,2,FALSE),0%)</f>
        <v>0</v>
      </c>
      <c r="AEX13" s="5">
        <f>IFERROR(VLOOKUP(AEX$1,'CERA Agresivo'!$B$23:$C$40,2,FALSE),0%)</f>
        <v>0</v>
      </c>
      <c r="AEY13" s="5">
        <f>IFERROR(VLOOKUP(AEY$1,'CERA Agresivo'!$B$23:$C$40,2,FALSE),0%)</f>
        <v>0</v>
      </c>
      <c r="AEZ13" s="5">
        <f>IFERROR(VLOOKUP(AEZ$1,'CERA Agresivo'!$B$23:$C$40,2,FALSE),0%)</f>
        <v>0</v>
      </c>
      <c r="AFA13" s="5">
        <f>IFERROR(VLOOKUP(AFA$1,'CERA Agresivo'!$B$23:$C$40,2,FALSE),0%)</f>
        <v>0</v>
      </c>
      <c r="AFB13" s="5">
        <f>IFERROR(VLOOKUP(AFB$1,'CERA Agresivo'!$B$23:$C$40,2,FALSE),0%)</f>
        <v>0</v>
      </c>
      <c r="AFC13" s="5">
        <f>IFERROR(VLOOKUP(AFC$1,'CERA Agresivo'!$B$23:$C$40,2,FALSE),0%)</f>
        <v>0</v>
      </c>
      <c r="AFD13" s="5">
        <f>IFERROR(VLOOKUP(AFD$1,'CERA Agresivo'!$B$23:$C$40,2,FALSE),0%)</f>
        <v>0</v>
      </c>
      <c r="AFE13" s="5">
        <f>IFERROR(VLOOKUP(AFE$1,'CERA Agresivo'!$B$23:$C$40,2,FALSE),0%)</f>
        <v>0</v>
      </c>
      <c r="AFF13" s="5">
        <f>IFERROR(VLOOKUP(AFF$1,'CERA Agresivo'!$B$23:$C$40,2,FALSE),0%)</f>
        <v>0</v>
      </c>
      <c r="AFG13" s="5">
        <f>IFERROR(VLOOKUP(AFG$1,'CERA Agresivo'!$B$23:$C$40,2,FALSE),0%)</f>
        <v>0</v>
      </c>
      <c r="AFH13" s="5">
        <f>IFERROR(VLOOKUP(AFH$1,'CERA Agresivo'!$B$23:$C$40,2,FALSE),0%)</f>
        <v>0</v>
      </c>
      <c r="AFI13" s="5">
        <f>IFERROR(VLOOKUP(AFI$1,'CERA Agresivo'!$B$23:$C$40,2,FALSE),0%)</f>
        <v>0</v>
      </c>
      <c r="AFJ13" s="5">
        <f>IFERROR(VLOOKUP(AFJ$1,'CERA Agresivo'!$B$23:$C$40,2,FALSE),0%)</f>
        <v>0</v>
      </c>
      <c r="AFK13" s="5">
        <f>IFERROR(VLOOKUP(AFK$1,'CERA Agresivo'!$B$23:$C$40,2,FALSE),0%)</f>
        <v>0</v>
      </c>
      <c r="AFL13" s="5">
        <f>IFERROR(VLOOKUP(AFL$1,'CERA Agresivo'!$B$23:$C$40,2,FALSE),0%)</f>
        <v>0</v>
      </c>
      <c r="AFM13" s="5">
        <f>IFERROR(VLOOKUP(AFM$1,'CERA Agresivo'!$B$23:$C$40,2,FALSE),0%)</f>
        <v>0</v>
      </c>
      <c r="AFN13" s="5">
        <f>IFERROR(VLOOKUP(AFN$1,'CERA Agresivo'!$B$23:$C$40,2,FALSE),0%)</f>
        <v>0</v>
      </c>
      <c r="AFO13" s="5">
        <f>IFERROR(VLOOKUP(AFO$1,'CERA Agresivo'!$B$23:$C$40,2,FALSE),0%)</f>
        <v>0</v>
      </c>
      <c r="AFP13" s="5">
        <f>IFERROR(VLOOKUP(AFP$1,'CERA Agresivo'!$B$23:$C$40,2,FALSE),0%)</f>
        <v>0</v>
      </c>
      <c r="AFQ13" s="5">
        <f>IFERROR(VLOOKUP(AFQ$1,'CERA Agresivo'!$B$23:$C$40,2,FALSE),0%)</f>
        <v>0</v>
      </c>
      <c r="AFR13" s="5">
        <f>IFERROR(VLOOKUP(AFR$1,'CERA Agresivo'!$B$23:$C$40,2,FALSE),0%)</f>
        <v>0</v>
      </c>
      <c r="AFS13" s="5">
        <f>IFERROR(VLOOKUP(AFS$1,'CERA Agresivo'!$B$23:$C$40,2,FALSE),0%)</f>
        <v>0</v>
      </c>
      <c r="AFT13" s="5">
        <f>IFERROR(VLOOKUP(AFT$1,'CERA Agresivo'!$B$23:$C$40,2,FALSE),0%)</f>
        <v>0</v>
      </c>
      <c r="AFU13" s="5">
        <f>IFERROR(VLOOKUP(AFU$1,'CERA Agresivo'!$B$23:$C$40,2,FALSE),0%)</f>
        <v>0</v>
      </c>
      <c r="AFV13" s="5">
        <f>IFERROR(VLOOKUP(AFV$1,'CERA Agresivo'!$B$23:$C$40,2,FALSE),0%)</f>
        <v>0</v>
      </c>
      <c r="AFW13" s="5">
        <f>IFERROR(VLOOKUP(AFW$1,'CERA Agresivo'!$B$23:$C$40,2,FALSE),0%)</f>
        <v>0</v>
      </c>
      <c r="AFX13" s="5">
        <f>IFERROR(VLOOKUP(AFX$1,'CERA Agresivo'!$B$23:$C$40,2,FALSE),0%)</f>
        <v>0</v>
      </c>
      <c r="AFY13" s="5">
        <f>IFERROR(VLOOKUP(AFY$1,'CERA Agresivo'!$B$23:$C$40,2,FALSE),0%)</f>
        <v>0</v>
      </c>
      <c r="AFZ13" s="5">
        <f>IFERROR(VLOOKUP(AFZ$1,'CERA Agresivo'!$B$23:$C$40,2,FALSE),0%)</f>
        <v>0</v>
      </c>
      <c r="AGA13" s="5">
        <f>IFERROR(VLOOKUP(AGA$1,'CERA Agresivo'!$B$23:$C$40,2,FALSE),0%)</f>
        <v>0</v>
      </c>
      <c r="AGB13" s="5">
        <f>IFERROR(VLOOKUP(AGB$1,'CERA Agresivo'!$B$23:$C$40,2,FALSE),0%)</f>
        <v>0</v>
      </c>
      <c r="AGC13" s="5">
        <f>IFERROR(VLOOKUP(AGC$1,'CERA Agresivo'!$B$23:$C$40,2,FALSE),0%)</f>
        <v>0</v>
      </c>
      <c r="AGD13" s="5">
        <f>IFERROR(VLOOKUP(AGD$1,'CERA Agresivo'!$B$23:$C$40,2,FALSE),0%)</f>
        <v>0</v>
      </c>
      <c r="AGE13" s="5">
        <f>IFERROR(VLOOKUP(AGE$1,'CERA Agresivo'!$B$23:$C$40,2,FALSE),0%)</f>
        <v>0</v>
      </c>
      <c r="AGF13" s="5">
        <f>IFERROR(VLOOKUP(AGF$1,'CERA Agresivo'!$B$23:$C$40,2,FALSE),0%)</f>
        <v>0</v>
      </c>
      <c r="AGG13" s="5">
        <f>IFERROR(VLOOKUP(AGG$1,'CERA Agresivo'!$B$23:$C$40,2,FALSE),0%)</f>
        <v>0</v>
      </c>
      <c r="AGH13" s="5">
        <f>IFERROR(VLOOKUP(AGH$1,'CERA Agresivo'!$B$23:$C$40,2,FALSE),0%)</f>
        <v>0</v>
      </c>
      <c r="AGI13" s="5">
        <f>IFERROR(VLOOKUP(AGI$1,'CERA Agresivo'!$B$23:$C$40,2,FALSE),0%)</f>
        <v>0</v>
      </c>
      <c r="AGJ13" s="5">
        <f>IFERROR(VLOOKUP(AGJ$1,'CERA Agresivo'!$B$23:$C$40,2,FALSE),0%)</f>
        <v>0</v>
      </c>
      <c r="AGK13" s="5">
        <f>IFERROR(VLOOKUP(AGK$1,'CERA Agresivo'!$B$23:$C$40,2,FALSE),0%)</f>
        <v>0</v>
      </c>
      <c r="AGL13" s="5">
        <f>IFERROR(VLOOKUP(AGL$1,'CERA Agresivo'!$B$23:$C$40,2,FALSE),0%)</f>
        <v>0</v>
      </c>
      <c r="AGM13" s="5">
        <f>IFERROR(VLOOKUP(AGM$1,'CERA Agresivo'!$B$23:$C$40,2,FALSE),0%)</f>
        <v>0</v>
      </c>
      <c r="AGN13" s="5">
        <f>IFERROR(VLOOKUP(AGN$1,'CERA Agresivo'!$B$23:$C$40,2,FALSE),0%)</f>
        <v>0</v>
      </c>
      <c r="AGO13" s="5">
        <f>IFERROR(VLOOKUP(AGO$1,'CERA Agresivo'!$B$23:$C$40,2,FALSE),0%)</f>
        <v>0</v>
      </c>
      <c r="AGP13" s="5">
        <f>IFERROR(VLOOKUP(AGP$1,'CERA Agresivo'!$B$23:$C$40,2,FALSE),0%)</f>
        <v>0</v>
      </c>
      <c r="AGQ13" s="5">
        <f>IFERROR(VLOOKUP(AGQ$1,'CERA Agresivo'!$B$23:$C$40,2,FALSE),0%)</f>
        <v>0</v>
      </c>
      <c r="AGR13" s="5">
        <f>IFERROR(VLOOKUP(AGR$1,'CERA Agresivo'!$B$23:$C$40,2,FALSE),0%)</f>
        <v>0</v>
      </c>
      <c r="AGS13" s="5">
        <f>IFERROR(VLOOKUP(AGS$1,'CERA Agresivo'!$B$23:$C$40,2,FALSE),0%)</f>
        <v>0</v>
      </c>
      <c r="AGT13" s="5">
        <f>IFERROR(VLOOKUP(AGT$1,'CERA Agresivo'!$B$23:$C$40,2,FALSE),0%)</f>
        <v>0</v>
      </c>
      <c r="AGU13" s="5">
        <f>IFERROR(VLOOKUP(AGU$1,'CERA Agresivo'!$B$23:$C$40,2,FALSE),0%)</f>
        <v>0</v>
      </c>
      <c r="AGV13" s="5">
        <f>IFERROR(VLOOKUP(AGV$1,'CERA Agresivo'!$B$23:$C$40,2,FALSE),0%)</f>
        <v>0</v>
      </c>
      <c r="AGW13" s="5">
        <f>IFERROR(VLOOKUP(AGW$1,'CERA Agresivo'!$B$23:$C$40,2,FALSE),0%)</f>
        <v>0</v>
      </c>
      <c r="AGX13" s="5">
        <f>IFERROR(VLOOKUP(AGX$1,'CERA Agresivo'!$B$23:$C$40,2,FALSE),0%)</f>
        <v>0</v>
      </c>
      <c r="AGY13" s="5">
        <f>IFERROR(VLOOKUP(AGY$1,'CERA Agresivo'!$B$23:$C$40,2,FALSE),0%)</f>
        <v>0</v>
      </c>
      <c r="AGZ13" s="5">
        <f>IFERROR(VLOOKUP(AGZ$1,'CERA Agresivo'!$B$23:$C$40,2,FALSE),0%)</f>
        <v>0</v>
      </c>
      <c r="AHA13" s="5">
        <f>IFERROR(VLOOKUP(AHA$1,'CERA Agresivo'!$B$23:$C$40,2,FALSE),0%)</f>
        <v>0</v>
      </c>
      <c r="AHB13" s="5">
        <f>IFERROR(VLOOKUP(AHB$1,'CERA Agresivo'!$B$23:$C$40,2,FALSE),0%)</f>
        <v>0</v>
      </c>
      <c r="AHC13" s="5">
        <f>IFERROR(VLOOKUP(AHC$1,'CERA Agresivo'!$B$23:$C$40,2,FALSE),0%)</f>
        <v>0</v>
      </c>
      <c r="AHD13" s="5">
        <f>IFERROR(VLOOKUP(AHD$1,'CERA Agresivo'!$B$23:$C$40,2,FALSE),0%)</f>
        <v>0</v>
      </c>
      <c r="AHE13" s="5">
        <f>IFERROR(VLOOKUP(AHE$1,'CERA Agresivo'!$B$23:$C$40,2,FALSE),0%)</f>
        <v>0</v>
      </c>
      <c r="AHF13" s="5">
        <f>IFERROR(VLOOKUP(AHF$1,'CERA Agresivo'!$B$23:$C$40,2,FALSE),0%)</f>
        <v>0</v>
      </c>
      <c r="AHG13" s="5">
        <f>IFERROR(VLOOKUP(AHG$1,'CERA Agresivo'!$B$23:$C$40,2,FALSE),0%)</f>
        <v>0</v>
      </c>
      <c r="AHH13" s="5">
        <f>IFERROR(VLOOKUP(AHH$1,'CERA Agresivo'!$B$23:$C$40,2,FALSE),0%)</f>
        <v>0</v>
      </c>
      <c r="AHI13" s="5">
        <f>IFERROR(VLOOKUP(AHI$1,'CERA Agresivo'!$B$23:$C$40,2,FALSE),0%)</f>
        <v>0</v>
      </c>
      <c r="AHJ13" s="5">
        <f>IFERROR(VLOOKUP(AHJ$1,'CERA Agresivo'!$B$23:$C$40,2,FALSE),0%)</f>
        <v>0</v>
      </c>
      <c r="AHK13" s="5">
        <f>IFERROR(VLOOKUP(AHK$1,'CERA Agresivo'!$B$23:$C$40,2,FALSE),0%)</f>
        <v>0</v>
      </c>
      <c r="AHL13" s="5">
        <f>IFERROR(VLOOKUP(AHL$1,'CERA Agresivo'!$B$23:$C$40,2,FALSE),0%)</f>
        <v>0</v>
      </c>
      <c r="AHM13" s="5">
        <f>IFERROR(VLOOKUP(AHM$1,'CERA Agresivo'!$B$23:$C$40,2,FALSE),0%)</f>
        <v>0</v>
      </c>
      <c r="AHN13" s="5">
        <f>IFERROR(VLOOKUP(AHN$1,'CERA Agresivo'!$B$23:$C$40,2,FALSE),0%)</f>
        <v>0</v>
      </c>
      <c r="AHO13" s="5">
        <f>IFERROR(VLOOKUP(AHO$1,'CERA Agresivo'!$B$23:$C$40,2,FALSE),0%)</f>
        <v>0</v>
      </c>
      <c r="AHP13" s="5">
        <f>IFERROR(VLOOKUP(AHP$1,'CERA Agresivo'!$B$23:$C$40,2,FALSE),0%)</f>
        <v>0</v>
      </c>
      <c r="AHQ13" s="5">
        <f>IFERROR(VLOOKUP(AHQ$1,'CERA Agresivo'!$B$23:$C$40,2,FALSE),0%)</f>
        <v>0</v>
      </c>
      <c r="AHR13" s="5">
        <f>IFERROR(VLOOKUP(AHR$1,'CERA Agresivo'!$B$23:$C$40,2,FALSE),0%)</f>
        <v>0</v>
      </c>
      <c r="AHS13" s="5">
        <f>IFERROR(VLOOKUP(AHS$1,'CERA Agresivo'!$B$23:$C$40,2,FALSE),0%)</f>
        <v>0</v>
      </c>
      <c r="AHT13" s="5">
        <f>IFERROR(VLOOKUP(AHT$1,'CERA Agresivo'!$B$23:$C$40,2,FALSE),0%)</f>
        <v>0</v>
      </c>
      <c r="AHU13" s="5">
        <f>IFERROR(VLOOKUP(AHU$1,'CERA Agresivo'!$B$23:$C$40,2,FALSE),0%)</f>
        <v>0</v>
      </c>
      <c r="AHV13" s="5">
        <f>IFERROR(VLOOKUP(AHV$1,'CERA Agresivo'!$B$23:$C$40,2,FALSE),0%)</f>
        <v>0</v>
      </c>
      <c r="AHW13" s="5">
        <f>IFERROR(VLOOKUP(AHW$1,'CERA Agresivo'!$B$23:$C$40,2,FALSE),0%)</f>
        <v>0</v>
      </c>
      <c r="AHX13" s="5">
        <f>IFERROR(VLOOKUP(AHX$1,'CERA Agresivo'!$B$23:$C$40,2,FALSE),0%)</f>
        <v>0</v>
      </c>
      <c r="AHY13" s="5">
        <f>IFERROR(VLOOKUP(AHY$1,'CERA Agresivo'!$B$23:$C$40,2,FALSE),0%)</f>
        <v>0</v>
      </c>
      <c r="AHZ13" s="5">
        <f>IFERROR(VLOOKUP(AHZ$1,'CERA Agresivo'!$B$23:$C$40,2,FALSE),0%)</f>
        <v>0</v>
      </c>
      <c r="AIA13" s="5">
        <f>IFERROR(VLOOKUP(AIA$1,'CERA Agresivo'!$B$23:$C$40,2,FALSE),0%)</f>
        <v>0</v>
      </c>
      <c r="AIB13" s="5">
        <f>IFERROR(VLOOKUP(AIB$1,'CERA Agresivo'!$B$23:$C$40,2,FALSE),0%)</f>
        <v>0</v>
      </c>
      <c r="AIC13" s="5">
        <f>IFERROR(VLOOKUP(AIC$1,'CERA Agresivo'!$B$23:$C$40,2,FALSE),0%)</f>
        <v>0</v>
      </c>
      <c r="AID13" s="5">
        <f>IFERROR(VLOOKUP(AID$1,'CERA Agresivo'!$B$23:$C$40,2,FALSE),0%)</f>
        <v>0</v>
      </c>
      <c r="AIE13" s="5">
        <f>IFERROR(VLOOKUP(AIE$1,'CERA Agresivo'!$B$23:$C$40,2,FALSE),0%)</f>
        <v>0</v>
      </c>
      <c r="AIF13" s="5">
        <f>IFERROR(VLOOKUP(AIF$1,'CERA Agresivo'!$B$23:$C$40,2,FALSE),0%)</f>
        <v>0</v>
      </c>
      <c r="AIG13" s="5">
        <f>IFERROR(VLOOKUP(AIG$1,'CERA Agresivo'!$B$23:$C$40,2,FALSE),0%)</f>
        <v>0</v>
      </c>
      <c r="AIH13" s="5">
        <f>IFERROR(VLOOKUP(AIH$1,'CERA Agresivo'!$B$23:$C$40,2,FALSE),0%)</f>
        <v>0</v>
      </c>
      <c r="AII13" s="5">
        <f>IFERROR(VLOOKUP(AII$1,'CERA Agresivo'!$B$23:$C$40,2,FALSE),0%)</f>
        <v>0</v>
      </c>
      <c r="AIJ13" s="5">
        <f>IFERROR(VLOOKUP(AIJ$1,'CERA Agresivo'!$B$23:$C$40,2,FALSE),0%)</f>
        <v>0</v>
      </c>
      <c r="AIK13" s="5">
        <f>IFERROR(VLOOKUP(AIK$1,'CERA Agresivo'!$B$23:$C$40,2,FALSE),0%)</f>
        <v>0</v>
      </c>
      <c r="AIL13" s="5">
        <f>IFERROR(VLOOKUP(AIL$1,'CERA Agresivo'!$B$23:$C$40,2,FALSE),0%)</f>
        <v>0</v>
      </c>
      <c r="AIM13" s="5">
        <f>IFERROR(VLOOKUP(AIM$1,'CERA Agresivo'!$B$23:$C$40,2,FALSE),0%)</f>
        <v>0</v>
      </c>
      <c r="AIN13" s="5">
        <f>IFERROR(VLOOKUP(AIN$1,'CERA Agresivo'!$B$23:$C$40,2,FALSE),0%)</f>
        <v>0</v>
      </c>
      <c r="AIO13" s="5">
        <f>IFERROR(VLOOKUP(AIO$1,'CERA Agresivo'!$B$23:$C$40,2,FALSE),0%)</f>
        <v>0</v>
      </c>
      <c r="AIP13" s="5">
        <f>IFERROR(VLOOKUP(AIP$1,'CERA Agresivo'!$B$23:$C$40,2,FALSE),0%)</f>
        <v>0</v>
      </c>
      <c r="AIQ13" s="5">
        <f>IFERROR(VLOOKUP(AIQ$1,'CERA Agresivo'!$B$23:$C$40,2,FALSE),0%)</f>
        <v>0</v>
      </c>
      <c r="AIR13" s="5">
        <f>IFERROR(VLOOKUP(AIR$1,'CERA Agresivo'!$B$23:$C$40,2,FALSE),0%)</f>
        <v>0</v>
      </c>
      <c r="AIS13" s="5">
        <f>IFERROR(VLOOKUP(AIS$1,'CERA Agresivo'!$B$23:$C$40,2,FALSE),0%)</f>
        <v>0</v>
      </c>
      <c r="AIT13" s="5">
        <f>IFERROR(VLOOKUP(AIT$1,'CERA Agresivo'!$B$23:$C$40,2,FALSE),0%)</f>
        <v>0</v>
      </c>
      <c r="AIU13" s="5">
        <f>IFERROR(VLOOKUP(AIU$1,'CERA Agresivo'!$B$23:$C$40,2,FALSE),0%)</f>
        <v>0</v>
      </c>
      <c r="AIV13" s="5">
        <f>IFERROR(VLOOKUP(AIV$1,'CERA Agresivo'!$B$23:$C$40,2,FALSE),0%)</f>
        <v>0</v>
      </c>
      <c r="AIW13" s="5">
        <f>IFERROR(VLOOKUP(AIW$1,'CERA Agresivo'!$B$23:$C$40,2,FALSE),0%)</f>
        <v>0</v>
      </c>
      <c r="AIX13" s="5">
        <f>IFERROR(VLOOKUP(AIX$1,'CERA Agresivo'!$B$23:$C$40,2,FALSE),0%)</f>
        <v>0</v>
      </c>
      <c r="AIY13" s="5">
        <f>IFERROR(VLOOKUP(AIY$1,'CERA Agresivo'!$B$23:$C$40,2,FALSE),0%)</f>
        <v>0</v>
      </c>
      <c r="AIZ13" s="5">
        <f>IFERROR(VLOOKUP(AIZ$1,'CERA Agresivo'!$B$23:$C$40,2,FALSE),0%)</f>
        <v>0</v>
      </c>
      <c r="AJA13" s="5">
        <f>IFERROR(VLOOKUP(AJA$1,'CERA Agresivo'!$B$23:$C$40,2,FALSE),0%)</f>
        <v>0</v>
      </c>
      <c r="AJB13" s="5">
        <f>IFERROR(VLOOKUP(AJB$1,'CERA Agresivo'!$B$23:$C$40,2,FALSE),0%)</f>
        <v>0</v>
      </c>
      <c r="AJC13" s="5">
        <f>IFERROR(VLOOKUP(AJC$1,'CERA Agresivo'!$B$23:$C$40,2,FALSE),0%)</f>
        <v>0</v>
      </c>
      <c r="AJD13" s="5">
        <f>IFERROR(VLOOKUP(AJD$1,'CERA Agresivo'!$B$23:$C$40,2,FALSE),0%)</f>
        <v>0</v>
      </c>
      <c r="AJE13" s="5">
        <f>IFERROR(VLOOKUP(AJE$1,'CERA Agresivo'!$B$23:$C$40,2,FALSE),0%)</f>
        <v>0</v>
      </c>
      <c r="AJF13" s="5">
        <f>IFERROR(VLOOKUP(AJF$1,'CERA Agresivo'!$B$23:$C$40,2,FALSE),0%)</f>
        <v>0</v>
      </c>
      <c r="AJG13" s="5">
        <f>IFERROR(VLOOKUP(AJG$1,'CERA Agresivo'!$B$23:$C$40,2,FALSE),0%)</f>
        <v>0</v>
      </c>
      <c r="AJH13" s="5">
        <f>IFERROR(VLOOKUP(AJH$1,'CERA Agresivo'!$B$23:$C$40,2,FALSE),0%)</f>
        <v>0</v>
      </c>
      <c r="AJI13" s="5">
        <f>IFERROR(VLOOKUP(AJI$1,'CERA Agresivo'!$B$23:$C$40,2,FALSE),0%)</f>
        <v>0</v>
      </c>
      <c r="AJJ13" s="5">
        <f>IFERROR(VLOOKUP(AJJ$1,'CERA Agresivo'!$B$23:$C$40,2,FALSE),0%)</f>
        <v>0</v>
      </c>
      <c r="AJK13" s="5">
        <f>IFERROR(VLOOKUP(AJK$1,'CERA Agresivo'!$B$23:$C$40,2,FALSE),0%)</f>
        <v>0</v>
      </c>
      <c r="AJL13" s="5">
        <f>IFERROR(VLOOKUP(AJL$1,'CERA Agresivo'!$B$23:$C$40,2,FALSE),0%)</f>
        <v>0</v>
      </c>
      <c r="AJM13" s="5">
        <f>IFERROR(VLOOKUP(AJM$1,'CERA Agresivo'!$B$23:$C$40,2,FALSE),0%)</f>
        <v>0</v>
      </c>
      <c r="AJN13" s="5">
        <f>IFERROR(VLOOKUP(AJN$1,'CERA Agresivo'!$B$23:$C$40,2,FALSE),0%)</f>
        <v>0</v>
      </c>
      <c r="AJO13" s="5">
        <f>IFERROR(VLOOKUP(AJO$1,'CERA Agresivo'!$B$23:$C$40,2,FALSE),0%)</f>
        <v>0</v>
      </c>
      <c r="AJP13" s="5">
        <f>IFERROR(VLOOKUP(AJP$1,'CERA Agresivo'!$B$23:$C$40,2,FALSE),0%)</f>
        <v>0</v>
      </c>
      <c r="AJQ13" s="5">
        <f>IFERROR(VLOOKUP(AJQ$1,'CERA Agresivo'!$B$23:$C$40,2,FALSE),0%)</f>
        <v>0</v>
      </c>
      <c r="AJR13" s="5">
        <f>IFERROR(VLOOKUP(AJR$1,'CERA Agresivo'!$B$23:$C$40,2,FALSE),0%)</f>
        <v>0</v>
      </c>
      <c r="AJS13" s="5">
        <f>IFERROR(VLOOKUP(AJS$1,'CERA Agresivo'!$B$23:$C$40,2,FALSE),0%)</f>
        <v>0</v>
      </c>
      <c r="AJT13" s="5">
        <f>IFERROR(VLOOKUP(AJT$1,'CERA Agresivo'!$B$23:$C$40,2,FALSE),0%)</f>
        <v>0</v>
      </c>
      <c r="AJU13" s="5">
        <f>IFERROR(VLOOKUP(AJU$1,'CERA Agresivo'!$B$23:$C$40,2,FALSE),0%)</f>
        <v>0</v>
      </c>
      <c r="AJV13" s="5">
        <f>IFERROR(VLOOKUP(AJV$1,'CERA Agresivo'!$B$23:$C$40,2,FALSE),0%)</f>
        <v>0</v>
      </c>
      <c r="AJW13" s="5">
        <f>IFERROR(VLOOKUP(AJW$1,'CERA Agresivo'!$B$23:$C$40,2,FALSE),0%)</f>
        <v>0</v>
      </c>
      <c r="AJX13" s="5">
        <f>IFERROR(VLOOKUP(AJX$1,'CERA Agresivo'!$B$23:$C$40,2,FALSE),0%)</f>
        <v>0</v>
      </c>
      <c r="AJY13" s="5">
        <f>IFERROR(VLOOKUP(AJY$1,'CERA Agresivo'!$B$23:$C$40,2,FALSE),0%)</f>
        <v>0</v>
      </c>
      <c r="AJZ13" s="5">
        <f>IFERROR(VLOOKUP(AJZ$1,'CERA Agresivo'!$B$23:$C$40,2,FALSE),0%)</f>
        <v>0</v>
      </c>
      <c r="AKA13" s="5">
        <f>IFERROR(VLOOKUP(AKA$1,'CERA Agresivo'!$B$23:$C$40,2,FALSE),0%)</f>
        <v>0</v>
      </c>
      <c r="AKB13" s="5">
        <f>IFERROR(VLOOKUP(AKB$1,'CERA Agresivo'!$B$23:$C$40,2,FALSE),0%)</f>
        <v>0</v>
      </c>
      <c r="AKC13" s="5">
        <f>IFERROR(VLOOKUP(AKC$1,'CERA Agresivo'!$B$23:$C$40,2,FALSE),0%)</f>
        <v>0</v>
      </c>
      <c r="AKD13" s="5">
        <f>IFERROR(VLOOKUP(AKD$1,'CERA Agresivo'!$B$23:$C$40,2,FALSE),0%)</f>
        <v>0</v>
      </c>
      <c r="AKE13" s="5">
        <f>IFERROR(VLOOKUP(AKE$1,'CERA Agresivo'!$B$23:$C$40,2,FALSE),0%)</f>
        <v>0</v>
      </c>
      <c r="AKF13" s="5">
        <f>IFERROR(VLOOKUP(AKF$1,'CERA Agresivo'!$B$23:$C$40,2,FALSE),0%)</f>
        <v>0</v>
      </c>
      <c r="AKG13" s="5">
        <f>IFERROR(VLOOKUP(AKG$1,'CERA Agresivo'!$B$23:$C$40,2,FALSE),0%)</f>
        <v>0</v>
      </c>
      <c r="AKH13" s="5">
        <f>IFERROR(VLOOKUP(AKH$1,'CERA Agresivo'!$B$23:$C$40,2,FALSE),0%)</f>
        <v>0</v>
      </c>
      <c r="AKI13" s="5">
        <f>IFERROR(VLOOKUP(AKI$1,'CERA Agresivo'!$B$23:$C$40,2,FALSE),0%)</f>
        <v>0</v>
      </c>
      <c r="AKJ13" s="5">
        <f>IFERROR(VLOOKUP(AKJ$1,'CERA Agresivo'!$B$23:$C$40,2,FALSE),0%)</f>
        <v>0</v>
      </c>
      <c r="AKK13" s="5">
        <f>IFERROR(VLOOKUP(AKK$1,'CERA Agresivo'!$B$23:$C$40,2,FALSE),0%)</f>
        <v>0</v>
      </c>
      <c r="AKL13" s="5">
        <f>IFERROR(VLOOKUP(AKL$1,'CERA Agresivo'!$B$23:$C$40,2,FALSE),0%)</f>
        <v>0</v>
      </c>
      <c r="AKM13" s="5">
        <f>IFERROR(VLOOKUP(AKM$1,'CERA Agresivo'!$B$23:$C$40,2,FALSE),0%)</f>
        <v>0</v>
      </c>
      <c r="AKN13" s="5">
        <f>IFERROR(VLOOKUP(AKN$1,'CERA Agresivo'!$B$23:$C$40,2,FALSE),0%)</f>
        <v>0</v>
      </c>
      <c r="AKO13" s="5">
        <f>IFERROR(VLOOKUP(AKO$1,'CERA Agresivo'!$B$23:$C$40,2,FALSE),0%)</f>
        <v>0</v>
      </c>
      <c r="AKP13" s="5">
        <f>IFERROR(VLOOKUP(AKP$1,'CERA Agresivo'!$B$23:$C$40,2,FALSE),0%)</f>
        <v>0</v>
      </c>
      <c r="AKQ13" s="5">
        <f>IFERROR(VLOOKUP(AKQ$1,'CERA Agresivo'!$B$23:$C$40,2,FALSE),0%)</f>
        <v>0</v>
      </c>
      <c r="AKR13" s="5">
        <f>IFERROR(VLOOKUP(AKR$1,'CERA Agresivo'!$B$23:$C$40,2,FALSE),0%)</f>
        <v>0</v>
      </c>
      <c r="AKS13" s="5">
        <f>IFERROR(VLOOKUP(AKS$1,'CERA Agresivo'!$B$23:$C$40,2,FALSE),0%)</f>
        <v>0</v>
      </c>
      <c r="AKT13" s="5">
        <f>IFERROR(VLOOKUP(AKT$1,'CERA Agresivo'!$B$23:$C$40,2,FALSE),0%)</f>
        <v>0</v>
      </c>
      <c r="AKU13" s="5">
        <f>IFERROR(VLOOKUP(AKU$1,'CERA Agresivo'!$B$23:$C$40,2,FALSE),0%)</f>
        <v>0</v>
      </c>
      <c r="AKV13" s="5">
        <f>IFERROR(VLOOKUP(AKV$1,'CERA Agresivo'!$B$23:$C$40,2,FALSE),0%)</f>
        <v>0</v>
      </c>
      <c r="AKW13" s="5">
        <f>IFERROR(VLOOKUP(AKW$1,'CERA Agresivo'!$B$23:$C$40,2,FALSE),0%)</f>
        <v>0</v>
      </c>
      <c r="AKX13" s="5">
        <f>IFERROR(VLOOKUP(AKX$1,'CERA Agresivo'!$B$23:$C$40,2,FALSE),0%)</f>
        <v>0</v>
      </c>
      <c r="AKY13" s="5">
        <f>IFERROR(VLOOKUP(AKY$1,'CERA Agresivo'!$B$23:$C$40,2,FALSE),0%)</f>
        <v>0</v>
      </c>
      <c r="AKZ13" s="5">
        <f>IFERROR(VLOOKUP(AKZ$1,'CERA Agresivo'!$B$23:$C$40,2,FALSE),0%)</f>
        <v>0</v>
      </c>
      <c r="ALA13" s="5">
        <f>IFERROR(VLOOKUP(ALA$1,'CERA Agresivo'!$B$23:$C$40,2,FALSE),0%)</f>
        <v>0</v>
      </c>
      <c r="ALB13" s="5">
        <f>IFERROR(VLOOKUP(ALB$1,'CERA Agresivo'!$B$23:$C$40,2,FALSE),0%)</f>
        <v>0</v>
      </c>
      <c r="ALC13" s="5">
        <f>IFERROR(VLOOKUP(ALC$1,'CERA Agresivo'!$B$23:$C$40,2,FALSE),0%)</f>
        <v>0</v>
      </c>
      <c r="ALD13" s="5">
        <f>IFERROR(VLOOKUP(ALD$1,'CERA Agresivo'!$B$23:$C$40,2,FALSE),0%)</f>
        <v>0</v>
      </c>
      <c r="ALE13" s="5">
        <f>IFERROR(VLOOKUP(ALE$1,'CERA Agresivo'!$B$23:$C$40,2,FALSE),0%)</f>
        <v>0</v>
      </c>
      <c r="ALF13" s="5">
        <f>IFERROR(VLOOKUP(ALF$1,'CERA Agresivo'!$B$23:$C$40,2,FALSE),0%)</f>
        <v>0</v>
      </c>
      <c r="ALG13" s="5">
        <f>IFERROR(VLOOKUP(ALG$1,'CERA Agresivo'!$B$23:$C$40,2,FALSE),0%)</f>
        <v>0</v>
      </c>
      <c r="ALH13" s="5">
        <f>IFERROR(VLOOKUP(ALH$1,'CERA Agresivo'!$B$23:$C$40,2,FALSE),0%)</f>
        <v>0</v>
      </c>
      <c r="ALI13" s="5">
        <f>IFERROR(VLOOKUP(ALI$1,'CERA Agresivo'!$B$23:$C$40,2,FALSE),0%)</f>
        <v>0</v>
      </c>
      <c r="ALJ13" s="5">
        <f>IFERROR(VLOOKUP(ALJ$1,'CERA Agresivo'!$B$23:$C$40,2,FALSE),0%)</f>
        <v>0</v>
      </c>
      <c r="ALK13" s="5">
        <f>IFERROR(VLOOKUP(ALK$1,'CERA Agresivo'!$B$23:$C$40,2,FALSE),0%)</f>
        <v>0</v>
      </c>
      <c r="ALL13" s="5">
        <f>IFERROR(VLOOKUP(ALL$1,'CERA Agresivo'!$B$23:$C$40,2,FALSE),0%)</f>
        <v>0</v>
      </c>
      <c r="ALM13" s="5">
        <f>IFERROR(VLOOKUP(ALM$1,'CERA Agresivo'!$B$23:$C$40,2,FALSE),0%)</f>
        <v>0</v>
      </c>
      <c r="ALN13" s="5">
        <f>IFERROR(VLOOKUP(ALN$1,'CERA Agresivo'!$B$23:$C$40,2,FALSE),0%)</f>
        <v>0</v>
      </c>
      <c r="ALO13" s="5">
        <f>IFERROR(VLOOKUP(ALO$1,'CERA Agresivo'!$B$23:$C$40,2,FALSE),0%)</f>
        <v>0</v>
      </c>
      <c r="ALP13" s="5">
        <f>IFERROR(VLOOKUP(ALP$1,'CERA Agresivo'!$B$23:$C$40,2,FALSE),0%)</f>
        <v>0</v>
      </c>
      <c r="ALQ13" s="5">
        <f>IFERROR(VLOOKUP(ALQ$1,'CERA Agresivo'!$B$23:$C$40,2,FALSE),0%)</f>
        <v>0</v>
      </c>
      <c r="ALR13" s="5">
        <f>IFERROR(VLOOKUP(ALR$1,'CERA Agresivo'!$B$23:$C$40,2,FALSE),0%)</f>
        <v>0</v>
      </c>
      <c r="ALS13" s="5">
        <f>IFERROR(VLOOKUP(ALS$1,'CERA Agresivo'!$B$23:$C$40,2,FALSE),0%)</f>
        <v>0</v>
      </c>
      <c r="ALT13" s="5">
        <f>IFERROR(VLOOKUP(ALT$1,'CERA Agresivo'!$B$23:$C$40,2,FALSE),0%)</f>
        <v>0</v>
      </c>
      <c r="ALU13" s="5">
        <f>IFERROR(VLOOKUP(ALU$1,'CERA Agresivo'!$B$23:$C$40,2,FALSE),0%)</f>
        <v>0</v>
      </c>
      <c r="ALV13" s="5">
        <f>IFERROR(VLOOKUP(ALV$1,'CERA Agresivo'!$B$23:$C$40,2,FALSE),0%)</f>
        <v>0</v>
      </c>
      <c r="ALW13" s="5">
        <f>IFERROR(VLOOKUP(ALW$1,'CERA Agresivo'!$B$23:$C$40,2,FALSE),0%)</f>
        <v>0</v>
      </c>
      <c r="ALX13" s="5">
        <f>IFERROR(VLOOKUP(ALX$1,'CERA Agresivo'!$B$23:$C$40,2,FALSE),0%)</f>
        <v>0</v>
      </c>
      <c r="ALY13" s="5">
        <f>IFERROR(VLOOKUP(ALY$1,'CERA Agresivo'!$B$23:$C$40,2,FALSE),0%)</f>
        <v>0</v>
      </c>
      <c r="ALZ13" s="5">
        <f>IFERROR(VLOOKUP(ALZ$1,'CERA Agresivo'!$B$23:$C$40,2,FALSE),0%)</f>
        <v>0</v>
      </c>
      <c r="AMA13" s="5">
        <f>IFERROR(VLOOKUP(AMA$1,'CERA Agresivo'!$B$23:$C$40,2,FALSE),0%)</f>
        <v>0</v>
      </c>
      <c r="AMB13" s="5">
        <f>IFERROR(VLOOKUP(AMB$1,'CERA Agresivo'!$B$23:$C$40,2,FALSE),0%)</f>
        <v>0</v>
      </c>
      <c r="AMC13" s="5">
        <f>IFERROR(VLOOKUP(AMC$1,'CERA Agresivo'!$B$23:$C$40,2,FALSE),0%)</f>
        <v>0</v>
      </c>
      <c r="AMD13" s="5">
        <f>IFERROR(VLOOKUP(AMD$1,'CERA Agresivo'!$B$23:$C$40,2,FALSE),0%)</f>
        <v>0</v>
      </c>
      <c r="AME13" s="5">
        <f>IFERROR(VLOOKUP(AME$1,'CERA Agresivo'!$B$23:$C$40,2,FALSE),0%)</f>
        <v>0</v>
      </c>
      <c r="AMF13" s="5">
        <f>IFERROR(VLOOKUP(AMF$1,'CERA Agresivo'!$B$23:$C$40,2,FALSE),0%)</f>
        <v>0</v>
      </c>
      <c r="AMG13" s="5">
        <f>IFERROR(VLOOKUP(AMG$1,'CERA Agresivo'!$B$23:$C$40,2,FALSE),0%)</f>
        <v>0</v>
      </c>
      <c r="AMH13" s="5">
        <f>IFERROR(VLOOKUP(AMH$1,'CERA Agresivo'!$B$23:$C$40,2,FALSE),0%)</f>
        <v>0</v>
      </c>
      <c r="AMI13" s="5">
        <f>IFERROR(VLOOKUP(AMI$1,'CERA Agresivo'!$B$23:$C$40,2,FALSE),0%)</f>
        <v>0</v>
      </c>
      <c r="AMJ13" s="5">
        <f>IFERROR(VLOOKUP(AMJ$1,'CERA Agresivo'!$B$23:$C$40,2,FALSE),0%)</f>
        <v>0</v>
      </c>
      <c r="AMK13" s="5">
        <f>IFERROR(VLOOKUP(AMK$1,'CERA Agresivo'!$B$23:$C$40,2,FALSE),0%)</f>
        <v>0</v>
      </c>
      <c r="AML13" s="5">
        <f>IFERROR(VLOOKUP(AML$1,'CERA Agresivo'!$B$23:$C$40,2,FALSE),0%)</f>
        <v>0</v>
      </c>
      <c r="AMM13" s="5">
        <f>IFERROR(VLOOKUP(AMM$1,'CERA Agresivo'!$B$23:$C$40,2,FALSE),0%)</f>
        <v>0</v>
      </c>
      <c r="AMN13" s="5">
        <f>IFERROR(VLOOKUP(AMN$1,'CERA Agresivo'!$B$23:$C$40,2,FALSE),0%)</f>
        <v>0</v>
      </c>
      <c r="AMO13" s="5">
        <f>IFERROR(VLOOKUP(AMO$1,'CERA Agresivo'!$B$23:$C$40,2,FALSE),0%)</f>
        <v>0</v>
      </c>
      <c r="AMP13" s="5">
        <f>IFERROR(VLOOKUP(AMP$1,'CERA Agresivo'!$B$23:$C$40,2,FALSE),0%)</f>
        <v>0</v>
      </c>
      <c r="AMQ13" s="5">
        <f>IFERROR(VLOOKUP(AMQ$1,'CERA Agresivo'!$B$23:$C$40,2,FALSE),0%)</f>
        <v>0</v>
      </c>
      <c r="AMR13" s="5">
        <f>IFERROR(VLOOKUP(AMR$1,'CERA Agresivo'!$B$23:$C$40,2,FALSE),0%)</f>
        <v>0</v>
      </c>
      <c r="AMS13" s="5">
        <f>IFERROR(VLOOKUP(AMS$1,'CERA Agresivo'!$B$23:$C$40,2,FALSE),0%)</f>
        <v>0</v>
      </c>
      <c r="AMT13" s="5">
        <f>IFERROR(VLOOKUP(AMT$1,'CERA Agresivo'!$B$23:$C$40,2,FALSE),0%)</f>
        <v>0</v>
      </c>
      <c r="AMU13" s="5">
        <f>IFERROR(VLOOKUP(AMU$1,'CERA Agresivo'!$B$23:$C$40,2,FALSE),0%)</f>
        <v>0</v>
      </c>
      <c r="AMV13" s="5">
        <f>IFERROR(VLOOKUP(AMV$1,'CERA Agresivo'!$B$23:$C$40,2,FALSE),0%)</f>
        <v>0</v>
      </c>
      <c r="AMW13" s="5">
        <f>IFERROR(VLOOKUP(AMW$1,'CERA Agresivo'!$B$23:$C$40,2,FALSE),0%)</f>
        <v>0</v>
      </c>
      <c r="AMX13" s="5">
        <f>IFERROR(VLOOKUP(AMX$1,'CERA Agresivo'!$B$23:$C$40,2,FALSE),0%)</f>
        <v>0</v>
      </c>
      <c r="AMY13" s="5">
        <f>IFERROR(VLOOKUP(AMY$1,'CERA Agresivo'!$B$23:$C$40,2,FALSE),0%)</f>
        <v>0</v>
      </c>
      <c r="AMZ13" s="5">
        <f>IFERROR(VLOOKUP(AMZ$1,'CERA Agresivo'!$B$23:$C$40,2,FALSE),0%)</f>
        <v>0</v>
      </c>
      <c r="ANA13" s="5">
        <f>IFERROR(VLOOKUP(ANA$1,'CERA Agresivo'!$B$23:$C$40,2,FALSE),0%)</f>
        <v>0</v>
      </c>
      <c r="ANB13" s="5">
        <f>IFERROR(VLOOKUP(ANB$1,'CERA Agresivo'!$B$23:$C$40,2,FALSE),0%)</f>
        <v>0</v>
      </c>
      <c r="ANC13" s="5">
        <f>IFERROR(VLOOKUP(ANC$1,'CERA Agresivo'!$B$23:$C$40,2,FALSE),0%)</f>
        <v>0</v>
      </c>
      <c r="AND13" s="5">
        <f>IFERROR(VLOOKUP(AND$1,'CERA Agresivo'!$B$23:$C$40,2,FALSE),0%)</f>
        <v>0</v>
      </c>
      <c r="ANE13" s="5">
        <f>IFERROR(VLOOKUP(ANE$1,'CERA Agresivo'!$B$23:$C$40,2,FALSE),0%)</f>
        <v>0</v>
      </c>
      <c r="ANF13" s="5">
        <f>IFERROR(VLOOKUP(ANF$1,'CERA Agresivo'!$B$23:$C$40,2,FALSE),0%)</f>
        <v>0</v>
      </c>
      <c r="ANG13" s="5">
        <f>IFERROR(VLOOKUP(ANG$1,'CERA Agresivo'!$B$23:$C$40,2,FALSE),0%)</f>
        <v>0</v>
      </c>
      <c r="ANH13" s="5">
        <f>IFERROR(VLOOKUP(ANH$1,'CERA Agresivo'!$B$23:$C$40,2,FALSE),0%)</f>
        <v>0</v>
      </c>
      <c r="ANI13" s="5">
        <f>IFERROR(VLOOKUP(ANI$1,'CERA Agresivo'!$B$23:$C$40,2,FALSE),0%)</f>
        <v>0</v>
      </c>
      <c r="ANJ13" s="5">
        <f>IFERROR(VLOOKUP(ANJ$1,'CERA Agresivo'!$B$23:$C$40,2,FALSE),0%)</f>
        <v>0</v>
      </c>
      <c r="ANK13" s="5">
        <f>IFERROR(VLOOKUP(ANK$1,'CERA Agresivo'!$B$23:$C$40,2,FALSE),0%)</f>
        <v>0</v>
      </c>
      <c r="ANL13" s="5">
        <f>IFERROR(VLOOKUP(ANL$1,'CERA Agresivo'!$B$23:$C$40,2,FALSE),0%)</f>
        <v>0</v>
      </c>
      <c r="ANM13" s="5">
        <f>IFERROR(VLOOKUP(ANM$1,'CERA Agresivo'!$B$23:$C$40,2,FALSE),0%)</f>
        <v>0</v>
      </c>
      <c r="ANN13" s="5">
        <f>IFERROR(VLOOKUP(ANN$1,'CERA Agresivo'!$B$23:$C$40,2,FALSE),0%)</f>
        <v>0</v>
      </c>
      <c r="ANO13" s="5">
        <f>IFERROR(VLOOKUP(ANO$1,'CERA Agresivo'!$B$23:$C$40,2,FALSE),0%)</f>
        <v>0</v>
      </c>
      <c r="ANP13" s="5">
        <f>IFERROR(VLOOKUP(ANP$1,'CERA Agresivo'!$B$23:$C$40,2,FALSE),0%)</f>
        <v>0</v>
      </c>
      <c r="ANQ13" s="5">
        <f>IFERROR(VLOOKUP(ANQ$1,'CERA Agresivo'!$B$23:$C$40,2,FALSE),0%)</f>
        <v>0</v>
      </c>
      <c r="ANR13" s="5">
        <f>IFERROR(VLOOKUP(ANR$1,'CERA Agresivo'!$B$23:$C$40,2,FALSE),0%)</f>
        <v>0</v>
      </c>
      <c r="ANS13" s="5">
        <f>IFERROR(VLOOKUP(ANS$1,'CERA Agresivo'!$B$23:$C$40,2,FALSE),0%)</f>
        <v>0</v>
      </c>
      <c r="ANT13" s="5">
        <f>IFERROR(VLOOKUP(ANT$1,'CERA Agresivo'!$B$23:$C$40,2,FALSE),0%)</f>
        <v>0</v>
      </c>
      <c r="ANU13" s="5">
        <f>IFERROR(VLOOKUP(ANU$1,'CERA Agresivo'!$B$23:$C$40,2,FALSE),0%)</f>
        <v>0</v>
      </c>
      <c r="ANV13" s="5">
        <f>IFERROR(VLOOKUP(ANV$1,'CERA Agresivo'!$B$23:$C$40,2,FALSE),0%)</f>
        <v>0</v>
      </c>
      <c r="ANW13" s="5">
        <f>IFERROR(VLOOKUP(ANW$1,'CERA Agresivo'!$B$23:$C$40,2,FALSE),0%)</f>
        <v>0</v>
      </c>
      <c r="ANX13" s="5">
        <f>IFERROR(VLOOKUP(ANX$1,'CERA Agresivo'!$B$23:$C$40,2,FALSE),0%)</f>
        <v>0</v>
      </c>
      <c r="ANY13" s="5">
        <f>IFERROR(VLOOKUP(ANY$1,'CERA Agresivo'!$B$23:$C$40,2,FALSE),0%)</f>
        <v>0</v>
      </c>
      <c r="ANZ13" s="5">
        <f>IFERROR(VLOOKUP(ANZ$1,'CERA Agresivo'!$B$23:$C$40,2,FALSE),0%)</f>
        <v>0</v>
      </c>
      <c r="AOA13" s="5">
        <f>IFERROR(VLOOKUP(AOA$1,'CERA Agresivo'!$B$23:$C$40,2,FALSE),0%)</f>
        <v>0</v>
      </c>
      <c r="AOB13" s="5">
        <f>IFERROR(VLOOKUP(AOB$1,'CERA Agresivo'!$B$23:$C$40,2,FALSE),0%)</f>
        <v>0</v>
      </c>
      <c r="AOC13" s="5">
        <f>IFERROR(VLOOKUP(AOC$1,'CERA Agresivo'!$B$23:$C$40,2,FALSE),0%)</f>
        <v>0</v>
      </c>
      <c r="AOD13" s="5">
        <f>IFERROR(VLOOKUP(AOD$1,'CERA Agresivo'!$B$23:$C$40,2,FALSE),0%)</f>
        <v>0</v>
      </c>
      <c r="AOE13" s="5">
        <f>IFERROR(VLOOKUP(AOE$1,'CERA Agresivo'!$B$23:$C$40,2,FALSE),0%)</f>
        <v>0</v>
      </c>
      <c r="AOF13" s="5">
        <f>IFERROR(VLOOKUP(AOF$1,'CERA Agresivo'!$B$23:$C$40,2,FALSE),0%)</f>
        <v>0</v>
      </c>
      <c r="AOG13" s="5">
        <f>IFERROR(VLOOKUP(AOG$1,'CERA Agresivo'!$B$23:$C$40,2,FALSE),0%)</f>
        <v>0</v>
      </c>
      <c r="AOH13" s="5">
        <f>IFERROR(VLOOKUP(AOH$1,'CERA Agresivo'!$B$23:$C$40,2,FALSE),0%)</f>
        <v>0</v>
      </c>
      <c r="AOI13" s="5">
        <f>IFERROR(VLOOKUP(AOI$1,'CERA Agresivo'!$B$23:$C$40,2,FALSE),0%)</f>
        <v>0</v>
      </c>
      <c r="AOJ13" s="5">
        <f>IFERROR(VLOOKUP(AOJ$1,'CERA Agresivo'!$B$23:$C$40,2,FALSE),0%)</f>
        <v>0</v>
      </c>
      <c r="AOK13" s="5">
        <f>IFERROR(VLOOKUP(AOK$1,'CERA Agresivo'!$B$23:$C$40,2,FALSE),0%)</f>
        <v>0</v>
      </c>
      <c r="AOL13" s="5">
        <f>IFERROR(VLOOKUP(AOL$1,'CERA Agresivo'!$B$23:$C$40,2,FALSE),0%)</f>
        <v>0</v>
      </c>
      <c r="AOM13" s="5">
        <f>IFERROR(VLOOKUP(AOM$1,'CERA Agresivo'!$B$23:$C$40,2,FALSE),0%)</f>
        <v>0</v>
      </c>
      <c r="AON13" s="5">
        <f>IFERROR(VLOOKUP(AON$1,'CERA Agresivo'!$B$23:$C$40,2,FALSE),0%)</f>
        <v>0</v>
      </c>
      <c r="AOO13" s="5">
        <f>IFERROR(VLOOKUP(AOO$1,'CERA Agresivo'!$B$23:$C$40,2,FALSE),0%)</f>
        <v>0</v>
      </c>
      <c r="AOP13" s="5">
        <f>IFERROR(VLOOKUP(AOP$1,'CERA Agresivo'!$B$23:$C$40,2,FALSE),0%)</f>
        <v>0</v>
      </c>
      <c r="AOQ13" s="5">
        <f>IFERROR(VLOOKUP(AOQ$1,'CERA Agresivo'!$B$23:$C$40,2,FALSE),0%)</f>
        <v>0</v>
      </c>
      <c r="AOR13" s="5">
        <f>IFERROR(VLOOKUP(AOR$1,'CERA Agresivo'!$B$23:$C$40,2,FALSE),0%)</f>
        <v>0</v>
      </c>
      <c r="AOS13" s="5">
        <f>IFERROR(VLOOKUP(AOS$1,'CERA Agresivo'!$B$23:$C$40,2,FALSE),0%)</f>
        <v>0</v>
      </c>
      <c r="AOT13" s="5">
        <f>IFERROR(VLOOKUP(AOT$1,'CERA Agresivo'!$B$23:$C$40,2,FALSE),0%)</f>
        <v>0</v>
      </c>
      <c r="AOU13" s="5">
        <f>IFERROR(VLOOKUP(AOU$1,'CERA Agresivo'!$B$23:$C$40,2,FALSE),0%)</f>
        <v>0</v>
      </c>
      <c r="AOV13" s="5">
        <f>IFERROR(VLOOKUP(AOV$1,'CERA Agresivo'!$B$23:$C$40,2,FALSE),0%)</f>
        <v>0</v>
      </c>
      <c r="AOW13" s="5">
        <f>IFERROR(VLOOKUP(AOW$1,'CERA Agresivo'!$B$23:$C$40,2,FALSE),0%)</f>
        <v>0</v>
      </c>
      <c r="AOX13" s="5">
        <f>IFERROR(VLOOKUP(AOX$1,'CERA Agresivo'!$B$23:$C$40,2,FALSE),0%)</f>
        <v>0</v>
      </c>
      <c r="AOY13" s="5">
        <f>IFERROR(VLOOKUP(AOY$1,'CERA Agresivo'!$B$23:$C$40,2,FALSE),0%)</f>
        <v>0</v>
      </c>
      <c r="AOZ13" s="5">
        <f>IFERROR(VLOOKUP(AOZ$1,'CERA Agresivo'!$B$23:$C$40,2,FALSE),0%)</f>
        <v>0</v>
      </c>
      <c r="APA13" s="5">
        <f>IFERROR(VLOOKUP(APA$1,'CERA Agresivo'!$B$23:$C$40,2,FALSE),0%)</f>
        <v>0</v>
      </c>
      <c r="APB13" s="5">
        <f>IFERROR(VLOOKUP(APB$1,'CERA Agresivo'!$B$23:$C$40,2,FALSE),0%)</f>
        <v>0</v>
      </c>
      <c r="APC13" s="5">
        <f>IFERROR(VLOOKUP(APC$1,'CERA Agresivo'!$B$23:$C$40,2,FALSE),0%)</f>
        <v>0</v>
      </c>
      <c r="APD13" s="5">
        <f>IFERROR(VLOOKUP(APD$1,'CERA Agresivo'!$B$23:$C$40,2,FALSE),0%)</f>
        <v>0</v>
      </c>
      <c r="APE13" s="5">
        <f>IFERROR(VLOOKUP(APE$1,'CERA Agresivo'!$B$23:$C$40,2,FALSE),0%)</f>
        <v>0</v>
      </c>
      <c r="APF13" s="5">
        <f>IFERROR(VLOOKUP(APF$1,'CERA Agresivo'!$B$23:$C$40,2,FALSE),0%)</f>
        <v>0</v>
      </c>
      <c r="APG13" s="5">
        <f>IFERROR(VLOOKUP(APG$1,'CERA Agresivo'!$B$23:$C$40,2,FALSE),0%)</f>
        <v>0</v>
      </c>
      <c r="APH13" s="5">
        <f>IFERROR(VLOOKUP(APH$1,'CERA Agresivo'!$B$23:$C$40,2,FALSE),0%)</f>
        <v>0</v>
      </c>
      <c r="API13" s="5">
        <f>IFERROR(VLOOKUP(API$1,'CERA Agresivo'!$B$23:$C$40,2,FALSE),0%)</f>
        <v>0</v>
      </c>
      <c r="APJ13" s="5">
        <f>IFERROR(VLOOKUP(APJ$1,'CERA Agresivo'!$B$23:$C$40,2,FALSE),0%)</f>
        <v>0</v>
      </c>
      <c r="APK13" s="5">
        <f>IFERROR(VLOOKUP(APK$1,'CERA Agresivo'!$B$23:$C$40,2,FALSE),0%)</f>
        <v>0</v>
      </c>
      <c r="APL13" s="5">
        <f>IFERROR(VLOOKUP(APL$1,'CERA Agresivo'!$B$23:$C$40,2,FALSE),0%)</f>
        <v>0</v>
      </c>
      <c r="APM13" s="5">
        <f>IFERROR(VLOOKUP(APM$1,'CERA Agresivo'!$B$23:$C$40,2,FALSE),0%)</f>
        <v>0</v>
      </c>
      <c r="APN13" s="5">
        <f>IFERROR(VLOOKUP(APN$1,'CERA Agresivo'!$B$23:$C$40,2,FALSE),0%)</f>
        <v>0</v>
      </c>
      <c r="APO13" s="5">
        <f>IFERROR(VLOOKUP(APO$1,'CERA Agresivo'!$B$23:$C$40,2,FALSE),0%)</f>
        <v>0</v>
      </c>
      <c r="APP13" s="5">
        <f>IFERROR(VLOOKUP(APP$1,'CERA Agresivo'!$B$23:$C$40,2,FALSE),0%)</f>
        <v>0</v>
      </c>
      <c r="APQ13" s="5">
        <f>IFERROR(VLOOKUP(APQ$1,'CERA Agresivo'!$B$23:$C$40,2,FALSE),0%)</f>
        <v>0</v>
      </c>
      <c r="APR13" s="5">
        <f>IFERROR(VLOOKUP(APR$1,'CERA Agresivo'!$B$23:$C$40,2,FALSE),0%)</f>
        <v>0</v>
      </c>
      <c r="APS13" s="5">
        <f>IFERROR(VLOOKUP(APS$1,'CERA Agresivo'!$B$23:$C$40,2,FALSE),0%)</f>
        <v>0</v>
      </c>
      <c r="APT13" s="5">
        <f>IFERROR(VLOOKUP(APT$1,'CERA Agresivo'!$B$23:$C$40,2,FALSE),0%)</f>
        <v>0</v>
      </c>
      <c r="APU13" s="5">
        <f>IFERROR(VLOOKUP(APU$1,'CERA Agresivo'!$B$23:$C$40,2,FALSE),0%)</f>
        <v>0</v>
      </c>
      <c r="APV13" s="5">
        <f>IFERROR(VLOOKUP(APV$1,'CERA Agresivo'!$B$23:$C$40,2,FALSE),0%)</f>
        <v>0</v>
      </c>
      <c r="APW13" s="5">
        <f>IFERROR(VLOOKUP(APW$1,'CERA Agresivo'!$B$23:$C$40,2,FALSE),0%)</f>
        <v>0</v>
      </c>
      <c r="APX13" s="5">
        <f>IFERROR(VLOOKUP(APX$1,'CERA Agresivo'!$B$23:$C$40,2,FALSE),0%)</f>
        <v>0</v>
      </c>
      <c r="APY13" s="5">
        <f>IFERROR(VLOOKUP(APY$1,'CERA Agresivo'!$B$23:$C$40,2,FALSE),0%)</f>
        <v>0</v>
      </c>
      <c r="APZ13" s="5">
        <f>IFERROR(VLOOKUP(APZ$1,'CERA Agresivo'!$B$23:$C$40,2,FALSE),0%)</f>
        <v>0</v>
      </c>
      <c r="AQA13" s="5">
        <f>IFERROR(VLOOKUP(AQA$1,'CERA Agresivo'!$B$23:$C$40,2,FALSE),0%)</f>
        <v>0</v>
      </c>
      <c r="AQB13" s="5">
        <f>IFERROR(VLOOKUP(AQB$1,'CERA Agresivo'!$B$23:$C$40,2,FALSE),0%)</f>
        <v>0</v>
      </c>
      <c r="AQC13" s="5">
        <f>IFERROR(VLOOKUP(AQC$1,'CERA Agresivo'!$B$23:$C$40,2,FALSE),0%)</f>
        <v>0</v>
      </c>
      <c r="AQD13" s="5">
        <f>IFERROR(VLOOKUP(AQD$1,'CERA Agresivo'!$B$23:$C$40,2,FALSE),0%)</f>
        <v>0</v>
      </c>
      <c r="AQE13" s="5">
        <f>IFERROR(VLOOKUP(AQE$1,'CERA Agresivo'!$B$23:$C$40,2,FALSE),0%)</f>
        <v>0</v>
      </c>
      <c r="AQF13" s="5">
        <f>IFERROR(VLOOKUP(AQF$1,'CERA Agresivo'!$B$23:$C$40,2,FALSE),0%)</f>
        <v>0</v>
      </c>
      <c r="AQG13" s="5">
        <f>IFERROR(VLOOKUP(AQG$1,'CERA Agresivo'!$B$23:$C$40,2,FALSE),0%)</f>
        <v>0</v>
      </c>
      <c r="AQH13" s="5">
        <f>IFERROR(VLOOKUP(AQH$1,'CERA Agresivo'!$B$23:$C$40,2,FALSE),0%)</f>
        <v>0</v>
      </c>
      <c r="AQI13" s="5">
        <f>IFERROR(VLOOKUP(AQI$1,'CERA Agresivo'!$B$23:$C$40,2,FALSE),0%)</f>
        <v>0</v>
      </c>
      <c r="AQJ13" s="5">
        <f>IFERROR(VLOOKUP(AQJ$1,'CERA Agresivo'!$B$23:$C$40,2,FALSE),0%)</f>
        <v>0</v>
      </c>
      <c r="AQK13" s="5">
        <f>IFERROR(VLOOKUP(AQK$1,'CERA Agresivo'!$B$23:$C$40,2,FALSE),0%)</f>
        <v>0</v>
      </c>
      <c r="AQL13" s="5">
        <f>IFERROR(VLOOKUP(AQL$1,'CERA Agresivo'!$B$23:$C$40,2,FALSE),0%)</f>
        <v>0</v>
      </c>
      <c r="AQM13" s="5">
        <f>IFERROR(VLOOKUP(AQM$1,'CERA Agresivo'!$B$23:$C$40,2,FALSE),0%)</f>
        <v>0</v>
      </c>
      <c r="AQN13" s="5">
        <f>IFERROR(VLOOKUP(AQN$1,'CERA Agresivo'!$B$23:$C$40,2,FALSE),0%)</f>
        <v>0</v>
      </c>
      <c r="AQO13" s="5">
        <f>IFERROR(VLOOKUP(AQO$1,'CERA Agresivo'!$B$23:$C$40,2,FALSE),0%)</f>
        <v>0</v>
      </c>
      <c r="AQP13" s="5">
        <f>IFERROR(VLOOKUP(AQP$1,'CERA Agresivo'!$B$23:$C$40,2,FALSE),0%)</f>
        <v>0</v>
      </c>
      <c r="AQQ13" s="5">
        <f>IFERROR(VLOOKUP(AQQ$1,'CERA Agresivo'!$B$23:$C$40,2,FALSE),0%)</f>
        <v>0</v>
      </c>
      <c r="AQR13" s="5">
        <f>IFERROR(VLOOKUP(AQR$1,'CERA Agresivo'!$B$23:$C$40,2,FALSE),0%)</f>
        <v>0</v>
      </c>
      <c r="AQS13" s="5">
        <f>IFERROR(VLOOKUP(AQS$1,'CERA Agresivo'!$B$23:$C$40,2,FALSE),0%)</f>
        <v>0</v>
      </c>
      <c r="AQT13" s="5">
        <f>IFERROR(VLOOKUP(AQT$1,'CERA Agresivo'!$B$23:$C$40,2,FALSE),0%)</f>
        <v>0</v>
      </c>
      <c r="AQU13" s="5">
        <f>IFERROR(VLOOKUP(AQU$1,'CERA Agresivo'!$B$23:$C$40,2,FALSE),0%)</f>
        <v>0.04104614977</v>
      </c>
      <c r="AQV13" s="5">
        <f>IFERROR(VLOOKUP(AQV$1,'CERA Agresivo'!$B$23:$C$40,2,FALSE),0%)</f>
        <v>0</v>
      </c>
      <c r="AQW13" s="5">
        <f>IFERROR(VLOOKUP(AQW$1,'CERA Agresivo'!$B$23:$C$40,2,FALSE),0%)</f>
        <v>0</v>
      </c>
      <c r="AQX13" s="5">
        <f>IFERROR(VLOOKUP(AQX$1,'CERA Agresivo'!$B$23:$C$40,2,FALSE),0%)</f>
        <v>0</v>
      </c>
      <c r="AQY13" s="5">
        <f>IFERROR(VLOOKUP(AQY$1,'CERA Agresivo'!$B$23:$C$40,2,FALSE),0%)</f>
        <v>0</v>
      </c>
      <c r="AQZ13" s="5">
        <f>IFERROR(VLOOKUP(AQZ$1,'CERA Agresivo'!$B$23:$C$40,2,FALSE),0%)</f>
        <v>0</v>
      </c>
      <c r="ARA13" s="5">
        <f>IFERROR(VLOOKUP(ARA$1,'CERA Agresivo'!$B$23:$C$40,2,FALSE),0%)</f>
        <v>0</v>
      </c>
      <c r="ARB13" s="5">
        <f>IFERROR(VLOOKUP(ARB$1,'CERA Agresivo'!$B$23:$C$40,2,FALSE),0%)</f>
        <v>0</v>
      </c>
      <c r="ARC13" s="5">
        <f>IFERROR(VLOOKUP(ARC$1,'CERA Agresivo'!$B$23:$C$40,2,FALSE),0%)</f>
        <v>0</v>
      </c>
      <c r="ARD13" s="5">
        <f>IFERROR(VLOOKUP(ARD$1,'CERA Agresivo'!$B$23:$C$40,2,FALSE),0%)</f>
        <v>0</v>
      </c>
      <c r="ARE13" s="5">
        <f>IFERROR(VLOOKUP(ARE$1,'CERA Agresivo'!$B$23:$C$40,2,FALSE),0%)</f>
        <v>0</v>
      </c>
      <c r="ARF13" s="5">
        <f>IFERROR(VLOOKUP(ARF$1,'CERA Agresivo'!$B$23:$C$40,2,FALSE),0%)</f>
        <v>0</v>
      </c>
      <c r="ARG13" s="5">
        <f>IFERROR(VLOOKUP(ARG$1,'CERA Agresivo'!$B$23:$C$40,2,FALSE),0%)</f>
        <v>0</v>
      </c>
      <c r="ARH13" s="5">
        <f>IFERROR(VLOOKUP(ARH$1,'CERA Agresivo'!$B$23:$C$40,2,FALSE),0%)</f>
        <v>0</v>
      </c>
      <c r="ARI13" s="5">
        <f>IFERROR(VLOOKUP(ARI$1,'CERA Agresivo'!$B$23:$C$40,2,FALSE),0%)</f>
        <v>0</v>
      </c>
      <c r="ARJ13" s="5">
        <f>IFERROR(VLOOKUP(ARJ$1,'CERA Agresivo'!$B$23:$C$40,2,FALSE),0%)</f>
        <v>0</v>
      </c>
      <c r="ARK13" s="5">
        <f>IFERROR(VLOOKUP(ARK$1,'CERA Agresivo'!$B$23:$C$40,2,FALSE),0%)</f>
        <v>0</v>
      </c>
      <c r="ARL13" s="5">
        <f>IFERROR(VLOOKUP(ARL$1,'CERA Agresivo'!$B$23:$C$40,2,FALSE),0%)</f>
        <v>0</v>
      </c>
      <c r="ARM13" s="5">
        <f>IFERROR(VLOOKUP(ARM$1,'CERA Agresivo'!$B$23:$C$40,2,FALSE),0%)</f>
        <v>0</v>
      </c>
      <c r="ARN13" s="5">
        <f>IFERROR(VLOOKUP(ARN$1,'CERA Agresivo'!$B$23:$C$40,2,FALSE),0%)</f>
        <v>0</v>
      </c>
      <c r="ARO13" s="5">
        <f>IFERROR(VLOOKUP(ARO$1,'CERA Agresivo'!$B$23:$C$40,2,FALSE),0%)</f>
        <v>0</v>
      </c>
      <c r="ARP13" s="5">
        <f>IFERROR(VLOOKUP(ARP$1,'CERA Agresivo'!$B$23:$C$40,2,FALSE),0%)</f>
        <v>0</v>
      </c>
      <c r="ARQ13" s="5">
        <f>IFERROR(VLOOKUP(ARQ$1,'CERA Agresivo'!$B$23:$C$40,2,FALSE),0%)</f>
        <v>0</v>
      </c>
      <c r="ARR13" s="5">
        <f>IFERROR(VLOOKUP(ARR$1,'CERA Agresivo'!$B$23:$C$40,2,FALSE),0%)</f>
        <v>0</v>
      </c>
      <c r="ARS13" s="5">
        <f>IFERROR(VLOOKUP(ARS$1,'CERA Agresivo'!$B$23:$C$40,2,FALSE),0%)</f>
        <v>0</v>
      </c>
      <c r="ART13" s="5">
        <f>IFERROR(VLOOKUP(ART$1,'CERA Agresivo'!$B$23:$C$40,2,FALSE),0%)</f>
        <v>0</v>
      </c>
      <c r="ARU13" s="5">
        <f>IFERROR(VLOOKUP(ARU$1,'CERA Agresivo'!$B$23:$C$40,2,FALSE),0%)</f>
        <v>0</v>
      </c>
      <c r="ARV13" s="5">
        <f>IFERROR(VLOOKUP(ARV$1,'CERA Agresivo'!$B$23:$C$40,2,FALSE),0%)</f>
        <v>0</v>
      </c>
      <c r="ARW13" s="5">
        <f>IFERROR(VLOOKUP(ARW$1,'CERA Agresivo'!$B$23:$C$40,2,FALSE),0%)</f>
        <v>0</v>
      </c>
      <c r="ARX13" s="5">
        <f>IFERROR(VLOOKUP(ARX$1,'CERA Agresivo'!$B$23:$C$40,2,FALSE),0%)</f>
        <v>0</v>
      </c>
      <c r="ARY13" s="5">
        <f>IFERROR(VLOOKUP(ARY$1,'CERA Agresivo'!$B$23:$C$40,2,FALSE),0%)</f>
        <v>0</v>
      </c>
      <c r="ARZ13" s="5">
        <f>IFERROR(VLOOKUP(ARZ$1,'CERA Agresivo'!$B$23:$C$40,2,FALSE),0%)</f>
        <v>0</v>
      </c>
      <c r="ASA13" s="5">
        <f>IFERROR(VLOOKUP(ASA$1,'CERA Agresivo'!$B$23:$C$40,2,FALSE),0%)</f>
        <v>0</v>
      </c>
      <c r="ASB13" s="5">
        <f>IFERROR(VLOOKUP(ASB$1,'CERA Agresivo'!$B$23:$C$40,2,FALSE),0%)</f>
        <v>0</v>
      </c>
      <c r="ASC13" s="5">
        <f>IFERROR(VLOOKUP(ASC$1,'CERA Agresivo'!$B$23:$C$40,2,FALSE),0%)</f>
        <v>0</v>
      </c>
      <c r="ASD13" s="5">
        <f>IFERROR(VLOOKUP(ASD$1,'CERA Agresivo'!$B$23:$C$40,2,FALSE),0%)</f>
        <v>0</v>
      </c>
      <c r="ASE13" s="5">
        <f>IFERROR(VLOOKUP(ASE$1,'CERA Agresivo'!$B$23:$C$40,2,FALSE),0%)</f>
        <v>0</v>
      </c>
      <c r="ASF13" s="5">
        <f>IFERROR(VLOOKUP(ASF$1,'CERA Agresivo'!$B$23:$C$40,2,FALSE),0%)</f>
        <v>0</v>
      </c>
      <c r="ASG13" s="5">
        <f>IFERROR(VLOOKUP(ASG$1,'CERA Agresivo'!$B$23:$C$40,2,FALSE),0%)</f>
        <v>0</v>
      </c>
      <c r="ASH13" s="5">
        <f>IFERROR(VLOOKUP(ASH$1,'CERA Agresivo'!$B$23:$C$40,2,FALSE),0%)</f>
        <v>0</v>
      </c>
      <c r="ASI13" s="5">
        <f>IFERROR(VLOOKUP(ASI$1,'CERA Agresivo'!$B$23:$C$40,2,FALSE),0%)</f>
        <v>0</v>
      </c>
      <c r="ASJ13" s="5">
        <f>IFERROR(VLOOKUP(ASJ$1,'CERA Agresivo'!$B$23:$C$40,2,FALSE),0%)</f>
        <v>0</v>
      </c>
      <c r="ASK13" s="5">
        <f>IFERROR(VLOOKUP(ASK$1,'CERA Agresivo'!$B$23:$C$40,2,FALSE),0%)</f>
        <v>0</v>
      </c>
      <c r="ASL13" s="5">
        <f>IFERROR(VLOOKUP(ASL$1,'CERA Agresivo'!$B$23:$C$40,2,FALSE),0%)</f>
        <v>0</v>
      </c>
      <c r="ASM13" s="5">
        <f>IFERROR(VLOOKUP(ASM$1,'CERA Agresivo'!$B$23:$C$40,2,FALSE),0%)</f>
        <v>0</v>
      </c>
      <c r="ASN13" s="5">
        <f>IFERROR(VLOOKUP(ASN$1,'CERA Agresivo'!$B$23:$C$40,2,FALSE),0%)</f>
        <v>0</v>
      </c>
      <c r="ASO13" s="5">
        <f>IFERROR(VLOOKUP(ASO$1,'CERA Agresivo'!$B$23:$C$40,2,FALSE),0%)</f>
        <v>0</v>
      </c>
      <c r="ASP13" s="5">
        <f>IFERROR(VLOOKUP(ASP$1,'CERA Agresivo'!$B$23:$C$40,2,FALSE),0%)</f>
        <v>0</v>
      </c>
      <c r="ASQ13" s="5">
        <f>IFERROR(VLOOKUP(ASQ$1,'CERA Agresivo'!$B$23:$C$40,2,FALSE),0%)</f>
        <v>0</v>
      </c>
      <c r="ASR13" s="5">
        <f>IFERROR(VLOOKUP(ASR$1,'CERA Agresivo'!$B$23:$C$40,2,FALSE),0%)</f>
        <v>0</v>
      </c>
      <c r="ASS13" s="5">
        <f>IFERROR(VLOOKUP(ASS$1,'CERA Agresivo'!$B$23:$C$40,2,FALSE),0%)</f>
        <v>0</v>
      </c>
      <c r="AST13" s="5">
        <f>IFERROR(VLOOKUP(AST$1,'CERA Agresivo'!$B$23:$C$40,2,FALSE),0%)</f>
        <v>0</v>
      </c>
      <c r="ASU13" s="5">
        <f>IFERROR(VLOOKUP(ASU$1,'CERA Agresivo'!$B$23:$C$40,2,FALSE),0%)</f>
        <v>0</v>
      </c>
      <c r="ASV13" s="5">
        <f>IFERROR(VLOOKUP(ASV$1,'CERA Agresivo'!$B$23:$C$40,2,FALSE),0%)</f>
        <v>0</v>
      </c>
      <c r="ASW13" s="5">
        <f>IFERROR(VLOOKUP(ASW$1,'CERA Agresivo'!$B$23:$C$40,2,FALSE),0%)</f>
        <v>0</v>
      </c>
      <c r="ASX13" s="5">
        <f>IFERROR(VLOOKUP(ASX$1,'CERA Agresivo'!$B$23:$C$40,2,FALSE),0%)</f>
        <v>0</v>
      </c>
      <c r="ASY13" s="5">
        <f>IFERROR(VLOOKUP(ASY$1,'CERA Agresivo'!$B$23:$C$40,2,FALSE),0%)</f>
        <v>0</v>
      </c>
      <c r="ASZ13" s="5">
        <f>IFERROR(VLOOKUP(ASZ$1,'CERA Agresivo'!$B$23:$C$40,2,FALSE),0%)</f>
        <v>0</v>
      </c>
      <c r="ATA13" s="5">
        <f>IFERROR(VLOOKUP(ATA$1,'CERA Agresivo'!$B$23:$C$40,2,FALSE),0%)</f>
        <v>0</v>
      </c>
      <c r="ATB13" s="5">
        <f>IFERROR(VLOOKUP(ATB$1,'CERA Agresivo'!$B$23:$C$40,2,FALSE),0%)</f>
        <v>0</v>
      </c>
      <c r="ATC13" s="5">
        <f>IFERROR(VLOOKUP(ATC$1,'CERA Agresivo'!$B$23:$C$40,2,FALSE),0%)</f>
        <v>0</v>
      </c>
      <c r="ATD13" s="5">
        <f>IFERROR(VLOOKUP(ATD$1,'CERA Agresivo'!$B$23:$C$40,2,FALSE),0%)</f>
        <v>0</v>
      </c>
      <c r="ATE13" s="5">
        <f>IFERROR(VLOOKUP(ATE$1,'CERA Agresivo'!$B$23:$C$40,2,FALSE),0%)</f>
        <v>0</v>
      </c>
      <c r="ATF13" s="5">
        <f>IFERROR(VLOOKUP(ATF$1,'CERA Agresivo'!$B$23:$C$40,2,FALSE),0%)</f>
        <v>0</v>
      </c>
      <c r="ATG13" s="5">
        <f>IFERROR(VLOOKUP(ATG$1,'CERA Agresivo'!$B$23:$C$40,2,FALSE),0%)</f>
        <v>0</v>
      </c>
      <c r="ATH13" s="5">
        <f>IFERROR(VLOOKUP(ATH$1,'CERA Agresivo'!$B$23:$C$40,2,FALSE),0%)</f>
        <v>0</v>
      </c>
      <c r="ATI13" s="5">
        <f>IFERROR(VLOOKUP(ATI$1,'CERA Agresivo'!$B$23:$C$40,2,FALSE),0%)</f>
        <v>0</v>
      </c>
      <c r="ATJ13" s="5">
        <f>IFERROR(VLOOKUP(ATJ$1,'CERA Agresivo'!$B$23:$C$40,2,FALSE),0%)</f>
        <v>0</v>
      </c>
      <c r="ATK13" s="5">
        <f>IFERROR(VLOOKUP(ATK$1,'CERA Agresivo'!$B$23:$C$40,2,FALSE),0%)</f>
        <v>0</v>
      </c>
      <c r="ATL13" s="5">
        <f>IFERROR(VLOOKUP(ATL$1,'CERA Agresivo'!$B$23:$C$40,2,FALSE),0%)</f>
        <v>0</v>
      </c>
      <c r="ATM13" s="5">
        <f>IFERROR(VLOOKUP(ATM$1,'CERA Agresivo'!$B$23:$C$40,2,FALSE),0%)</f>
        <v>0</v>
      </c>
      <c r="ATN13" s="5">
        <f>IFERROR(VLOOKUP(ATN$1,'CERA Agresivo'!$B$23:$C$40,2,FALSE),0%)</f>
        <v>0</v>
      </c>
      <c r="ATO13" s="5">
        <f>IFERROR(VLOOKUP(ATO$1,'CERA Agresivo'!$B$23:$C$40,2,FALSE),0%)</f>
        <v>0</v>
      </c>
      <c r="ATP13" s="5">
        <f>IFERROR(VLOOKUP(ATP$1,'CERA Agresivo'!$B$23:$C$40,2,FALSE),0%)</f>
        <v>0</v>
      </c>
      <c r="ATQ13" s="5">
        <f>IFERROR(VLOOKUP(ATQ$1,'CERA Agresivo'!$B$23:$C$40,2,FALSE),0%)</f>
        <v>0</v>
      </c>
      <c r="ATR13" s="5">
        <f>IFERROR(VLOOKUP(ATR$1,'CERA Agresivo'!$B$23:$C$40,2,FALSE),0%)</f>
        <v>0</v>
      </c>
      <c r="ATS13" s="5">
        <f>IFERROR(VLOOKUP(ATS$1,'CERA Agresivo'!$B$23:$C$40,2,FALSE),0%)</f>
        <v>0</v>
      </c>
      <c r="ATT13" s="5">
        <f>IFERROR(VLOOKUP(ATT$1,'CERA Agresivo'!$B$23:$C$40,2,FALSE),0%)</f>
        <v>0</v>
      </c>
      <c r="ATU13" s="5">
        <f>IFERROR(VLOOKUP(ATU$1,'CERA Agresivo'!$B$23:$C$40,2,FALSE),0%)</f>
        <v>0</v>
      </c>
      <c r="ATV13" s="5">
        <f>IFERROR(VLOOKUP(ATV$1,'CERA Agresivo'!$B$23:$C$40,2,FALSE),0%)</f>
        <v>0</v>
      </c>
      <c r="ATW13" s="5">
        <f>IFERROR(VLOOKUP(ATW$1,'CERA Agresivo'!$B$23:$C$40,2,FALSE),0%)</f>
        <v>0</v>
      </c>
      <c r="ATX13" s="5">
        <f>IFERROR(VLOOKUP(ATX$1,'CERA Agresivo'!$B$23:$C$40,2,FALSE),0%)</f>
        <v>0</v>
      </c>
      <c r="ATY13" s="5">
        <f>IFERROR(VLOOKUP(ATY$1,'CERA Agresivo'!$B$23:$C$40,2,FALSE),0%)</f>
        <v>0</v>
      </c>
      <c r="ATZ13" s="5">
        <f>IFERROR(VLOOKUP(ATZ$1,'CERA Agresivo'!$B$23:$C$40,2,FALSE),0%)</f>
        <v>0</v>
      </c>
      <c r="AUA13" s="5">
        <f>IFERROR(VLOOKUP(AUA$1,'CERA Agresivo'!$B$23:$C$40,2,FALSE),0%)</f>
        <v>0</v>
      </c>
      <c r="AUB13" s="5">
        <f>IFERROR(VLOOKUP(AUB$1,'CERA Agresivo'!$B$23:$C$40,2,FALSE),0%)</f>
        <v>0</v>
      </c>
      <c r="AUC13" s="5">
        <f>IFERROR(VLOOKUP(AUC$1,'CERA Agresivo'!$B$23:$C$40,2,FALSE),0%)</f>
        <v>0</v>
      </c>
      <c r="AUD13" s="5">
        <f>IFERROR(VLOOKUP(AUD$1,'CERA Agresivo'!$B$23:$C$40,2,FALSE),0%)</f>
        <v>0</v>
      </c>
      <c r="AUE13" s="5">
        <f>IFERROR(VLOOKUP(AUE$1,'CERA Agresivo'!$B$23:$C$40,2,FALSE),0%)</f>
        <v>0</v>
      </c>
      <c r="AUF13" s="5">
        <f>IFERROR(VLOOKUP(AUF$1,'CERA Agresivo'!$B$23:$C$40,2,FALSE),0%)</f>
        <v>0</v>
      </c>
      <c r="AUG13" s="5">
        <f>IFERROR(VLOOKUP(AUG$1,'CERA Agresivo'!$B$23:$C$40,2,FALSE),0%)</f>
        <v>0</v>
      </c>
      <c r="AUH13" s="5">
        <f>IFERROR(VLOOKUP(AUH$1,'CERA Agresivo'!$B$23:$C$40,2,FALSE),0%)</f>
        <v>0</v>
      </c>
      <c r="AUI13" s="5">
        <f>IFERROR(VLOOKUP(AUI$1,'CERA Agresivo'!$B$23:$C$40,2,FALSE),0%)</f>
        <v>0</v>
      </c>
      <c r="AUJ13" s="5">
        <f>IFERROR(VLOOKUP(AUJ$1,'CERA Agresivo'!$B$23:$C$40,2,FALSE),0%)</f>
        <v>0</v>
      </c>
      <c r="AUK13" s="5">
        <f>IFERROR(VLOOKUP(AUK$1,'CERA Agresivo'!$B$23:$C$40,2,FALSE),0%)</f>
        <v>0</v>
      </c>
      <c r="AUL13" s="5">
        <f>IFERROR(VLOOKUP(AUL$1,'CERA Agresivo'!$B$23:$C$40,2,FALSE),0%)</f>
        <v>0</v>
      </c>
      <c r="AUM13" s="5">
        <f>IFERROR(VLOOKUP(AUM$1,'CERA Agresivo'!$B$23:$C$40,2,FALSE),0%)</f>
        <v>0</v>
      </c>
      <c r="AUN13" s="5">
        <f>IFERROR(VLOOKUP(AUN$1,'CERA Agresivo'!$B$23:$C$40,2,FALSE),0%)</f>
        <v>0</v>
      </c>
      <c r="AUO13" s="5">
        <f>IFERROR(VLOOKUP(AUO$1,'CERA Agresivo'!$B$23:$C$40,2,FALSE),0%)</f>
        <v>0</v>
      </c>
      <c r="AUP13" s="5">
        <f>IFERROR(VLOOKUP(AUP$1,'CERA Agresivo'!$B$23:$C$40,2,FALSE),0%)</f>
        <v>0</v>
      </c>
      <c r="AUQ13" s="5">
        <f>IFERROR(VLOOKUP(AUQ$1,'CERA Agresivo'!$B$23:$C$40,2,FALSE),0%)</f>
        <v>0</v>
      </c>
      <c r="AUR13" s="5">
        <f>IFERROR(VLOOKUP(AUR$1,'CERA Agresivo'!$B$23:$C$40,2,FALSE),0%)</f>
        <v>0</v>
      </c>
      <c r="AUS13" s="5">
        <f>IFERROR(VLOOKUP(AUS$1,'CERA Agresivo'!$B$23:$C$40,2,FALSE),0%)</f>
        <v>0</v>
      </c>
      <c r="AUT13" s="5">
        <f>IFERROR(VLOOKUP(AUT$1,'CERA Agresivo'!$B$23:$C$40,2,FALSE),0%)</f>
        <v>0</v>
      </c>
      <c r="AUU13" s="5">
        <f>IFERROR(VLOOKUP(AUU$1,'CERA Agresivo'!$B$23:$C$40,2,FALSE),0%)</f>
        <v>0</v>
      </c>
      <c r="AUV13" s="5">
        <f>IFERROR(VLOOKUP(AUV$1,'CERA Agresivo'!$B$23:$C$40,2,FALSE),0%)</f>
        <v>0</v>
      </c>
      <c r="AUW13" s="5">
        <f>IFERROR(VLOOKUP(AUW$1,'CERA Agresivo'!$B$23:$C$40,2,FALSE),0%)</f>
        <v>0</v>
      </c>
      <c r="AUX13" s="5">
        <f>IFERROR(VLOOKUP(AUX$1,'CERA Agresivo'!$B$23:$C$40,2,FALSE),0%)</f>
        <v>0</v>
      </c>
      <c r="AUY13" s="5">
        <f>IFERROR(VLOOKUP(AUY$1,'CERA Agresivo'!$B$23:$C$40,2,FALSE),0%)</f>
        <v>0</v>
      </c>
      <c r="AUZ13" s="5">
        <f>IFERROR(VLOOKUP(AUZ$1,'CERA Agresivo'!$B$23:$C$40,2,FALSE),0%)</f>
        <v>0</v>
      </c>
      <c r="AVA13" s="5">
        <f>IFERROR(VLOOKUP(AVA$1,'CERA Agresivo'!$B$23:$C$40,2,FALSE),0%)</f>
        <v>0</v>
      </c>
      <c r="AVB13" s="5">
        <f>IFERROR(VLOOKUP(AVB$1,'CERA Agresivo'!$B$23:$C$40,2,FALSE),0%)</f>
        <v>0</v>
      </c>
      <c r="AVC13" s="5">
        <f>IFERROR(VLOOKUP(AVC$1,'CERA Agresivo'!$B$23:$C$40,2,FALSE),0%)</f>
        <v>0</v>
      </c>
      <c r="AVD13" s="5">
        <f>IFERROR(VLOOKUP(AVD$1,'CERA Agresivo'!$B$23:$C$40,2,FALSE),0%)</f>
        <v>0</v>
      </c>
      <c r="AVE13" s="5">
        <f>IFERROR(VLOOKUP(AVE$1,'CERA Agresivo'!$B$23:$C$40,2,FALSE),0%)</f>
        <v>0</v>
      </c>
      <c r="AVF13" s="5">
        <f>IFERROR(VLOOKUP(AVF$1,'CERA Agresivo'!$B$23:$C$40,2,FALSE),0%)</f>
        <v>0</v>
      </c>
      <c r="AVG13" s="5">
        <f>IFERROR(VLOOKUP(AVG$1,'CERA Agresivo'!$B$23:$C$40,2,FALSE),0%)</f>
        <v>0</v>
      </c>
      <c r="AVH13" s="5">
        <f>IFERROR(VLOOKUP(AVH$1,'CERA Agresivo'!$B$23:$C$40,2,FALSE),0%)</f>
        <v>0</v>
      </c>
      <c r="AVI13" s="5">
        <f>IFERROR(VLOOKUP(AVI$1,'CERA Agresivo'!$B$23:$C$40,2,FALSE),0%)</f>
        <v>0</v>
      </c>
      <c r="AVJ13" s="5">
        <f>IFERROR(VLOOKUP(AVJ$1,'CERA Agresivo'!$B$23:$C$40,2,FALSE),0%)</f>
        <v>0</v>
      </c>
      <c r="AVK13" s="5">
        <f>IFERROR(VLOOKUP(AVK$1,'CERA Agresivo'!$B$23:$C$40,2,FALSE),0%)</f>
        <v>0</v>
      </c>
      <c r="AVL13" s="5">
        <f>IFERROR(VLOOKUP(AVL$1,'CERA Agresivo'!$B$23:$C$40,2,FALSE),0%)</f>
        <v>0</v>
      </c>
      <c r="AVM13" s="5">
        <f>IFERROR(VLOOKUP(AVM$1,'CERA Agresivo'!$B$23:$C$40,2,FALSE),0%)</f>
        <v>0</v>
      </c>
      <c r="AVN13" s="5">
        <f>IFERROR(VLOOKUP(AVN$1,'CERA Agresivo'!$B$23:$C$40,2,FALSE),0%)</f>
        <v>0</v>
      </c>
      <c r="AVO13" s="5">
        <f>IFERROR(VLOOKUP(AVO$1,'CERA Agresivo'!$B$23:$C$40,2,FALSE),0%)</f>
        <v>0</v>
      </c>
      <c r="AVP13" s="5">
        <f>IFERROR(VLOOKUP(AVP$1,'CERA Agresivo'!$B$23:$C$40,2,FALSE),0%)</f>
        <v>0</v>
      </c>
      <c r="AVQ13" s="5">
        <f>IFERROR(VLOOKUP(AVQ$1,'CERA Agresivo'!$B$23:$C$40,2,FALSE),0%)</f>
        <v>0</v>
      </c>
      <c r="AVR13" s="5">
        <f>IFERROR(VLOOKUP(AVR$1,'CERA Agresivo'!$B$23:$C$40,2,FALSE),0%)</f>
        <v>0</v>
      </c>
      <c r="AVS13" s="5">
        <f>IFERROR(VLOOKUP(AVS$1,'CERA Agresivo'!$B$23:$C$40,2,FALSE),0%)</f>
        <v>0</v>
      </c>
      <c r="AVT13" s="5">
        <f>IFERROR(VLOOKUP(AVT$1,'CERA Agresivo'!$B$23:$C$40,2,FALSE),0%)</f>
        <v>0</v>
      </c>
      <c r="AVU13" s="5">
        <f>IFERROR(VLOOKUP(AVU$1,'CERA Agresivo'!$B$23:$C$40,2,FALSE),0%)</f>
        <v>0</v>
      </c>
      <c r="AVV13" s="5">
        <f>IFERROR(VLOOKUP(AVV$1,'CERA Agresivo'!$B$23:$C$40,2,FALSE),0%)</f>
        <v>0</v>
      </c>
      <c r="AVW13" s="5">
        <f>IFERROR(VLOOKUP(AVW$1,'CERA Agresivo'!$B$23:$C$40,2,FALSE),0%)</f>
        <v>0</v>
      </c>
      <c r="AVX13" s="5">
        <f>IFERROR(VLOOKUP(AVX$1,'CERA Agresivo'!$B$23:$C$40,2,FALSE),0%)</f>
        <v>0</v>
      </c>
      <c r="AVY13" s="5">
        <f>IFERROR(VLOOKUP(AVY$1,'CERA Agresivo'!$B$23:$C$40,2,FALSE),0%)</f>
        <v>0</v>
      </c>
      <c r="AVZ13" s="5">
        <f>IFERROR(VLOOKUP(AVZ$1,'CERA Agresivo'!$B$23:$C$40,2,FALSE),0%)</f>
        <v>0</v>
      </c>
      <c r="AWA13" s="5">
        <f>IFERROR(VLOOKUP(AWA$1,'CERA Agresivo'!$B$23:$C$40,2,FALSE),0%)</f>
        <v>0</v>
      </c>
      <c r="AWB13" s="5">
        <f>IFERROR(VLOOKUP(AWB$1,'CERA Agresivo'!$B$23:$C$40,2,FALSE),0%)</f>
        <v>0</v>
      </c>
      <c r="AWC13" s="5">
        <f>IFERROR(VLOOKUP(AWC$1,'CERA Agresivo'!$B$23:$C$40,2,FALSE),0%)</f>
        <v>0</v>
      </c>
      <c r="AWD13" s="5">
        <f>IFERROR(VLOOKUP(AWD$1,'CERA Agresivo'!$B$23:$C$40,2,FALSE),0%)</f>
        <v>0</v>
      </c>
      <c r="AWE13" s="5">
        <f>IFERROR(VLOOKUP(AWE$1,'CERA Agresivo'!$B$23:$C$40,2,FALSE),0%)</f>
        <v>0</v>
      </c>
      <c r="AWF13" s="5">
        <f>IFERROR(VLOOKUP(AWF$1,'CERA Agresivo'!$B$23:$C$40,2,FALSE),0%)</f>
        <v>0</v>
      </c>
      <c r="AWG13" s="5">
        <f>IFERROR(VLOOKUP(AWG$1,'CERA Agresivo'!$B$23:$C$40,2,FALSE),0%)</f>
        <v>0</v>
      </c>
      <c r="AWH13" s="5">
        <f>IFERROR(VLOOKUP(AWH$1,'CERA Agresivo'!$B$23:$C$40,2,FALSE),0%)</f>
        <v>0</v>
      </c>
      <c r="AWI13" s="5">
        <f>IFERROR(VLOOKUP(AWI$1,'CERA Agresivo'!$B$23:$C$40,2,FALSE),0%)</f>
        <v>0</v>
      </c>
      <c r="AWJ13" s="5">
        <f>IFERROR(VLOOKUP(AWJ$1,'CERA Agresivo'!$B$23:$C$40,2,FALSE),0%)</f>
        <v>0</v>
      </c>
      <c r="AWK13" s="5">
        <f>IFERROR(VLOOKUP(AWK$1,'CERA Agresivo'!$B$23:$C$40,2,FALSE),0%)</f>
        <v>0</v>
      </c>
      <c r="AWL13" s="5">
        <f>IFERROR(VLOOKUP(AWL$1,'CERA Agresivo'!$B$23:$C$40,2,FALSE),0%)</f>
        <v>0</v>
      </c>
      <c r="AWM13" s="5">
        <f>IFERROR(VLOOKUP(AWM$1,'CERA Agresivo'!$B$23:$C$40,2,FALSE),0%)</f>
        <v>0</v>
      </c>
      <c r="AWN13" s="5">
        <f>IFERROR(VLOOKUP(AWN$1,'CERA Agresivo'!$B$23:$C$40,2,FALSE),0%)</f>
        <v>0</v>
      </c>
      <c r="AWO13" s="5">
        <f>IFERROR(VLOOKUP(AWO$1,'CERA Agresivo'!$B$23:$C$40,2,FALSE),0%)</f>
        <v>0</v>
      </c>
      <c r="AWP13" s="5">
        <f>IFERROR(VLOOKUP(AWP$1,'CERA Agresivo'!$B$23:$C$40,2,FALSE),0%)</f>
        <v>0</v>
      </c>
      <c r="AWQ13" s="5">
        <f>IFERROR(VLOOKUP(AWQ$1,'CERA Agresivo'!$B$23:$C$40,2,FALSE),0%)</f>
        <v>0</v>
      </c>
      <c r="AWR13" s="5">
        <f>IFERROR(VLOOKUP(AWR$1,'CERA Agresivo'!$B$23:$C$40,2,FALSE),0%)</f>
        <v>0</v>
      </c>
      <c r="AWS13" s="5">
        <f>IFERROR(VLOOKUP(AWS$1,'CERA Agresivo'!$B$23:$C$40,2,FALSE),0%)</f>
        <v>0</v>
      </c>
      <c r="AWT13" s="5">
        <f>IFERROR(VLOOKUP(AWT$1,'CERA Agresivo'!$B$23:$C$40,2,FALSE),0%)</f>
        <v>0</v>
      </c>
      <c r="AWU13" s="5">
        <f>IFERROR(VLOOKUP(AWU$1,'CERA Agresivo'!$B$23:$C$40,2,FALSE),0%)</f>
        <v>0</v>
      </c>
      <c r="AWV13" s="5">
        <f>IFERROR(VLOOKUP(AWV$1,'CERA Agresivo'!$B$23:$C$40,2,FALSE),0%)</f>
        <v>0</v>
      </c>
      <c r="AWW13" s="5">
        <f>IFERROR(VLOOKUP(AWW$1,'CERA Agresivo'!$B$23:$C$40,2,FALSE),0%)</f>
        <v>0</v>
      </c>
      <c r="AWX13" s="5">
        <f>IFERROR(VLOOKUP(AWX$1,'CERA Agresivo'!$B$23:$C$40,2,FALSE),0%)</f>
        <v>0</v>
      </c>
      <c r="AWY13" s="5">
        <f>IFERROR(VLOOKUP(AWY$1,'CERA Agresivo'!$B$23:$C$40,2,FALSE),0%)</f>
        <v>0</v>
      </c>
      <c r="AWZ13" s="5">
        <f>IFERROR(VLOOKUP(AWZ$1,'CERA Agresivo'!$B$23:$C$40,2,FALSE),0%)</f>
        <v>0</v>
      </c>
      <c r="AXA13" s="5">
        <f>IFERROR(VLOOKUP(AXA$1,'CERA Agresivo'!$B$23:$C$40,2,FALSE),0%)</f>
        <v>0</v>
      </c>
      <c r="AXB13" s="5">
        <f>IFERROR(VLOOKUP(AXB$1,'CERA Agresivo'!$B$23:$C$40,2,FALSE),0%)</f>
        <v>0</v>
      </c>
      <c r="AXC13" s="5">
        <f>IFERROR(VLOOKUP(AXC$1,'CERA Agresivo'!$B$23:$C$40,2,FALSE),0%)</f>
        <v>0</v>
      </c>
      <c r="AXD13" s="5">
        <f>IFERROR(VLOOKUP(AXD$1,'CERA Agresivo'!$B$23:$C$40,2,FALSE),0%)</f>
        <v>0</v>
      </c>
      <c r="AXE13" s="5">
        <f>IFERROR(VLOOKUP(AXE$1,'CERA Agresivo'!$B$23:$C$40,2,FALSE),0%)</f>
        <v>0</v>
      </c>
      <c r="AXF13" s="5">
        <f>IFERROR(VLOOKUP(AXF$1,'CERA Agresivo'!$B$23:$C$40,2,FALSE),0%)</f>
        <v>0</v>
      </c>
      <c r="AXG13" s="5">
        <f>IFERROR(VLOOKUP(AXG$1,'CERA Agresivo'!$B$23:$C$40,2,FALSE),0%)</f>
        <v>0</v>
      </c>
      <c r="AXH13" s="5">
        <f>IFERROR(VLOOKUP(AXH$1,'CERA Agresivo'!$B$23:$C$40,2,FALSE),0%)</f>
        <v>0</v>
      </c>
      <c r="AXI13" s="5">
        <f>IFERROR(VLOOKUP(AXI$1,'CERA Agresivo'!$B$23:$C$40,2,FALSE),0%)</f>
        <v>0</v>
      </c>
      <c r="AXJ13" s="5">
        <f>IFERROR(VLOOKUP(AXJ$1,'CERA Agresivo'!$B$23:$C$40,2,FALSE),0%)</f>
        <v>0</v>
      </c>
      <c r="AXK13" s="5">
        <f>IFERROR(VLOOKUP(AXK$1,'CERA Agresivo'!$B$23:$C$40,2,FALSE),0%)</f>
        <v>0</v>
      </c>
      <c r="AXL13" s="5">
        <f>IFERROR(VLOOKUP(AXL$1,'CERA Agresivo'!$B$23:$C$40,2,FALSE),0%)</f>
        <v>0</v>
      </c>
      <c r="AXM13" s="5">
        <f>IFERROR(VLOOKUP(AXM$1,'CERA Agresivo'!$B$23:$C$40,2,FALSE),0%)</f>
        <v>0</v>
      </c>
      <c r="AXN13" s="5">
        <f>IFERROR(VLOOKUP(AXN$1,'CERA Agresivo'!$B$23:$C$40,2,FALSE),0%)</f>
        <v>0</v>
      </c>
      <c r="AXO13" s="5">
        <f>IFERROR(VLOOKUP(AXO$1,'CERA Agresivo'!$B$23:$C$40,2,FALSE),0%)</f>
        <v>0</v>
      </c>
      <c r="AXP13" s="5">
        <f>IFERROR(VLOOKUP(AXP$1,'CERA Agresivo'!$B$23:$C$40,2,FALSE),0%)</f>
        <v>0</v>
      </c>
      <c r="AXQ13" s="5">
        <f>IFERROR(VLOOKUP(AXQ$1,'CERA Agresivo'!$B$23:$C$40,2,FALSE),0%)</f>
        <v>0</v>
      </c>
      <c r="AXR13" s="5">
        <f>IFERROR(VLOOKUP(AXR$1,'CERA Agresivo'!$B$23:$C$40,2,FALSE),0%)</f>
        <v>0</v>
      </c>
      <c r="AXS13" s="5">
        <f>IFERROR(VLOOKUP(AXS$1,'CERA Agresivo'!$B$23:$C$40,2,FALSE),0%)</f>
        <v>0</v>
      </c>
      <c r="AXT13" s="5">
        <f>IFERROR(VLOOKUP(AXT$1,'CERA Agresivo'!$B$23:$C$40,2,FALSE),0%)</f>
        <v>0</v>
      </c>
      <c r="AXU13" s="5">
        <f>IFERROR(VLOOKUP(AXU$1,'CERA Agresivo'!$B$23:$C$40,2,FALSE),0%)</f>
        <v>0</v>
      </c>
      <c r="AXV13" s="5">
        <f>IFERROR(VLOOKUP(AXV$1,'CERA Agresivo'!$B$23:$C$40,2,FALSE),0%)</f>
        <v>0</v>
      </c>
      <c r="AXW13" s="5">
        <f>IFERROR(VLOOKUP(AXW$1,'CERA Agresivo'!$B$23:$C$40,2,FALSE),0%)</f>
        <v>0</v>
      </c>
      <c r="AXX13" s="5">
        <f>IFERROR(VLOOKUP(AXX$1,'CERA Agresivo'!$B$23:$C$40,2,FALSE),0%)</f>
        <v>0</v>
      </c>
      <c r="AXY13" s="5">
        <f>IFERROR(VLOOKUP(AXY$1,'CERA Agresivo'!$B$23:$C$40,2,FALSE),0%)</f>
        <v>0</v>
      </c>
      <c r="AXZ13" s="5">
        <f>IFERROR(VLOOKUP(AXZ$1,'CERA Agresivo'!$B$23:$C$40,2,FALSE),0%)</f>
        <v>0</v>
      </c>
      <c r="AYA13" s="5">
        <f>IFERROR(VLOOKUP(AYA$1,'CERA Agresivo'!$B$23:$C$40,2,FALSE),0%)</f>
        <v>0</v>
      </c>
      <c r="AYB13" s="5">
        <f>IFERROR(VLOOKUP(AYB$1,'CERA Agresivo'!$B$23:$C$40,2,FALSE),0%)</f>
        <v>0</v>
      </c>
      <c r="AYC13" s="5">
        <f>IFERROR(VLOOKUP(AYC$1,'CERA Agresivo'!$B$23:$C$40,2,FALSE),0%)</f>
        <v>0</v>
      </c>
      <c r="AYD13" s="5">
        <f>IFERROR(VLOOKUP(AYD$1,'CERA Agresivo'!$B$23:$C$40,2,FALSE),0%)</f>
        <v>0</v>
      </c>
      <c r="AYE13" s="5">
        <f>IFERROR(VLOOKUP(AYE$1,'CERA Agresivo'!$B$23:$C$40,2,FALSE),0%)</f>
        <v>0</v>
      </c>
      <c r="AYF13" s="5">
        <f>IFERROR(VLOOKUP(AYF$1,'CERA Agresivo'!$B$23:$C$40,2,FALSE),0%)</f>
        <v>0</v>
      </c>
      <c r="AYG13" s="5">
        <f>IFERROR(VLOOKUP(AYG$1,'CERA Agresivo'!$B$23:$C$40,2,FALSE),0%)</f>
        <v>0</v>
      </c>
      <c r="AYH13" s="5">
        <f>IFERROR(VLOOKUP(AYH$1,'CERA Agresivo'!$B$23:$C$40,2,FALSE),0%)</f>
        <v>0</v>
      </c>
      <c r="AYI13" s="5">
        <f>IFERROR(VLOOKUP(AYI$1,'CERA Agresivo'!$B$23:$C$40,2,FALSE),0%)</f>
        <v>0</v>
      </c>
      <c r="AYJ13" s="5">
        <f>IFERROR(VLOOKUP(AYJ$1,'CERA Agresivo'!$B$23:$C$40,2,FALSE),0%)</f>
        <v>0</v>
      </c>
      <c r="AYK13" s="5">
        <f>IFERROR(VLOOKUP(AYK$1,'CERA Agresivo'!$B$23:$C$40,2,FALSE),0%)</f>
        <v>0</v>
      </c>
      <c r="AYL13" s="5">
        <f>IFERROR(VLOOKUP(AYL$1,'CERA Agresivo'!$B$23:$C$40,2,FALSE),0%)</f>
        <v>0</v>
      </c>
      <c r="AYM13" s="5">
        <f>IFERROR(VLOOKUP(AYM$1,'CERA Agresivo'!$B$23:$C$40,2,FALSE),0%)</f>
        <v>0</v>
      </c>
      <c r="AYN13" s="5">
        <f>IFERROR(VLOOKUP(AYN$1,'CERA Agresivo'!$B$23:$C$40,2,FALSE),0%)</f>
        <v>0</v>
      </c>
      <c r="AYO13" s="5">
        <f>IFERROR(VLOOKUP(AYO$1,'CERA Agresivo'!$B$23:$C$40,2,FALSE),0%)</f>
        <v>0</v>
      </c>
      <c r="AYP13" s="5">
        <f>IFERROR(VLOOKUP(AYP$1,'CERA Agresivo'!$B$23:$C$40,2,FALSE),0%)</f>
        <v>0</v>
      </c>
      <c r="AYQ13" s="5">
        <f>IFERROR(VLOOKUP(AYQ$1,'CERA Agresivo'!$B$23:$C$40,2,FALSE),0%)</f>
        <v>0</v>
      </c>
      <c r="AYR13" s="5">
        <f>IFERROR(VLOOKUP(AYR$1,'CERA Agresivo'!$B$23:$C$40,2,FALSE),0%)</f>
        <v>0</v>
      </c>
      <c r="AYS13" s="5">
        <f>IFERROR(VLOOKUP(AYS$1,'CERA Agresivo'!$B$23:$C$40,2,FALSE),0%)</f>
        <v>0</v>
      </c>
      <c r="AYT13" s="5">
        <f>IFERROR(VLOOKUP(AYT$1,'CERA Agresivo'!$B$23:$C$40,2,FALSE),0%)</f>
        <v>0</v>
      </c>
      <c r="AYU13" s="5">
        <f>IFERROR(VLOOKUP(AYU$1,'CERA Agresivo'!$B$23:$C$40,2,FALSE),0%)</f>
        <v>0</v>
      </c>
      <c r="AYV13" s="5">
        <f>IFERROR(VLOOKUP(AYV$1,'CERA Agresivo'!$B$23:$C$40,2,FALSE),0%)</f>
        <v>0</v>
      </c>
      <c r="AYW13" s="5">
        <f>IFERROR(VLOOKUP(AYW$1,'CERA Agresivo'!$B$23:$C$40,2,FALSE),0%)</f>
        <v>0</v>
      </c>
      <c r="AYX13" s="5">
        <f>IFERROR(VLOOKUP(AYX$1,'CERA Agresivo'!$B$23:$C$40,2,FALSE),0%)</f>
        <v>0</v>
      </c>
      <c r="AYY13" s="5">
        <f>IFERROR(VLOOKUP(AYY$1,'CERA Agresivo'!$B$23:$C$40,2,FALSE),0%)</f>
        <v>0</v>
      </c>
      <c r="AYZ13" s="5">
        <f>IFERROR(VLOOKUP(AYZ$1,'CERA Agresivo'!$B$23:$C$40,2,FALSE),0%)</f>
        <v>0</v>
      </c>
      <c r="AZA13" s="5">
        <f>IFERROR(VLOOKUP(AZA$1,'CERA Agresivo'!$B$23:$C$40,2,FALSE),0%)</f>
        <v>0</v>
      </c>
      <c r="AZB13" s="5">
        <f>IFERROR(VLOOKUP(AZB$1,'CERA Agresivo'!$B$23:$C$40,2,FALSE),0%)</f>
        <v>0</v>
      </c>
      <c r="AZC13" s="5">
        <f>IFERROR(VLOOKUP(AZC$1,'CERA Agresivo'!$B$23:$C$40,2,FALSE),0%)</f>
        <v>0</v>
      </c>
      <c r="AZD13" s="5">
        <f>IFERROR(VLOOKUP(AZD$1,'CERA Agresivo'!$B$23:$C$40,2,FALSE),0%)</f>
        <v>0</v>
      </c>
      <c r="AZE13" s="5">
        <f>IFERROR(VLOOKUP(AZE$1,'CERA Agresivo'!$B$23:$C$40,2,FALSE),0%)</f>
        <v>0</v>
      </c>
      <c r="AZF13" s="5">
        <f>IFERROR(VLOOKUP(AZF$1,'CERA Agresivo'!$B$23:$C$40,2,FALSE),0%)</f>
        <v>0</v>
      </c>
      <c r="AZG13" s="5">
        <f>IFERROR(VLOOKUP(AZG$1,'CERA Agresivo'!$B$23:$C$40,2,FALSE),0%)</f>
        <v>0</v>
      </c>
      <c r="AZH13" s="5">
        <f>IFERROR(VLOOKUP(AZH$1,'CERA Agresivo'!$B$23:$C$40,2,FALSE),0%)</f>
        <v>0</v>
      </c>
      <c r="AZI13" s="5">
        <f>IFERROR(VLOOKUP(AZI$1,'CERA Agresivo'!$B$23:$C$40,2,FALSE),0%)</f>
        <v>0</v>
      </c>
      <c r="AZJ13" s="5">
        <f>IFERROR(VLOOKUP(AZJ$1,'CERA Agresivo'!$B$23:$C$40,2,FALSE),0%)</f>
        <v>0</v>
      </c>
      <c r="AZK13" s="5">
        <f>IFERROR(VLOOKUP(AZK$1,'CERA Agresivo'!$B$23:$C$40,2,FALSE),0%)</f>
        <v>0</v>
      </c>
      <c r="AZL13" s="5">
        <f>IFERROR(VLOOKUP(AZL$1,'CERA Agresivo'!$B$23:$C$40,2,FALSE),0%)</f>
        <v>0</v>
      </c>
      <c r="AZM13" s="5">
        <f>IFERROR(VLOOKUP(AZM$1,'CERA Agresivo'!$B$23:$C$40,2,FALSE),0%)</f>
        <v>0</v>
      </c>
      <c r="AZN13" s="5">
        <f>IFERROR(VLOOKUP(AZN$1,'CERA Agresivo'!$B$23:$C$40,2,FALSE),0%)</f>
        <v>0</v>
      </c>
      <c r="AZO13" s="5">
        <f>IFERROR(VLOOKUP(AZO$1,'CERA Agresivo'!$B$23:$C$40,2,FALSE),0%)</f>
        <v>0</v>
      </c>
      <c r="AZP13" s="5">
        <f>IFERROR(VLOOKUP(AZP$1,'CERA Agresivo'!$B$23:$C$40,2,FALSE),0%)</f>
        <v>0</v>
      </c>
      <c r="AZQ13" s="5">
        <f>IFERROR(VLOOKUP(AZQ$1,'CERA Agresivo'!$B$23:$C$40,2,FALSE),0%)</f>
        <v>0</v>
      </c>
      <c r="AZR13" s="5">
        <f>IFERROR(VLOOKUP(AZR$1,'CERA Agresivo'!$B$23:$C$40,2,FALSE),0%)</f>
        <v>0</v>
      </c>
      <c r="AZS13" s="5">
        <f>IFERROR(VLOOKUP(AZS$1,'CERA Agresivo'!$B$23:$C$40,2,FALSE),0%)</f>
        <v>0</v>
      </c>
      <c r="AZT13" s="5">
        <f>IFERROR(VLOOKUP(AZT$1,'CERA Agresivo'!$B$23:$C$40,2,FALSE),0%)</f>
        <v>0</v>
      </c>
      <c r="AZU13" s="5">
        <f>IFERROR(VLOOKUP(AZU$1,'CERA Agresivo'!$B$23:$C$40,2,FALSE),0%)</f>
        <v>0</v>
      </c>
      <c r="AZV13" s="5">
        <f>IFERROR(VLOOKUP(AZV$1,'CERA Agresivo'!$B$23:$C$40,2,FALSE),0%)</f>
        <v>0</v>
      </c>
      <c r="AZW13" s="5">
        <f>IFERROR(VLOOKUP(AZW$1,'CERA Agresivo'!$B$23:$C$40,2,FALSE),0%)</f>
        <v>0</v>
      </c>
      <c r="AZX13" s="5">
        <f>IFERROR(VLOOKUP(AZX$1,'CERA Agresivo'!$B$23:$C$40,2,FALSE),0%)</f>
        <v>0</v>
      </c>
      <c r="AZY13" s="5">
        <f>IFERROR(VLOOKUP(AZY$1,'CERA Agresivo'!$B$23:$C$40,2,FALSE),0%)</f>
        <v>0</v>
      </c>
      <c r="AZZ13" s="5">
        <f>IFERROR(VLOOKUP(AZZ$1,'CERA Agresivo'!$B$23:$C$40,2,FALSE),0%)</f>
        <v>0</v>
      </c>
      <c r="BAA13" s="5">
        <f>IFERROR(VLOOKUP(BAA$1,'CERA Agresivo'!$B$23:$C$40,2,FALSE),0%)</f>
        <v>0</v>
      </c>
      <c r="BAB13" s="5">
        <f>IFERROR(VLOOKUP(BAB$1,'CERA Agresivo'!$B$23:$C$40,2,FALSE),0%)</f>
        <v>0</v>
      </c>
      <c r="BAC13" s="5">
        <f>IFERROR(VLOOKUP(BAC$1,'CERA Agresivo'!$B$23:$C$40,2,FALSE),0%)</f>
        <v>0</v>
      </c>
      <c r="BAD13" s="5">
        <f>IFERROR(VLOOKUP(BAD$1,'CERA Agresivo'!$B$23:$C$40,2,FALSE),0%)</f>
        <v>0</v>
      </c>
      <c r="BAE13" s="5">
        <f>IFERROR(VLOOKUP(BAE$1,'CERA Agresivo'!$B$23:$C$40,2,FALSE),0%)</f>
        <v>0</v>
      </c>
      <c r="BAF13" s="5">
        <f>IFERROR(VLOOKUP(BAF$1,'CERA Agresivo'!$B$23:$C$40,2,FALSE),0%)</f>
        <v>0</v>
      </c>
      <c r="BAG13" s="5">
        <f>IFERROR(VLOOKUP(BAG$1,'CERA Agresivo'!$B$23:$C$40,2,FALSE),0%)</f>
        <v>0</v>
      </c>
      <c r="BAH13" s="5">
        <f>IFERROR(VLOOKUP(BAH$1,'CERA Agresivo'!$B$23:$C$40,2,FALSE),0%)</f>
        <v>0</v>
      </c>
      <c r="BAI13" s="5">
        <f>IFERROR(VLOOKUP(BAI$1,'CERA Agresivo'!$B$23:$C$40,2,FALSE),0%)</f>
        <v>0</v>
      </c>
      <c r="BAJ13" s="5">
        <f>IFERROR(VLOOKUP(BAJ$1,'CERA Agresivo'!$B$23:$C$40,2,FALSE),0%)</f>
        <v>0</v>
      </c>
      <c r="BAK13" s="5">
        <f>IFERROR(VLOOKUP(BAK$1,'CERA Agresivo'!$B$23:$C$40,2,FALSE),0%)</f>
        <v>0</v>
      </c>
      <c r="BAL13" s="5">
        <f>IFERROR(VLOOKUP(BAL$1,'CERA Agresivo'!$B$23:$C$40,2,FALSE),0%)</f>
        <v>0</v>
      </c>
      <c r="BAM13" s="5">
        <f>IFERROR(VLOOKUP(BAM$1,'CERA Agresivo'!$B$23:$C$40,2,FALSE),0%)</f>
        <v>0</v>
      </c>
      <c r="BAN13" s="5">
        <f>IFERROR(VLOOKUP(BAN$1,'CERA Agresivo'!$B$23:$C$40,2,FALSE),0%)</f>
        <v>0</v>
      </c>
      <c r="BAO13" s="5">
        <f>IFERROR(VLOOKUP(BAO$1,'CERA Agresivo'!$B$23:$C$40,2,FALSE),0%)</f>
        <v>0</v>
      </c>
      <c r="BAP13" s="5">
        <f>IFERROR(VLOOKUP(BAP$1,'CERA Agresivo'!$B$23:$C$40,2,FALSE),0%)</f>
        <v>0</v>
      </c>
      <c r="BAQ13" s="5">
        <f>IFERROR(VLOOKUP(BAQ$1,'CERA Agresivo'!$B$23:$C$40,2,FALSE),0%)</f>
        <v>0</v>
      </c>
      <c r="BAR13" s="5">
        <f>IFERROR(VLOOKUP(BAR$1,'CERA Agresivo'!$B$23:$C$40,2,FALSE),0%)</f>
        <v>0</v>
      </c>
      <c r="BAS13" s="5">
        <f>IFERROR(VLOOKUP(BAS$1,'CERA Agresivo'!$B$23:$C$40,2,FALSE),0%)</f>
        <v>0</v>
      </c>
      <c r="BAT13" s="5">
        <f>IFERROR(VLOOKUP(BAT$1,'CERA Agresivo'!$B$23:$C$40,2,FALSE),0%)</f>
        <v>0</v>
      </c>
      <c r="BAU13" s="5">
        <f>IFERROR(VLOOKUP(BAU$1,'CERA Agresivo'!$B$23:$C$40,2,FALSE),0%)</f>
        <v>0</v>
      </c>
      <c r="BAV13" s="5">
        <f>IFERROR(VLOOKUP(BAV$1,'CERA Agresivo'!$B$23:$C$40,2,FALSE),0%)</f>
        <v>0</v>
      </c>
      <c r="BAW13" s="5">
        <f>IFERROR(VLOOKUP(BAW$1,'CERA Agresivo'!$B$23:$C$40,2,FALSE),0%)</f>
        <v>0</v>
      </c>
      <c r="BAX13" s="5">
        <f>IFERROR(VLOOKUP(BAX$1,'CERA Agresivo'!$B$23:$C$40,2,FALSE),0%)</f>
        <v>0</v>
      </c>
      <c r="BAY13" s="5">
        <f>IFERROR(VLOOKUP(BAY$1,'CERA Agresivo'!$B$23:$C$40,2,FALSE),0%)</f>
        <v>0</v>
      </c>
      <c r="BAZ13" s="5">
        <f>IFERROR(VLOOKUP(BAZ$1,'CERA Agresivo'!$B$23:$C$40,2,FALSE),0%)</f>
        <v>0</v>
      </c>
      <c r="BBA13" s="5">
        <f>IFERROR(VLOOKUP(BBA$1,'CERA Agresivo'!$B$23:$C$40,2,FALSE),0%)</f>
        <v>0</v>
      </c>
      <c r="BBB13" s="5">
        <f>IFERROR(VLOOKUP(BBB$1,'CERA Agresivo'!$B$23:$C$40,2,FALSE),0%)</f>
        <v>0</v>
      </c>
      <c r="BBC13" s="5">
        <f>IFERROR(VLOOKUP(BBC$1,'CERA Agresivo'!$B$23:$C$40,2,FALSE),0%)</f>
        <v>0</v>
      </c>
      <c r="BBD13" s="5">
        <f>IFERROR(VLOOKUP(BBD$1,'CERA Agresivo'!$B$23:$C$40,2,FALSE),0%)</f>
        <v>0</v>
      </c>
      <c r="BBE13" s="5">
        <f>IFERROR(VLOOKUP(BBE$1,'CERA Agresivo'!$B$23:$C$40,2,FALSE),0%)</f>
        <v>0</v>
      </c>
      <c r="BBF13" s="5">
        <f>IFERROR(VLOOKUP(BBF$1,'CERA Agresivo'!$B$23:$C$40,2,FALSE),0%)</f>
        <v>0</v>
      </c>
      <c r="BBG13" s="5">
        <f>IFERROR(VLOOKUP(BBG$1,'CERA Agresivo'!$B$23:$C$40,2,FALSE),0%)</f>
        <v>0</v>
      </c>
      <c r="BBH13" s="5">
        <f>IFERROR(VLOOKUP(BBH$1,'CERA Agresivo'!$B$23:$C$40,2,FALSE),0%)</f>
        <v>0</v>
      </c>
      <c r="BBI13" s="5">
        <f>IFERROR(VLOOKUP(BBI$1,'CERA Agresivo'!$B$23:$C$40,2,FALSE),0%)</f>
        <v>0</v>
      </c>
      <c r="BBJ13" s="5">
        <f>IFERROR(VLOOKUP(BBJ$1,'CERA Agresivo'!$B$23:$C$40,2,FALSE),0%)</f>
        <v>0</v>
      </c>
      <c r="BBK13" s="5">
        <f>IFERROR(VLOOKUP(BBK$1,'CERA Agresivo'!$B$23:$C$40,2,FALSE),0%)</f>
        <v>0</v>
      </c>
      <c r="BBL13" s="5">
        <f>IFERROR(VLOOKUP(BBL$1,'CERA Agresivo'!$B$23:$C$40,2,FALSE),0%)</f>
        <v>0</v>
      </c>
      <c r="BBM13" s="5">
        <f>IFERROR(VLOOKUP(BBM$1,'CERA Agresivo'!$B$23:$C$40,2,FALSE),0%)</f>
        <v>0</v>
      </c>
      <c r="BBN13" s="5">
        <f>IFERROR(VLOOKUP(BBN$1,'CERA Agresivo'!$B$23:$C$40,2,FALSE),0%)</f>
        <v>0</v>
      </c>
      <c r="BBO13" s="5">
        <f>IFERROR(VLOOKUP(BBO$1,'CERA Agresivo'!$B$23:$C$40,2,FALSE),0%)</f>
        <v>0</v>
      </c>
      <c r="BBP13" s="5">
        <f>IFERROR(VLOOKUP(BBP$1,'CERA Agresivo'!$B$23:$C$40,2,FALSE),0%)</f>
        <v>0</v>
      </c>
      <c r="BBQ13" s="5">
        <f>IFERROR(VLOOKUP(BBQ$1,'CERA Agresivo'!$B$23:$C$40,2,FALSE),0%)</f>
        <v>0</v>
      </c>
      <c r="BBR13" s="5">
        <f>IFERROR(VLOOKUP(BBR$1,'CERA Agresivo'!$B$23:$C$40,2,FALSE),0%)</f>
        <v>0</v>
      </c>
      <c r="BBS13" s="5">
        <f>IFERROR(VLOOKUP(BBS$1,'CERA Agresivo'!$B$23:$C$40,2,FALSE),0%)</f>
        <v>0</v>
      </c>
      <c r="BBT13" s="5">
        <f>IFERROR(VLOOKUP(BBT$1,'CERA Agresivo'!$B$23:$C$40,2,FALSE),0%)</f>
        <v>0</v>
      </c>
      <c r="BBU13" s="5">
        <f>IFERROR(VLOOKUP(BBU$1,'CERA Agresivo'!$B$23:$C$40,2,FALSE),0%)</f>
        <v>0</v>
      </c>
      <c r="BBV13" s="5">
        <f>IFERROR(VLOOKUP(BBV$1,'CERA Agresivo'!$B$23:$C$40,2,FALSE),0%)</f>
        <v>0</v>
      </c>
      <c r="BBW13" s="5">
        <f>IFERROR(VLOOKUP(BBW$1,'CERA Agresivo'!$B$23:$C$40,2,FALSE),0%)</f>
        <v>0</v>
      </c>
      <c r="BBX13" s="5">
        <f>IFERROR(VLOOKUP(BBX$1,'CERA Agresivo'!$B$23:$C$40,2,FALSE),0%)</f>
        <v>0</v>
      </c>
      <c r="BBY13" s="5">
        <f>IFERROR(VLOOKUP(BBY$1,'CERA Agresivo'!$B$23:$C$40,2,FALSE),0%)</f>
        <v>0</v>
      </c>
      <c r="BBZ13" s="5">
        <f>IFERROR(VLOOKUP(BBZ$1,'CERA Agresivo'!$B$23:$C$40,2,FALSE),0%)</f>
        <v>0</v>
      </c>
      <c r="BCA13" s="5">
        <f>IFERROR(VLOOKUP(BCA$1,'CERA Agresivo'!$B$23:$C$40,2,FALSE),0%)</f>
        <v>0</v>
      </c>
      <c r="BCB13" s="5">
        <f>IFERROR(VLOOKUP(BCB$1,'CERA Agresivo'!$B$23:$C$40,2,FALSE),0%)</f>
        <v>0</v>
      </c>
      <c r="BCC13" s="5">
        <f>IFERROR(VLOOKUP(BCC$1,'CERA Agresivo'!$B$23:$C$40,2,FALSE),0%)</f>
        <v>0</v>
      </c>
      <c r="BCD13" s="5">
        <f>IFERROR(VLOOKUP(BCD$1,'CERA Agresivo'!$B$23:$C$40,2,FALSE),0%)</f>
        <v>0</v>
      </c>
      <c r="BCE13" s="5">
        <f>IFERROR(VLOOKUP(BCE$1,'CERA Agresivo'!$B$23:$C$40,2,FALSE),0%)</f>
        <v>0</v>
      </c>
      <c r="BCF13" s="5">
        <f>IFERROR(VLOOKUP(BCF$1,'CERA Agresivo'!$B$23:$C$40,2,FALSE),0%)</f>
        <v>0</v>
      </c>
      <c r="BCG13" s="5">
        <f>IFERROR(VLOOKUP(BCG$1,'CERA Agresivo'!$B$23:$C$40,2,FALSE),0%)</f>
        <v>0</v>
      </c>
      <c r="BCH13" s="5">
        <f>IFERROR(VLOOKUP(BCH$1,'CERA Agresivo'!$B$23:$C$40,2,FALSE),0%)</f>
        <v>0</v>
      </c>
      <c r="BCI13" s="5">
        <f>IFERROR(VLOOKUP(BCI$1,'CERA Agresivo'!$B$23:$C$40,2,FALSE),0%)</f>
        <v>0</v>
      </c>
      <c r="BCJ13" s="5">
        <f>IFERROR(VLOOKUP(BCJ$1,'CERA Agresivo'!$B$23:$C$40,2,FALSE),0%)</f>
        <v>0</v>
      </c>
      <c r="BCK13" s="5">
        <f>IFERROR(VLOOKUP(BCK$1,'CERA Agresivo'!$B$23:$C$40,2,FALSE),0%)</f>
        <v>0</v>
      </c>
      <c r="BCL13" s="5">
        <f>IFERROR(VLOOKUP(BCL$1,'CERA Agresivo'!$B$23:$C$40,2,FALSE),0%)</f>
        <v>0</v>
      </c>
      <c r="BCM13" s="5">
        <f>IFERROR(VLOOKUP(BCM$1,'CERA Agresivo'!$B$23:$C$40,2,FALSE),0%)</f>
        <v>0</v>
      </c>
      <c r="BCN13" s="5">
        <f>IFERROR(VLOOKUP(BCN$1,'CERA Agresivo'!$B$23:$C$40,2,FALSE),0%)</f>
        <v>0</v>
      </c>
      <c r="BCO13" s="5">
        <f>IFERROR(VLOOKUP(BCO$1,'CERA Agresivo'!$B$23:$C$40,2,FALSE),0%)</f>
        <v>0</v>
      </c>
      <c r="BCP13" s="5">
        <f>IFERROR(VLOOKUP(BCP$1,'CERA Agresivo'!$B$23:$C$40,2,FALSE),0%)</f>
        <v>0</v>
      </c>
      <c r="BCQ13" s="5">
        <f>IFERROR(VLOOKUP(BCQ$1,'CERA Agresivo'!$B$23:$C$40,2,FALSE),0%)</f>
        <v>0</v>
      </c>
      <c r="BCR13" s="5">
        <f>IFERROR(VLOOKUP(BCR$1,'CERA Agresivo'!$B$23:$C$40,2,FALSE),0%)</f>
        <v>0</v>
      </c>
      <c r="BCS13" s="5">
        <f>IFERROR(VLOOKUP(BCS$1,'CERA Agresivo'!$B$23:$C$40,2,FALSE),0%)</f>
        <v>0</v>
      </c>
      <c r="BCT13" s="5">
        <f>IFERROR(VLOOKUP(BCT$1,'CERA Agresivo'!$B$23:$C$40,2,FALSE),0%)</f>
        <v>0</v>
      </c>
      <c r="BCU13" s="5">
        <f>IFERROR(VLOOKUP(BCU$1,'CERA Agresivo'!$B$23:$C$40,2,FALSE),0%)</f>
        <v>0</v>
      </c>
      <c r="BCV13" s="5">
        <f>IFERROR(VLOOKUP(BCV$1,'CERA Agresivo'!$B$23:$C$40,2,FALSE),0%)</f>
        <v>0</v>
      </c>
      <c r="BCW13" s="5">
        <f>IFERROR(VLOOKUP(BCW$1,'CERA Agresivo'!$B$23:$C$40,2,FALSE),0%)</f>
        <v>0</v>
      </c>
      <c r="BCX13" s="5">
        <f>IFERROR(VLOOKUP(BCX$1,'CERA Agresivo'!$B$23:$C$40,2,FALSE),0%)</f>
        <v>0</v>
      </c>
      <c r="BCY13" s="5">
        <f>IFERROR(VLOOKUP(BCY$1,'CERA Agresivo'!$B$23:$C$40,2,FALSE),0%)</f>
        <v>0</v>
      </c>
      <c r="BCZ13" s="5">
        <f>IFERROR(VLOOKUP(BCZ$1,'CERA Agresivo'!$B$23:$C$40,2,FALSE),0%)</f>
        <v>0</v>
      </c>
      <c r="BDA13" s="5">
        <f>IFERROR(VLOOKUP(BDA$1,'CERA Agresivo'!$B$23:$C$40,2,FALSE),0%)</f>
        <v>0</v>
      </c>
      <c r="BDB13" s="5">
        <f>IFERROR(VLOOKUP(BDB$1,'CERA Agresivo'!$B$23:$C$40,2,FALSE),0%)</f>
        <v>0</v>
      </c>
      <c r="BDC13" s="5">
        <f>IFERROR(VLOOKUP(BDC$1,'CERA Agresivo'!$B$23:$C$40,2,FALSE),0%)</f>
        <v>0</v>
      </c>
      <c r="BDD13" s="5">
        <f>IFERROR(VLOOKUP(BDD$1,'CERA Agresivo'!$B$23:$C$40,2,FALSE),0%)</f>
        <v>0</v>
      </c>
      <c r="BDE13" s="5">
        <f>IFERROR(VLOOKUP(BDE$1,'CERA Agresivo'!$B$23:$C$40,2,FALSE),0%)</f>
        <v>0</v>
      </c>
      <c r="BDF13" s="5">
        <f>IFERROR(VLOOKUP(BDF$1,'CERA Agresivo'!$B$23:$C$40,2,FALSE),0%)</f>
        <v>0</v>
      </c>
      <c r="BDG13" s="5">
        <f>IFERROR(VLOOKUP(BDG$1,'CERA Agresivo'!$B$23:$C$40,2,FALSE),0%)</f>
        <v>0</v>
      </c>
      <c r="BDH13" s="5">
        <f>IFERROR(VLOOKUP(BDH$1,'CERA Agresivo'!$B$23:$C$40,2,FALSE),0%)</f>
        <v>0</v>
      </c>
      <c r="BDI13" s="5">
        <f>IFERROR(VLOOKUP(BDI$1,'CERA Agresivo'!$B$23:$C$40,2,FALSE),0%)</f>
        <v>0</v>
      </c>
      <c r="BDJ13" s="5">
        <f>IFERROR(VLOOKUP(BDJ$1,'CERA Agresivo'!$B$23:$C$40,2,FALSE),0%)</f>
        <v>0</v>
      </c>
      <c r="BDK13" s="5">
        <f>IFERROR(VLOOKUP(BDK$1,'CERA Agresivo'!$B$23:$C$40,2,FALSE),0%)</f>
        <v>0</v>
      </c>
      <c r="BDL13" s="5">
        <f>IFERROR(VLOOKUP(BDL$1,'CERA Agresivo'!$B$23:$C$40,2,FALSE),0%)</f>
        <v>0</v>
      </c>
      <c r="BDM13" s="5">
        <f>IFERROR(VLOOKUP(BDM$1,'CERA Agresivo'!$B$23:$C$40,2,FALSE),0%)</f>
        <v>0</v>
      </c>
      <c r="BDN13" s="5">
        <f>IFERROR(VLOOKUP(BDN$1,'CERA Agresivo'!$B$23:$C$40,2,FALSE),0%)</f>
        <v>0</v>
      </c>
      <c r="BDO13" s="5">
        <f>IFERROR(VLOOKUP(BDO$1,'CERA Agresivo'!$B$23:$C$40,2,FALSE),0%)</f>
        <v>0</v>
      </c>
      <c r="BDP13" s="5">
        <f>IFERROR(VLOOKUP(BDP$1,'CERA Agresivo'!$B$23:$C$40,2,FALSE),0%)</f>
        <v>0</v>
      </c>
      <c r="BDQ13" s="5">
        <f>IFERROR(VLOOKUP(BDQ$1,'CERA Agresivo'!$B$23:$C$40,2,FALSE),0%)</f>
        <v>0</v>
      </c>
      <c r="BDR13" s="5">
        <f>IFERROR(VLOOKUP(BDR$1,'CERA Agresivo'!$B$23:$C$40,2,FALSE),0%)</f>
        <v>0</v>
      </c>
      <c r="BDS13" s="5">
        <f>IFERROR(VLOOKUP(BDS$1,'CERA Agresivo'!$B$23:$C$40,2,FALSE),0%)</f>
        <v>0</v>
      </c>
      <c r="BDT13" s="5">
        <f>IFERROR(VLOOKUP(BDT$1,'CERA Agresivo'!$B$23:$C$40,2,FALSE),0%)</f>
        <v>0</v>
      </c>
      <c r="BDU13" s="5">
        <f>IFERROR(VLOOKUP(BDU$1,'CERA Agresivo'!$B$23:$C$40,2,FALSE),0%)</f>
        <v>0</v>
      </c>
      <c r="BDV13" s="5">
        <f>IFERROR(VLOOKUP(BDV$1,'CERA Agresivo'!$B$23:$C$40,2,FALSE),0%)</f>
        <v>0</v>
      </c>
      <c r="BDW13" s="5">
        <f>IFERROR(VLOOKUP(BDW$1,'CERA Agresivo'!$B$23:$C$40,2,FALSE),0%)</f>
        <v>0</v>
      </c>
      <c r="BDX13" s="5">
        <f>IFERROR(VLOOKUP(BDX$1,'CERA Agresivo'!$B$23:$C$40,2,FALSE),0%)</f>
        <v>0</v>
      </c>
      <c r="BDY13" s="5">
        <f>IFERROR(VLOOKUP(BDY$1,'CERA Agresivo'!$B$23:$C$40,2,FALSE),0%)</f>
        <v>0</v>
      </c>
      <c r="BDZ13" s="5">
        <f>IFERROR(VLOOKUP(BDZ$1,'CERA Agresivo'!$B$23:$C$40,2,FALSE),0%)</f>
        <v>0</v>
      </c>
      <c r="BEA13" s="5">
        <f>IFERROR(VLOOKUP(BEA$1,'CERA Agresivo'!$B$23:$C$40,2,FALSE),0%)</f>
        <v>0</v>
      </c>
      <c r="BEB13" s="5">
        <f>IFERROR(VLOOKUP(BEB$1,'CERA Agresivo'!$B$23:$C$40,2,FALSE),0%)</f>
        <v>0</v>
      </c>
      <c r="BEC13" s="5">
        <f>IFERROR(VLOOKUP(BEC$1,'CERA Agresivo'!$B$23:$C$40,2,FALSE),0%)</f>
        <v>0</v>
      </c>
      <c r="BED13" s="5">
        <f>IFERROR(VLOOKUP(BED$1,'CERA Agresivo'!$B$23:$C$40,2,FALSE),0%)</f>
        <v>0</v>
      </c>
      <c r="BEE13" s="5">
        <f>IFERROR(VLOOKUP(BEE$1,'CERA Agresivo'!$B$23:$C$40,2,FALSE),0%)</f>
        <v>0</v>
      </c>
      <c r="BEF13" s="5">
        <f>IFERROR(VLOOKUP(BEF$1,'CERA Agresivo'!$B$23:$C$40,2,FALSE),0%)</f>
        <v>0</v>
      </c>
      <c r="BEG13" s="5">
        <f>IFERROR(VLOOKUP(BEG$1,'CERA Agresivo'!$B$23:$C$40,2,FALSE),0%)</f>
        <v>0</v>
      </c>
      <c r="BEH13" s="5">
        <f>IFERROR(VLOOKUP(BEH$1,'CERA Agresivo'!$B$23:$C$40,2,FALSE),0%)</f>
        <v>0</v>
      </c>
      <c r="BEI13" s="5">
        <f>IFERROR(VLOOKUP(BEI$1,'CERA Agresivo'!$B$23:$C$40,2,FALSE),0%)</f>
        <v>0</v>
      </c>
      <c r="BEJ13" s="5">
        <f>IFERROR(VLOOKUP(BEJ$1,'CERA Agresivo'!$B$23:$C$40,2,FALSE),0%)</f>
        <v>0</v>
      </c>
      <c r="BEK13" s="5">
        <f>IFERROR(VLOOKUP(BEK$1,'CERA Agresivo'!$B$23:$C$40,2,FALSE),0%)</f>
        <v>0</v>
      </c>
      <c r="BEL13" s="5">
        <f>IFERROR(VLOOKUP(BEL$1,'CERA Agresivo'!$B$23:$C$40,2,FALSE),0%)</f>
        <v>0</v>
      </c>
      <c r="BEM13" s="5">
        <f>IFERROR(VLOOKUP(BEM$1,'CERA Agresivo'!$B$23:$C$40,2,FALSE),0%)</f>
        <v>0</v>
      </c>
      <c r="BEN13" s="5">
        <f>IFERROR(VLOOKUP(BEN$1,'CERA Agresivo'!$B$23:$C$40,2,FALSE),0%)</f>
        <v>0</v>
      </c>
      <c r="BEO13" s="5">
        <f>IFERROR(VLOOKUP(BEO$1,'CERA Agresivo'!$B$23:$C$40,2,FALSE),0%)</f>
        <v>0</v>
      </c>
      <c r="BEP13" s="5">
        <f>IFERROR(VLOOKUP(BEP$1,'CERA Agresivo'!$B$23:$C$40,2,FALSE),0%)</f>
        <v>0</v>
      </c>
      <c r="BEQ13" s="5">
        <f>IFERROR(VLOOKUP(BEQ$1,'CERA Agresivo'!$B$23:$C$40,2,FALSE),0%)</f>
        <v>0</v>
      </c>
      <c r="BER13" s="5">
        <f>IFERROR(VLOOKUP(BER$1,'CERA Agresivo'!$B$23:$C$40,2,FALSE),0%)</f>
        <v>0</v>
      </c>
      <c r="BES13" s="5">
        <f>IFERROR(VLOOKUP(BES$1,'CERA Agresivo'!$B$23:$C$40,2,FALSE),0%)</f>
        <v>0</v>
      </c>
      <c r="BET13" s="5">
        <f>IFERROR(VLOOKUP(BET$1,'CERA Agresivo'!$B$23:$C$40,2,FALSE),0%)</f>
        <v>0</v>
      </c>
      <c r="BEU13" s="5">
        <f>IFERROR(VLOOKUP(BEU$1,'CERA Agresivo'!$B$23:$C$40,2,FALSE),0%)</f>
        <v>0</v>
      </c>
      <c r="BEV13" s="5">
        <f>IFERROR(VLOOKUP(BEV$1,'CERA Agresivo'!$B$23:$C$40,2,FALSE),0%)</f>
        <v>0</v>
      </c>
      <c r="BEW13" s="5">
        <f>IFERROR(VLOOKUP(BEW$1,'CERA Agresivo'!$B$23:$C$40,2,FALSE),0%)</f>
        <v>0</v>
      </c>
      <c r="BEX13" s="5">
        <f>IFERROR(VLOOKUP(BEX$1,'CERA Agresivo'!$B$23:$C$40,2,FALSE),0%)</f>
        <v>0</v>
      </c>
      <c r="BEY13" s="5">
        <f>IFERROR(VLOOKUP(BEY$1,'CERA Agresivo'!$B$23:$C$40,2,FALSE),0%)</f>
        <v>0.05287848546</v>
      </c>
      <c r="BEZ13" s="5">
        <f>IFERROR(VLOOKUP(BEZ$1,'CERA Agresivo'!$B$23:$C$40,2,FALSE),0%)</f>
        <v>0</v>
      </c>
      <c r="BFA13" s="5">
        <f>IFERROR(VLOOKUP(BFA$1,'CERA Agresivo'!$B$23:$C$40,2,FALSE),0%)</f>
        <v>0</v>
      </c>
      <c r="BFB13" s="5">
        <f>IFERROR(VLOOKUP(BFB$1,'CERA Agresivo'!$B$23:$C$40,2,FALSE),0%)</f>
        <v>0</v>
      </c>
      <c r="BFC13" s="5">
        <f>IFERROR(VLOOKUP(BFC$1,'CERA Agresivo'!$B$23:$C$40,2,FALSE),0%)</f>
        <v>0</v>
      </c>
      <c r="BFD13" s="5">
        <f>IFERROR(VLOOKUP(BFD$1,'CERA Agresivo'!$B$23:$C$40,2,FALSE),0%)</f>
        <v>0</v>
      </c>
      <c r="BFE13" s="5">
        <f>IFERROR(VLOOKUP(BFE$1,'CERA Agresivo'!$B$23:$C$40,2,FALSE),0%)</f>
        <v>0</v>
      </c>
      <c r="BFF13" s="5">
        <f>IFERROR(VLOOKUP(BFF$1,'CERA Agresivo'!$B$23:$C$40,2,FALSE),0%)</f>
        <v>0</v>
      </c>
      <c r="BFG13" s="5">
        <f>IFERROR(VLOOKUP(BFG$1,'CERA Agresivo'!$B$23:$C$40,2,FALSE),0%)</f>
        <v>0</v>
      </c>
      <c r="BFH13" s="5">
        <f>IFERROR(VLOOKUP(BFH$1,'CERA Agresivo'!$B$23:$C$40,2,FALSE),0%)</f>
        <v>0</v>
      </c>
      <c r="BFI13" s="5">
        <f>IFERROR(VLOOKUP(BFI$1,'CERA Agresivo'!$B$23:$C$40,2,FALSE),0%)</f>
        <v>0</v>
      </c>
      <c r="BFJ13" s="5">
        <f>IFERROR(VLOOKUP(BFJ$1,'CERA Agresivo'!$B$23:$C$40,2,FALSE),0%)</f>
        <v>0</v>
      </c>
      <c r="BFK13" s="5">
        <f>IFERROR(VLOOKUP(BFK$1,'CERA Agresivo'!$B$23:$C$40,2,FALSE),0%)</f>
        <v>0</v>
      </c>
      <c r="BFL13" s="5">
        <f>IFERROR(VLOOKUP(BFL$1,'CERA Agresivo'!$B$23:$C$40,2,FALSE),0%)</f>
        <v>0</v>
      </c>
      <c r="BFM13" s="5">
        <f>IFERROR(VLOOKUP(BFM$1,'CERA Agresivo'!$B$23:$C$40,2,FALSE),0%)</f>
        <v>0</v>
      </c>
      <c r="BFN13" s="5">
        <f>IFERROR(VLOOKUP(BFN$1,'CERA Agresivo'!$B$23:$C$40,2,FALSE),0%)</f>
        <v>0</v>
      </c>
      <c r="BFO13" s="5">
        <f>IFERROR(VLOOKUP(BFO$1,'CERA Agresivo'!$B$23:$C$40,2,FALSE),0%)</f>
        <v>0</v>
      </c>
      <c r="BFP13" s="5">
        <f>IFERROR(VLOOKUP(BFP$1,'CERA Agresivo'!$B$23:$C$40,2,FALSE),0%)</f>
        <v>0</v>
      </c>
      <c r="BFQ13" s="5">
        <f>IFERROR(VLOOKUP(BFQ$1,'CERA Agresivo'!$B$23:$C$40,2,FALSE),0%)</f>
        <v>0</v>
      </c>
      <c r="BFR13" s="5">
        <f>IFERROR(VLOOKUP(BFR$1,'CERA Agresivo'!$B$23:$C$40,2,FALSE),0%)</f>
        <v>0</v>
      </c>
      <c r="BFS13" s="5">
        <f>IFERROR(VLOOKUP(BFS$1,'CERA Agresivo'!$B$23:$C$40,2,FALSE),0%)</f>
        <v>0</v>
      </c>
      <c r="BFT13" s="5">
        <f>IFERROR(VLOOKUP(BFT$1,'CERA Agresivo'!$B$23:$C$40,2,FALSE),0%)</f>
        <v>0</v>
      </c>
      <c r="BFU13" s="5">
        <f>IFERROR(VLOOKUP(BFU$1,'CERA Agresivo'!$B$23:$C$40,2,FALSE),0%)</f>
        <v>0</v>
      </c>
      <c r="BFV13" s="5">
        <f>IFERROR(VLOOKUP(BFV$1,'CERA Agresivo'!$B$23:$C$40,2,FALSE),0%)</f>
        <v>0</v>
      </c>
      <c r="BFW13" s="5">
        <f>IFERROR(VLOOKUP(BFW$1,'CERA Agresivo'!$B$23:$C$40,2,FALSE),0%)</f>
        <v>0</v>
      </c>
      <c r="BFX13" s="5">
        <f>IFERROR(VLOOKUP(BFX$1,'CERA Agresivo'!$B$23:$C$40,2,FALSE),0%)</f>
        <v>0</v>
      </c>
      <c r="BFY13" s="5">
        <f>IFERROR(VLOOKUP(BFY$1,'CERA Agresivo'!$B$23:$C$40,2,FALSE),0%)</f>
        <v>0</v>
      </c>
      <c r="BFZ13" s="5">
        <f>IFERROR(VLOOKUP(BFZ$1,'CERA Agresivo'!$B$23:$C$40,2,FALSE),0%)</f>
        <v>0</v>
      </c>
      <c r="BGA13" s="5">
        <f>IFERROR(VLOOKUP(BGA$1,'CERA Agresivo'!$B$23:$C$40,2,FALSE),0%)</f>
        <v>0</v>
      </c>
      <c r="BGB13" s="5">
        <f>IFERROR(VLOOKUP(BGB$1,'CERA Agresivo'!$B$23:$C$40,2,FALSE),0%)</f>
        <v>0</v>
      </c>
      <c r="BGC13" s="5">
        <f>IFERROR(VLOOKUP(BGC$1,'CERA Agresivo'!$B$23:$C$40,2,FALSE),0%)</f>
        <v>0</v>
      </c>
      <c r="BGD13" s="5">
        <f>IFERROR(VLOOKUP(BGD$1,'CERA Agresivo'!$B$23:$C$40,2,FALSE),0%)</f>
        <v>0</v>
      </c>
      <c r="BGE13" s="5">
        <f>IFERROR(VLOOKUP(BGE$1,'CERA Agresivo'!$B$23:$C$40,2,FALSE),0%)</f>
        <v>0</v>
      </c>
      <c r="BGF13" s="5">
        <f>IFERROR(VLOOKUP(BGF$1,'CERA Agresivo'!$B$23:$C$40,2,FALSE),0%)</f>
        <v>0</v>
      </c>
      <c r="BGG13" s="5">
        <f>IFERROR(VLOOKUP(BGG$1,'CERA Agresivo'!$B$23:$C$40,2,FALSE),0%)</f>
        <v>0</v>
      </c>
      <c r="BGH13" s="5">
        <f>IFERROR(VLOOKUP(BGH$1,'CERA Agresivo'!$B$23:$C$40,2,FALSE),0%)</f>
        <v>0</v>
      </c>
      <c r="BGI13" s="5">
        <f>IFERROR(VLOOKUP(BGI$1,'CERA Agresivo'!$B$23:$C$40,2,FALSE),0%)</f>
        <v>0</v>
      </c>
      <c r="BGJ13" s="5">
        <f>IFERROR(VLOOKUP(BGJ$1,'CERA Agresivo'!$B$23:$C$40,2,FALSE),0%)</f>
        <v>0</v>
      </c>
      <c r="BGK13" s="5">
        <f>IFERROR(VLOOKUP(BGK$1,'CERA Agresivo'!$B$23:$C$40,2,FALSE),0%)</f>
        <v>0</v>
      </c>
      <c r="BGL13" s="5">
        <f>IFERROR(VLOOKUP(BGL$1,'CERA Agresivo'!$B$23:$C$40,2,FALSE),0%)</f>
        <v>0</v>
      </c>
      <c r="BGM13" s="5">
        <f>IFERROR(VLOOKUP(BGM$1,'CERA Agresivo'!$B$23:$C$40,2,FALSE),0%)</f>
        <v>0</v>
      </c>
      <c r="BGN13" s="5">
        <f>IFERROR(VLOOKUP(BGN$1,'CERA Agresivo'!$B$23:$C$40,2,FALSE),0%)</f>
        <v>0.02081078154</v>
      </c>
      <c r="BGO13" s="5">
        <f>IFERROR(VLOOKUP(BGO$1,'CERA Agresivo'!$B$23:$C$40,2,FALSE),0%)</f>
        <v>0</v>
      </c>
      <c r="BGP13" s="5">
        <f>IFERROR(VLOOKUP(BGP$1,'CERA Agresivo'!$B$23:$C$40,2,FALSE),0%)</f>
        <v>0</v>
      </c>
      <c r="BGQ13" s="5">
        <f>IFERROR(VLOOKUP(BGQ$1,'CERA Agresivo'!$B$23:$C$40,2,FALSE),0%)</f>
        <v>0</v>
      </c>
      <c r="BGR13" s="5">
        <f>IFERROR(VLOOKUP(BGR$1,'CERA Agresivo'!$B$23:$C$40,2,FALSE),0%)</f>
        <v>0</v>
      </c>
      <c r="BGS13" s="5">
        <f>IFERROR(VLOOKUP(BGS$1,'CERA Agresivo'!$B$23:$C$40,2,FALSE),0%)</f>
        <v>0</v>
      </c>
      <c r="BGT13" s="5">
        <f>IFERROR(VLOOKUP(BGT$1,'CERA Agresivo'!$B$23:$C$40,2,FALSE),0%)</f>
        <v>0</v>
      </c>
      <c r="BGU13" s="5">
        <f>IFERROR(VLOOKUP(BGU$1,'CERA Agresivo'!$B$23:$C$40,2,FALSE),0%)</f>
        <v>0</v>
      </c>
      <c r="BGV13" s="5">
        <f>IFERROR(VLOOKUP(BGV$1,'CERA Agresivo'!$B$23:$C$40,2,FALSE),0%)</f>
        <v>0</v>
      </c>
      <c r="BGW13" s="5">
        <f>IFERROR(VLOOKUP(BGW$1,'CERA Agresivo'!$B$23:$C$40,2,FALSE),0%)</f>
        <v>0</v>
      </c>
      <c r="BGX13" s="5">
        <f>IFERROR(VLOOKUP(BGX$1,'CERA Agresivo'!$B$23:$C$40,2,FALSE),0%)</f>
        <v>0</v>
      </c>
      <c r="BGY13" s="5">
        <f>IFERROR(VLOOKUP(BGY$1,'CERA Agresivo'!$B$23:$C$40,2,FALSE),0%)</f>
        <v>0</v>
      </c>
      <c r="BGZ13" s="5">
        <f>IFERROR(VLOOKUP(BGZ$1,'CERA Agresivo'!$B$23:$C$40,2,FALSE),0%)</f>
        <v>0</v>
      </c>
      <c r="BHA13" s="5">
        <f>IFERROR(VLOOKUP(BHA$1,'CERA Agresivo'!$B$23:$C$40,2,FALSE),0%)</f>
        <v>0</v>
      </c>
      <c r="BHB13" s="5">
        <f>IFERROR(VLOOKUP(BHB$1,'CERA Agresivo'!$B$23:$C$40,2,FALSE),0%)</f>
        <v>0</v>
      </c>
      <c r="BHC13" s="5">
        <f>IFERROR(VLOOKUP(BHC$1,'CERA Agresivo'!$B$23:$C$40,2,FALSE),0%)</f>
        <v>0</v>
      </c>
      <c r="BHD13" s="5">
        <f>IFERROR(VLOOKUP(BHD$1,'CERA Agresivo'!$B$23:$C$40,2,FALSE),0%)</f>
        <v>0</v>
      </c>
      <c r="BHE13" s="5">
        <f>IFERROR(VLOOKUP(BHE$1,'CERA Agresivo'!$B$23:$C$40,2,FALSE),0%)</f>
        <v>0</v>
      </c>
      <c r="BHF13" s="5">
        <f>IFERROR(VLOOKUP(BHF$1,'CERA Agresivo'!$B$23:$C$40,2,FALSE),0%)</f>
        <v>0</v>
      </c>
      <c r="BHG13" s="5">
        <f>IFERROR(VLOOKUP(BHG$1,'CERA Agresivo'!$B$23:$C$40,2,FALSE),0%)</f>
        <v>0</v>
      </c>
      <c r="BHH13" s="5">
        <f>IFERROR(VLOOKUP(BHH$1,'CERA Agresivo'!$B$23:$C$40,2,FALSE),0%)</f>
        <v>0</v>
      </c>
      <c r="BHI13" s="5">
        <f>IFERROR(VLOOKUP(BHI$1,'CERA Agresivo'!$B$23:$C$40,2,FALSE),0%)</f>
        <v>0</v>
      </c>
      <c r="BHJ13" s="5">
        <f>IFERROR(VLOOKUP(BHJ$1,'CERA Agresivo'!$B$23:$C$40,2,FALSE),0%)</f>
        <v>0</v>
      </c>
      <c r="BHK13" s="5">
        <f>IFERROR(VLOOKUP(BHK$1,'CERA Agresivo'!$B$23:$C$40,2,FALSE),0%)</f>
        <v>0</v>
      </c>
      <c r="BHL13" s="5">
        <f>IFERROR(VLOOKUP(BHL$1,'CERA Agresivo'!$B$23:$C$40,2,FALSE),0%)</f>
        <v>0</v>
      </c>
      <c r="BHM13" s="5">
        <f>IFERROR(VLOOKUP(BHM$1,'CERA Agresivo'!$B$23:$C$40,2,FALSE),0%)</f>
        <v>0</v>
      </c>
      <c r="BHN13" s="5">
        <f>IFERROR(VLOOKUP(BHN$1,'CERA Agresivo'!$B$23:$C$40,2,FALSE),0%)</f>
        <v>0</v>
      </c>
      <c r="BHO13" s="5">
        <f>IFERROR(VLOOKUP(BHO$1,'CERA Agresivo'!$B$23:$C$40,2,FALSE),0%)</f>
        <v>0</v>
      </c>
      <c r="BHP13" s="5">
        <f>IFERROR(VLOOKUP(BHP$1,'CERA Agresivo'!$B$23:$C$40,2,FALSE),0%)</f>
        <v>0</v>
      </c>
      <c r="BHQ13" s="5">
        <f>IFERROR(VLOOKUP(BHQ$1,'CERA Agresivo'!$B$23:$C$40,2,FALSE),0%)</f>
        <v>0</v>
      </c>
      <c r="BHR13" s="5">
        <f>IFERROR(VLOOKUP(BHR$1,'CERA Agresivo'!$B$23:$C$40,2,FALSE),0%)</f>
        <v>0</v>
      </c>
      <c r="BHS13" s="5">
        <f>IFERROR(VLOOKUP(BHS$1,'CERA Agresivo'!$B$23:$C$40,2,FALSE),0%)</f>
        <v>0</v>
      </c>
      <c r="BHT13" s="5">
        <f>IFERROR(VLOOKUP(BHT$1,'CERA Agresivo'!$B$23:$C$40,2,FALSE),0%)</f>
        <v>0</v>
      </c>
      <c r="BHU13" s="5">
        <f>IFERROR(VLOOKUP(BHU$1,'CERA Agresivo'!$B$23:$C$40,2,FALSE),0%)</f>
        <v>0</v>
      </c>
      <c r="BHV13" s="5">
        <f>IFERROR(VLOOKUP(BHV$1,'CERA Agresivo'!$B$23:$C$40,2,FALSE),0%)</f>
        <v>0</v>
      </c>
      <c r="BHW13" s="5">
        <f>IFERROR(VLOOKUP(BHW$1,'CERA Agresivo'!$B$23:$C$40,2,FALSE),0%)</f>
        <v>0</v>
      </c>
      <c r="BHX13" s="5">
        <f>IFERROR(VLOOKUP(BHX$1,'CERA Agresivo'!$B$23:$C$40,2,FALSE),0%)</f>
        <v>0</v>
      </c>
      <c r="BHY13" s="5">
        <f>IFERROR(VLOOKUP(BHY$1,'CERA Agresivo'!$B$23:$C$40,2,FALSE),0%)</f>
        <v>0</v>
      </c>
      <c r="BHZ13" s="5">
        <f>IFERROR(VLOOKUP(BHZ$1,'CERA Agresivo'!$B$23:$C$40,2,FALSE),0%)</f>
        <v>0</v>
      </c>
      <c r="BIA13" s="5">
        <f>IFERROR(VLOOKUP(BIA$1,'CERA Agresivo'!$B$23:$C$40,2,FALSE),0%)</f>
        <v>0</v>
      </c>
      <c r="BIB13" s="5">
        <f>IFERROR(VLOOKUP(BIB$1,'CERA Agresivo'!$B$23:$C$40,2,FALSE),0%)</f>
        <v>0</v>
      </c>
      <c r="BIC13" s="5">
        <f>IFERROR(VLOOKUP(BIC$1,'CERA Agresivo'!$B$23:$C$40,2,FALSE),0%)</f>
        <v>0</v>
      </c>
      <c r="BID13" s="5">
        <f>IFERROR(VLOOKUP(BID$1,'CERA Agresivo'!$B$23:$C$40,2,FALSE),0%)</f>
        <v>0</v>
      </c>
      <c r="BIE13" s="5">
        <f>IFERROR(VLOOKUP(BIE$1,'CERA Agresivo'!$B$23:$C$40,2,FALSE),0%)</f>
        <v>0</v>
      </c>
      <c r="BIF13" s="5">
        <f>IFERROR(VLOOKUP(BIF$1,'CERA Agresivo'!$B$23:$C$40,2,FALSE),0%)</f>
        <v>0</v>
      </c>
      <c r="BIG13" s="5">
        <f>IFERROR(VLOOKUP(BIG$1,'CERA Agresivo'!$B$23:$C$40,2,FALSE),0%)</f>
        <v>0</v>
      </c>
      <c r="BIH13" s="5">
        <f>IFERROR(VLOOKUP(BIH$1,'CERA Agresivo'!$B$23:$C$40,2,FALSE),0%)</f>
        <v>0</v>
      </c>
      <c r="BII13" s="5">
        <f>IFERROR(VLOOKUP(BII$1,'CERA Agresivo'!$B$23:$C$40,2,FALSE),0%)</f>
        <v>0</v>
      </c>
      <c r="BIJ13" s="5">
        <f>IFERROR(VLOOKUP(BIJ$1,'CERA Agresivo'!$B$23:$C$40,2,FALSE),0%)</f>
        <v>0</v>
      </c>
      <c r="BIK13" s="5">
        <f>IFERROR(VLOOKUP(BIK$1,'CERA Agresivo'!$B$23:$C$40,2,FALSE),0%)</f>
        <v>0.04423416691</v>
      </c>
      <c r="BIL13" s="5">
        <f>IFERROR(VLOOKUP(BIL$1,'CERA Agresivo'!$B$23:$C$40,2,FALSE),0%)</f>
        <v>0</v>
      </c>
      <c r="BIM13" s="5">
        <f>IFERROR(VLOOKUP(BIM$1,'CERA Agresivo'!$B$23:$C$40,2,FALSE),0%)</f>
        <v>0</v>
      </c>
      <c r="BIN13" s="5">
        <f>IFERROR(VLOOKUP(BIN$1,'CERA Agresivo'!$B$23:$C$40,2,FALSE),0%)</f>
        <v>0</v>
      </c>
      <c r="BIO13" s="5">
        <f>IFERROR(VLOOKUP(BIO$1,'CERA Agresivo'!$B$23:$C$40,2,FALSE),0%)</f>
        <v>0</v>
      </c>
      <c r="BIP13" s="5">
        <f>IFERROR(VLOOKUP(BIP$1,'CERA Agresivo'!$B$23:$C$40,2,FALSE),0%)</f>
        <v>0</v>
      </c>
      <c r="BIQ13" s="5">
        <f>IFERROR(VLOOKUP(BIQ$1,'CERA Agresivo'!$B$23:$C$40,2,FALSE),0%)</f>
        <v>0</v>
      </c>
      <c r="BIR13" s="5">
        <f>IFERROR(VLOOKUP(BIR$1,'CERA Agresivo'!$B$23:$C$40,2,FALSE),0%)</f>
        <v>0</v>
      </c>
      <c r="BIS13" s="5">
        <f>IFERROR(VLOOKUP(BIS$1,'CERA Agresivo'!$B$23:$C$40,2,FALSE),0%)</f>
        <v>0</v>
      </c>
      <c r="BIT13" s="5">
        <f>IFERROR(VLOOKUP(BIT$1,'CERA Agresivo'!$B$23:$C$40,2,FALSE),0%)</f>
        <v>0</v>
      </c>
      <c r="BIU13" s="5">
        <f>IFERROR(VLOOKUP(BIU$1,'CERA Agresivo'!$B$23:$C$40,2,FALSE),0%)</f>
        <v>0</v>
      </c>
      <c r="BIV13" s="5">
        <f>IFERROR(VLOOKUP(BIV$1,'CERA Agresivo'!$B$23:$C$40,2,FALSE),0%)</f>
        <v>0</v>
      </c>
      <c r="BIW13" s="5">
        <f>IFERROR(VLOOKUP(BIW$1,'CERA Agresivo'!$B$23:$C$40,2,FALSE),0%)</f>
        <v>0</v>
      </c>
      <c r="BIX13" s="5">
        <f>IFERROR(VLOOKUP(BIX$1,'CERA Agresivo'!$B$23:$C$40,2,FALSE),0%)</f>
        <v>0</v>
      </c>
      <c r="BIY13" s="5">
        <f>IFERROR(VLOOKUP(BIY$1,'CERA Agresivo'!$B$23:$C$40,2,FALSE),0%)</f>
        <v>0</v>
      </c>
      <c r="BIZ13" s="5">
        <f>IFERROR(VLOOKUP(BIZ$1,'CERA Agresivo'!$B$23:$C$40,2,FALSE),0%)</f>
        <v>0</v>
      </c>
      <c r="BJA13" s="5">
        <f>IFERROR(VLOOKUP(BJA$1,'CERA Agresivo'!$B$23:$C$40,2,FALSE),0%)</f>
        <v>0</v>
      </c>
      <c r="BJB13" s="5">
        <f>IFERROR(VLOOKUP(BJB$1,'CERA Agresivo'!$B$23:$C$40,2,FALSE),0%)</f>
        <v>0</v>
      </c>
      <c r="BJC13" s="5">
        <f>IFERROR(VLOOKUP(BJC$1,'CERA Agresivo'!$B$23:$C$40,2,FALSE),0%)</f>
        <v>0</v>
      </c>
      <c r="BJD13" s="5">
        <f>IFERROR(VLOOKUP(BJD$1,'CERA Agresivo'!$B$23:$C$40,2,FALSE),0%)</f>
        <v>0</v>
      </c>
      <c r="BJE13" s="5">
        <f>IFERROR(VLOOKUP(BJE$1,'CERA Agresivo'!$B$23:$C$40,2,FALSE),0%)</f>
        <v>0</v>
      </c>
      <c r="BJF13" s="5">
        <f>IFERROR(VLOOKUP(BJF$1,'CERA Agresivo'!$B$23:$C$40,2,FALSE),0%)</f>
        <v>0</v>
      </c>
      <c r="BJG13" s="5">
        <f>IFERROR(VLOOKUP(BJG$1,'CERA Agresivo'!$B$23:$C$40,2,FALSE),0%)</f>
        <v>0</v>
      </c>
      <c r="BJH13" s="5">
        <f>IFERROR(VLOOKUP(BJH$1,'CERA Agresivo'!$B$23:$C$40,2,FALSE),0%)</f>
        <v>0</v>
      </c>
      <c r="BJI13" s="5">
        <f>IFERROR(VLOOKUP(BJI$1,'CERA Agresivo'!$B$23:$C$40,2,FALSE),0%)</f>
        <v>0</v>
      </c>
      <c r="BJJ13" s="5">
        <f>IFERROR(VLOOKUP(BJJ$1,'CERA Agresivo'!$B$23:$C$40,2,FALSE),0%)</f>
        <v>0</v>
      </c>
      <c r="BJK13" s="5">
        <f>IFERROR(VLOOKUP(BJK$1,'CERA Agresivo'!$B$23:$C$40,2,FALSE),0%)</f>
        <v>0</v>
      </c>
      <c r="BJL13" s="5">
        <f>IFERROR(VLOOKUP(BJL$1,'CERA Agresivo'!$B$23:$C$40,2,FALSE),0%)</f>
        <v>0</v>
      </c>
      <c r="BJM13" s="5">
        <f>IFERROR(VLOOKUP(BJM$1,'CERA Agresivo'!$B$23:$C$40,2,FALSE),0%)</f>
        <v>0</v>
      </c>
      <c r="BJN13" s="5">
        <f>IFERROR(VLOOKUP(BJN$1,'CERA Agresivo'!$B$23:$C$40,2,FALSE),0%)</f>
        <v>0</v>
      </c>
      <c r="BJO13" s="5">
        <f>IFERROR(VLOOKUP(BJO$1,'CERA Agresivo'!$B$23:$C$40,2,FALSE),0%)</f>
        <v>0</v>
      </c>
      <c r="BJP13" s="5">
        <f>IFERROR(VLOOKUP(BJP$1,'CERA Agresivo'!$B$23:$C$40,2,FALSE),0%)</f>
        <v>0</v>
      </c>
      <c r="BJQ13" s="5">
        <f>IFERROR(VLOOKUP(BJQ$1,'CERA Agresivo'!$B$23:$C$40,2,FALSE),0%)</f>
        <v>0</v>
      </c>
      <c r="BJR13" s="5">
        <f>IFERROR(VLOOKUP(BJR$1,'CERA Agresivo'!$B$23:$C$40,2,FALSE),0%)</f>
        <v>0</v>
      </c>
      <c r="BJS13" s="5">
        <f>IFERROR(VLOOKUP(BJS$1,'CERA Agresivo'!$B$23:$C$40,2,FALSE),0%)</f>
        <v>0</v>
      </c>
      <c r="BJT13" s="5">
        <f>IFERROR(VLOOKUP(BJT$1,'CERA Agresivo'!$B$23:$C$40,2,FALSE),0%)</f>
        <v>0</v>
      </c>
      <c r="BJU13" s="5">
        <f>IFERROR(VLOOKUP(BJU$1,'CERA Agresivo'!$B$23:$C$40,2,FALSE),0%)</f>
        <v>0</v>
      </c>
      <c r="BJV13" s="5">
        <f>IFERROR(VLOOKUP(BJV$1,'CERA Agresivo'!$B$23:$C$40,2,FALSE),0%)</f>
        <v>0</v>
      </c>
      <c r="BJW13" s="5">
        <f>IFERROR(VLOOKUP(BJW$1,'CERA Agresivo'!$B$23:$C$40,2,FALSE),0%)</f>
        <v>0</v>
      </c>
      <c r="BJX13" s="5">
        <f>IFERROR(VLOOKUP(BJX$1,'CERA Agresivo'!$B$23:$C$40,2,FALSE),0%)</f>
        <v>0</v>
      </c>
      <c r="BJY13" s="5">
        <f>IFERROR(VLOOKUP(BJY$1,'CERA Agresivo'!$B$23:$C$40,2,FALSE),0%)</f>
        <v>0</v>
      </c>
      <c r="BJZ13" s="5">
        <f>IFERROR(VLOOKUP(BJZ$1,'CERA Agresivo'!$B$23:$C$40,2,FALSE),0%)</f>
        <v>0</v>
      </c>
      <c r="BKA13" s="5">
        <f>IFERROR(VLOOKUP(BKA$1,'CERA Agresivo'!$B$23:$C$40,2,FALSE),0%)</f>
        <v>0</v>
      </c>
      <c r="BKB13" s="5">
        <f>IFERROR(VLOOKUP(BKB$1,'CERA Agresivo'!$B$23:$C$40,2,FALSE),0%)</f>
        <v>0</v>
      </c>
      <c r="BKC13" s="5">
        <f>IFERROR(VLOOKUP(BKC$1,'CERA Agresivo'!$B$23:$C$40,2,FALSE),0%)</f>
        <v>0</v>
      </c>
      <c r="BKD13" s="5">
        <f>IFERROR(VLOOKUP(BKD$1,'CERA Agresivo'!$B$23:$C$40,2,FALSE),0%)</f>
        <v>0</v>
      </c>
      <c r="BKE13" s="5">
        <f>IFERROR(VLOOKUP(BKE$1,'CERA Agresivo'!$B$23:$C$40,2,FALSE),0%)</f>
        <v>0</v>
      </c>
      <c r="BKF13" s="5">
        <f>IFERROR(VLOOKUP(BKF$1,'CERA Agresivo'!$B$23:$C$40,2,FALSE),0%)</f>
        <v>0</v>
      </c>
      <c r="BKG13" s="5">
        <f>IFERROR(VLOOKUP(BKG$1,'CERA Agresivo'!$B$23:$C$40,2,FALSE),0%)</f>
        <v>0</v>
      </c>
      <c r="BKH13" s="5">
        <f>IFERROR(VLOOKUP(BKH$1,'CERA Agresivo'!$B$23:$C$40,2,FALSE),0%)</f>
        <v>0</v>
      </c>
      <c r="BKI13" s="5">
        <f>IFERROR(VLOOKUP(BKI$1,'CERA Agresivo'!$B$23:$C$40,2,FALSE),0%)</f>
        <v>0</v>
      </c>
      <c r="BKJ13" s="5">
        <f>IFERROR(VLOOKUP(BKJ$1,'CERA Agresivo'!$B$23:$C$40,2,FALSE),0%)</f>
        <v>0</v>
      </c>
      <c r="BKK13" s="5">
        <f>IFERROR(VLOOKUP(BKK$1,'CERA Agresivo'!$B$23:$C$40,2,FALSE),0%)</f>
        <v>0</v>
      </c>
      <c r="BKL13" s="5">
        <f>IFERROR(VLOOKUP(BKL$1,'CERA Agresivo'!$B$23:$C$40,2,FALSE),0%)</f>
        <v>0</v>
      </c>
      <c r="BKM13" s="5">
        <f>IFERROR(VLOOKUP(BKM$1,'CERA Agresivo'!$B$23:$C$40,2,FALSE),0%)</f>
        <v>0</v>
      </c>
      <c r="BKN13" s="5">
        <f>IFERROR(VLOOKUP(BKN$1,'CERA Agresivo'!$B$23:$C$40,2,FALSE),0%)</f>
        <v>0</v>
      </c>
      <c r="BKO13" s="5">
        <f>IFERROR(VLOOKUP(BKO$1,'CERA Agresivo'!$B$23:$C$40,2,FALSE),0%)</f>
        <v>0.07923927346</v>
      </c>
      <c r="BKP13" s="5">
        <f>IFERROR(VLOOKUP(BKP$1,'CERA Agresivo'!$B$23:$C$40,2,FALSE),0%)</f>
        <v>0</v>
      </c>
      <c r="BKQ13" s="5">
        <f>IFERROR(VLOOKUP(BKQ$1,'CERA Agresivo'!$B$23:$C$40,2,FALSE),0%)</f>
        <v>0</v>
      </c>
      <c r="BKR13" s="5">
        <f>IFERROR(VLOOKUP(BKR$1,'CERA Agresivo'!$B$23:$C$40,2,FALSE),0%)</f>
        <v>0</v>
      </c>
      <c r="BKS13" s="5">
        <f>IFERROR(VLOOKUP(BKS$1,'CERA Agresivo'!$B$23:$C$40,2,FALSE),0%)</f>
        <v>0</v>
      </c>
      <c r="BKT13" s="5">
        <f>IFERROR(VLOOKUP(BKT$1,'CERA Agresivo'!$B$23:$C$40,2,FALSE),0%)</f>
        <v>0</v>
      </c>
      <c r="BKU13" s="5">
        <f>IFERROR(VLOOKUP(BKU$1,'CERA Agresivo'!$B$23:$C$40,2,FALSE),0%)</f>
        <v>0</v>
      </c>
      <c r="BKV13" s="5">
        <f>IFERROR(VLOOKUP(BKV$1,'CERA Agresivo'!$B$23:$C$40,2,FALSE),0%)</f>
        <v>0</v>
      </c>
      <c r="BKW13" s="5">
        <f>IFERROR(VLOOKUP(BKW$1,'CERA Agresivo'!$B$23:$C$40,2,FALSE),0%)</f>
        <v>0</v>
      </c>
      <c r="BKX13" s="5">
        <f>IFERROR(VLOOKUP(BKX$1,'CERA Agresivo'!$B$23:$C$40,2,FALSE),0%)</f>
        <v>0</v>
      </c>
      <c r="BKY13" s="5">
        <f>IFERROR(VLOOKUP(BKY$1,'CERA Agresivo'!$B$23:$C$40,2,FALSE),0%)</f>
        <v>0</v>
      </c>
      <c r="BKZ13" s="5">
        <f>IFERROR(VLOOKUP(BKZ$1,'CERA Agresivo'!$B$23:$C$40,2,FALSE),0%)</f>
        <v>0</v>
      </c>
      <c r="BLA13" s="5">
        <f>IFERROR(VLOOKUP(BLA$1,'CERA Agresivo'!$B$23:$C$40,2,FALSE),0%)</f>
        <v>0</v>
      </c>
      <c r="BLB13" s="5">
        <f>IFERROR(VLOOKUP(BLB$1,'CERA Agresivo'!$B$23:$C$40,2,FALSE),0%)</f>
        <v>0</v>
      </c>
      <c r="BLC13" s="5">
        <f>IFERROR(VLOOKUP(BLC$1,'CERA Agresivo'!$B$23:$C$40,2,FALSE),0%)</f>
        <v>0</v>
      </c>
      <c r="BLD13" s="5">
        <f>IFERROR(VLOOKUP(BLD$1,'CERA Agresivo'!$B$23:$C$40,2,FALSE),0%)</f>
        <v>0</v>
      </c>
      <c r="BLE13" s="5">
        <f>IFERROR(VLOOKUP(BLE$1,'CERA Agresivo'!$B$23:$C$40,2,FALSE),0%)</f>
        <v>0</v>
      </c>
      <c r="BLF13" s="5">
        <f>IFERROR(VLOOKUP(BLF$1,'CERA Agresivo'!$B$23:$C$40,2,FALSE),0%)</f>
        <v>0</v>
      </c>
      <c r="BLG13" s="5">
        <f>IFERROR(VLOOKUP(BLG$1,'CERA Agresivo'!$B$23:$C$40,2,FALSE),0%)</f>
        <v>0</v>
      </c>
      <c r="BLH13" s="5">
        <f>IFERROR(VLOOKUP(BLH$1,'CERA Agresivo'!$B$23:$C$40,2,FALSE),0%)</f>
        <v>0</v>
      </c>
      <c r="BLI13" s="5">
        <f>IFERROR(VLOOKUP(BLI$1,'CERA Agresivo'!$B$23:$C$40,2,FALSE),0%)</f>
        <v>0</v>
      </c>
      <c r="BLJ13" s="5">
        <f>IFERROR(VLOOKUP(BLJ$1,'CERA Agresivo'!$B$23:$C$40,2,FALSE),0%)</f>
        <v>0</v>
      </c>
      <c r="BLK13" s="5">
        <f>IFERROR(VLOOKUP(BLK$1,'CERA Agresivo'!$B$23:$C$40,2,FALSE),0%)</f>
        <v>0</v>
      </c>
      <c r="BLL13" s="5">
        <f>IFERROR(VLOOKUP(BLL$1,'CERA Agresivo'!$B$23:$C$40,2,FALSE),0%)</f>
        <v>0</v>
      </c>
      <c r="BLM13" s="5">
        <f>IFERROR(VLOOKUP(BLM$1,'CERA Agresivo'!$B$23:$C$40,2,FALSE),0%)</f>
        <v>0</v>
      </c>
      <c r="BLN13" s="5">
        <f>IFERROR(VLOOKUP(BLN$1,'CERA Agresivo'!$B$23:$C$40,2,FALSE),0%)</f>
        <v>0</v>
      </c>
      <c r="BLO13" s="5">
        <f>IFERROR(VLOOKUP(BLO$1,'CERA Agresivo'!$B$23:$C$40,2,FALSE),0%)</f>
        <v>0</v>
      </c>
      <c r="BLP13" s="5">
        <f>IFERROR(VLOOKUP(BLP$1,'CERA Agresivo'!$B$23:$C$40,2,FALSE),0%)</f>
        <v>0</v>
      </c>
      <c r="BLQ13" s="5">
        <f>IFERROR(VLOOKUP(BLQ$1,'CERA Agresivo'!$B$23:$C$40,2,FALSE),0%)</f>
        <v>0</v>
      </c>
      <c r="BLR13" s="5">
        <f>IFERROR(VLOOKUP(BLR$1,'CERA Agresivo'!$B$23:$C$40,2,FALSE),0%)</f>
        <v>0</v>
      </c>
      <c r="BLS13" s="5">
        <f>IFERROR(VLOOKUP(BLS$1,'CERA Agresivo'!$B$23:$C$40,2,FALSE),0%)</f>
        <v>0</v>
      </c>
      <c r="BLT13" s="5">
        <f>IFERROR(VLOOKUP(BLT$1,'CERA Agresivo'!$B$23:$C$40,2,FALSE),0%)</f>
        <v>0</v>
      </c>
      <c r="BLU13" s="5">
        <f>IFERROR(VLOOKUP(BLU$1,'CERA Agresivo'!$B$23:$C$40,2,FALSE),0%)</f>
        <v>0</v>
      </c>
      <c r="BLV13" s="5">
        <f>IFERROR(VLOOKUP(BLV$1,'CERA Agresivo'!$B$23:$C$40,2,FALSE),0%)</f>
        <v>0</v>
      </c>
      <c r="BLW13" s="5">
        <f>IFERROR(VLOOKUP(BLW$1,'CERA Agresivo'!$B$23:$C$40,2,FALSE),0%)</f>
        <v>0</v>
      </c>
      <c r="BLX13" s="5">
        <f>IFERROR(VLOOKUP(BLX$1,'CERA Agresivo'!$B$23:$C$40,2,FALSE),0%)</f>
        <v>0</v>
      </c>
      <c r="BLY13" s="5">
        <f>IFERROR(VLOOKUP(BLY$1,'CERA Agresivo'!$B$23:$C$40,2,FALSE),0%)</f>
        <v>0</v>
      </c>
      <c r="BLZ13" s="5">
        <f>IFERROR(VLOOKUP(BLZ$1,'CERA Agresivo'!$B$23:$C$40,2,FALSE),0%)</f>
        <v>0</v>
      </c>
      <c r="BMA13" s="5">
        <f>IFERROR(VLOOKUP(BMA$1,'CERA Agresivo'!$B$23:$C$40,2,FALSE),0%)</f>
        <v>0</v>
      </c>
      <c r="BMB13" s="5">
        <f>IFERROR(VLOOKUP(BMB$1,'CERA Agresivo'!$B$23:$C$40,2,FALSE),0%)</f>
        <v>0</v>
      </c>
      <c r="BMC13" s="5">
        <f>IFERROR(VLOOKUP(BMC$1,'CERA Agresivo'!$B$23:$C$40,2,FALSE),0%)</f>
        <v>0</v>
      </c>
      <c r="BMD13" s="5">
        <f>IFERROR(VLOOKUP(BMD$1,'CERA Agresivo'!$B$23:$C$40,2,FALSE),0%)</f>
        <v>0</v>
      </c>
      <c r="BME13" s="5">
        <f>IFERROR(VLOOKUP(BME$1,'CERA Agresivo'!$B$23:$C$40,2,FALSE),0%)</f>
        <v>0</v>
      </c>
      <c r="BMF13" s="5">
        <f>IFERROR(VLOOKUP(BMF$1,'CERA Agresivo'!$B$23:$C$40,2,FALSE),0%)</f>
        <v>0</v>
      </c>
      <c r="BMG13" s="5">
        <f>IFERROR(VLOOKUP(BMG$1,'CERA Agresivo'!$B$23:$C$40,2,FALSE),0%)</f>
        <v>0</v>
      </c>
      <c r="BMH13" s="5">
        <f>IFERROR(VLOOKUP(BMH$1,'CERA Agresivo'!$B$23:$C$40,2,FALSE),0%)</f>
        <v>0</v>
      </c>
      <c r="BMI13" s="5">
        <f>IFERROR(VLOOKUP(BMI$1,'CERA Agresivo'!$B$23:$C$40,2,FALSE),0%)</f>
        <v>0</v>
      </c>
      <c r="BMJ13" s="5">
        <f>IFERROR(VLOOKUP(BMJ$1,'CERA Agresivo'!$B$23:$C$40,2,FALSE),0%)</f>
        <v>0</v>
      </c>
      <c r="BMK13" s="5">
        <f>IFERROR(VLOOKUP(BMK$1,'CERA Agresivo'!$B$23:$C$40,2,FALSE),0%)</f>
        <v>0</v>
      </c>
      <c r="BML13" s="5">
        <f>IFERROR(VLOOKUP(BML$1,'CERA Agresivo'!$B$23:$C$40,2,FALSE),0%)</f>
        <v>0</v>
      </c>
      <c r="BMM13" s="5">
        <f>IFERROR(VLOOKUP(BMM$1,'CERA Agresivo'!$B$23:$C$40,2,FALSE),0%)</f>
        <v>0</v>
      </c>
      <c r="BMN13" s="5">
        <f>IFERROR(VLOOKUP(BMN$1,'CERA Agresivo'!$B$23:$C$40,2,FALSE),0%)</f>
        <v>0</v>
      </c>
      <c r="BMO13" s="5">
        <f>IFERROR(VLOOKUP(BMO$1,'CERA Agresivo'!$B$23:$C$40,2,FALSE),0%)</f>
        <v>0</v>
      </c>
      <c r="BMP13" s="5">
        <f>IFERROR(VLOOKUP(BMP$1,'CERA Agresivo'!$B$23:$C$40,2,FALSE),0%)</f>
        <v>0</v>
      </c>
      <c r="BMQ13" s="5">
        <f>IFERROR(VLOOKUP(BMQ$1,'CERA Agresivo'!$B$23:$C$40,2,FALSE),0%)</f>
        <v>0</v>
      </c>
      <c r="BMR13" s="5">
        <f>IFERROR(VLOOKUP(BMR$1,'CERA Agresivo'!$B$23:$C$40,2,FALSE),0%)</f>
        <v>0</v>
      </c>
      <c r="BMS13" s="5">
        <f>IFERROR(VLOOKUP(BMS$1,'CERA Agresivo'!$B$23:$C$40,2,FALSE),0%)</f>
        <v>0</v>
      </c>
      <c r="BMT13" s="5">
        <f>IFERROR(VLOOKUP(BMT$1,'CERA Agresivo'!$B$23:$C$40,2,FALSE),0%)</f>
        <v>0</v>
      </c>
      <c r="BMU13" s="5">
        <f>IFERROR(VLOOKUP(BMU$1,'CERA Agresivo'!$B$23:$C$40,2,FALSE),0%)</f>
        <v>0</v>
      </c>
      <c r="BMV13" s="5">
        <f>IFERROR(VLOOKUP(BMV$1,'CERA Agresivo'!$B$23:$C$40,2,FALSE),0%)</f>
        <v>0</v>
      </c>
      <c r="BMW13" s="5">
        <f>IFERROR(VLOOKUP(BMW$1,'CERA Agresivo'!$B$23:$C$40,2,FALSE),0%)</f>
        <v>0</v>
      </c>
      <c r="BMX13" s="5">
        <f>IFERROR(VLOOKUP(BMX$1,'CERA Agresivo'!$B$23:$C$40,2,FALSE),0%)</f>
        <v>0</v>
      </c>
      <c r="BMY13" s="5">
        <f>IFERROR(VLOOKUP(BMY$1,'CERA Agresivo'!$B$23:$C$40,2,FALSE),0%)</f>
        <v>0</v>
      </c>
      <c r="BMZ13" s="5">
        <f>IFERROR(VLOOKUP(BMZ$1,'CERA Agresivo'!$B$23:$C$40,2,FALSE),0%)</f>
        <v>0</v>
      </c>
      <c r="BNA13" s="5">
        <f>IFERROR(VLOOKUP(BNA$1,'CERA Agresivo'!$B$23:$C$40,2,FALSE),0%)</f>
        <v>0</v>
      </c>
      <c r="BNB13" s="5">
        <f>IFERROR(VLOOKUP(BNB$1,'CERA Agresivo'!$B$23:$C$40,2,FALSE),0%)</f>
        <v>0</v>
      </c>
      <c r="BNC13" s="5">
        <f>IFERROR(VLOOKUP(BNC$1,'CERA Agresivo'!$B$23:$C$40,2,FALSE),0%)</f>
        <v>0</v>
      </c>
      <c r="BND13" s="5">
        <f>IFERROR(VLOOKUP(BND$1,'CERA Agresivo'!$B$23:$C$40,2,FALSE),0%)</f>
        <v>0</v>
      </c>
      <c r="BNE13" s="5">
        <f>IFERROR(VLOOKUP(BNE$1,'CERA Agresivo'!$B$23:$C$40,2,FALSE),0%)</f>
        <v>0</v>
      </c>
      <c r="BNF13" s="5">
        <f>IFERROR(VLOOKUP(BNF$1,'CERA Agresivo'!$B$23:$C$40,2,FALSE),0%)</f>
        <v>0</v>
      </c>
      <c r="BNG13" s="5">
        <f>IFERROR(VLOOKUP(BNG$1,'CERA Agresivo'!$B$23:$C$40,2,FALSE),0%)</f>
        <v>0</v>
      </c>
      <c r="BNH13" s="5">
        <f>IFERROR(VLOOKUP(BNH$1,'CERA Agresivo'!$B$23:$C$40,2,FALSE),0%)</f>
        <v>0</v>
      </c>
      <c r="BNI13" s="5">
        <f>IFERROR(VLOOKUP(BNI$1,'CERA Agresivo'!$B$23:$C$40,2,FALSE),0%)</f>
        <v>0</v>
      </c>
      <c r="BNJ13" s="5">
        <f>IFERROR(VLOOKUP(BNJ$1,'CERA Agresivo'!$B$23:$C$40,2,FALSE),0%)</f>
        <v>0</v>
      </c>
      <c r="BNK13" s="5">
        <f>IFERROR(VLOOKUP(BNK$1,'CERA Agresivo'!$B$23:$C$40,2,FALSE),0%)</f>
        <v>0</v>
      </c>
      <c r="BNL13" s="5">
        <f>IFERROR(VLOOKUP(BNL$1,'CERA Agresivo'!$B$23:$C$40,2,FALSE),0%)</f>
        <v>0</v>
      </c>
      <c r="BNM13" s="5">
        <f>IFERROR(VLOOKUP(BNM$1,'CERA Agresivo'!$B$23:$C$40,2,FALSE),0%)</f>
        <v>0</v>
      </c>
      <c r="BNN13" s="5">
        <f>IFERROR(VLOOKUP(BNN$1,'CERA Agresivo'!$B$23:$C$40,2,FALSE),0%)</f>
        <v>0</v>
      </c>
      <c r="BNO13" s="5">
        <f>IFERROR(VLOOKUP(BNO$1,'CERA Agresivo'!$B$23:$C$40,2,FALSE),0%)</f>
        <v>0</v>
      </c>
      <c r="BNP13" s="5">
        <f>IFERROR(VLOOKUP(BNP$1,'CERA Agresivo'!$B$23:$C$40,2,FALSE),0%)</f>
        <v>0</v>
      </c>
      <c r="BNQ13" s="5">
        <f>IFERROR(VLOOKUP(BNQ$1,'CERA Agresivo'!$B$23:$C$40,2,FALSE),0%)</f>
        <v>0</v>
      </c>
      <c r="BNR13" s="5">
        <f>IFERROR(VLOOKUP(BNR$1,'CERA Agresivo'!$B$23:$C$40,2,FALSE),0%)</f>
        <v>0</v>
      </c>
      <c r="BNS13" s="5">
        <f>IFERROR(VLOOKUP(BNS$1,'CERA Agresivo'!$B$23:$C$40,2,FALSE),0%)</f>
        <v>0</v>
      </c>
      <c r="BNT13" s="5">
        <f>IFERROR(VLOOKUP(BNT$1,'CERA Agresivo'!$B$23:$C$40,2,FALSE),0%)</f>
        <v>0</v>
      </c>
      <c r="BNU13" s="5">
        <f>IFERROR(VLOOKUP(BNU$1,'CERA Agresivo'!$B$23:$C$40,2,FALSE),0%)</f>
        <v>0</v>
      </c>
      <c r="BNV13" s="5">
        <f>IFERROR(VLOOKUP(BNV$1,'CERA Agresivo'!$B$23:$C$40,2,FALSE),0%)</f>
        <v>0</v>
      </c>
      <c r="BNW13" s="5">
        <f>IFERROR(VLOOKUP(BNW$1,'CERA Agresivo'!$B$23:$C$40,2,FALSE),0%)</f>
        <v>0</v>
      </c>
      <c r="BNX13" s="5">
        <f>IFERROR(VLOOKUP(BNX$1,'CERA Agresivo'!$B$23:$C$40,2,FALSE),0%)</f>
        <v>0</v>
      </c>
      <c r="BNY13" s="5">
        <f>IFERROR(VLOOKUP(BNY$1,'CERA Agresivo'!$B$23:$C$40,2,FALSE),0%)</f>
        <v>0</v>
      </c>
      <c r="BNZ13" s="5">
        <f>IFERROR(VLOOKUP(BNZ$1,'CERA Agresivo'!$B$23:$C$40,2,FALSE),0%)</f>
        <v>0</v>
      </c>
      <c r="BOA13" s="5">
        <f>IFERROR(VLOOKUP(BOA$1,'CERA Agresivo'!$B$23:$C$40,2,FALSE),0%)</f>
        <v>0</v>
      </c>
      <c r="BOB13" s="5">
        <f>IFERROR(VLOOKUP(BOB$1,'CERA Agresivo'!$B$23:$C$40,2,FALSE),0%)</f>
        <v>0</v>
      </c>
      <c r="BOC13" s="5">
        <f>IFERROR(VLOOKUP(BOC$1,'CERA Agresivo'!$B$23:$C$40,2,FALSE),0%)</f>
        <v>0</v>
      </c>
      <c r="BOD13" s="5">
        <f>IFERROR(VLOOKUP(BOD$1,'CERA Agresivo'!$B$23:$C$40,2,FALSE),0%)</f>
        <v>0</v>
      </c>
      <c r="BOE13" s="5">
        <f>IFERROR(VLOOKUP(BOE$1,'CERA Agresivo'!$B$23:$C$40,2,FALSE),0%)</f>
        <v>0</v>
      </c>
      <c r="BOF13" s="5">
        <f>IFERROR(VLOOKUP(BOF$1,'CERA Agresivo'!$B$23:$C$40,2,FALSE),0%)</f>
        <v>0</v>
      </c>
      <c r="BOG13" s="5">
        <f>IFERROR(VLOOKUP(BOG$1,'CERA Agresivo'!$B$23:$C$40,2,FALSE),0%)</f>
        <v>0</v>
      </c>
      <c r="BOH13" s="5">
        <f>IFERROR(VLOOKUP(BOH$1,'CERA Agresivo'!$B$23:$C$40,2,FALSE),0%)</f>
        <v>0</v>
      </c>
      <c r="BOI13" s="5">
        <f>IFERROR(VLOOKUP(BOI$1,'CERA Agresivo'!$B$23:$C$40,2,FALSE),0%)</f>
        <v>0</v>
      </c>
      <c r="BOJ13" s="5">
        <f>IFERROR(VLOOKUP(BOJ$1,'CERA Agresivo'!$B$23:$C$40,2,FALSE),0%)</f>
        <v>0</v>
      </c>
      <c r="BOK13" s="5">
        <f>IFERROR(VLOOKUP(BOK$1,'CERA Agresivo'!$B$23:$C$40,2,FALSE),0%)</f>
        <v>0</v>
      </c>
      <c r="BOL13" s="5">
        <f>IFERROR(VLOOKUP(BOL$1,'CERA Agresivo'!$B$23:$C$40,2,FALSE),0%)</f>
        <v>0</v>
      </c>
      <c r="BOM13" s="5">
        <f>IFERROR(VLOOKUP(BOM$1,'CERA Agresivo'!$B$23:$C$40,2,FALSE),0%)</f>
        <v>0</v>
      </c>
      <c r="BON13" s="5">
        <f>IFERROR(VLOOKUP(BON$1,'CERA Agresivo'!$B$23:$C$40,2,FALSE),0%)</f>
        <v>0</v>
      </c>
      <c r="BOO13" s="5">
        <f>IFERROR(VLOOKUP(BOO$1,'CERA Agresivo'!$B$23:$C$40,2,FALSE),0%)</f>
        <v>0</v>
      </c>
      <c r="BOP13" s="5">
        <f>IFERROR(VLOOKUP(BOP$1,'CERA Agresivo'!$B$23:$C$40,2,FALSE),0%)</f>
        <v>0</v>
      </c>
      <c r="BOQ13" s="5">
        <f>IFERROR(VLOOKUP(BOQ$1,'CERA Agresivo'!$B$23:$C$40,2,FALSE),0%)</f>
        <v>0</v>
      </c>
      <c r="BOR13" s="5">
        <f>IFERROR(VLOOKUP(BOR$1,'CERA Agresivo'!$B$23:$C$40,2,FALSE),0%)</f>
        <v>0.1357822411</v>
      </c>
      <c r="BOS13" s="5">
        <f>IFERROR(VLOOKUP(BOS$1,'CERA Agresivo'!$B$23:$C$40,2,FALSE),0%)</f>
        <v>0</v>
      </c>
      <c r="BOT13" s="5">
        <f>IFERROR(VLOOKUP(BOT$1,'CERA Agresivo'!$B$23:$C$40,2,FALSE),0%)</f>
        <v>0</v>
      </c>
      <c r="BOU13" s="5">
        <f>IFERROR(VLOOKUP(BOU$1,'CERA Agresivo'!$B$23:$C$40,2,FALSE),0%)</f>
        <v>0</v>
      </c>
      <c r="BOV13" s="5">
        <f>IFERROR(VLOOKUP(BOV$1,'CERA Agresivo'!$B$23:$C$40,2,FALSE),0%)</f>
        <v>0</v>
      </c>
      <c r="BOW13" s="5">
        <f>IFERROR(VLOOKUP(BOW$1,'CERA Agresivo'!$B$23:$C$40,2,FALSE),0%)</f>
        <v>0</v>
      </c>
      <c r="BOX13" s="5">
        <f>IFERROR(VLOOKUP(BOX$1,'CERA Agresivo'!$B$23:$C$40,2,FALSE),0%)</f>
        <v>0</v>
      </c>
      <c r="BOY13" s="5">
        <f>IFERROR(VLOOKUP(BOY$1,'CERA Agresivo'!$B$23:$C$40,2,FALSE),0%)</f>
        <v>0</v>
      </c>
      <c r="BOZ13" s="5">
        <f>IFERROR(VLOOKUP(BOZ$1,'CERA Agresivo'!$B$23:$C$40,2,FALSE),0%)</f>
        <v>0</v>
      </c>
      <c r="BPA13" s="5">
        <f>IFERROR(VLOOKUP(BPA$1,'CERA Agresivo'!$B$23:$C$40,2,FALSE),0%)</f>
        <v>0</v>
      </c>
      <c r="BPB13" s="5">
        <f>IFERROR(VLOOKUP(BPB$1,'CERA Agresivo'!$B$23:$C$40,2,FALSE),0%)</f>
        <v>0</v>
      </c>
      <c r="BPC13" s="5">
        <f>IFERROR(VLOOKUP(BPC$1,'CERA Agresivo'!$B$23:$C$40,2,FALSE),0%)</f>
        <v>0</v>
      </c>
      <c r="BPD13" s="5">
        <f>IFERROR(VLOOKUP(BPD$1,'CERA Agresivo'!$B$23:$C$40,2,FALSE),0%)</f>
        <v>0</v>
      </c>
      <c r="BPE13" s="5">
        <f>IFERROR(VLOOKUP(BPE$1,'CERA Agresivo'!$B$23:$C$40,2,FALSE),0%)</f>
        <v>0</v>
      </c>
      <c r="BPF13" s="5">
        <f>IFERROR(VLOOKUP(BPF$1,'CERA Agresivo'!$B$23:$C$40,2,FALSE),0%)</f>
        <v>0</v>
      </c>
      <c r="BPG13" s="5">
        <f>IFERROR(VLOOKUP(BPG$1,'CERA Agresivo'!$B$23:$C$40,2,FALSE),0%)</f>
        <v>0</v>
      </c>
      <c r="BPH13" s="5">
        <f>IFERROR(VLOOKUP(BPH$1,'CERA Agresivo'!$B$23:$C$40,2,FALSE),0%)</f>
        <v>0</v>
      </c>
      <c r="BPI13" s="5">
        <f>IFERROR(VLOOKUP(BPI$1,'CERA Agresivo'!$B$23:$C$40,2,FALSE),0%)</f>
        <v>0</v>
      </c>
      <c r="BPJ13" s="5">
        <f>IFERROR(VLOOKUP(BPJ$1,'CERA Agresivo'!$B$23:$C$40,2,FALSE),0%)</f>
        <v>0</v>
      </c>
      <c r="BPK13" s="5">
        <f>IFERROR(VLOOKUP(BPK$1,'CERA Agresivo'!$B$23:$C$40,2,FALSE),0%)</f>
        <v>0</v>
      </c>
      <c r="BPL13" s="5">
        <f>IFERROR(VLOOKUP(BPL$1,'CERA Agresivo'!$B$23:$C$40,2,FALSE),0%)</f>
        <v>0</v>
      </c>
      <c r="BPM13" s="5">
        <f>IFERROR(VLOOKUP(BPM$1,'CERA Agresivo'!$B$23:$C$40,2,FALSE),0%)</f>
        <v>0</v>
      </c>
      <c r="BPN13" s="5">
        <f>IFERROR(VLOOKUP(BPN$1,'CERA Agresivo'!$B$23:$C$40,2,FALSE),0%)</f>
        <v>0</v>
      </c>
      <c r="BPO13" s="5">
        <f>IFERROR(VLOOKUP(BPO$1,'CERA Agresivo'!$B$23:$C$40,2,FALSE),0%)</f>
        <v>0</v>
      </c>
      <c r="BPP13" s="5">
        <f>IFERROR(VLOOKUP(BPP$1,'CERA Agresivo'!$B$23:$C$40,2,FALSE),0%)</f>
        <v>0</v>
      </c>
      <c r="BPQ13" s="5">
        <f>IFERROR(VLOOKUP(BPQ$1,'CERA Agresivo'!$B$23:$C$40,2,FALSE),0%)</f>
        <v>0</v>
      </c>
      <c r="BPR13" s="5">
        <f>IFERROR(VLOOKUP(BPR$1,'CERA Agresivo'!$B$23:$C$40,2,FALSE),0%)</f>
        <v>0</v>
      </c>
      <c r="BPS13" s="5">
        <f>IFERROR(VLOOKUP(BPS$1,'CERA Agresivo'!$B$23:$C$40,2,FALSE),0%)</f>
        <v>0</v>
      </c>
      <c r="BPT13" s="5">
        <f>IFERROR(VLOOKUP(BPT$1,'CERA Agresivo'!$B$23:$C$40,2,FALSE),0%)</f>
        <v>0</v>
      </c>
      <c r="BPU13" s="5">
        <f>IFERROR(VLOOKUP(BPU$1,'CERA Agresivo'!$B$23:$C$40,2,FALSE),0%)</f>
        <v>0</v>
      </c>
      <c r="BPV13" s="5">
        <f>IFERROR(VLOOKUP(BPV$1,'CERA Agresivo'!$B$23:$C$40,2,FALSE),0%)</f>
        <v>0</v>
      </c>
      <c r="BPW13" s="5">
        <f>IFERROR(VLOOKUP(BPW$1,'CERA Agresivo'!$B$23:$C$40,2,FALSE),0%)</f>
        <v>0</v>
      </c>
      <c r="BPX13" s="5">
        <f>IFERROR(VLOOKUP(BPX$1,'CERA Agresivo'!$B$23:$C$40,2,FALSE),0%)</f>
        <v>0</v>
      </c>
      <c r="BPY13" s="5">
        <f>IFERROR(VLOOKUP(BPY$1,'CERA Agresivo'!$B$23:$C$40,2,FALSE),0%)</f>
        <v>0</v>
      </c>
      <c r="BPZ13" s="5">
        <f>IFERROR(VLOOKUP(BPZ$1,'CERA Agresivo'!$B$23:$C$40,2,FALSE),0%)</f>
        <v>0</v>
      </c>
      <c r="BQA13" s="5">
        <f>IFERROR(VLOOKUP(BQA$1,'CERA Agresivo'!$B$23:$C$40,2,FALSE),0%)</f>
        <v>0</v>
      </c>
      <c r="BQB13" s="5">
        <f>IFERROR(VLOOKUP(BQB$1,'CERA Agresivo'!$B$23:$C$40,2,FALSE),0%)</f>
        <v>0</v>
      </c>
      <c r="BQC13" s="5">
        <f>IFERROR(VLOOKUP(BQC$1,'CERA Agresivo'!$B$23:$C$40,2,FALSE),0%)</f>
        <v>0</v>
      </c>
      <c r="BQD13" s="5">
        <f>IFERROR(VLOOKUP(BQD$1,'CERA Agresivo'!$B$23:$C$40,2,FALSE),0%)</f>
        <v>0</v>
      </c>
      <c r="BQE13" s="5">
        <f>IFERROR(VLOOKUP(BQE$1,'CERA Agresivo'!$B$23:$C$40,2,FALSE),0%)</f>
        <v>0</v>
      </c>
      <c r="BQF13" s="5">
        <f>IFERROR(VLOOKUP(BQF$1,'CERA Agresivo'!$B$23:$C$40,2,FALSE),0%)</f>
        <v>0</v>
      </c>
      <c r="BQG13" s="5">
        <f>IFERROR(VLOOKUP(BQG$1,'CERA Agresivo'!$B$23:$C$40,2,FALSE),0%)</f>
        <v>0</v>
      </c>
      <c r="BQH13" s="5">
        <f>IFERROR(VLOOKUP(BQH$1,'CERA Agresivo'!$B$23:$C$40,2,FALSE),0%)</f>
        <v>0</v>
      </c>
      <c r="BQI13" s="5">
        <f>IFERROR(VLOOKUP(BQI$1,'CERA Agresivo'!$B$23:$C$40,2,FALSE),0%)</f>
        <v>0</v>
      </c>
      <c r="BQJ13" s="5">
        <f>IFERROR(VLOOKUP(BQJ$1,'CERA Agresivo'!$B$23:$C$40,2,FALSE),0%)</f>
        <v>0</v>
      </c>
      <c r="BQK13" s="5">
        <f>IFERROR(VLOOKUP(BQK$1,'CERA Agresivo'!$B$23:$C$40,2,FALSE),0%)</f>
        <v>0</v>
      </c>
      <c r="BQL13" s="5">
        <f>IFERROR(VLOOKUP(BQL$1,'CERA Agresivo'!$B$23:$C$40,2,FALSE),0%)</f>
        <v>0.04334780302</v>
      </c>
      <c r="BQM13" s="5">
        <f>IFERROR(VLOOKUP(BQM$1,'CERA Agresivo'!$B$23:$C$40,2,FALSE),0%)</f>
        <v>0</v>
      </c>
      <c r="BQN13" s="5">
        <f>IFERROR(VLOOKUP(BQN$1,'CERA Agresivo'!$B$23:$C$40,2,FALSE),0%)</f>
        <v>0</v>
      </c>
      <c r="BQO13" s="5">
        <f>IFERROR(VLOOKUP(BQO$1,'CERA Agresivo'!$B$23:$C$40,2,FALSE),0%)</f>
        <v>0</v>
      </c>
      <c r="BQP13" s="5">
        <f>IFERROR(VLOOKUP(BQP$1,'CERA Agresivo'!$B$23:$C$40,2,FALSE),0%)</f>
        <v>0</v>
      </c>
      <c r="BQQ13" s="5">
        <f>IFERROR(VLOOKUP(BQQ$1,'CERA Agresivo'!$B$23:$C$40,2,FALSE),0%)</f>
        <v>0</v>
      </c>
      <c r="BQR13" s="5">
        <f>IFERROR(VLOOKUP(BQR$1,'CERA Agresivo'!$B$23:$C$40,2,FALSE),0%)</f>
        <v>0</v>
      </c>
      <c r="BQS13" s="5">
        <f>IFERROR(VLOOKUP(BQS$1,'CERA Agresivo'!$B$23:$C$40,2,FALSE),0%)</f>
        <v>0</v>
      </c>
      <c r="BQT13" s="5">
        <f>IFERROR(VLOOKUP(BQT$1,'CERA Agresivo'!$B$23:$C$40,2,FALSE),0%)</f>
        <v>0</v>
      </c>
      <c r="BQU13" s="5">
        <f>IFERROR(VLOOKUP(BQU$1,'CERA Agresivo'!$B$23:$C$40,2,FALSE),0%)</f>
        <v>0</v>
      </c>
      <c r="BQV13" s="5">
        <f>IFERROR(VLOOKUP(BQV$1,'CERA Agresivo'!$B$23:$C$40,2,FALSE),0%)</f>
        <v>0</v>
      </c>
      <c r="BQW13" s="5">
        <f>IFERROR(VLOOKUP(BQW$1,'CERA Agresivo'!$B$23:$C$40,2,FALSE),0%)</f>
        <v>0</v>
      </c>
      <c r="BQX13" s="5">
        <f>IFERROR(VLOOKUP(BQX$1,'CERA Agresivo'!$B$23:$C$40,2,FALSE),0%)</f>
        <v>0</v>
      </c>
      <c r="BQY13" s="5">
        <f>IFERROR(VLOOKUP(BQY$1,'CERA Agresivo'!$B$23:$C$40,2,FALSE),0%)</f>
        <v>0</v>
      </c>
      <c r="BQZ13" s="5">
        <f>IFERROR(VLOOKUP(BQZ$1,'CERA Agresivo'!$B$23:$C$40,2,FALSE),0%)</f>
        <v>0</v>
      </c>
      <c r="BRA13" s="5">
        <f>IFERROR(VLOOKUP(BRA$1,'CERA Agresivo'!$B$23:$C$40,2,FALSE),0%)</f>
        <v>0</v>
      </c>
      <c r="BRB13" s="5">
        <f>IFERROR(VLOOKUP(BRB$1,'CERA Agresivo'!$B$23:$C$40,2,FALSE),0%)</f>
        <v>0</v>
      </c>
      <c r="BRC13" s="5">
        <f>IFERROR(VLOOKUP(BRC$1,'CERA Agresivo'!$B$23:$C$40,2,FALSE),0%)</f>
        <v>0</v>
      </c>
      <c r="BRD13" s="5">
        <f>IFERROR(VLOOKUP(BRD$1,'CERA Agresivo'!$B$23:$C$40,2,FALSE),0%)</f>
        <v>0</v>
      </c>
      <c r="BRE13" s="5">
        <f>IFERROR(VLOOKUP(BRE$1,'CERA Agresivo'!$B$23:$C$40,2,FALSE),0%)</f>
        <v>0</v>
      </c>
      <c r="BRF13" s="5">
        <f>IFERROR(VLOOKUP(BRF$1,'CERA Agresivo'!$B$23:$C$40,2,FALSE),0%)</f>
        <v>0</v>
      </c>
      <c r="BRG13" s="5">
        <f>IFERROR(VLOOKUP(BRG$1,'CERA Agresivo'!$B$23:$C$40,2,FALSE),0%)</f>
        <v>0</v>
      </c>
      <c r="BRH13" s="5">
        <f>IFERROR(VLOOKUP(BRH$1,'CERA Agresivo'!$B$23:$C$40,2,FALSE),0%)</f>
        <v>0</v>
      </c>
      <c r="BRI13" s="5">
        <f>IFERROR(VLOOKUP(BRI$1,'CERA Agresivo'!$B$23:$C$40,2,FALSE),0%)</f>
        <v>0</v>
      </c>
      <c r="BRJ13" s="5">
        <f>IFERROR(VLOOKUP(BRJ$1,'CERA Agresivo'!$B$23:$C$40,2,FALSE),0%)</f>
        <v>0</v>
      </c>
      <c r="BRK13" s="5">
        <f>IFERROR(VLOOKUP(BRK$1,'CERA Agresivo'!$B$23:$C$40,2,FALSE),0%)</f>
        <v>0</v>
      </c>
      <c r="BRL13" s="5">
        <f>IFERROR(VLOOKUP(BRL$1,'CERA Agresivo'!$B$23:$C$40,2,FALSE),0%)</f>
        <v>0</v>
      </c>
      <c r="BRM13" s="5">
        <f>IFERROR(VLOOKUP(BRM$1,'CERA Agresivo'!$B$23:$C$40,2,FALSE),0%)</f>
        <v>0</v>
      </c>
      <c r="BRN13" s="5">
        <f>IFERROR(VLOOKUP(BRN$1,'CERA Agresivo'!$B$23:$C$40,2,FALSE),0%)</f>
        <v>0</v>
      </c>
      <c r="BRO13" s="5">
        <f>IFERROR(VLOOKUP(BRO$1,'CERA Agresivo'!$B$23:$C$40,2,FALSE),0%)</f>
        <v>0</v>
      </c>
      <c r="BRP13" s="5">
        <f>IFERROR(VLOOKUP(BRP$1,'CERA Agresivo'!$B$23:$C$40,2,FALSE),0%)</f>
        <v>0</v>
      </c>
      <c r="BRQ13" s="5">
        <f>IFERROR(VLOOKUP(BRQ$1,'CERA Agresivo'!$B$23:$C$40,2,FALSE),0%)</f>
        <v>0</v>
      </c>
      <c r="BRR13" s="5">
        <f>IFERROR(VLOOKUP(BRR$1,'CERA Agresivo'!$B$23:$C$40,2,FALSE),0%)</f>
        <v>0</v>
      </c>
      <c r="BRS13" s="5">
        <f>IFERROR(VLOOKUP(BRS$1,'CERA Agresivo'!$B$23:$C$40,2,FALSE),0%)</f>
        <v>0</v>
      </c>
      <c r="BRT13" s="5">
        <f>IFERROR(VLOOKUP(BRT$1,'CERA Agresivo'!$B$23:$C$40,2,FALSE),0%)</f>
        <v>0</v>
      </c>
      <c r="BRU13" s="5">
        <f>IFERROR(VLOOKUP(BRU$1,'CERA Agresivo'!$B$23:$C$40,2,FALSE),0%)</f>
        <v>0</v>
      </c>
      <c r="BRV13" s="5">
        <f>IFERROR(VLOOKUP(BRV$1,'CERA Agresivo'!$B$23:$C$40,2,FALSE),0%)</f>
        <v>0</v>
      </c>
      <c r="BRW13" s="5">
        <f>IFERROR(VLOOKUP(BRW$1,'CERA Agresivo'!$B$23:$C$40,2,FALSE),0%)</f>
        <v>0</v>
      </c>
      <c r="BRX13" s="5">
        <f>IFERROR(VLOOKUP(BRX$1,'CERA Agresivo'!$B$23:$C$40,2,FALSE),0%)</f>
        <v>0</v>
      </c>
      <c r="BRY13" s="5">
        <f>IFERROR(VLOOKUP(BRY$1,'CERA Agresivo'!$B$23:$C$40,2,FALSE),0%)</f>
        <v>0</v>
      </c>
      <c r="BRZ13" s="5">
        <f>IFERROR(VLOOKUP(BRZ$1,'CERA Agresivo'!$B$23:$C$40,2,FALSE),0%)</f>
        <v>0</v>
      </c>
      <c r="BSA13" s="5">
        <f>IFERROR(VLOOKUP(BSA$1,'CERA Agresivo'!$B$23:$C$40,2,FALSE),0%)</f>
        <v>0</v>
      </c>
      <c r="BSB13" s="5">
        <f>IFERROR(VLOOKUP(BSB$1,'CERA Agresivo'!$B$23:$C$40,2,FALSE),0%)</f>
        <v>0</v>
      </c>
      <c r="BSC13" s="5">
        <f>IFERROR(VLOOKUP(BSC$1,'CERA Agresivo'!$B$23:$C$40,2,FALSE),0%)</f>
        <v>0</v>
      </c>
      <c r="BSD13" s="5">
        <f>IFERROR(VLOOKUP(BSD$1,'CERA Agresivo'!$B$23:$C$40,2,FALSE),0%)</f>
        <v>0</v>
      </c>
      <c r="BSE13" s="5">
        <f>IFERROR(VLOOKUP(BSE$1,'CERA Agresivo'!$B$23:$C$40,2,FALSE),0%)</f>
        <v>0</v>
      </c>
      <c r="BSF13" s="5">
        <f>IFERROR(VLOOKUP(BSF$1,'CERA Agresivo'!$B$23:$C$40,2,FALSE),0%)</f>
        <v>0</v>
      </c>
      <c r="BSG13" s="5">
        <f>IFERROR(VLOOKUP(BSG$1,'CERA Agresivo'!$B$23:$C$40,2,FALSE),0%)</f>
        <v>0</v>
      </c>
      <c r="BSH13" s="5">
        <f>IFERROR(VLOOKUP(BSH$1,'CERA Agresivo'!$B$23:$C$40,2,FALSE),0%)</f>
        <v>0</v>
      </c>
      <c r="BSI13" s="5">
        <f>IFERROR(VLOOKUP(BSI$1,'CERA Agresivo'!$B$23:$C$40,2,FALSE),0%)</f>
        <v>0</v>
      </c>
      <c r="BSJ13" s="5">
        <f>IFERROR(VLOOKUP(BSJ$1,'CERA Agresivo'!$B$23:$C$40,2,FALSE),0%)</f>
        <v>0</v>
      </c>
      <c r="BSK13" s="5">
        <f>IFERROR(VLOOKUP(BSK$1,'CERA Agresivo'!$B$23:$C$40,2,FALSE),0%)</f>
        <v>0</v>
      </c>
      <c r="BSL13" s="5">
        <f>IFERROR(VLOOKUP(BSL$1,'CERA Agresivo'!$B$23:$C$40,2,FALSE),0%)</f>
        <v>0</v>
      </c>
      <c r="BSM13" s="5">
        <f>IFERROR(VLOOKUP(BSM$1,'CERA Agresivo'!$B$23:$C$40,2,FALSE),0%)</f>
        <v>0</v>
      </c>
      <c r="BSN13" s="5">
        <f>IFERROR(VLOOKUP(BSN$1,'CERA Agresivo'!$B$23:$C$40,2,FALSE),0%)</f>
        <v>0</v>
      </c>
      <c r="BSO13" s="5">
        <f>IFERROR(VLOOKUP(BSO$1,'CERA Agresivo'!$B$23:$C$40,2,FALSE),0%)</f>
        <v>0</v>
      </c>
      <c r="BSP13" s="5">
        <f>IFERROR(VLOOKUP(BSP$1,'CERA Agresivo'!$B$23:$C$40,2,FALSE),0%)</f>
        <v>0</v>
      </c>
      <c r="BSQ13" s="5">
        <f>IFERROR(VLOOKUP(BSQ$1,'CERA Agresivo'!$B$23:$C$40,2,FALSE),0%)</f>
        <v>0</v>
      </c>
      <c r="BSR13" s="5">
        <f>IFERROR(VLOOKUP(BSR$1,'CERA Agresivo'!$B$23:$C$40,2,FALSE),0%)</f>
        <v>0</v>
      </c>
      <c r="BSS13" s="5">
        <f>IFERROR(VLOOKUP(BSS$1,'CERA Agresivo'!$B$23:$C$40,2,FALSE),0%)</f>
        <v>0</v>
      </c>
      <c r="BST13" s="5">
        <f>IFERROR(VLOOKUP(BST$1,'CERA Agresivo'!$B$23:$C$40,2,FALSE),0%)</f>
        <v>0</v>
      </c>
      <c r="BSU13" s="5">
        <f>IFERROR(VLOOKUP(BSU$1,'CERA Agresivo'!$B$23:$C$40,2,FALSE),0%)</f>
        <v>0</v>
      </c>
      <c r="BSV13" s="5">
        <f>IFERROR(VLOOKUP(BSV$1,'CERA Agresivo'!$B$23:$C$40,2,FALSE),0%)</f>
        <v>0</v>
      </c>
      <c r="BSW13" s="5">
        <f>IFERROR(VLOOKUP(BSW$1,'CERA Agresivo'!$B$23:$C$40,2,FALSE),0%)</f>
        <v>0</v>
      </c>
      <c r="BSX13" s="5">
        <f>IFERROR(VLOOKUP(BSX$1,'CERA Agresivo'!$B$23:$C$40,2,FALSE),0%)</f>
        <v>0</v>
      </c>
      <c r="BSY13" s="5">
        <f>IFERROR(VLOOKUP(BSY$1,'CERA Agresivo'!$B$23:$C$40,2,FALSE),0%)</f>
        <v>0</v>
      </c>
      <c r="BSZ13" s="5">
        <f>IFERROR(VLOOKUP(BSZ$1,'CERA Agresivo'!$B$23:$C$40,2,FALSE),0%)</f>
        <v>0</v>
      </c>
      <c r="BTA13" s="5">
        <f>IFERROR(VLOOKUP(BTA$1,'CERA Agresivo'!$B$23:$C$40,2,FALSE),0%)</f>
        <v>0</v>
      </c>
      <c r="BTB13" s="5">
        <f>IFERROR(VLOOKUP(BTB$1,'CERA Agresivo'!$B$23:$C$40,2,FALSE),0%)</f>
        <v>0</v>
      </c>
      <c r="BTC13" s="5">
        <f>IFERROR(VLOOKUP(BTC$1,'CERA Agresivo'!$B$23:$C$40,2,FALSE),0%)</f>
        <v>0</v>
      </c>
      <c r="BTD13" s="5">
        <f>IFERROR(VLOOKUP(BTD$1,'CERA Agresivo'!$B$23:$C$40,2,FALSE),0%)</f>
        <v>0</v>
      </c>
      <c r="BTE13" s="5">
        <f>IFERROR(VLOOKUP(BTE$1,'CERA Agresivo'!$B$23:$C$40,2,FALSE),0%)</f>
        <v>0</v>
      </c>
      <c r="BTF13" s="5">
        <f>IFERROR(VLOOKUP(BTF$1,'CERA Agresivo'!$B$23:$C$40,2,FALSE),0%)</f>
        <v>0</v>
      </c>
      <c r="BTG13" s="5">
        <f>IFERROR(VLOOKUP(BTG$1,'CERA Agresivo'!$B$23:$C$40,2,FALSE),0%)</f>
        <v>0</v>
      </c>
      <c r="BTH13" s="5">
        <f>IFERROR(VLOOKUP(BTH$1,'CERA Agresivo'!$B$23:$C$40,2,FALSE),0%)</f>
        <v>0</v>
      </c>
      <c r="BTI13" s="5">
        <f>IFERROR(VLOOKUP(BTI$1,'CERA Agresivo'!$B$23:$C$40,2,FALSE),0%)</f>
        <v>0</v>
      </c>
      <c r="BTJ13" s="5">
        <f>IFERROR(VLOOKUP(BTJ$1,'CERA Agresivo'!$B$23:$C$40,2,FALSE),0%)</f>
        <v>0</v>
      </c>
      <c r="BTK13" s="5">
        <f>IFERROR(VLOOKUP(BTK$1,'CERA Agresivo'!$B$23:$C$40,2,FALSE),0%)</f>
        <v>0</v>
      </c>
      <c r="BTL13" s="5">
        <f>IFERROR(VLOOKUP(BTL$1,'CERA Agresivo'!$B$23:$C$40,2,FALSE),0%)</f>
        <v>0</v>
      </c>
      <c r="BTM13" s="5">
        <f>IFERROR(VLOOKUP(BTM$1,'CERA Agresivo'!$B$23:$C$40,2,FALSE),0%)</f>
        <v>0</v>
      </c>
      <c r="BTN13" s="5">
        <f>IFERROR(VLOOKUP(BTN$1,'CERA Agresivo'!$B$23:$C$40,2,FALSE),0%)</f>
        <v>0</v>
      </c>
      <c r="BTO13" s="5">
        <f>IFERROR(VLOOKUP(BTO$1,'CERA Agresivo'!$B$23:$C$40,2,FALSE),0%)</f>
        <v>0</v>
      </c>
      <c r="BTP13" s="5">
        <f>IFERROR(VLOOKUP(BTP$1,'CERA Agresivo'!$B$23:$C$40,2,FALSE),0%)</f>
        <v>0</v>
      </c>
      <c r="BTQ13" s="5">
        <f>IFERROR(VLOOKUP(BTQ$1,'CERA Agresivo'!$B$23:$C$40,2,FALSE),0%)</f>
        <v>0</v>
      </c>
      <c r="BTR13" s="5">
        <f>IFERROR(VLOOKUP(BTR$1,'CERA Agresivo'!$B$23:$C$40,2,FALSE),0%)</f>
        <v>0</v>
      </c>
      <c r="BTS13" s="5">
        <f>IFERROR(VLOOKUP(BTS$1,'CERA Agresivo'!$B$23:$C$40,2,FALSE),0%)</f>
        <v>0</v>
      </c>
      <c r="BTT13" s="5">
        <f>IFERROR(VLOOKUP(BTT$1,'CERA Agresivo'!$B$23:$C$40,2,FALSE),0%)</f>
        <v>0</v>
      </c>
      <c r="BTU13" s="5">
        <f>IFERROR(VLOOKUP(BTU$1,'CERA Agresivo'!$B$23:$C$40,2,FALSE),0%)</f>
        <v>0</v>
      </c>
      <c r="BTV13" s="5">
        <f>IFERROR(VLOOKUP(BTV$1,'CERA Agresivo'!$B$23:$C$40,2,FALSE),0%)</f>
        <v>0</v>
      </c>
      <c r="BTW13" s="5">
        <f>IFERROR(VLOOKUP(BTW$1,'CERA Agresivo'!$B$23:$C$40,2,FALSE),0%)</f>
        <v>0</v>
      </c>
      <c r="BTX13" s="5">
        <f>IFERROR(VLOOKUP(BTX$1,'CERA Agresivo'!$B$23:$C$40,2,FALSE),0%)</f>
        <v>0</v>
      </c>
      <c r="BTY13" s="5">
        <f>IFERROR(VLOOKUP(BTY$1,'CERA Agresivo'!$B$23:$C$40,2,FALSE),0%)</f>
        <v>0</v>
      </c>
      <c r="BTZ13" s="5">
        <f>IFERROR(VLOOKUP(BTZ$1,'CERA Agresivo'!$B$23:$C$40,2,FALSE),0%)</f>
        <v>0</v>
      </c>
      <c r="BUA13" s="5">
        <f>IFERROR(VLOOKUP(BUA$1,'CERA Agresivo'!$B$23:$C$40,2,FALSE),0%)</f>
        <v>0</v>
      </c>
      <c r="BUB13" s="5">
        <f>IFERROR(VLOOKUP(BUB$1,'CERA Agresivo'!$B$23:$C$40,2,FALSE),0%)</f>
        <v>0</v>
      </c>
      <c r="BUC13" s="5">
        <f>IFERROR(VLOOKUP(BUC$1,'CERA Agresivo'!$B$23:$C$40,2,FALSE),0%)</f>
        <v>0</v>
      </c>
      <c r="BUD13" s="5">
        <f>IFERROR(VLOOKUP(BUD$1,'CERA Agresivo'!$B$23:$C$40,2,FALSE),0%)</f>
        <v>0</v>
      </c>
      <c r="BUE13" s="5">
        <f>IFERROR(VLOOKUP(BUE$1,'CERA Agresivo'!$B$23:$C$40,2,FALSE),0%)</f>
        <v>0</v>
      </c>
      <c r="BUF13" s="5">
        <f>IFERROR(VLOOKUP(BUF$1,'CERA Agresivo'!$B$23:$C$40,2,FALSE),0%)</f>
        <v>0</v>
      </c>
      <c r="BUG13" s="5">
        <f>IFERROR(VLOOKUP(BUG$1,'CERA Agresivo'!$B$23:$C$40,2,FALSE),0%)</f>
        <v>0</v>
      </c>
      <c r="BUH13" s="5">
        <f>IFERROR(VLOOKUP(BUH$1,'CERA Agresivo'!$B$23:$C$40,2,FALSE),0%)</f>
        <v>0</v>
      </c>
      <c r="BUI13" s="5">
        <f>IFERROR(VLOOKUP(BUI$1,'CERA Agresivo'!$B$23:$C$40,2,FALSE),0%)</f>
        <v>0</v>
      </c>
      <c r="BUJ13" s="5">
        <f>IFERROR(VLOOKUP(BUJ$1,'CERA Agresivo'!$B$23:$C$40,2,FALSE),0%)</f>
        <v>0</v>
      </c>
      <c r="BUK13" s="5">
        <f>IFERROR(VLOOKUP(BUK$1,'CERA Agresivo'!$B$23:$C$40,2,FALSE),0%)</f>
        <v>0</v>
      </c>
      <c r="BUL13" s="5">
        <f>IFERROR(VLOOKUP(BUL$1,'CERA Agresivo'!$B$23:$C$40,2,FALSE),0%)</f>
        <v>0</v>
      </c>
      <c r="BUM13" s="5">
        <f>IFERROR(VLOOKUP(BUM$1,'CERA Agresivo'!$B$23:$C$40,2,FALSE),0%)</f>
        <v>0</v>
      </c>
      <c r="BUN13" s="5">
        <f>IFERROR(VLOOKUP(BUN$1,'CERA Agresivo'!$B$23:$C$40,2,FALSE),0%)</f>
        <v>0</v>
      </c>
      <c r="BUO13" s="5">
        <f>IFERROR(VLOOKUP(BUO$1,'CERA Agresivo'!$B$23:$C$40,2,FALSE),0%)</f>
        <v>0</v>
      </c>
      <c r="BUP13" s="5">
        <f>IFERROR(VLOOKUP(BUP$1,'CERA Agresivo'!$B$23:$C$40,2,FALSE),0%)</f>
        <v>0</v>
      </c>
      <c r="BUQ13" s="5">
        <f>IFERROR(VLOOKUP(BUQ$1,'CERA Agresivo'!$B$23:$C$40,2,FALSE),0%)</f>
        <v>0</v>
      </c>
      <c r="BUR13" s="5">
        <f>IFERROR(VLOOKUP(BUR$1,'CERA Agresivo'!$B$23:$C$40,2,FALSE),0%)</f>
        <v>0</v>
      </c>
      <c r="BUS13" s="5">
        <f>IFERROR(VLOOKUP(BUS$1,'CERA Agresivo'!$B$23:$C$40,2,FALSE),0%)</f>
        <v>0</v>
      </c>
      <c r="BUT13" s="5">
        <f>IFERROR(VLOOKUP(BUT$1,'CERA Agresivo'!$B$23:$C$40,2,FALSE),0%)</f>
        <v>0</v>
      </c>
      <c r="BUU13" s="5">
        <f>IFERROR(VLOOKUP(BUU$1,'CERA Agresivo'!$B$23:$C$40,2,FALSE),0%)</f>
        <v>0</v>
      </c>
      <c r="BUV13" s="5">
        <f>IFERROR(VLOOKUP(BUV$1,'CERA Agresivo'!$B$23:$C$40,2,FALSE),0%)</f>
        <v>0</v>
      </c>
      <c r="BUW13" s="5">
        <f>IFERROR(VLOOKUP(BUW$1,'CERA Agresivo'!$B$23:$C$40,2,FALSE),0%)</f>
        <v>0</v>
      </c>
      <c r="BUX13" s="5">
        <f>IFERROR(VLOOKUP(BUX$1,'CERA Agresivo'!$B$23:$C$40,2,FALSE),0%)</f>
        <v>0</v>
      </c>
      <c r="BUY13" s="5">
        <f>IFERROR(VLOOKUP(BUY$1,'CERA Agresivo'!$B$23:$C$40,2,FALSE),0%)</f>
        <v>0</v>
      </c>
      <c r="BUZ13" s="5">
        <f>IFERROR(VLOOKUP(BUZ$1,'CERA Agresivo'!$B$23:$C$40,2,FALSE),0%)</f>
        <v>0</v>
      </c>
      <c r="BVA13" s="5">
        <f>IFERROR(VLOOKUP(BVA$1,'CERA Agresivo'!$B$23:$C$40,2,FALSE),0%)</f>
        <v>0</v>
      </c>
      <c r="BVB13" s="5">
        <f>IFERROR(VLOOKUP(BVB$1,'CERA Agresivo'!$B$23:$C$40,2,FALSE),0%)</f>
        <v>0</v>
      </c>
      <c r="BVC13" s="5">
        <f>IFERROR(VLOOKUP(BVC$1,'CERA Agresivo'!$B$23:$C$40,2,FALSE),0%)</f>
        <v>0</v>
      </c>
      <c r="BVD13" s="5">
        <f>IFERROR(VLOOKUP(BVD$1,'CERA Agresivo'!$B$23:$C$40,2,FALSE),0%)</f>
        <v>0</v>
      </c>
      <c r="BVE13" s="5">
        <f>IFERROR(VLOOKUP(BVE$1,'CERA Agresivo'!$B$23:$C$40,2,FALSE),0%)</f>
        <v>0</v>
      </c>
      <c r="BVF13" s="5">
        <f>IFERROR(VLOOKUP(BVF$1,'CERA Agresivo'!$B$23:$C$40,2,FALSE),0%)</f>
        <v>0</v>
      </c>
      <c r="BVG13" s="5">
        <f>IFERROR(VLOOKUP(BVG$1,'CERA Agresivo'!$B$23:$C$40,2,FALSE),0%)</f>
        <v>0</v>
      </c>
      <c r="BVH13" s="5">
        <f>IFERROR(VLOOKUP(BVH$1,'CERA Agresivo'!$B$23:$C$40,2,FALSE),0%)</f>
        <v>0</v>
      </c>
      <c r="BVI13" s="5">
        <f>IFERROR(VLOOKUP(BVI$1,'CERA Agresivo'!$B$23:$C$40,2,FALSE),0%)</f>
        <v>0</v>
      </c>
      <c r="BVJ13" s="5">
        <f>IFERROR(VLOOKUP(BVJ$1,'CERA Agresivo'!$B$23:$C$40,2,FALSE),0%)</f>
        <v>0</v>
      </c>
      <c r="BVK13" s="5">
        <f>IFERROR(VLOOKUP(BVK$1,'CERA Agresivo'!$B$23:$C$40,2,FALSE),0%)</f>
        <v>0</v>
      </c>
      <c r="BVL13" s="5">
        <f>IFERROR(VLOOKUP(BVL$1,'CERA Agresivo'!$B$23:$C$40,2,FALSE),0%)</f>
        <v>0</v>
      </c>
      <c r="BVM13" s="5">
        <f>IFERROR(VLOOKUP(BVM$1,'CERA Agresivo'!$B$23:$C$40,2,FALSE),0%)</f>
        <v>0</v>
      </c>
      <c r="BVN13" s="5">
        <f>IFERROR(VLOOKUP(BVN$1,'CERA Agresivo'!$B$23:$C$40,2,FALSE),0%)</f>
        <v>0</v>
      </c>
      <c r="BVO13" s="5">
        <f>IFERROR(VLOOKUP(BVO$1,'CERA Agresivo'!$B$23:$C$40,2,FALSE),0%)</f>
        <v>0</v>
      </c>
      <c r="BVP13" s="5">
        <f>IFERROR(VLOOKUP(BVP$1,'CERA Agresivo'!$B$23:$C$40,2,FALSE),0%)</f>
        <v>0</v>
      </c>
      <c r="BVQ13" s="5">
        <f>IFERROR(VLOOKUP(BVQ$1,'CERA Agresivo'!$B$23:$C$40,2,FALSE),0%)</f>
        <v>0</v>
      </c>
      <c r="BVR13" s="5">
        <f>IFERROR(VLOOKUP(BVR$1,'CERA Agresivo'!$B$23:$C$40,2,FALSE),0%)</f>
        <v>0</v>
      </c>
      <c r="BVS13" s="5">
        <f>IFERROR(VLOOKUP(BVS$1,'CERA Agresivo'!$B$23:$C$40,2,FALSE),0%)</f>
        <v>0</v>
      </c>
      <c r="BVT13" s="5">
        <f>IFERROR(VLOOKUP(BVT$1,'CERA Agresivo'!$B$23:$C$40,2,FALSE),0%)</f>
        <v>0</v>
      </c>
      <c r="BVU13" s="5">
        <f>IFERROR(VLOOKUP(BVU$1,'CERA Agresivo'!$B$23:$C$40,2,FALSE),0%)</f>
        <v>0</v>
      </c>
      <c r="BVV13" s="5">
        <f>IFERROR(VLOOKUP(BVV$1,'CERA Agresivo'!$B$23:$C$40,2,FALSE),0%)</f>
        <v>0</v>
      </c>
      <c r="BVW13" s="5">
        <f>IFERROR(VLOOKUP(BVW$1,'CERA Agresivo'!$B$23:$C$40,2,FALSE),0%)</f>
        <v>0</v>
      </c>
      <c r="BVX13" s="5">
        <f>IFERROR(VLOOKUP(BVX$1,'CERA Agresivo'!$B$23:$C$40,2,FALSE),0%)</f>
        <v>0</v>
      </c>
      <c r="BVY13" s="5">
        <f>IFERROR(VLOOKUP(BVY$1,'CERA Agresivo'!$B$23:$C$40,2,FALSE),0%)</f>
        <v>0</v>
      </c>
      <c r="BVZ13" s="5">
        <f>IFERROR(VLOOKUP(BVZ$1,'CERA Agresivo'!$B$23:$C$40,2,FALSE),0%)</f>
        <v>0</v>
      </c>
      <c r="BWA13" s="5">
        <f>IFERROR(VLOOKUP(BWA$1,'CERA Agresivo'!$B$23:$C$40,2,FALSE),0%)</f>
        <v>0</v>
      </c>
      <c r="BWB13" s="5">
        <f>IFERROR(VLOOKUP(BWB$1,'CERA Agresivo'!$B$23:$C$40,2,FALSE),0%)</f>
        <v>0</v>
      </c>
      <c r="BWC13" s="5">
        <f>IFERROR(VLOOKUP(BWC$1,'CERA Agresivo'!$B$23:$C$40,2,FALSE),0%)</f>
        <v>0</v>
      </c>
      <c r="BWD13" s="5">
        <f>IFERROR(VLOOKUP(BWD$1,'CERA Agresivo'!$B$23:$C$40,2,FALSE),0%)</f>
        <v>0</v>
      </c>
      <c r="BWE13" s="5">
        <f>IFERROR(VLOOKUP(BWE$1,'CERA Agresivo'!$B$23:$C$40,2,FALSE),0%)</f>
        <v>0</v>
      </c>
      <c r="BWF13" s="5">
        <f>IFERROR(VLOOKUP(BWF$1,'CERA Agresivo'!$B$23:$C$40,2,FALSE),0%)</f>
        <v>0</v>
      </c>
      <c r="BWG13" s="5">
        <f>IFERROR(VLOOKUP(BWG$1,'CERA Agresivo'!$B$23:$C$40,2,FALSE),0%)</f>
        <v>0</v>
      </c>
      <c r="BWH13" s="5">
        <f>IFERROR(VLOOKUP(BWH$1,'CERA Agresivo'!$B$23:$C$40,2,FALSE),0%)</f>
        <v>0</v>
      </c>
      <c r="BWI13" s="5">
        <f>IFERROR(VLOOKUP(BWI$1,'CERA Agresivo'!$B$23:$C$40,2,FALSE),0%)</f>
        <v>0</v>
      </c>
      <c r="BWJ13" s="5">
        <f>IFERROR(VLOOKUP(BWJ$1,'CERA Agresivo'!$B$23:$C$40,2,FALSE),0%)</f>
        <v>0</v>
      </c>
      <c r="BWK13" s="5">
        <f>IFERROR(VLOOKUP(BWK$1,'CERA Agresivo'!$B$23:$C$40,2,FALSE),0%)</f>
        <v>0</v>
      </c>
      <c r="BWL13" s="5">
        <f>IFERROR(VLOOKUP(BWL$1,'CERA Agresivo'!$B$23:$C$40,2,FALSE),0%)</f>
        <v>0</v>
      </c>
      <c r="BWM13" s="5">
        <f>IFERROR(VLOOKUP(BWM$1,'CERA Agresivo'!$B$23:$C$40,2,FALSE),0%)</f>
        <v>0</v>
      </c>
      <c r="BWN13" s="5">
        <f>IFERROR(VLOOKUP(BWN$1,'CERA Agresivo'!$B$23:$C$40,2,FALSE),0%)</f>
        <v>0</v>
      </c>
      <c r="BWO13" s="5">
        <f>IFERROR(VLOOKUP(BWO$1,'CERA Agresivo'!$B$23:$C$40,2,FALSE),0%)</f>
        <v>0</v>
      </c>
      <c r="BWP13" s="5">
        <f>IFERROR(VLOOKUP(BWP$1,'CERA Agresivo'!$B$23:$C$40,2,FALSE),0%)</f>
        <v>0</v>
      </c>
      <c r="BWQ13" s="5">
        <f>IFERROR(VLOOKUP(BWQ$1,'CERA Agresivo'!$B$23:$C$40,2,FALSE),0%)</f>
        <v>0</v>
      </c>
      <c r="BWR13" s="5">
        <f>IFERROR(VLOOKUP(BWR$1,'CERA Agresivo'!$B$23:$C$40,2,FALSE),0%)</f>
        <v>0</v>
      </c>
      <c r="BWS13" s="5">
        <f>IFERROR(VLOOKUP(BWS$1,'CERA Agresivo'!$B$23:$C$40,2,FALSE),0%)</f>
        <v>0</v>
      </c>
      <c r="BWT13" s="5">
        <f>IFERROR(VLOOKUP(BWT$1,'CERA Agresivo'!$B$23:$C$40,2,FALSE),0%)</f>
        <v>0</v>
      </c>
      <c r="BWU13" s="5">
        <f>IFERROR(VLOOKUP(BWU$1,'CERA Agresivo'!$B$23:$C$40,2,FALSE),0%)</f>
        <v>0</v>
      </c>
      <c r="BWV13" s="5">
        <f>IFERROR(VLOOKUP(BWV$1,'CERA Agresivo'!$B$23:$C$40,2,FALSE),0%)</f>
        <v>0</v>
      </c>
      <c r="BWW13" s="5">
        <f>IFERROR(VLOOKUP(BWW$1,'CERA Agresivo'!$B$23:$C$40,2,FALSE),0%)</f>
        <v>0</v>
      </c>
      <c r="BWX13" s="5">
        <f>IFERROR(VLOOKUP(BWX$1,'CERA Agresivo'!$B$23:$C$40,2,FALSE),0%)</f>
        <v>0</v>
      </c>
      <c r="BWY13" s="5">
        <f>IFERROR(VLOOKUP(BWY$1,'CERA Agresivo'!$B$23:$C$40,2,FALSE),0%)</f>
        <v>0</v>
      </c>
      <c r="BWZ13" s="5">
        <f>IFERROR(VLOOKUP(BWZ$1,'CERA Agresivo'!$B$23:$C$40,2,FALSE),0%)</f>
        <v>0</v>
      </c>
      <c r="BXA13" s="5">
        <f>IFERROR(VLOOKUP(BXA$1,'CERA Agresivo'!$B$23:$C$40,2,FALSE),0%)</f>
        <v>0</v>
      </c>
      <c r="BXB13" s="5">
        <f>IFERROR(VLOOKUP(BXB$1,'CERA Agresivo'!$B$23:$C$40,2,FALSE),0%)</f>
        <v>0</v>
      </c>
      <c r="BXC13" s="5">
        <f>IFERROR(VLOOKUP(BXC$1,'CERA Agresivo'!$B$23:$C$40,2,FALSE),0%)</f>
        <v>0</v>
      </c>
      <c r="BXD13" s="5">
        <f>IFERROR(VLOOKUP(BXD$1,'CERA Agresivo'!$B$23:$C$40,2,FALSE),0%)</f>
        <v>0</v>
      </c>
      <c r="BXE13" s="5">
        <f>IFERROR(VLOOKUP(BXE$1,'CERA Agresivo'!$B$23:$C$40,2,FALSE),0%)</f>
        <v>0</v>
      </c>
      <c r="BXF13" s="5">
        <f>IFERROR(VLOOKUP(BXF$1,'CERA Agresivo'!$B$23:$C$40,2,FALSE),0%)</f>
        <v>0</v>
      </c>
      <c r="BXG13" s="5">
        <f>IFERROR(VLOOKUP(BXG$1,'CERA Agresivo'!$B$23:$C$40,2,FALSE),0%)</f>
        <v>0</v>
      </c>
      <c r="BXH13" s="5">
        <f>IFERROR(VLOOKUP(BXH$1,'CERA Agresivo'!$B$23:$C$40,2,FALSE),0%)</f>
        <v>0</v>
      </c>
      <c r="BXI13" s="5">
        <f>IFERROR(VLOOKUP(BXI$1,'CERA Agresivo'!$B$23:$C$40,2,FALSE),0%)</f>
        <v>0</v>
      </c>
      <c r="BXJ13" s="5">
        <f>IFERROR(VLOOKUP(BXJ$1,'CERA Agresivo'!$B$23:$C$40,2,FALSE),0%)</f>
        <v>0</v>
      </c>
      <c r="BXK13" s="5">
        <f>IFERROR(VLOOKUP(BXK$1,'CERA Agresivo'!$B$23:$C$40,2,FALSE),0%)</f>
        <v>0</v>
      </c>
      <c r="BXL13" s="5">
        <f>IFERROR(VLOOKUP(BXL$1,'CERA Agresivo'!$B$23:$C$40,2,FALSE),0%)</f>
        <v>0</v>
      </c>
      <c r="BXM13" s="5">
        <f>IFERROR(VLOOKUP(BXM$1,'CERA Agresivo'!$B$23:$C$40,2,FALSE),0%)</f>
        <v>0</v>
      </c>
      <c r="BXN13" s="5">
        <f>IFERROR(VLOOKUP(BXN$1,'CERA Agresivo'!$B$23:$C$40,2,FALSE),0%)</f>
        <v>0</v>
      </c>
      <c r="BXO13" s="5">
        <f>IFERROR(VLOOKUP(BXO$1,'CERA Agresivo'!$B$23:$C$40,2,FALSE),0%)</f>
        <v>0</v>
      </c>
      <c r="BXP13" s="5">
        <f>IFERROR(VLOOKUP(BXP$1,'CERA Agresivo'!$B$23:$C$40,2,FALSE),0%)</f>
        <v>0</v>
      </c>
      <c r="BXQ13" s="5">
        <f>IFERROR(VLOOKUP(BXQ$1,'CERA Agresivo'!$B$23:$C$40,2,FALSE),0%)</f>
        <v>0</v>
      </c>
      <c r="BXR13" s="5">
        <f>IFERROR(VLOOKUP(BXR$1,'CERA Agresivo'!$B$23:$C$40,2,FALSE),0%)</f>
        <v>0</v>
      </c>
      <c r="BXS13" s="5">
        <f>IFERROR(VLOOKUP(BXS$1,'CERA Agresivo'!$B$23:$C$40,2,FALSE),0%)</f>
        <v>0</v>
      </c>
      <c r="BXT13" s="5">
        <f>IFERROR(VLOOKUP(BXT$1,'CERA Agresivo'!$B$23:$C$40,2,FALSE),0%)</f>
        <v>0</v>
      </c>
      <c r="BXU13" s="5">
        <f>IFERROR(VLOOKUP(BXU$1,'CERA Agresivo'!$B$23:$C$40,2,FALSE),0%)</f>
        <v>0</v>
      </c>
      <c r="BXV13" s="5">
        <f>IFERROR(VLOOKUP(BXV$1,'CERA Agresivo'!$B$23:$C$40,2,FALSE),0%)</f>
        <v>0</v>
      </c>
      <c r="BXW13" s="5">
        <f>IFERROR(VLOOKUP(BXW$1,'CERA Agresivo'!$B$23:$C$40,2,FALSE),0%)</f>
        <v>0</v>
      </c>
      <c r="BXX13" s="5">
        <f>IFERROR(VLOOKUP(BXX$1,'CERA Agresivo'!$B$23:$C$40,2,FALSE),0%)</f>
        <v>0</v>
      </c>
      <c r="BXY13" s="5">
        <f>IFERROR(VLOOKUP(BXY$1,'CERA Agresivo'!$B$23:$C$40,2,FALSE),0%)</f>
        <v>0</v>
      </c>
      <c r="BXZ13" s="5">
        <f>IFERROR(VLOOKUP(BXZ$1,'CERA Agresivo'!$B$23:$C$40,2,FALSE),0%)</f>
        <v>0</v>
      </c>
      <c r="BYA13" s="5">
        <f>IFERROR(VLOOKUP(BYA$1,'CERA Agresivo'!$B$23:$C$40,2,FALSE),0%)</f>
        <v>0</v>
      </c>
      <c r="BYB13" s="5">
        <f>IFERROR(VLOOKUP(BYB$1,'CERA Agresivo'!$B$23:$C$40,2,FALSE),0%)</f>
        <v>0.1752133543</v>
      </c>
      <c r="BYC13" s="5">
        <f>IFERROR(VLOOKUP(BYC$1,'CERA Agresivo'!$B$23:$C$40,2,FALSE),0%)</f>
        <v>0</v>
      </c>
      <c r="BYD13" s="5">
        <f>IFERROR(VLOOKUP(BYD$1,'CERA Agresivo'!$B$23:$C$40,2,FALSE),0%)</f>
        <v>0</v>
      </c>
      <c r="BYE13" s="5">
        <f>IFERROR(VLOOKUP(BYE$1,'CERA Agresivo'!$B$23:$C$40,2,FALSE),0%)</f>
        <v>0</v>
      </c>
      <c r="BYF13" s="5">
        <f>IFERROR(VLOOKUP(BYF$1,'CERA Agresivo'!$B$23:$C$40,2,FALSE),0%)</f>
        <v>0</v>
      </c>
      <c r="BYG13" s="5">
        <f>IFERROR(VLOOKUP(BYG$1,'CERA Agresivo'!$B$23:$C$40,2,FALSE),0%)</f>
        <v>0</v>
      </c>
      <c r="BYH13" s="5">
        <f>IFERROR(VLOOKUP(BYH$1,'CERA Agresivo'!$B$23:$C$40,2,FALSE),0%)</f>
        <v>0</v>
      </c>
      <c r="BYI13" s="5">
        <f>IFERROR(VLOOKUP(BYI$1,'CERA Agresivo'!$B$23:$C$40,2,FALSE),0%)</f>
        <v>0</v>
      </c>
      <c r="BYJ13" s="5">
        <f>IFERROR(VLOOKUP(BYJ$1,'CERA Agresivo'!$B$23:$C$40,2,FALSE),0%)</f>
        <v>0</v>
      </c>
      <c r="BYK13" s="5">
        <f>IFERROR(VLOOKUP(BYK$1,'CERA Agresivo'!$B$23:$C$40,2,FALSE),0%)</f>
        <v>0</v>
      </c>
      <c r="BYL13" s="5">
        <f>IFERROR(VLOOKUP(BYL$1,'CERA Agresivo'!$B$23:$C$40,2,FALSE),0%)</f>
        <v>0</v>
      </c>
    </row>
    <row r="14">
      <c r="A14" s="1" t="s">
        <v>2025</v>
      </c>
      <c r="B14" s="5">
        <f>IFERROR(VLOOKUP(B$1,'Factor Alfa'!$B$26:$C$45,2,FALSE),0%)</f>
        <v>0</v>
      </c>
      <c r="C14" s="5">
        <f>IFERROR(VLOOKUP(C$1,'Factor Alfa'!$B$26:$C$45,2,FALSE),0%)</f>
        <v>0</v>
      </c>
      <c r="D14" s="5">
        <f>IFERROR(VLOOKUP(D$1,'Factor Alfa'!$B$26:$C$45,2,FALSE),0%)</f>
        <v>0</v>
      </c>
      <c r="E14" s="5">
        <f>IFERROR(VLOOKUP(E$1,'Factor Alfa'!$B$26:$C$45,2,FALSE),0%)</f>
        <v>0</v>
      </c>
      <c r="F14" s="5">
        <f>IFERROR(VLOOKUP(F$1,'Factor Alfa'!$B$26:$C$45,2,FALSE),0%)</f>
        <v>0</v>
      </c>
      <c r="G14" s="5">
        <f>IFERROR(VLOOKUP(G$1,'Factor Alfa'!$B$26:$C$45,2,FALSE),0%)</f>
        <v>0</v>
      </c>
      <c r="H14" s="5">
        <f>IFERROR(VLOOKUP(H$1,'Factor Alfa'!$B$26:$C$45,2,FALSE),0%)</f>
        <v>0</v>
      </c>
      <c r="I14" s="5">
        <f>IFERROR(VLOOKUP(I$1,'Factor Alfa'!$B$26:$C$45,2,FALSE),0%)</f>
        <v>0</v>
      </c>
      <c r="J14" s="5">
        <f>IFERROR(VLOOKUP(J$1,'Factor Alfa'!$B$26:$C$45,2,FALSE),0%)</f>
        <v>0</v>
      </c>
      <c r="K14" s="5">
        <f>IFERROR(VLOOKUP(K$1,'Factor Alfa'!$B$26:$C$45,2,FALSE),0%)</f>
        <v>0</v>
      </c>
      <c r="L14" s="5">
        <f>IFERROR(VLOOKUP(L$1,'Factor Alfa'!$B$26:$C$45,2,FALSE),0%)</f>
        <v>0</v>
      </c>
      <c r="M14" s="5">
        <f>IFERROR(VLOOKUP(M$1,'Factor Alfa'!$B$26:$C$45,2,FALSE),0%)</f>
        <v>0</v>
      </c>
      <c r="N14" s="5">
        <f>IFERROR(VLOOKUP(N$1,'Factor Alfa'!$B$26:$C$45,2,FALSE),0%)</f>
        <v>0</v>
      </c>
      <c r="O14" s="5">
        <f>IFERROR(VLOOKUP(O$1,'Factor Alfa'!$B$26:$C$45,2,FALSE),0%)</f>
        <v>0</v>
      </c>
      <c r="P14" s="5">
        <f>IFERROR(VLOOKUP(P$1,'Factor Alfa'!$B$26:$C$45,2,FALSE),0%)</f>
        <v>0</v>
      </c>
      <c r="Q14" s="5">
        <f>IFERROR(VLOOKUP(Q$1,'Factor Alfa'!$B$26:$C$45,2,FALSE),0%)</f>
        <v>0</v>
      </c>
      <c r="R14" s="5">
        <f>IFERROR(VLOOKUP(R$1,'Factor Alfa'!$B$26:$C$45,2,FALSE),0%)</f>
        <v>0</v>
      </c>
      <c r="S14" s="5">
        <f>IFERROR(VLOOKUP(S$1,'Factor Alfa'!$B$26:$C$45,2,FALSE),0%)</f>
        <v>0</v>
      </c>
      <c r="T14" s="5">
        <f>IFERROR(VLOOKUP(T$1,'Factor Alfa'!$B$26:$C$45,2,FALSE),0%)</f>
        <v>0</v>
      </c>
      <c r="U14" s="5">
        <f>IFERROR(VLOOKUP(U$1,'Factor Alfa'!$B$26:$C$45,2,FALSE),0%)</f>
        <v>0</v>
      </c>
      <c r="V14" s="5">
        <f>IFERROR(VLOOKUP(V$1,'Factor Alfa'!$B$26:$C$45,2,FALSE),0%)</f>
        <v>0</v>
      </c>
      <c r="W14" s="5">
        <f>IFERROR(VLOOKUP(W$1,'Factor Alfa'!$B$26:$C$45,2,FALSE),0%)</f>
        <v>0</v>
      </c>
      <c r="X14" s="5">
        <f>IFERROR(VLOOKUP(X$1,'Factor Alfa'!$B$26:$C$45,2,FALSE),0%)</f>
        <v>0</v>
      </c>
      <c r="Y14" s="5">
        <f>IFERROR(VLOOKUP(Y$1,'Factor Alfa'!$B$26:$C$45,2,FALSE),0%)</f>
        <v>0</v>
      </c>
      <c r="Z14" s="5">
        <f>IFERROR(VLOOKUP(Z$1,'Factor Alfa'!$B$26:$C$45,2,FALSE),0%)</f>
        <v>0</v>
      </c>
      <c r="AA14" s="5">
        <f>IFERROR(VLOOKUP(AA$1,'Factor Alfa'!$B$26:$C$45,2,FALSE),0%)</f>
        <v>0.05026</v>
      </c>
      <c r="AB14" s="5">
        <f>IFERROR(VLOOKUP(AB$1,'Factor Alfa'!$B$26:$C$45,2,FALSE),0%)</f>
        <v>0</v>
      </c>
      <c r="AC14" s="5">
        <f>IFERROR(VLOOKUP(AC$1,'Factor Alfa'!$B$26:$C$45,2,FALSE),0%)</f>
        <v>0</v>
      </c>
      <c r="AD14" s="5">
        <f>IFERROR(VLOOKUP(AD$1,'Factor Alfa'!$B$26:$C$45,2,FALSE),0%)</f>
        <v>0</v>
      </c>
      <c r="AE14" s="5">
        <f>IFERROR(VLOOKUP(AE$1,'Factor Alfa'!$B$26:$C$45,2,FALSE),0%)</f>
        <v>0</v>
      </c>
      <c r="AF14" s="5">
        <f>IFERROR(VLOOKUP(AF$1,'Factor Alfa'!$B$26:$C$45,2,FALSE),0%)</f>
        <v>0</v>
      </c>
      <c r="AG14" s="5">
        <f>IFERROR(VLOOKUP(AG$1,'Factor Alfa'!$B$26:$C$45,2,FALSE),0%)</f>
        <v>0</v>
      </c>
      <c r="AH14" s="5">
        <f>IFERROR(VLOOKUP(AH$1,'Factor Alfa'!$B$26:$C$45,2,FALSE),0%)</f>
        <v>0</v>
      </c>
      <c r="AI14" s="5">
        <f>IFERROR(VLOOKUP(AI$1,'Factor Alfa'!$B$26:$C$45,2,FALSE),0%)</f>
        <v>0</v>
      </c>
      <c r="AJ14" s="5">
        <f>IFERROR(VLOOKUP(AJ$1,'Factor Alfa'!$B$26:$C$45,2,FALSE),0%)</f>
        <v>0</v>
      </c>
      <c r="AK14" s="5">
        <f>IFERROR(VLOOKUP(AK$1,'Factor Alfa'!$B$26:$C$45,2,FALSE),0%)</f>
        <v>0</v>
      </c>
      <c r="AL14" s="5">
        <f>IFERROR(VLOOKUP(AL$1,'Factor Alfa'!$B$26:$C$45,2,FALSE),0%)</f>
        <v>0</v>
      </c>
      <c r="AM14" s="5">
        <f>IFERROR(VLOOKUP(AM$1,'Factor Alfa'!$B$26:$C$45,2,FALSE),0%)</f>
        <v>0</v>
      </c>
      <c r="AN14" s="5">
        <f>IFERROR(VLOOKUP(AN$1,'Factor Alfa'!$B$26:$C$45,2,FALSE),0%)</f>
        <v>0</v>
      </c>
      <c r="AO14" s="5">
        <f>IFERROR(VLOOKUP(AO$1,'Factor Alfa'!$B$26:$C$45,2,FALSE),0%)</f>
        <v>0</v>
      </c>
      <c r="AP14" s="5">
        <f>IFERROR(VLOOKUP(AP$1,'Factor Alfa'!$B$26:$C$45,2,FALSE),0%)</f>
        <v>0</v>
      </c>
      <c r="AQ14" s="5">
        <f>IFERROR(VLOOKUP(AQ$1,'Factor Alfa'!$B$26:$C$45,2,FALSE),0%)</f>
        <v>0</v>
      </c>
      <c r="AR14" s="5">
        <f>IFERROR(VLOOKUP(AR$1,'Factor Alfa'!$B$26:$C$45,2,FALSE),0%)</f>
        <v>0</v>
      </c>
      <c r="AS14" s="5">
        <f>IFERROR(VLOOKUP(AS$1,'Factor Alfa'!$B$26:$C$45,2,FALSE),0%)</f>
        <v>0</v>
      </c>
      <c r="AT14" s="5">
        <f>IFERROR(VLOOKUP(AT$1,'Factor Alfa'!$B$26:$C$45,2,FALSE),0%)</f>
        <v>0</v>
      </c>
      <c r="AU14" s="5">
        <f>IFERROR(VLOOKUP(AU$1,'Factor Alfa'!$B$26:$C$45,2,FALSE),0%)</f>
        <v>0</v>
      </c>
      <c r="AV14" s="5">
        <f>IFERROR(VLOOKUP(AV$1,'Factor Alfa'!$B$26:$C$45,2,FALSE),0%)</f>
        <v>0</v>
      </c>
      <c r="AW14" s="5">
        <f>IFERROR(VLOOKUP(AW$1,'Factor Alfa'!$B$26:$C$45,2,FALSE),0%)</f>
        <v>0</v>
      </c>
      <c r="AX14" s="5">
        <f>IFERROR(VLOOKUP(AX$1,'Factor Alfa'!$B$26:$C$45,2,FALSE),0%)</f>
        <v>0</v>
      </c>
      <c r="AY14" s="5">
        <f>IFERROR(VLOOKUP(AY$1,'Factor Alfa'!$B$26:$C$45,2,FALSE),0%)</f>
        <v>0</v>
      </c>
      <c r="AZ14" s="5">
        <f>IFERROR(VLOOKUP(AZ$1,'Factor Alfa'!$B$26:$C$45,2,FALSE),0%)</f>
        <v>0</v>
      </c>
      <c r="BA14" s="5">
        <f>IFERROR(VLOOKUP(BA$1,'Factor Alfa'!$B$26:$C$45,2,FALSE),0%)</f>
        <v>0</v>
      </c>
      <c r="BB14" s="5">
        <f>IFERROR(VLOOKUP(BB$1,'Factor Alfa'!$B$26:$C$45,2,FALSE),0%)</f>
        <v>0</v>
      </c>
      <c r="BC14" s="5">
        <f>IFERROR(VLOOKUP(BC$1,'Factor Alfa'!$B$26:$C$45,2,FALSE),0%)</f>
        <v>0</v>
      </c>
      <c r="BD14" s="5">
        <f>IFERROR(VLOOKUP(BD$1,'Factor Alfa'!$B$26:$C$45,2,FALSE),0%)</f>
        <v>0</v>
      </c>
      <c r="BE14" s="5">
        <f>IFERROR(VLOOKUP(BE$1,'Factor Alfa'!$B$26:$C$45,2,FALSE),0%)</f>
        <v>0</v>
      </c>
      <c r="BF14" s="5">
        <f>IFERROR(VLOOKUP(BF$1,'Factor Alfa'!$B$26:$C$45,2,FALSE),0%)</f>
        <v>0</v>
      </c>
      <c r="BG14" s="5">
        <f>IFERROR(VLOOKUP(BG$1,'Factor Alfa'!$B$26:$C$45,2,FALSE),0%)</f>
        <v>0</v>
      </c>
      <c r="BH14" s="5">
        <f>IFERROR(VLOOKUP(BH$1,'Factor Alfa'!$B$26:$C$45,2,FALSE),0%)</f>
        <v>0</v>
      </c>
      <c r="BI14" s="5">
        <f>IFERROR(VLOOKUP(BI$1,'Factor Alfa'!$B$26:$C$45,2,FALSE),0%)</f>
        <v>0</v>
      </c>
      <c r="BJ14" s="5">
        <f>IFERROR(VLOOKUP(BJ$1,'Factor Alfa'!$B$26:$C$45,2,FALSE),0%)</f>
        <v>0</v>
      </c>
      <c r="BK14" s="5">
        <f>IFERROR(VLOOKUP(BK$1,'Factor Alfa'!$B$26:$C$45,2,FALSE),0%)</f>
        <v>0</v>
      </c>
      <c r="BL14" s="5">
        <f>IFERROR(VLOOKUP(BL$1,'Factor Alfa'!$B$26:$C$45,2,FALSE),0%)</f>
        <v>0</v>
      </c>
      <c r="BM14" s="5">
        <f>IFERROR(VLOOKUP(BM$1,'Factor Alfa'!$B$26:$C$45,2,FALSE),0%)</f>
        <v>0</v>
      </c>
      <c r="BN14" s="5">
        <f>IFERROR(VLOOKUP(BN$1,'Factor Alfa'!$B$26:$C$45,2,FALSE),0%)</f>
        <v>0</v>
      </c>
      <c r="BO14" s="5">
        <f>IFERROR(VLOOKUP(BO$1,'Factor Alfa'!$B$26:$C$45,2,FALSE),0%)</f>
        <v>0</v>
      </c>
      <c r="BP14" s="5">
        <f>IFERROR(VLOOKUP(BP$1,'Factor Alfa'!$B$26:$C$45,2,FALSE),0%)</f>
        <v>0</v>
      </c>
      <c r="BQ14" s="5">
        <f>IFERROR(VLOOKUP(BQ$1,'Factor Alfa'!$B$26:$C$45,2,FALSE),0%)</f>
        <v>0</v>
      </c>
      <c r="BR14" s="5">
        <f>IFERROR(VLOOKUP(BR$1,'Factor Alfa'!$B$26:$C$45,2,FALSE),0%)</f>
        <v>0</v>
      </c>
      <c r="BS14" s="5">
        <f>IFERROR(VLOOKUP(BS$1,'Factor Alfa'!$B$26:$C$45,2,FALSE),0%)</f>
        <v>0</v>
      </c>
      <c r="BT14" s="5">
        <f>IFERROR(VLOOKUP(BT$1,'Factor Alfa'!$B$26:$C$45,2,FALSE),0%)</f>
        <v>0</v>
      </c>
      <c r="BU14" s="5">
        <f>IFERROR(VLOOKUP(BU$1,'Factor Alfa'!$B$26:$C$45,2,FALSE),0%)</f>
        <v>0</v>
      </c>
      <c r="BV14" s="5">
        <f>IFERROR(VLOOKUP(BV$1,'Factor Alfa'!$B$26:$C$45,2,FALSE),0%)</f>
        <v>0</v>
      </c>
      <c r="BW14" s="5">
        <f>IFERROR(VLOOKUP(BW$1,'Factor Alfa'!$B$26:$C$45,2,FALSE),0%)</f>
        <v>0</v>
      </c>
      <c r="BX14" s="5">
        <f>IFERROR(VLOOKUP(BX$1,'Factor Alfa'!$B$26:$C$45,2,FALSE),0%)</f>
        <v>0</v>
      </c>
      <c r="BY14" s="5">
        <f>IFERROR(VLOOKUP(BY$1,'Factor Alfa'!$B$26:$C$45,2,FALSE),0%)</f>
        <v>0</v>
      </c>
      <c r="BZ14" s="5">
        <f>IFERROR(VLOOKUP(BZ$1,'Factor Alfa'!$B$26:$C$45,2,FALSE),0%)</f>
        <v>0</v>
      </c>
      <c r="CA14" s="5">
        <f>IFERROR(VLOOKUP(CA$1,'Factor Alfa'!$B$26:$C$45,2,FALSE),0%)</f>
        <v>0</v>
      </c>
      <c r="CB14" s="5">
        <f>IFERROR(VLOOKUP(CB$1,'Factor Alfa'!$B$26:$C$45,2,FALSE),0%)</f>
        <v>0</v>
      </c>
      <c r="CC14" s="5">
        <f>IFERROR(VLOOKUP(CC$1,'Factor Alfa'!$B$26:$C$45,2,FALSE),0%)</f>
        <v>0</v>
      </c>
      <c r="CD14" s="5">
        <f>IFERROR(VLOOKUP(CD$1,'Factor Alfa'!$B$26:$C$45,2,FALSE),0%)</f>
        <v>0</v>
      </c>
      <c r="CE14" s="5">
        <f>IFERROR(VLOOKUP(CE$1,'Factor Alfa'!$B$26:$C$45,2,FALSE),0%)</f>
        <v>0</v>
      </c>
      <c r="CF14" s="5">
        <f>IFERROR(VLOOKUP(CF$1,'Factor Alfa'!$B$26:$C$45,2,FALSE),0%)</f>
        <v>0</v>
      </c>
      <c r="CG14" s="5">
        <f>IFERROR(VLOOKUP(CG$1,'Factor Alfa'!$B$26:$C$45,2,FALSE),0%)</f>
        <v>0</v>
      </c>
      <c r="CH14" s="5">
        <f>IFERROR(VLOOKUP(CH$1,'Factor Alfa'!$B$26:$C$45,2,FALSE),0%)</f>
        <v>0</v>
      </c>
      <c r="CI14" s="5">
        <f>IFERROR(VLOOKUP(CI$1,'Factor Alfa'!$B$26:$C$45,2,FALSE),0%)</f>
        <v>0</v>
      </c>
      <c r="CJ14" s="5">
        <f>IFERROR(VLOOKUP(CJ$1,'Factor Alfa'!$B$26:$C$45,2,FALSE),0%)</f>
        <v>0</v>
      </c>
      <c r="CK14" s="5">
        <f>IFERROR(VLOOKUP(CK$1,'Factor Alfa'!$B$26:$C$45,2,FALSE),0%)</f>
        <v>0</v>
      </c>
      <c r="CL14" s="5">
        <f>IFERROR(VLOOKUP(CL$1,'Factor Alfa'!$B$26:$C$45,2,FALSE),0%)</f>
        <v>0</v>
      </c>
      <c r="CM14" s="5">
        <f>IFERROR(VLOOKUP(CM$1,'Factor Alfa'!$B$26:$C$45,2,FALSE),0%)</f>
        <v>0</v>
      </c>
      <c r="CN14" s="5">
        <f>IFERROR(VLOOKUP(CN$1,'Factor Alfa'!$B$26:$C$45,2,FALSE),0%)</f>
        <v>0</v>
      </c>
      <c r="CO14" s="5">
        <f>IFERROR(VLOOKUP(CO$1,'Factor Alfa'!$B$26:$C$45,2,FALSE),0%)</f>
        <v>0</v>
      </c>
      <c r="CP14" s="5">
        <f>IFERROR(VLOOKUP(CP$1,'Factor Alfa'!$B$26:$C$45,2,FALSE),0%)</f>
        <v>0</v>
      </c>
      <c r="CQ14" s="5">
        <f>IFERROR(VLOOKUP(CQ$1,'Factor Alfa'!$B$26:$C$45,2,FALSE),0%)</f>
        <v>0</v>
      </c>
      <c r="CR14" s="5">
        <f>IFERROR(VLOOKUP(CR$1,'Factor Alfa'!$B$26:$C$45,2,FALSE),0%)</f>
        <v>0</v>
      </c>
      <c r="CS14" s="5">
        <f>IFERROR(VLOOKUP(CS$1,'Factor Alfa'!$B$26:$C$45,2,FALSE),0%)</f>
        <v>0</v>
      </c>
      <c r="CT14" s="5">
        <f>IFERROR(VLOOKUP(CT$1,'Factor Alfa'!$B$26:$C$45,2,FALSE),0%)</f>
        <v>0</v>
      </c>
      <c r="CU14" s="5">
        <f>IFERROR(VLOOKUP(CU$1,'Factor Alfa'!$B$26:$C$45,2,FALSE),0%)</f>
        <v>0</v>
      </c>
      <c r="CV14" s="5">
        <f>IFERROR(VLOOKUP(CV$1,'Factor Alfa'!$B$26:$C$45,2,FALSE),0%)</f>
        <v>0</v>
      </c>
      <c r="CW14" s="5">
        <f>IFERROR(VLOOKUP(CW$1,'Factor Alfa'!$B$26:$C$45,2,FALSE),0%)</f>
        <v>0</v>
      </c>
      <c r="CX14" s="5">
        <f>IFERROR(VLOOKUP(CX$1,'Factor Alfa'!$B$26:$C$45,2,FALSE),0%)</f>
        <v>0</v>
      </c>
      <c r="CY14" s="5">
        <f>IFERROR(VLOOKUP(CY$1,'Factor Alfa'!$B$26:$C$45,2,FALSE),0%)</f>
        <v>0</v>
      </c>
      <c r="CZ14" s="5">
        <f>IFERROR(VLOOKUP(CZ$1,'Factor Alfa'!$B$26:$C$45,2,FALSE),0%)</f>
        <v>0</v>
      </c>
      <c r="DA14" s="5">
        <f>IFERROR(VLOOKUP(DA$1,'Factor Alfa'!$B$26:$C$45,2,FALSE),0%)</f>
        <v>0</v>
      </c>
      <c r="DB14" s="5">
        <f>IFERROR(VLOOKUP(DB$1,'Factor Alfa'!$B$26:$C$45,2,FALSE),0%)</f>
        <v>0</v>
      </c>
      <c r="DC14" s="5">
        <f>IFERROR(VLOOKUP(DC$1,'Factor Alfa'!$B$26:$C$45,2,FALSE),0%)</f>
        <v>0</v>
      </c>
      <c r="DD14" s="5">
        <f>IFERROR(VLOOKUP(DD$1,'Factor Alfa'!$B$26:$C$45,2,FALSE),0%)</f>
        <v>0</v>
      </c>
      <c r="DE14" s="5">
        <f>IFERROR(VLOOKUP(DE$1,'Factor Alfa'!$B$26:$C$45,2,FALSE),0%)</f>
        <v>0</v>
      </c>
      <c r="DF14" s="5">
        <f>IFERROR(VLOOKUP(DF$1,'Factor Alfa'!$B$26:$C$45,2,FALSE),0%)</f>
        <v>0</v>
      </c>
      <c r="DG14" s="5">
        <f>IFERROR(VLOOKUP(DG$1,'Factor Alfa'!$B$26:$C$45,2,FALSE),0%)</f>
        <v>0</v>
      </c>
      <c r="DH14" s="5">
        <f>IFERROR(VLOOKUP(DH$1,'Factor Alfa'!$B$26:$C$45,2,FALSE),0%)</f>
        <v>0</v>
      </c>
      <c r="DI14" s="5">
        <f>IFERROR(VLOOKUP(DI$1,'Factor Alfa'!$B$26:$C$45,2,FALSE),0%)</f>
        <v>0</v>
      </c>
      <c r="DJ14" s="5">
        <f>IFERROR(VLOOKUP(DJ$1,'Factor Alfa'!$B$26:$C$45,2,FALSE),0%)</f>
        <v>0</v>
      </c>
      <c r="DK14" s="5">
        <f>IFERROR(VLOOKUP(DK$1,'Factor Alfa'!$B$26:$C$45,2,FALSE),0%)</f>
        <v>0</v>
      </c>
      <c r="DL14" s="5">
        <f>IFERROR(VLOOKUP(DL$1,'Factor Alfa'!$B$26:$C$45,2,FALSE),0%)</f>
        <v>0</v>
      </c>
      <c r="DM14" s="5">
        <f>IFERROR(VLOOKUP(DM$1,'Factor Alfa'!$B$26:$C$45,2,FALSE),0%)</f>
        <v>0</v>
      </c>
      <c r="DN14" s="5">
        <f>IFERROR(VLOOKUP(DN$1,'Factor Alfa'!$B$26:$C$45,2,FALSE),0%)</f>
        <v>0</v>
      </c>
      <c r="DO14" s="5">
        <f>IFERROR(VLOOKUP(DO$1,'Factor Alfa'!$B$26:$C$45,2,FALSE),0%)</f>
        <v>0</v>
      </c>
      <c r="DP14" s="5">
        <f>IFERROR(VLOOKUP(DP$1,'Factor Alfa'!$B$26:$C$45,2,FALSE),0%)</f>
        <v>0</v>
      </c>
      <c r="DQ14" s="5">
        <f>IFERROR(VLOOKUP(DQ$1,'Factor Alfa'!$B$26:$C$45,2,FALSE),0%)</f>
        <v>0</v>
      </c>
      <c r="DR14" s="5">
        <f>IFERROR(VLOOKUP(DR$1,'Factor Alfa'!$B$26:$C$45,2,FALSE),0%)</f>
        <v>0</v>
      </c>
      <c r="DS14" s="5">
        <f>IFERROR(VLOOKUP(DS$1,'Factor Alfa'!$B$26:$C$45,2,FALSE),0%)</f>
        <v>0</v>
      </c>
      <c r="DT14" s="5">
        <f>IFERROR(VLOOKUP(DT$1,'Factor Alfa'!$B$26:$C$45,2,FALSE),0%)</f>
        <v>0</v>
      </c>
      <c r="DU14" s="5">
        <f>IFERROR(VLOOKUP(DU$1,'Factor Alfa'!$B$26:$C$45,2,FALSE),0%)</f>
        <v>0</v>
      </c>
      <c r="DV14" s="5">
        <f>IFERROR(VLOOKUP(DV$1,'Factor Alfa'!$B$26:$C$45,2,FALSE),0%)</f>
        <v>0</v>
      </c>
      <c r="DW14" s="5">
        <f>IFERROR(VLOOKUP(DW$1,'Factor Alfa'!$B$26:$C$45,2,FALSE),0%)</f>
        <v>0</v>
      </c>
      <c r="DX14" s="5">
        <f>IFERROR(VLOOKUP(DX$1,'Factor Alfa'!$B$26:$C$45,2,FALSE),0%)</f>
        <v>0</v>
      </c>
      <c r="DY14" s="5">
        <f>IFERROR(VLOOKUP(DY$1,'Factor Alfa'!$B$26:$C$45,2,FALSE),0%)</f>
        <v>0</v>
      </c>
      <c r="DZ14" s="5">
        <f>IFERROR(VLOOKUP(DZ$1,'Factor Alfa'!$B$26:$C$45,2,FALSE),0%)</f>
        <v>0</v>
      </c>
      <c r="EA14" s="5">
        <f>IFERROR(VLOOKUP(EA$1,'Factor Alfa'!$B$26:$C$45,2,FALSE),0%)</f>
        <v>0</v>
      </c>
      <c r="EB14" s="5">
        <f>IFERROR(VLOOKUP(EB$1,'Factor Alfa'!$B$26:$C$45,2,FALSE),0%)</f>
        <v>0</v>
      </c>
      <c r="EC14" s="5">
        <f>IFERROR(VLOOKUP(EC$1,'Factor Alfa'!$B$26:$C$45,2,FALSE),0%)</f>
        <v>0</v>
      </c>
      <c r="ED14" s="5">
        <f>IFERROR(VLOOKUP(ED$1,'Factor Alfa'!$B$26:$C$45,2,FALSE),0%)</f>
        <v>0</v>
      </c>
      <c r="EE14" s="5">
        <f>IFERROR(VLOOKUP(EE$1,'Factor Alfa'!$B$26:$C$45,2,FALSE),0%)</f>
        <v>0</v>
      </c>
      <c r="EF14" s="5">
        <f>IFERROR(VLOOKUP(EF$1,'Factor Alfa'!$B$26:$C$45,2,FALSE),0%)</f>
        <v>0</v>
      </c>
      <c r="EG14" s="5">
        <f>IFERROR(VLOOKUP(EG$1,'Factor Alfa'!$B$26:$C$45,2,FALSE),0%)</f>
        <v>0</v>
      </c>
      <c r="EH14" s="5">
        <f>IFERROR(VLOOKUP(EH$1,'Factor Alfa'!$B$26:$C$45,2,FALSE),0%)</f>
        <v>0</v>
      </c>
      <c r="EI14" s="5">
        <f>IFERROR(VLOOKUP(EI$1,'Factor Alfa'!$B$26:$C$45,2,FALSE),0%)</f>
        <v>0</v>
      </c>
      <c r="EJ14" s="5">
        <f>IFERROR(VLOOKUP(EJ$1,'Factor Alfa'!$B$26:$C$45,2,FALSE),0%)</f>
        <v>0</v>
      </c>
      <c r="EK14" s="5">
        <f>IFERROR(VLOOKUP(EK$1,'Factor Alfa'!$B$26:$C$45,2,FALSE),0%)</f>
        <v>0</v>
      </c>
      <c r="EL14" s="5">
        <f>IFERROR(VLOOKUP(EL$1,'Factor Alfa'!$B$26:$C$45,2,FALSE),0%)</f>
        <v>0</v>
      </c>
      <c r="EM14" s="5">
        <f>IFERROR(VLOOKUP(EM$1,'Factor Alfa'!$B$26:$C$45,2,FALSE),0%)</f>
        <v>0</v>
      </c>
      <c r="EN14" s="5">
        <f>IFERROR(VLOOKUP(EN$1,'Factor Alfa'!$B$26:$C$45,2,FALSE),0%)</f>
        <v>0</v>
      </c>
      <c r="EO14" s="5">
        <f>IFERROR(VLOOKUP(EO$1,'Factor Alfa'!$B$26:$C$45,2,FALSE),0%)</f>
        <v>0</v>
      </c>
      <c r="EP14" s="5">
        <f>IFERROR(VLOOKUP(EP$1,'Factor Alfa'!$B$26:$C$45,2,FALSE),0%)</f>
        <v>0</v>
      </c>
      <c r="EQ14" s="5">
        <f>IFERROR(VLOOKUP(EQ$1,'Factor Alfa'!$B$26:$C$45,2,FALSE),0%)</f>
        <v>0</v>
      </c>
      <c r="ER14" s="5">
        <f>IFERROR(VLOOKUP(ER$1,'Factor Alfa'!$B$26:$C$45,2,FALSE),0%)</f>
        <v>0</v>
      </c>
      <c r="ES14" s="5">
        <f>IFERROR(VLOOKUP(ES$1,'Factor Alfa'!$B$26:$C$45,2,FALSE),0%)</f>
        <v>0</v>
      </c>
      <c r="ET14" s="5">
        <f>IFERROR(VLOOKUP(ET$1,'Factor Alfa'!$B$26:$C$45,2,FALSE),0%)</f>
        <v>0</v>
      </c>
      <c r="EU14" s="5">
        <f>IFERROR(VLOOKUP(EU$1,'Factor Alfa'!$B$26:$C$45,2,FALSE),0%)</f>
        <v>0</v>
      </c>
      <c r="EV14" s="5">
        <f>IFERROR(VLOOKUP(EV$1,'Factor Alfa'!$B$26:$C$45,2,FALSE),0%)</f>
        <v>0</v>
      </c>
      <c r="EW14" s="5">
        <f>IFERROR(VLOOKUP(EW$1,'Factor Alfa'!$B$26:$C$45,2,FALSE),0%)</f>
        <v>0</v>
      </c>
      <c r="EX14" s="5">
        <f>IFERROR(VLOOKUP(EX$1,'Factor Alfa'!$B$26:$C$45,2,FALSE),0%)</f>
        <v>0</v>
      </c>
      <c r="EY14" s="5">
        <f>IFERROR(VLOOKUP(EY$1,'Factor Alfa'!$B$26:$C$45,2,FALSE),0%)</f>
        <v>0</v>
      </c>
      <c r="EZ14" s="5">
        <f>IFERROR(VLOOKUP(EZ$1,'Factor Alfa'!$B$26:$C$45,2,FALSE),0%)</f>
        <v>0</v>
      </c>
      <c r="FA14" s="5">
        <f>IFERROR(VLOOKUP(FA$1,'Factor Alfa'!$B$26:$C$45,2,FALSE),0%)</f>
        <v>0</v>
      </c>
      <c r="FB14" s="5">
        <f>IFERROR(VLOOKUP(FB$1,'Factor Alfa'!$B$26:$C$45,2,FALSE),0%)</f>
        <v>0</v>
      </c>
      <c r="FC14" s="5">
        <f>IFERROR(VLOOKUP(FC$1,'Factor Alfa'!$B$26:$C$45,2,FALSE),0%)</f>
        <v>0</v>
      </c>
      <c r="FD14" s="5">
        <f>IFERROR(VLOOKUP(FD$1,'Factor Alfa'!$B$26:$C$45,2,FALSE),0%)</f>
        <v>0</v>
      </c>
      <c r="FE14" s="5">
        <f>IFERROR(VLOOKUP(FE$1,'Factor Alfa'!$B$26:$C$45,2,FALSE),0%)</f>
        <v>0</v>
      </c>
      <c r="FF14" s="5">
        <f>IFERROR(VLOOKUP(FF$1,'Factor Alfa'!$B$26:$C$45,2,FALSE),0%)</f>
        <v>0</v>
      </c>
      <c r="FG14" s="5">
        <f>IFERROR(VLOOKUP(FG$1,'Factor Alfa'!$B$26:$C$45,2,FALSE),0%)</f>
        <v>0</v>
      </c>
      <c r="FH14" s="5">
        <f>IFERROR(VLOOKUP(FH$1,'Factor Alfa'!$B$26:$C$45,2,FALSE),0%)</f>
        <v>0</v>
      </c>
      <c r="FI14" s="5">
        <f>IFERROR(VLOOKUP(FI$1,'Factor Alfa'!$B$26:$C$45,2,FALSE),0%)</f>
        <v>0</v>
      </c>
      <c r="FJ14" s="5">
        <f>IFERROR(VLOOKUP(FJ$1,'Factor Alfa'!$B$26:$C$45,2,FALSE),0%)</f>
        <v>0</v>
      </c>
      <c r="FK14" s="5">
        <f>IFERROR(VLOOKUP(FK$1,'Factor Alfa'!$B$26:$C$45,2,FALSE),0%)</f>
        <v>0</v>
      </c>
      <c r="FL14" s="5">
        <f>IFERROR(VLOOKUP(FL$1,'Factor Alfa'!$B$26:$C$45,2,FALSE),0%)</f>
        <v>0</v>
      </c>
      <c r="FM14" s="5">
        <f>IFERROR(VLOOKUP(FM$1,'Factor Alfa'!$B$26:$C$45,2,FALSE),0%)</f>
        <v>0</v>
      </c>
      <c r="FN14" s="5">
        <f>IFERROR(VLOOKUP(FN$1,'Factor Alfa'!$B$26:$C$45,2,FALSE),0%)</f>
        <v>0</v>
      </c>
      <c r="FO14" s="5">
        <f>IFERROR(VLOOKUP(FO$1,'Factor Alfa'!$B$26:$C$45,2,FALSE),0%)</f>
        <v>0</v>
      </c>
      <c r="FP14" s="5">
        <f>IFERROR(VLOOKUP(FP$1,'Factor Alfa'!$B$26:$C$45,2,FALSE),0%)</f>
        <v>0</v>
      </c>
      <c r="FQ14" s="5">
        <f>IFERROR(VLOOKUP(FQ$1,'Factor Alfa'!$B$26:$C$45,2,FALSE),0%)</f>
        <v>0</v>
      </c>
      <c r="FR14" s="5">
        <f>IFERROR(VLOOKUP(FR$1,'Factor Alfa'!$B$26:$C$45,2,FALSE),0%)</f>
        <v>0</v>
      </c>
      <c r="FS14" s="5">
        <f>IFERROR(VLOOKUP(FS$1,'Factor Alfa'!$B$26:$C$45,2,FALSE),0%)</f>
        <v>0</v>
      </c>
      <c r="FT14" s="5">
        <f>IFERROR(VLOOKUP(FT$1,'Factor Alfa'!$B$26:$C$45,2,FALSE),0%)</f>
        <v>0</v>
      </c>
      <c r="FU14" s="5">
        <f>IFERROR(VLOOKUP(FU$1,'Factor Alfa'!$B$26:$C$45,2,FALSE),0%)</f>
        <v>0</v>
      </c>
      <c r="FV14" s="5">
        <f>IFERROR(VLOOKUP(FV$1,'Factor Alfa'!$B$26:$C$45,2,FALSE),0%)</f>
        <v>0</v>
      </c>
      <c r="FW14" s="5">
        <f>IFERROR(VLOOKUP(FW$1,'Factor Alfa'!$B$26:$C$45,2,FALSE),0%)</f>
        <v>0</v>
      </c>
      <c r="FX14" s="5">
        <f>IFERROR(VLOOKUP(FX$1,'Factor Alfa'!$B$26:$C$45,2,FALSE),0%)</f>
        <v>0</v>
      </c>
      <c r="FY14" s="5">
        <f>IFERROR(VLOOKUP(FY$1,'Factor Alfa'!$B$26:$C$45,2,FALSE),0%)</f>
        <v>0</v>
      </c>
      <c r="FZ14" s="5">
        <f>IFERROR(VLOOKUP(FZ$1,'Factor Alfa'!$B$26:$C$45,2,FALSE),0%)</f>
        <v>0</v>
      </c>
      <c r="GA14" s="5">
        <f>IFERROR(VLOOKUP(GA$1,'Factor Alfa'!$B$26:$C$45,2,FALSE),0%)</f>
        <v>0</v>
      </c>
      <c r="GB14" s="5">
        <f>IFERROR(VLOOKUP(GB$1,'Factor Alfa'!$B$26:$C$45,2,FALSE),0%)</f>
        <v>0</v>
      </c>
      <c r="GC14" s="5">
        <f>IFERROR(VLOOKUP(GC$1,'Factor Alfa'!$B$26:$C$45,2,FALSE),0%)</f>
        <v>0</v>
      </c>
      <c r="GD14" s="5">
        <f>IFERROR(VLOOKUP(GD$1,'Factor Alfa'!$B$26:$C$45,2,FALSE),0%)</f>
        <v>0</v>
      </c>
      <c r="GE14" s="5">
        <f>IFERROR(VLOOKUP(GE$1,'Factor Alfa'!$B$26:$C$45,2,FALSE),0%)</f>
        <v>0</v>
      </c>
      <c r="GF14" s="5">
        <f>IFERROR(VLOOKUP(GF$1,'Factor Alfa'!$B$26:$C$45,2,FALSE),0%)</f>
        <v>0</v>
      </c>
      <c r="GG14" s="5">
        <f>IFERROR(VLOOKUP(GG$1,'Factor Alfa'!$B$26:$C$45,2,FALSE),0%)</f>
        <v>0</v>
      </c>
      <c r="GH14" s="5">
        <f>IFERROR(VLOOKUP(GH$1,'Factor Alfa'!$B$26:$C$45,2,FALSE),0%)</f>
        <v>0</v>
      </c>
      <c r="GI14" s="5">
        <f>IFERROR(VLOOKUP(GI$1,'Factor Alfa'!$B$26:$C$45,2,FALSE),0%)</f>
        <v>0</v>
      </c>
      <c r="GJ14" s="5">
        <f>IFERROR(VLOOKUP(GJ$1,'Factor Alfa'!$B$26:$C$45,2,FALSE),0%)</f>
        <v>0</v>
      </c>
      <c r="GK14" s="5">
        <f>IFERROR(VLOOKUP(GK$1,'Factor Alfa'!$B$26:$C$45,2,FALSE),0%)</f>
        <v>0</v>
      </c>
      <c r="GL14" s="5">
        <f>IFERROR(VLOOKUP(GL$1,'Factor Alfa'!$B$26:$C$45,2,FALSE),0%)</f>
        <v>0</v>
      </c>
      <c r="GM14" s="5">
        <f>IFERROR(VLOOKUP(GM$1,'Factor Alfa'!$B$26:$C$45,2,FALSE),0%)</f>
        <v>0</v>
      </c>
      <c r="GN14" s="5">
        <f>IFERROR(VLOOKUP(GN$1,'Factor Alfa'!$B$26:$C$45,2,FALSE),0%)</f>
        <v>0</v>
      </c>
      <c r="GO14" s="5">
        <f>IFERROR(VLOOKUP(GO$1,'Factor Alfa'!$B$26:$C$45,2,FALSE),0%)</f>
        <v>0</v>
      </c>
      <c r="GP14" s="5">
        <f>IFERROR(VLOOKUP(GP$1,'Factor Alfa'!$B$26:$C$45,2,FALSE),0%)</f>
        <v>0</v>
      </c>
      <c r="GQ14" s="5">
        <f>IFERROR(VLOOKUP(GQ$1,'Factor Alfa'!$B$26:$C$45,2,FALSE),0%)</f>
        <v>0</v>
      </c>
      <c r="GR14" s="5">
        <f>IFERROR(VLOOKUP(GR$1,'Factor Alfa'!$B$26:$C$45,2,FALSE),0%)</f>
        <v>0</v>
      </c>
      <c r="GS14" s="5">
        <f>IFERROR(VLOOKUP(GS$1,'Factor Alfa'!$B$26:$C$45,2,FALSE),0%)</f>
        <v>0</v>
      </c>
      <c r="GT14" s="5">
        <f>IFERROR(VLOOKUP(GT$1,'Factor Alfa'!$B$26:$C$45,2,FALSE),0%)</f>
        <v>0</v>
      </c>
      <c r="GU14" s="5">
        <f>IFERROR(VLOOKUP(GU$1,'Factor Alfa'!$B$26:$C$45,2,FALSE),0%)</f>
        <v>0</v>
      </c>
      <c r="GV14" s="5">
        <f>IFERROR(VLOOKUP(GV$1,'Factor Alfa'!$B$26:$C$45,2,FALSE),0%)</f>
        <v>0</v>
      </c>
      <c r="GW14" s="5">
        <f>IFERROR(VLOOKUP(GW$1,'Factor Alfa'!$B$26:$C$45,2,FALSE),0%)</f>
        <v>0</v>
      </c>
      <c r="GX14" s="5">
        <f>IFERROR(VLOOKUP(GX$1,'Factor Alfa'!$B$26:$C$45,2,FALSE),0%)</f>
        <v>0</v>
      </c>
      <c r="GY14" s="5">
        <f>IFERROR(VLOOKUP(GY$1,'Factor Alfa'!$B$26:$C$45,2,FALSE),0%)</f>
        <v>0</v>
      </c>
      <c r="GZ14" s="5">
        <f>IFERROR(VLOOKUP(GZ$1,'Factor Alfa'!$B$26:$C$45,2,FALSE),0%)</f>
        <v>0</v>
      </c>
      <c r="HA14" s="5">
        <f>IFERROR(VLOOKUP(HA$1,'Factor Alfa'!$B$26:$C$45,2,FALSE),0%)</f>
        <v>0</v>
      </c>
      <c r="HB14" s="5">
        <f>IFERROR(VLOOKUP(HB$1,'Factor Alfa'!$B$26:$C$45,2,FALSE),0%)</f>
        <v>0</v>
      </c>
      <c r="HC14" s="5">
        <f>IFERROR(VLOOKUP(HC$1,'Factor Alfa'!$B$26:$C$45,2,FALSE),0%)</f>
        <v>0</v>
      </c>
      <c r="HD14" s="5">
        <f>IFERROR(VLOOKUP(HD$1,'Factor Alfa'!$B$26:$C$45,2,FALSE),0%)</f>
        <v>0</v>
      </c>
      <c r="HE14" s="5">
        <f>IFERROR(VLOOKUP(HE$1,'Factor Alfa'!$B$26:$C$45,2,FALSE),0%)</f>
        <v>0</v>
      </c>
      <c r="HF14" s="5">
        <f>IFERROR(VLOOKUP(HF$1,'Factor Alfa'!$B$26:$C$45,2,FALSE),0%)</f>
        <v>0</v>
      </c>
      <c r="HG14" s="5">
        <f>IFERROR(VLOOKUP(HG$1,'Factor Alfa'!$B$26:$C$45,2,FALSE),0%)</f>
        <v>0</v>
      </c>
      <c r="HH14" s="5">
        <f>IFERROR(VLOOKUP(HH$1,'Factor Alfa'!$B$26:$C$45,2,FALSE),0%)</f>
        <v>0</v>
      </c>
      <c r="HI14" s="5">
        <f>IFERROR(VLOOKUP(HI$1,'Factor Alfa'!$B$26:$C$45,2,FALSE),0%)</f>
        <v>0</v>
      </c>
      <c r="HJ14" s="5">
        <f>IFERROR(VLOOKUP(HJ$1,'Factor Alfa'!$B$26:$C$45,2,FALSE),0%)</f>
        <v>0</v>
      </c>
      <c r="HK14" s="5">
        <f>IFERROR(VLOOKUP(HK$1,'Factor Alfa'!$B$26:$C$45,2,FALSE),0%)</f>
        <v>0</v>
      </c>
      <c r="HL14" s="5">
        <f>IFERROR(VLOOKUP(HL$1,'Factor Alfa'!$B$26:$C$45,2,FALSE),0%)</f>
        <v>0</v>
      </c>
      <c r="HM14" s="5">
        <f>IFERROR(VLOOKUP(HM$1,'Factor Alfa'!$B$26:$C$45,2,FALSE),0%)</f>
        <v>0</v>
      </c>
      <c r="HN14" s="5">
        <f>IFERROR(VLOOKUP(HN$1,'Factor Alfa'!$B$26:$C$45,2,FALSE),0%)</f>
        <v>0</v>
      </c>
      <c r="HO14" s="5">
        <f>IFERROR(VLOOKUP(HO$1,'Factor Alfa'!$B$26:$C$45,2,FALSE),0%)</f>
        <v>0</v>
      </c>
      <c r="HP14" s="5">
        <f>IFERROR(VLOOKUP(HP$1,'Factor Alfa'!$B$26:$C$45,2,FALSE),0%)</f>
        <v>0</v>
      </c>
      <c r="HQ14" s="5">
        <f>IFERROR(VLOOKUP(HQ$1,'Factor Alfa'!$B$26:$C$45,2,FALSE),0%)</f>
        <v>0</v>
      </c>
      <c r="HR14" s="5">
        <f>IFERROR(VLOOKUP(HR$1,'Factor Alfa'!$B$26:$C$45,2,FALSE),0%)</f>
        <v>0</v>
      </c>
      <c r="HS14" s="5">
        <f>IFERROR(VLOOKUP(HS$1,'Factor Alfa'!$B$26:$C$45,2,FALSE),0%)</f>
        <v>0</v>
      </c>
      <c r="HT14" s="5">
        <f>IFERROR(VLOOKUP(HT$1,'Factor Alfa'!$B$26:$C$45,2,FALSE),0%)</f>
        <v>0</v>
      </c>
      <c r="HU14" s="5">
        <f>IFERROR(VLOOKUP(HU$1,'Factor Alfa'!$B$26:$C$45,2,FALSE),0%)</f>
        <v>0</v>
      </c>
      <c r="HV14" s="5">
        <f>IFERROR(VLOOKUP(HV$1,'Factor Alfa'!$B$26:$C$45,2,FALSE),0%)</f>
        <v>0</v>
      </c>
      <c r="HW14" s="5">
        <f>IFERROR(VLOOKUP(HW$1,'Factor Alfa'!$B$26:$C$45,2,FALSE),0%)</f>
        <v>0</v>
      </c>
      <c r="HX14" s="5">
        <f>IFERROR(VLOOKUP(HX$1,'Factor Alfa'!$B$26:$C$45,2,FALSE),0%)</f>
        <v>0</v>
      </c>
      <c r="HY14" s="5">
        <f>IFERROR(VLOOKUP(HY$1,'Factor Alfa'!$B$26:$C$45,2,FALSE),0%)</f>
        <v>0</v>
      </c>
      <c r="HZ14" s="5">
        <f>IFERROR(VLOOKUP(HZ$1,'Factor Alfa'!$B$26:$C$45,2,FALSE),0%)</f>
        <v>0</v>
      </c>
      <c r="IA14" s="5">
        <f>IFERROR(VLOOKUP(IA$1,'Factor Alfa'!$B$26:$C$45,2,FALSE),0%)</f>
        <v>0</v>
      </c>
      <c r="IB14" s="5">
        <f>IFERROR(VLOOKUP(IB$1,'Factor Alfa'!$B$26:$C$45,2,FALSE),0%)</f>
        <v>0</v>
      </c>
      <c r="IC14" s="5">
        <f>IFERROR(VLOOKUP(IC$1,'Factor Alfa'!$B$26:$C$45,2,FALSE),0%)</f>
        <v>0</v>
      </c>
      <c r="ID14" s="5">
        <f>IFERROR(VLOOKUP(ID$1,'Factor Alfa'!$B$26:$C$45,2,FALSE),0%)</f>
        <v>0</v>
      </c>
      <c r="IE14" s="5">
        <f>IFERROR(VLOOKUP(IE$1,'Factor Alfa'!$B$26:$C$45,2,FALSE),0%)</f>
        <v>0</v>
      </c>
      <c r="IF14" s="5">
        <f>IFERROR(VLOOKUP(IF$1,'Factor Alfa'!$B$26:$C$45,2,FALSE),0%)</f>
        <v>0</v>
      </c>
      <c r="IG14" s="5">
        <f>IFERROR(VLOOKUP(IG$1,'Factor Alfa'!$B$26:$C$45,2,FALSE),0%)</f>
        <v>0</v>
      </c>
      <c r="IH14" s="5">
        <f>IFERROR(VLOOKUP(IH$1,'Factor Alfa'!$B$26:$C$45,2,FALSE),0%)</f>
        <v>0</v>
      </c>
      <c r="II14" s="5">
        <f>IFERROR(VLOOKUP(II$1,'Factor Alfa'!$B$26:$C$45,2,FALSE),0%)</f>
        <v>0</v>
      </c>
      <c r="IJ14" s="5">
        <f>IFERROR(VLOOKUP(IJ$1,'Factor Alfa'!$B$26:$C$45,2,FALSE),0%)</f>
        <v>0</v>
      </c>
      <c r="IK14" s="5">
        <f>IFERROR(VLOOKUP(IK$1,'Factor Alfa'!$B$26:$C$45,2,FALSE),0%)</f>
        <v>0</v>
      </c>
      <c r="IL14" s="5">
        <f>IFERROR(VLOOKUP(IL$1,'Factor Alfa'!$B$26:$C$45,2,FALSE),0%)</f>
        <v>0</v>
      </c>
      <c r="IM14" s="5">
        <f>IFERROR(VLOOKUP(IM$1,'Factor Alfa'!$B$26:$C$45,2,FALSE),0%)</f>
        <v>0</v>
      </c>
      <c r="IN14" s="5">
        <f>IFERROR(VLOOKUP(IN$1,'Factor Alfa'!$B$26:$C$45,2,FALSE),0%)</f>
        <v>0</v>
      </c>
      <c r="IO14" s="5">
        <f>IFERROR(VLOOKUP(IO$1,'Factor Alfa'!$B$26:$C$45,2,FALSE),0%)</f>
        <v>0</v>
      </c>
      <c r="IP14" s="5">
        <f>IFERROR(VLOOKUP(IP$1,'Factor Alfa'!$B$26:$C$45,2,FALSE),0%)</f>
        <v>0</v>
      </c>
      <c r="IQ14" s="5">
        <f>IFERROR(VLOOKUP(IQ$1,'Factor Alfa'!$B$26:$C$45,2,FALSE),0%)</f>
        <v>0</v>
      </c>
      <c r="IR14" s="5">
        <f>IFERROR(VLOOKUP(IR$1,'Factor Alfa'!$B$26:$C$45,2,FALSE),0%)</f>
        <v>0</v>
      </c>
      <c r="IS14" s="5">
        <f>IFERROR(VLOOKUP(IS$1,'Factor Alfa'!$B$26:$C$45,2,FALSE),0%)</f>
        <v>0</v>
      </c>
      <c r="IT14" s="5">
        <f>IFERROR(VLOOKUP(IT$1,'Factor Alfa'!$B$26:$C$45,2,FALSE),0%)</f>
        <v>0</v>
      </c>
      <c r="IU14" s="5">
        <f>IFERROR(VLOOKUP(IU$1,'Factor Alfa'!$B$26:$C$45,2,FALSE),0%)</f>
        <v>0</v>
      </c>
      <c r="IV14" s="5">
        <f>IFERROR(VLOOKUP(IV$1,'Factor Alfa'!$B$26:$C$45,2,FALSE),0%)</f>
        <v>0</v>
      </c>
      <c r="IW14" s="5">
        <f>IFERROR(VLOOKUP(IW$1,'Factor Alfa'!$B$26:$C$45,2,FALSE),0%)</f>
        <v>0</v>
      </c>
      <c r="IX14" s="5">
        <f>IFERROR(VLOOKUP(IX$1,'Factor Alfa'!$B$26:$C$45,2,FALSE),0%)</f>
        <v>0</v>
      </c>
      <c r="IY14" s="5">
        <f>IFERROR(VLOOKUP(IY$1,'Factor Alfa'!$B$26:$C$45,2,FALSE),0%)</f>
        <v>0</v>
      </c>
      <c r="IZ14" s="5">
        <f>IFERROR(VLOOKUP(IZ$1,'Factor Alfa'!$B$26:$C$45,2,FALSE),0%)</f>
        <v>0</v>
      </c>
      <c r="JA14" s="5">
        <f>IFERROR(VLOOKUP(JA$1,'Factor Alfa'!$B$26:$C$45,2,FALSE),0%)</f>
        <v>0</v>
      </c>
      <c r="JB14" s="5">
        <f>IFERROR(VLOOKUP(JB$1,'Factor Alfa'!$B$26:$C$45,2,FALSE),0%)</f>
        <v>0</v>
      </c>
      <c r="JC14" s="5">
        <f>IFERROR(VLOOKUP(JC$1,'Factor Alfa'!$B$26:$C$45,2,FALSE),0%)</f>
        <v>0</v>
      </c>
      <c r="JD14" s="5">
        <f>IFERROR(VLOOKUP(JD$1,'Factor Alfa'!$B$26:$C$45,2,FALSE),0%)</f>
        <v>0</v>
      </c>
      <c r="JE14" s="5">
        <f>IFERROR(VLOOKUP(JE$1,'Factor Alfa'!$B$26:$C$45,2,FALSE),0%)</f>
        <v>0</v>
      </c>
      <c r="JF14" s="5">
        <f>IFERROR(VLOOKUP(JF$1,'Factor Alfa'!$B$26:$C$45,2,FALSE),0%)</f>
        <v>0</v>
      </c>
      <c r="JG14" s="5">
        <f>IFERROR(VLOOKUP(JG$1,'Factor Alfa'!$B$26:$C$45,2,FALSE),0%)</f>
        <v>0</v>
      </c>
      <c r="JH14" s="5">
        <f>IFERROR(VLOOKUP(JH$1,'Factor Alfa'!$B$26:$C$45,2,FALSE),0%)</f>
        <v>0</v>
      </c>
      <c r="JI14" s="5">
        <f>IFERROR(VLOOKUP(JI$1,'Factor Alfa'!$B$26:$C$45,2,FALSE),0%)</f>
        <v>0</v>
      </c>
      <c r="JJ14" s="5">
        <f>IFERROR(VLOOKUP(JJ$1,'Factor Alfa'!$B$26:$C$45,2,FALSE),0%)</f>
        <v>0</v>
      </c>
      <c r="JK14" s="5">
        <f>IFERROR(VLOOKUP(JK$1,'Factor Alfa'!$B$26:$C$45,2,FALSE),0%)</f>
        <v>0</v>
      </c>
      <c r="JL14" s="5">
        <f>IFERROR(VLOOKUP(JL$1,'Factor Alfa'!$B$26:$C$45,2,FALSE),0%)</f>
        <v>0</v>
      </c>
      <c r="JM14" s="5">
        <f>IFERROR(VLOOKUP(JM$1,'Factor Alfa'!$B$26:$C$45,2,FALSE),0%)</f>
        <v>0</v>
      </c>
      <c r="JN14" s="5">
        <f>IFERROR(VLOOKUP(JN$1,'Factor Alfa'!$B$26:$C$45,2,FALSE),0%)</f>
        <v>0</v>
      </c>
      <c r="JO14" s="5">
        <f>IFERROR(VLOOKUP(JO$1,'Factor Alfa'!$B$26:$C$45,2,FALSE),0%)</f>
        <v>0</v>
      </c>
      <c r="JP14" s="5">
        <f>IFERROR(VLOOKUP(JP$1,'Factor Alfa'!$B$26:$C$45,2,FALSE),0%)</f>
        <v>0</v>
      </c>
      <c r="JQ14" s="5">
        <f>IFERROR(VLOOKUP(JQ$1,'Factor Alfa'!$B$26:$C$45,2,FALSE),0%)</f>
        <v>0</v>
      </c>
      <c r="JR14" s="5">
        <f>IFERROR(VLOOKUP(JR$1,'Factor Alfa'!$B$26:$C$45,2,FALSE),0%)</f>
        <v>0</v>
      </c>
      <c r="JS14" s="5">
        <f>IFERROR(VLOOKUP(JS$1,'Factor Alfa'!$B$26:$C$45,2,FALSE),0%)</f>
        <v>0</v>
      </c>
      <c r="JT14" s="5">
        <f>IFERROR(VLOOKUP(JT$1,'Factor Alfa'!$B$26:$C$45,2,FALSE),0%)</f>
        <v>0</v>
      </c>
      <c r="JU14" s="5">
        <f>IFERROR(VLOOKUP(JU$1,'Factor Alfa'!$B$26:$C$45,2,FALSE),0%)</f>
        <v>0.06822</v>
      </c>
      <c r="JV14" s="5">
        <f>IFERROR(VLOOKUP(JV$1,'Factor Alfa'!$B$26:$C$45,2,FALSE),0%)</f>
        <v>0</v>
      </c>
      <c r="JW14" s="5">
        <f>IFERROR(VLOOKUP(JW$1,'Factor Alfa'!$B$26:$C$45,2,FALSE),0%)</f>
        <v>0</v>
      </c>
      <c r="JX14" s="5">
        <f>IFERROR(VLOOKUP(JX$1,'Factor Alfa'!$B$26:$C$45,2,FALSE),0%)</f>
        <v>0</v>
      </c>
      <c r="JY14" s="5">
        <f>IFERROR(VLOOKUP(JY$1,'Factor Alfa'!$B$26:$C$45,2,FALSE),0%)</f>
        <v>0</v>
      </c>
      <c r="JZ14" s="5">
        <f>IFERROR(VLOOKUP(JZ$1,'Factor Alfa'!$B$26:$C$45,2,FALSE),0%)</f>
        <v>0</v>
      </c>
      <c r="KA14" s="5">
        <f>IFERROR(VLOOKUP(KA$1,'Factor Alfa'!$B$26:$C$45,2,FALSE),0%)</f>
        <v>0</v>
      </c>
      <c r="KB14" s="5">
        <f>IFERROR(VLOOKUP(KB$1,'Factor Alfa'!$B$26:$C$45,2,FALSE),0%)</f>
        <v>0</v>
      </c>
      <c r="KC14" s="5">
        <f>IFERROR(VLOOKUP(KC$1,'Factor Alfa'!$B$26:$C$45,2,FALSE),0%)</f>
        <v>0</v>
      </c>
      <c r="KD14" s="5">
        <f>IFERROR(VLOOKUP(KD$1,'Factor Alfa'!$B$26:$C$45,2,FALSE),0%)</f>
        <v>0</v>
      </c>
      <c r="KE14" s="5">
        <f>IFERROR(VLOOKUP(KE$1,'Factor Alfa'!$B$26:$C$45,2,FALSE),0%)</f>
        <v>0</v>
      </c>
      <c r="KF14" s="5">
        <f>IFERROR(VLOOKUP(KF$1,'Factor Alfa'!$B$26:$C$45,2,FALSE),0%)</f>
        <v>0</v>
      </c>
      <c r="KG14" s="5">
        <f>IFERROR(VLOOKUP(KG$1,'Factor Alfa'!$B$26:$C$45,2,FALSE),0%)</f>
        <v>0</v>
      </c>
      <c r="KH14" s="5">
        <f>IFERROR(VLOOKUP(KH$1,'Factor Alfa'!$B$26:$C$45,2,FALSE),0%)</f>
        <v>0</v>
      </c>
      <c r="KI14" s="5">
        <f>IFERROR(VLOOKUP(KI$1,'Factor Alfa'!$B$26:$C$45,2,FALSE),0%)</f>
        <v>0</v>
      </c>
      <c r="KJ14" s="5">
        <f>IFERROR(VLOOKUP(KJ$1,'Factor Alfa'!$B$26:$C$45,2,FALSE),0%)</f>
        <v>0</v>
      </c>
      <c r="KK14" s="5">
        <f>IFERROR(VLOOKUP(KK$1,'Factor Alfa'!$B$26:$C$45,2,FALSE),0%)</f>
        <v>0</v>
      </c>
      <c r="KL14" s="5">
        <f>IFERROR(VLOOKUP(KL$1,'Factor Alfa'!$B$26:$C$45,2,FALSE),0%)</f>
        <v>0</v>
      </c>
      <c r="KM14" s="5">
        <f>IFERROR(VLOOKUP(KM$1,'Factor Alfa'!$B$26:$C$45,2,FALSE),0%)</f>
        <v>0</v>
      </c>
      <c r="KN14" s="5">
        <f>IFERROR(VLOOKUP(KN$1,'Factor Alfa'!$B$26:$C$45,2,FALSE),0%)</f>
        <v>0</v>
      </c>
      <c r="KO14" s="5">
        <f>IFERROR(VLOOKUP(KO$1,'Factor Alfa'!$B$26:$C$45,2,FALSE),0%)</f>
        <v>0</v>
      </c>
      <c r="KP14" s="5">
        <f>IFERROR(VLOOKUP(KP$1,'Factor Alfa'!$B$26:$C$45,2,FALSE),0%)</f>
        <v>0</v>
      </c>
      <c r="KQ14" s="5">
        <f>IFERROR(VLOOKUP(KQ$1,'Factor Alfa'!$B$26:$C$45,2,FALSE),0%)</f>
        <v>0</v>
      </c>
      <c r="KR14" s="5">
        <f>IFERROR(VLOOKUP(KR$1,'Factor Alfa'!$B$26:$C$45,2,FALSE),0%)</f>
        <v>0</v>
      </c>
      <c r="KS14" s="5">
        <f>IFERROR(VLOOKUP(KS$1,'Factor Alfa'!$B$26:$C$45,2,FALSE),0%)</f>
        <v>0</v>
      </c>
      <c r="KT14" s="5">
        <f>IFERROR(VLOOKUP(KT$1,'Factor Alfa'!$B$26:$C$45,2,FALSE),0%)</f>
        <v>0</v>
      </c>
      <c r="KU14" s="5">
        <f>IFERROR(VLOOKUP(KU$1,'Factor Alfa'!$B$26:$C$45,2,FALSE),0%)</f>
        <v>0</v>
      </c>
      <c r="KV14" s="5">
        <f>IFERROR(VLOOKUP(KV$1,'Factor Alfa'!$B$26:$C$45,2,FALSE),0%)</f>
        <v>0</v>
      </c>
      <c r="KW14" s="5">
        <f>IFERROR(VLOOKUP(KW$1,'Factor Alfa'!$B$26:$C$45,2,FALSE),0%)</f>
        <v>0</v>
      </c>
      <c r="KX14" s="5">
        <f>IFERROR(VLOOKUP(KX$1,'Factor Alfa'!$B$26:$C$45,2,FALSE),0%)</f>
        <v>0</v>
      </c>
      <c r="KY14" s="5">
        <f>IFERROR(VLOOKUP(KY$1,'Factor Alfa'!$B$26:$C$45,2,FALSE),0%)</f>
        <v>0</v>
      </c>
      <c r="KZ14" s="5">
        <f>IFERROR(VLOOKUP(KZ$1,'Factor Alfa'!$B$26:$C$45,2,FALSE),0%)</f>
        <v>0</v>
      </c>
      <c r="LA14" s="5">
        <f>IFERROR(VLOOKUP(LA$1,'Factor Alfa'!$B$26:$C$45,2,FALSE),0%)</f>
        <v>0</v>
      </c>
      <c r="LB14" s="5">
        <f>IFERROR(VLOOKUP(LB$1,'Factor Alfa'!$B$26:$C$45,2,FALSE),0%)</f>
        <v>0</v>
      </c>
      <c r="LC14" s="5">
        <f>IFERROR(VLOOKUP(LC$1,'Factor Alfa'!$B$26:$C$45,2,FALSE),0%)</f>
        <v>0</v>
      </c>
      <c r="LD14" s="5">
        <f>IFERROR(VLOOKUP(LD$1,'Factor Alfa'!$B$26:$C$45,2,FALSE),0%)</f>
        <v>0</v>
      </c>
      <c r="LE14" s="5">
        <f>IFERROR(VLOOKUP(LE$1,'Factor Alfa'!$B$26:$C$45,2,FALSE),0%)</f>
        <v>0</v>
      </c>
      <c r="LF14" s="5">
        <f>IFERROR(VLOOKUP(LF$1,'Factor Alfa'!$B$26:$C$45,2,FALSE),0%)</f>
        <v>0</v>
      </c>
      <c r="LG14" s="5">
        <f>IFERROR(VLOOKUP(LG$1,'Factor Alfa'!$B$26:$C$45,2,FALSE),0%)</f>
        <v>0</v>
      </c>
      <c r="LH14" s="5">
        <f>IFERROR(VLOOKUP(LH$1,'Factor Alfa'!$B$26:$C$45,2,FALSE),0%)</f>
        <v>0</v>
      </c>
      <c r="LI14" s="5">
        <f>IFERROR(VLOOKUP(LI$1,'Factor Alfa'!$B$26:$C$45,2,FALSE),0%)</f>
        <v>0</v>
      </c>
      <c r="LJ14" s="5">
        <f>IFERROR(VLOOKUP(LJ$1,'Factor Alfa'!$B$26:$C$45,2,FALSE),0%)</f>
        <v>0</v>
      </c>
      <c r="LK14" s="5">
        <f>IFERROR(VLOOKUP(LK$1,'Factor Alfa'!$B$26:$C$45,2,FALSE),0%)</f>
        <v>0</v>
      </c>
      <c r="LL14" s="5">
        <f>IFERROR(VLOOKUP(LL$1,'Factor Alfa'!$B$26:$C$45,2,FALSE),0%)</f>
        <v>0</v>
      </c>
      <c r="LM14" s="5">
        <f>IFERROR(VLOOKUP(LM$1,'Factor Alfa'!$B$26:$C$45,2,FALSE),0%)</f>
        <v>0</v>
      </c>
      <c r="LN14" s="5">
        <f>IFERROR(VLOOKUP(LN$1,'Factor Alfa'!$B$26:$C$45,2,FALSE),0%)</f>
        <v>0</v>
      </c>
      <c r="LO14" s="5">
        <f>IFERROR(VLOOKUP(LO$1,'Factor Alfa'!$B$26:$C$45,2,FALSE),0%)</f>
        <v>0</v>
      </c>
      <c r="LP14" s="5">
        <f>IFERROR(VLOOKUP(LP$1,'Factor Alfa'!$B$26:$C$45,2,FALSE),0%)</f>
        <v>0</v>
      </c>
      <c r="LQ14" s="5">
        <f>IFERROR(VLOOKUP(LQ$1,'Factor Alfa'!$B$26:$C$45,2,FALSE),0%)</f>
        <v>0</v>
      </c>
      <c r="LR14" s="5">
        <f>IFERROR(VLOOKUP(LR$1,'Factor Alfa'!$B$26:$C$45,2,FALSE),0%)</f>
        <v>0</v>
      </c>
      <c r="LS14" s="5">
        <f>IFERROR(VLOOKUP(LS$1,'Factor Alfa'!$B$26:$C$45,2,FALSE),0%)</f>
        <v>0</v>
      </c>
      <c r="LT14" s="5">
        <f>IFERROR(VLOOKUP(LT$1,'Factor Alfa'!$B$26:$C$45,2,FALSE),0%)</f>
        <v>0</v>
      </c>
      <c r="LU14" s="5">
        <f>IFERROR(VLOOKUP(LU$1,'Factor Alfa'!$B$26:$C$45,2,FALSE),0%)</f>
        <v>0</v>
      </c>
      <c r="LV14" s="5">
        <f>IFERROR(VLOOKUP(LV$1,'Factor Alfa'!$B$26:$C$45,2,FALSE),0%)</f>
        <v>0</v>
      </c>
      <c r="LW14" s="5">
        <f>IFERROR(VLOOKUP(LW$1,'Factor Alfa'!$B$26:$C$45,2,FALSE),0%)</f>
        <v>0</v>
      </c>
      <c r="LX14" s="5">
        <f>IFERROR(VLOOKUP(LX$1,'Factor Alfa'!$B$26:$C$45,2,FALSE),0%)</f>
        <v>0</v>
      </c>
      <c r="LY14" s="5">
        <f>IFERROR(VLOOKUP(LY$1,'Factor Alfa'!$B$26:$C$45,2,FALSE),0%)</f>
        <v>0</v>
      </c>
      <c r="LZ14" s="5">
        <f>IFERROR(VLOOKUP(LZ$1,'Factor Alfa'!$B$26:$C$45,2,FALSE),0%)</f>
        <v>0</v>
      </c>
      <c r="MA14" s="5">
        <f>IFERROR(VLOOKUP(MA$1,'Factor Alfa'!$B$26:$C$45,2,FALSE),0%)</f>
        <v>0</v>
      </c>
      <c r="MB14" s="5">
        <f>IFERROR(VLOOKUP(MB$1,'Factor Alfa'!$B$26:$C$45,2,FALSE),0%)</f>
        <v>0</v>
      </c>
      <c r="MC14" s="5">
        <f>IFERROR(VLOOKUP(MC$1,'Factor Alfa'!$B$26:$C$45,2,FALSE),0%)</f>
        <v>0</v>
      </c>
      <c r="MD14" s="5">
        <f>IFERROR(VLOOKUP(MD$1,'Factor Alfa'!$B$26:$C$45,2,FALSE),0%)</f>
        <v>0</v>
      </c>
      <c r="ME14" s="5">
        <f>IFERROR(VLOOKUP(ME$1,'Factor Alfa'!$B$26:$C$45,2,FALSE),0%)</f>
        <v>0</v>
      </c>
      <c r="MF14" s="5">
        <f>IFERROR(VLOOKUP(MF$1,'Factor Alfa'!$B$26:$C$45,2,FALSE),0%)</f>
        <v>0</v>
      </c>
      <c r="MG14" s="5">
        <f>IFERROR(VLOOKUP(MG$1,'Factor Alfa'!$B$26:$C$45,2,FALSE),0%)</f>
        <v>0</v>
      </c>
      <c r="MH14" s="5">
        <f>IFERROR(VLOOKUP(MH$1,'Factor Alfa'!$B$26:$C$45,2,FALSE),0%)</f>
        <v>0</v>
      </c>
      <c r="MI14" s="5">
        <f>IFERROR(VLOOKUP(MI$1,'Factor Alfa'!$B$26:$C$45,2,FALSE),0%)</f>
        <v>0</v>
      </c>
      <c r="MJ14" s="5">
        <f>IFERROR(VLOOKUP(MJ$1,'Factor Alfa'!$B$26:$C$45,2,FALSE),0%)</f>
        <v>0</v>
      </c>
      <c r="MK14" s="5">
        <f>IFERROR(VLOOKUP(MK$1,'Factor Alfa'!$B$26:$C$45,2,FALSE),0%)</f>
        <v>0</v>
      </c>
      <c r="ML14" s="5">
        <f>IFERROR(VLOOKUP(ML$1,'Factor Alfa'!$B$26:$C$45,2,FALSE),0%)</f>
        <v>0</v>
      </c>
      <c r="MM14" s="5">
        <f>IFERROR(VLOOKUP(MM$1,'Factor Alfa'!$B$26:$C$45,2,FALSE),0%)</f>
        <v>0</v>
      </c>
      <c r="MN14" s="5">
        <f>IFERROR(VLOOKUP(MN$1,'Factor Alfa'!$B$26:$C$45,2,FALSE),0%)</f>
        <v>0</v>
      </c>
      <c r="MO14" s="5">
        <f>IFERROR(VLOOKUP(MO$1,'Factor Alfa'!$B$26:$C$45,2,FALSE),0%)</f>
        <v>0</v>
      </c>
      <c r="MP14" s="5">
        <f>IFERROR(VLOOKUP(MP$1,'Factor Alfa'!$B$26:$C$45,2,FALSE),0%)</f>
        <v>0</v>
      </c>
      <c r="MQ14" s="5">
        <f>IFERROR(VLOOKUP(MQ$1,'Factor Alfa'!$B$26:$C$45,2,FALSE),0%)</f>
        <v>0</v>
      </c>
      <c r="MR14" s="5">
        <f>IFERROR(VLOOKUP(MR$1,'Factor Alfa'!$B$26:$C$45,2,FALSE),0%)</f>
        <v>0</v>
      </c>
      <c r="MS14" s="5">
        <f>IFERROR(VLOOKUP(MS$1,'Factor Alfa'!$B$26:$C$45,2,FALSE),0%)</f>
        <v>0</v>
      </c>
      <c r="MT14" s="5">
        <f>IFERROR(VLOOKUP(MT$1,'Factor Alfa'!$B$26:$C$45,2,FALSE),0%)</f>
        <v>0</v>
      </c>
      <c r="MU14" s="5">
        <f>IFERROR(VLOOKUP(MU$1,'Factor Alfa'!$B$26:$C$45,2,FALSE),0%)</f>
        <v>0</v>
      </c>
      <c r="MV14" s="5">
        <f>IFERROR(VLOOKUP(MV$1,'Factor Alfa'!$B$26:$C$45,2,FALSE),0%)</f>
        <v>0</v>
      </c>
      <c r="MW14" s="5">
        <f>IFERROR(VLOOKUP(MW$1,'Factor Alfa'!$B$26:$C$45,2,FALSE),0%)</f>
        <v>0</v>
      </c>
      <c r="MX14" s="5">
        <f>IFERROR(VLOOKUP(MX$1,'Factor Alfa'!$B$26:$C$45,2,FALSE),0%)</f>
        <v>0</v>
      </c>
      <c r="MY14" s="5">
        <f>IFERROR(VLOOKUP(MY$1,'Factor Alfa'!$B$26:$C$45,2,FALSE),0%)</f>
        <v>0</v>
      </c>
      <c r="MZ14" s="5">
        <f>IFERROR(VLOOKUP(MZ$1,'Factor Alfa'!$B$26:$C$45,2,FALSE),0%)</f>
        <v>0</v>
      </c>
      <c r="NA14" s="5">
        <f>IFERROR(VLOOKUP(NA$1,'Factor Alfa'!$B$26:$C$45,2,FALSE),0%)</f>
        <v>0</v>
      </c>
      <c r="NB14" s="5">
        <f>IFERROR(VLOOKUP(NB$1,'Factor Alfa'!$B$26:$C$45,2,FALSE),0%)</f>
        <v>0</v>
      </c>
      <c r="NC14" s="5">
        <f>IFERROR(VLOOKUP(NC$1,'Factor Alfa'!$B$26:$C$45,2,FALSE),0%)</f>
        <v>0</v>
      </c>
      <c r="ND14" s="5">
        <f>IFERROR(VLOOKUP(ND$1,'Factor Alfa'!$B$26:$C$45,2,FALSE),0%)</f>
        <v>0</v>
      </c>
      <c r="NE14" s="5">
        <f>IFERROR(VLOOKUP(NE$1,'Factor Alfa'!$B$26:$C$45,2,FALSE),0%)</f>
        <v>0</v>
      </c>
      <c r="NF14" s="5">
        <f>IFERROR(VLOOKUP(NF$1,'Factor Alfa'!$B$26:$C$45,2,FALSE),0%)</f>
        <v>0</v>
      </c>
      <c r="NG14" s="5">
        <f>IFERROR(VLOOKUP(NG$1,'Factor Alfa'!$B$26:$C$45,2,FALSE),0%)</f>
        <v>0</v>
      </c>
      <c r="NH14" s="5">
        <f>IFERROR(VLOOKUP(NH$1,'Factor Alfa'!$B$26:$C$45,2,FALSE),0%)</f>
        <v>0</v>
      </c>
      <c r="NI14" s="5">
        <f>IFERROR(VLOOKUP(NI$1,'Factor Alfa'!$B$26:$C$45,2,FALSE),0%)</f>
        <v>0</v>
      </c>
      <c r="NJ14" s="5">
        <f>IFERROR(VLOOKUP(NJ$1,'Factor Alfa'!$B$26:$C$45,2,FALSE),0%)</f>
        <v>0</v>
      </c>
      <c r="NK14" s="5">
        <f>IFERROR(VLOOKUP(NK$1,'Factor Alfa'!$B$26:$C$45,2,FALSE),0%)</f>
        <v>0</v>
      </c>
      <c r="NL14" s="5">
        <f>IFERROR(VLOOKUP(NL$1,'Factor Alfa'!$B$26:$C$45,2,FALSE),0%)</f>
        <v>0</v>
      </c>
      <c r="NM14" s="5">
        <f>IFERROR(VLOOKUP(NM$1,'Factor Alfa'!$B$26:$C$45,2,FALSE),0%)</f>
        <v>0</v>
      </c>
      <c r="NN14" s="5">
        <f>IFERROR(VLOOKUP(NN$1,'Factor Alfa'!$B$26:$C$45,2,FALSE),0%)</f>
        <v>0</v>
      </c>
      <c r="NO14" s="5">
        <f>IFERROR(VLOOKUP(NO$1,'Factor Alfa'!$B$26:$C$45,2,FALSE),0%)</f>
        <v>0</v>
      </c>
      <c r="NP14" s="5">
        <f>IFERROR(VLOOKUP(NP$1,'Factor Alfa'!$B$26:$C$45,2,FALSE),0%)</f>
        <v>0</v>
      </c>
      <c r="NQ14" s="5">
        <f>IFERROR(VLOOKUP(NQ$1,'Factor Alfa'!$B$26:$C$45,2,FALSE),0%)</f>
        <v>0</v>
      </c>
      <c r="NR14" s="5">
        <f>IFERROR(VLOOKUP(NR$1,'Factor Alfa'!$B$26:$C$45,2,FALSE),0%)</f>
        <v>0</v>
      </c>
      <c r="NS14" s="5">
        <f>IFERROR(VLOOKUP(NS$1,'Factor Alfa'!$B$26:$C$45,2,FALSE),0%)</f>
        <v>0</v>
      </c>
      <c r="NT14" s="5">
        <f>IFERROR(VLOOKUP(NT$1,'Factor Alfa'!$B$26:$C$45,2,FALSE),0%)</f>
        <v>0</v>
      </c>
      <c r="NU14" s="5">
        <f>IFERROR(VLOOKUP(NU$1,'Factor Alfa'!$B$26:$C$45,2,FALSE),0%)</f>
        <v>0</v>
      </c>
      <c r="NV14" s="5">
        <f>IFERROR(VLOOKUP(NV$1,'Factor Alfa'!$B$26:$C$45,2,FALSE),0%)</f>
        <v>0</v>
      </c>
      <c r="NW14" s="5">
        <f>IFERROR(VLOOKUP(NW$1,'Factor Alfa'!$B$26:$C$45,2,FALSE),0%)</f>
        <v>0</v>
      </c>
      <c r="NX14" s="5">
        <f>IFERROR(VLOOKUP(NX$1,'Factor Alfa'!$B$26:$C$45,2,FALSE),0%)</f>
        <v>0</v>
      </c>
      <c r="NY14" s="5">
        <f>IFERROR(VLOOKUP(NY$1,'Factor Alfa'!$B$26:$C$45,2,FALSE),0%)</f>
        <v>0</v>
      </c>
      <c r="NZ14" s="5">
        <f>IFERROR(VLOOKUP(NZ$1,'Factor Alfa'!$B$26:$C$45,2,FALSE),0%)</f>
        <v>0</v>
      </c>
      <c r="OA14" s="5">
        <f>IFERROR(VLOOKUP(OA$1,'Factor Alfa'!$B$26:$C$45,2,FALSE),0%)</f>
        <v>0</v>
      </c>
      <c r="OB14" s="5">
        <f>IFERROR(VLOOKUP(OB$1,'Factor Alfa'!$B$26:$C$45,2,FALSE),0%)</f>
        <v>0</v>
      </c>
      <c r="OC14" s="5">
        <f>IFERROR(VLOOKUP(OC$1,'Factor Alfa'!$B$26:$C$45,2,FALSE),0%)</f>
        <v>0</v>
      </c>
      <c r="OD14" s="5">
        <f>IFERROR(VLOOKUP(OD$1,'Factor Alfa'!$B$26:$C$45,2,FALSE),0%)</f>
        <v>0</v>
      </c>
      <c r="OE14" s="5">
        <f>IFERROR(VLOOKUP(OE$1,'Factor Alfa'!$B$26:$C$45,2,FALSE),0%)</f>
        <v>0</v>
      </c>
      <c r="OF14" s="5">
        <f>IFERROR(VLOOKUP(OF$1,'Factor Alfa'!$B$26:$C$45,2,FALSE),0%)</f>
        <v>0</v>
      </c>
      <c r="OG14" s="5">
        <f>IFERROR(VLOOKUP(OG$1,'Factor Alfa'!$B$26:$C$45,2,FALSE),0%)</f>
        <v>0</v>
      </c>
      <c r="OH14" s="5">
        <f>IFERROR(VLOOKUP(OH$1,'Factor Alfa'!$B$26:$C$45,2,FALSE),0%)</f>
        <v>0</v>
      </c>
      <c r="OI14" s="5">
        <f>IFERROR(VLOOKUP(OI$1,'Factor Alfa'!$B$26:$C$45,2,FALSE),0%)</f>
        <v>0</v>
      </c>
      <c r="OJ14" s="5">
        <f>IFERROR(VLOOKUP(OJ$1,'Factor Alfa'!$B$26:$C$45,2,FALSE),0%)</f>
        <v>0</v>
      </c>
      <c r="OK14" s="5">
        <f>IFERROR(VLOOKUP(OK$1,'Factor Alfa'!$B$26:$C$45,2,FALSE),0%)</f>
        <v>0</v>
      </c>
      <c r="OL14" s="5">
        <f>IFERROR(VLOOKUP(OL$1,'Factor Alfa'!$B$26:$C$45,2,FALSE),0%)</f>
        <v>0</v>
      </c>
      <c r="OM14" s="5">
        <f>IFERROR(VLOOKUP(OM$1,'Factor Alfa'!$B$26:$C$45,2,FALSE),0%)</f>
        <v>0</v>
      </c>
      <c r="ON14" s="5">
        <f>IFERROR(VLOOKUP(ON$1,'Factor Alfa'!$B$26:$C$45,2,FALSE),0%)</f>
        <v>0</v>
      </c>
      <c r="OO14" s="5">
        <f>IFERROR(VLOOKUP(OO$1,'Factor Alfa'!$B$26:$C$45,2,FALSE),0%)</f>
        <v>0</v>
      </c>
      <c r="OP14" s="5">
        <f>IFERROR(VLOOKUP(OP$1,'Factor Alfa'!$B$26:$C$45,2,FALSE),0%)</f>
        <v>0</v>
      </c>
      <c r="OQ14" s="5">
        <f>IFERROR(VLOOKUP(OQ$1,'Factor Alfa'!$B$26:$C$45,2,FALSE),0%)</f>
        <v>0</v>
      </c>
      <c r="OR14" s="5">
        <f>IFERROR(VLOOKUP(OR$1,'Factor Alfa'!$B$26:$C$45,2,FALSE),0%)</f>
        <v>0</v>
      </c>
      <c r="OS14" s="5">
        <f>IFERROR(VLOOKUP(OS$1,'Factor Alfa'!$B$26:$C$45,2,FALSE),0%)</f>
        <v>0</v>
      </c>
      <c r="OT14" s="5">
        <f>IFERROR(VLOOKUP(OT$1,'Factor Alfa'!$B$26:$C$45,2,FALSE),0%)</f>
        <v>0</v>
      </c>
      <c r="OU14" s="5">
        <f>IFERROR(VLOOKUP(OU$1,'Factor Alfa'!$B$26:$C$45,2,FALSE),0%)</f>
        <v>0</v>
      </c>
      <c r="OV14" s="5">
        <f>IFERROR(VLOOKUP(OV$1,'Factor Alfa'!$B$26:$C$45,2,FALSE),0%)</f>
        <v>0</v>
      </c>
      <c r="OW14" s="5">
        <f>IFERROR(VLOOKUP(OW$1,'Factor Alfa'!$B$26:$C$45,2,FALSE),0%)</f>
        <v>0</v>
      </c>
      <c r="OX14" s="5">
        <f>IFERROR(VLOOKUP(OX$1,'Factor Alfa'!$B$26:$C$45,2,FALSE),0%)</f>
        <v>0</v>
      </c>
      <c r="OY14" s="5">
        <f>IFERROR(VLOOKUP(OY$1,'Factor Alfa'!$B$26:$C$45,2,FALSE),0%)</f>
        <v>0</v>
      </c>
      <c r="OZ14" s="5">
        <f>IFERROR(VLOOKUP(OZ$1,'Factor Alfa'!$B$26:$C$45,2,FALSE),0%)</f>
        <v>0</v>
      </c>
      <c r="PA14" s="5">
        <f>IFERROR(VLOOKUP(PA$1,'Factor Alfa'!$B$26:$C$45,2,FALSE),0%)</f>
        <v>0</v>
      </c>
      <c r="PB14" s="5">
        <f>IFERROR(VLOOKUP(PB$1,'Factor Alfa'!$B$26:$C$45,2,FALSE),0%)</f>
        <v>0</v>
      </c>
      <c r="PC14" s="5">
        <f>IFERROR(VLOOKUP(PC$1,'Factor Alfa'!$B$26:$C$45,2,FALSE),0%)</f>
        <v>0</v>
      </c>
      <c r="PD14" s="5">
        <f>IFERROR(VLOOKUP(PD$1,'Factor Alfa'!$B$26:$C$45,2,FALSE),0%)</f>
        <v>0</v>
      </c>
      <c r="PE14" s="5">
        <f>IFERROR(VLOOKUP(PE$1,'Factor Alfa'!$B$26:$C$45,2,FALSE),0%)</f>
        <v>0</v>
      </c>
      <c r="PF14" s="5">
        <f>IFERROR(VLOOKUP(PF$1,'Factor Alfa'!$B$26:$C$45,2,FALSE),0%)</f>
        <v>0</v>
      </c>
      <c r="PG14" s="5">
        <f>IFERROR(VLOOKUP(PG$1,'Factor Alfa'!$B$26:$C$45,2,FALSE),0%)</f>
        <v>0</v>
      </c>
      <c r="PH14" s="5">
        <f>IFERROR(VLOOKUP(PH$1,'Factor Alfa'!$B$26:$C$45,2,FALSE),0%)</f>
        <v>0</v>
      </c>
      <c r="PI14" s="5">
        <f>IFERROR(VLOOKUP(PI$1,'Factor Alfa'!$B$26:$C$45,2,FALSE),0%)</f>
        <v>0</v>
      </c>
      <c r="PJ14" s="5">
        <f>IFERROR(VLOOKUP(PJ$1,'Factor Alfa'!$B$26:$C$45,2,FALSE),0%)</f>
        <v>0</v>
      </c>
      <c r="PK14" s="5">
        <f>IFERROR(VLOOKUP(PK$1,'Factor Alfa'!$B$26:$C$45,2,FALSE),0%)</f>
        <v>0</v>
      </c>
      <c r="PL14" s="5">
        <f>IFERROR(VLOOKUP(PL$1,'Factor Alfa'!$B$26:$C$45,2,FALSE),0%)</f>
        <v>0</v>
      </c>
      <c r="PM14" s="5">
        <f>IFERROR(VLOOKUP(PM$1,'Factor Alfa'!$B$26:$C$45,2,FALSE),0%)</f>
        <v>0</v>
      </c>
      <c r="PN14" s="5">
        <f>IFERROR(VLOOKUP(PN$1,'Factor Alfa'!$B$26:$C$45,2,FALSE),0%)</f>
        <v>0</v>
      </c>
      <c r="PO14" s="5">
        <f>IFERROR(VLOOKUP(PO$1,'Factor Alfa'!$B$26:$C$45,2,FALSE),0%)</f>
        <v>0</v>
      </c>
      <c r="PP14" s="5">
        <f>IFERROR(VLOOKUP(PP$1,'Factor Alfa'!$B$26:$C$45,2,FALSE),0%)</f>
        <v>0</v>
      </c>
      <c r="PQ14" s="5">
        <f>IFERROR(VLOOKUP(PQ$1,'Factor Alfa'!$B$26:$C$45,2,FALSE),0%)</f>
        <v>0</v>
      </c>
      <c r="PR14" s="5">
        <f>IFERROR(VLOOKUP(PR$1,'Factor Alfa'!$B$26:$C$45,2,FALSE),0%)</f>
        <v>0</v>
      </c>
      <c r="PS14" s="5">
        <f>IFERROR(VLOOKUP(PS$1,'Factor Alfa'!$B$26:$C$45,2,FALSE),0%)</f>
        <v>0</v>
      </c>
      <c r="PT14" s="5">
        <f>IFERROR(VLOOKUP(PT$1,'Factor Alfa'!$B$26:$C$45,2,FALSE),0%)</f>
        <v>0</v>
      </c>
      <c r="PU14" s="5">
        <f>IFERROR(VLOOKUP(PU$1,'Factor Alfa'!$B$26:$C$45,2,FALSE),0%)</f>
        <v>0</v>
      </c>
      <c r="PV14" s="5">
        <f>IFERROR(VLOOKUP(PV$1,'Factor Alfa'!$B$26:$C$45,2,FALSE),0%)</f>
        <v>0</v>
      </c>
      <c r="PW14" s="5">
        <f>IFERROR(VLOOKUP(PW$1,'Factor Alfa'!$B$26:$C$45,2,FALSE),0%)</f>
        <v>0</v>
      </c>
      <c r="PX14" s="5">
        <f>IFERROR(VLOOKUP(PX$1,'Factor Alfa'!$B$26:$C$45,2,FALSE),0%)</f>
        <v>0</v>
      </c>
      <c r="PY14" s="5">
        <f>IFERROR(VLOOKUP(PY$1,'Factor Alfa'!$B$26:$C$45,2,FALSE),0%)</f>
        <v>0</v>
      </c>
      <c r="PZ14" s="5">
        <f>IFERROR(VLOOKUP(PZ$1,'Factor Alfa'!$B$26:$C$45,2,FALSE),0%)</f>
        <v>0</v>
      </c>
      <c r="QA14" s="5">
        <f>IFERROR(VLOOKUP(QA$1,'Factor Alfa'!$B$26:$C$45,2,FALSE),0%)</f>
        <v>0</v>
      </c>
      <c r="QB14" s="5">
        <f>IFERROR(VLOOKUP(QB$1,'Factor Alfa'!$B$26:$C$45,2,FALSE),0%)</f>
        <v>0</v>
      </c>
      <c r="QC14" s="5">
        <f>IFERROR(VLOOKUP(QC$1,'Factor Alfa'!$B$26:$C$45,2,FALSE),0%)</f>
        <v>0</v>
      </c>
      <c r="QD14" s="5">
        <f>IFERROR(VLOOKUP(QD$1,'Factor Alfa'!$B$26:$C$45,2,FALSE),0%)</f>
        <v>0</v>
      </c>
      <c r="QE14" s="5">
        <f>IFERROR(VLOOKUP(QE$1,'Factor Alfa'!$B$26:$C$45,2,FALSE),0%)</f>
        <v>0</v>
      </c>
      <c r="QF14" s="5">
        <f>IFERROR(VLOOKUP(QF$1,'Factor Alfa'!$B$26:$C$45,2,FALSE),0%)</f>
        <v>0</v>
      </c>
      <c r="QG14" s="5">
        <f>IFERROR(VLOOKUP(QG$1,'Factor Alfa'!$B$26:$C$45,2,FALSE),0%)</f>
        <v>0</v>
      </c>
      <c r="QH14" s="5">
        <f>IFERROR(VLOOKUP(QH$1,'Factor Alfa'!$B$26:$C$45,2,FALSE),0%)</f>
        <v>0</v>
      </c>
      <c r="QI14" s="5">
        <f>IFERROR(VLOOKUP(QI$1,'Factor Alfa'!$B$26:$C$45,2,FALSE),0%)</f>
        <v>0</v>
      </c>
      <c r="QJ14" s="5">
        <f>IFERROR(VLOOKUP(QJ$1,'Factor Alfa'!$B$26:$C$45,2,FALSE),0%)</f>
        <v>0</v>
      </c>
      <c r="QK14" s="5">
        <f>IFERROR(VLOOKUP(QK$1,'Factor Alfa'!$B$26:$C$45,2,FALSE),0%)</f>
        <v>0</v>
      </c>
      <c r="QL14" s="5">
        <f>IFERROR(VLOOKUP(QL$1,'Factor Alfa'!$B$26:$C$45,2,FALSE),0%)</f>
        <v>0</v>
      </c>
      <c r="QM14" s="5">
        <f>IFERROR(VLOOKUP(QM$1,'Factor Alfa'!$B$26:$C$45,2,FALSE),0%)</f>
        <v>0</v>
      </c>
      <c r="QN14" s="5">
        <f>IFERROR(VLOOKUP(QN$1,'Factor Alfa'!$B$26:$C$45,2,FALSE),0%)</f>
        <v>0</v>
      </c>
      <c r="QO14" s="5">
        <f>IFERROR(VLOOKUP(QO$1,'Factor Alfa'!$B$26:$C$45,2,FALSE),0%)</f>
        <v>0</v>
      </c>
      <c r="QP14" s="5">
        <f>IFERROR(VLOOKUP(QP$1,'Factor Alfa'!$B$26:$C$45,2,FALSE),0%)</f>
        <v>0</v>
      </c>
      <c r="QQ14" s="5">
        <f>IFERROR(VLOOKUP(QQ$1,'Factor Alfa'!$B$26:$C$45,2,FALSE),0%)</f>
        <v>0</v>
      </c>
      <c r="QR14" s="5">
        <f>IFERROR(VLOOKUP(QR$1,'Factor Alfa'!$B$26:$C$45,2,FALSE),0%)</f>
        <v>0</v>
      </c>
      <c r="QS14" s="5">
        <f>IFERROR(VLOOKUP(QS$1,'Factor Alfa'!$B$26:$C$45,2,FALSE),0%)</f>
        <v>0</v>
      </c>
      <c r="QT14" s="5">
        <f>IFERROR(VLOOKUP(QT$1,'Factor Alfa'!$B$26:$C$45,2,FALSE),0%)</f>
        <v>0</v>
      </c>
      <c r="QU14" s="5">
        <f>IFERROR(VLOOKUP(QU$1,'Factor Alfa'!$B$26:$C$45,2,FALSE),0%)</f>
        <v>0</v>
      </c>
      <c r="QV14" s="5">
        <f>IFERROR(VLOOKUP(QV$1,'Factor Alfa'!$B$26:$C$45,2,FALSE),0%)</f>
        <v>0</v>
      </c>
      <c r="QW14" s="5">
        <f>IFERROR(VLOOKUP(QW$1,'Factor Alfa'!$B$26:$C$45,2,FALSE),0%)</f>
        <v>0</v>
      </c>
      <c r="QX14" s="5">
        <f>IFERROR(VLOOKUP(QX$1,'Factor Alfa'!$B$26:$C$45,2,FALSE),0%)</f>
        <v>0</v>
      </c>
      <c r="QY14" s="5">
        <f>IFERROR(VLOOKUP(QY$1,'Factor Alfa'!$B$26:$C$45,2,FALSE),0%)</f>
        <v>0</v>
      </c>
      <c r="QZ14" s="5">
        <f>IFERROR(VLOOKUP(QZ$1,'Factor Alfa'!$B$26:$C$45,2,FALSE),0%)</f>
        <v>0</v>
      </c>
      <c r="RA14" s="5">
        <f>IFERROR(VLOOKUP(RA$1,'Factor Alfa'!$B$26:$C$45,2,FALSE),0%)</f>
        <v>0</v>
      </c>
      <c r="RB14" s="5">
        <f>IFERROR(VLOOKUP(RB$1,'Factor Alfa'!$B$26:$C$45,2,FALSE),0%)</f>
        <v>0</v>
      </c>
      <c r="RC14" s="5">
        <f>IFERROR(VLOOKUP(RC$1,'Factor Alfa'!$B$26:$C$45,2,FALSE),0%)</f>
        <v>0</v>
      </c>
      <c r="RD14" s="5">
        <f>IFERROR(VLOOKUP(RD$1,'Factor Alfa'!$B$26:$C$45,2,FALSE),0%)</f>
        <v>0</v>
      </c>
      <c r="RE14" s="5">
        <f>IFERROR(VLOOKUP(RE$1,'Factor Alfa'!$B$26:$C$45,2,FALSE),0%)</f>
        <v>0</v>
      </c>
      <c r="RF14" s="5">
        <f>IFERROR(VLOOKUP(RF$1,'Factor Alfa'!$B$26:$C$45,2,FALSE),0%)</f>
        <v>0</v>
      </c>
      <c r="RG14" s="5">
        <f>IFERROR(VLOOKUP(RG$1,'Factor Alfa'!$B$26:$C$45,2,FALSE),0%)</f>
        <v>0</v>
      </c>
      <c r="RH14" s="5">
        <f>IFERROR(VLOOKUP(RH$1,'Factor Alfa'!$B$26:$C$45,2,FALSE),0%)</f>
        <v>0</v>
      </c>
      <c r="RI14" s="5">
        <f>IFERROR(VLOOKUP(RI$1,'Factor Alfa'!$B$26:$C$45,2,FALSE),0%)</f>
        <v>0</v>
      </c>
      <c r="RJ14" s="5">
        <f>IFERROR(VLOOKUP(RJ$1,'Factor Alfa'!$B$26:$C$45,2,FALSE),0%)</f>
        <v>0</v>
      </c>
      <c r="RK14" s="5">
        <f>IFERROR(VLOOKUP(RK$1,'Factor Alfa'!$B$26:$C$45,2,FALSE),0%)</f>
        <v>0</v>
      </c>
      <c r="RL14" s="5">
        <f>IFERROR(VLOOKUP(RL$1,'Factor Alfa'!$B$26:$C$45,2,FALSE),0%)</f>
        <v>0</v>
      </c>
      <c r="RM14" s="5">
        <f>IFERROR(VLOOKUP(RM$1,'Factor Alfa'!$B$26:$C$45,2,FALSE),0%)</f>
        <v>0</v>
      </c>
      <c r="RN14" s="5">
        <f>IFERROR(VLOOKUP(RN$1,'Factor Alfa'!$B$26:$C$45,2,FALSE),0%)</f>
        <v>0</v>
      </c>
      <c r="RO14" s="5">
        <f>IFERROR(VLOOKUP(RO$1,'Factor Alfa'!$B$26:$C$45,2,FALSE),0%)</f>
        <v>0</v>
      </c>
      <c r="RP14" s="5">
        <f>IFERROR(VLOOKUP(RP$1,'Factor Alfa'!$B$26:$C$45,2,FALSE),0%)</f>
        <v>0</v>
      </c>
      <c r="RQ14" s="5">
        <f>IFERROR(VLOOKUP(RQ$1,'Factor Alfa'!$B$26:$C$45,2,FALSE),0%)</f>
        <v>0</v>
      </c>
      <c r="RR14" s="5">
        <f>IFERROR(VLOOKUP(RR$1,'Factor Alfa'!$B$26:$C$45,2,FALSE),0%)</f>
        <v>0</v>
      </c>
      <c r="RS14" s="5">
        <f>IFERROR(VLOOKUP(RS$1,'Factor Alfa'!$B$26:$C$45,2,FALSE),0%)</f>
        <v>0</v>
      </c>
      <c r="RT14" s="5">
        <f>IFERROR(VLOOKUP(RT$1,'Factor Alfa'!$B$26:$C$45,2,FALSE),0%)</f>
        <v>0</v>
      </c>
      <c r="RU14" s="5">
        <f>IFERROR(VLOOKUP(RU$1,'Factor Alfa'!$B$26:$C$45,2,FALSE),0%)</f>
        <v>0</v>
      </c>
      <c r="RV14" s="5">
        <f>IFERROR(VLOOKUP(RV$1,'Factor Alfa'!$B$26:$C$45,2,FALSE),0%)</f>
        <v>0</v>
      </c>
      <c r="RW14" s="5">
        <f>IFERROR(VLOOKUP(RW$1,'Factor Alfa'!$B$26:$C$45,2,FALSE),0%)</f>
        <v>0</v>
      </c>
      <c r="RX14" s="5">
        <f>IFERROR(VLOOKUP(RX$1,'Factor Alfa'!$B$26:$C$45,2,FALSE),0%)</f>
        <v>0</v>
      </c>
      <c r="RY14" s="5">
        <f>IFERROR(VLOOKUP(RY$1,'Factor Alfa'!$B$26:$C$45,2,FALSE),0%)</f>
        <v>0</v>
      </c>
      <c r="RZ14" s="5">
        <f>IFERROR(VLOOKUP(RZ$1,'Factor Alfa'!$B$26:$C$45,2,FALSE),0%)</f>
        <v>0</v>
      </c>
      <c r="SA14" s="5">
        <f>IFERROR(VLOOKUP(SA$1,'Factor Alfa'!$B$26:$C$45,2,FALSE),0%)</f>
        <v>0</v>
      </c>
      <c r="SB14" s="5">
        <f>IFERROR(VLOOKUP(SB$1,'Factor Alfa'!$B$26:$C$45,2,FALSE),0%)</f>
        <v>0</v>
      </c>
      <c r="SC14" s="5">
        <f>IFERROR(VLOOKUP(SC$1,'Factor Alfa'!$B$26:$C$45,2,FALSE),0%)</f>
        <v>0</v>
      </c>
      <c r="SD14" s="5">
        <f>IFERROR(VLOOKUP(SD$1,'Factor Alfa'!$B$26:$C$45,2,FALSE),0%)</f>
        <v>0</v>
      </c>
      <c r="SE14" s="5">
        <f>IFERROR(VLOOKUP(SE$1,'Factor Alfa'!$B$26:$C$45,2,FALSE),0%)</f>
        <v>0</v>
      </c>
      <c r="SF14" s="5">
        <f>IFERROR(VLOOKUP(SF$1,'Factor Alfa'!$B$26:$C$45,2,FALSE),0%)</f>
        <v>0</v>
      </c>
      <c r="SG14" s="5">
        <f>IFERROR(VLOOKUP(SG$1,'Factor Alfa'!$B$26:$C$45,2,FALSE),0%)</f>
        <v>0</v>
      </c>
      <c r="SH14" s="5">
        <f>IFERROR(VLOOKUP(SH$1,'Factor Alfa'!$B$26:$C$45,2,FALSE),0%)</f>
        <v>0</v>
      </c>
      <c r="SI14" s="5">
        <f>IFERROR(VLOOKUP(SI$1,'Factor Alfa'!$B$26:$C$45,2,FALSE),0%)</f>
        <v>0</v>
      </c>
      <c r="SJ14" s="5">
        <f>IFERROR(VLOOKUP(SJ$1,'Factor Alfa'!$B$26:$C$45,2,FALSE),0%)</f>
        <v>0</v>
      </c>
      <c r="SK14" s="5">
        <f>IFERROR(VLOOKUP(SK$1,'Factor Alfa'!$B$26:$C$45,2,FALSE),0%)</f>
        <v>0</v>
      </c>
      <c r="SL14" s="5">
        <f>IFERROR(VLOOKUP(SL$1,'Factor Alfa'!$B$26:$C$45,2,FALSE),0%)</f>
        <v>0</v>
      </c>
      <c r="SM14" s="5">
        <f>IFERROR(VLOOKUP(SM$1,'Factor Alfa'!$B$26:$C$45,2,FALSE),0%)</f>
        <v>0</v>
      </c>
      <c r="SN14" s="5">
        <f>IFERROR(VLOOKUP(SN$1,'Factor Alfa'!$B$26:$C$45,2,FALSE),0%)</f>
        <v>0</v>
      </c>
      <c r="SO14" s="5">
        <f>IFERROR(VLOOKUP(SO$1,'Factor Alfa'!$B$26:$C$45,2,FALSE),0%)</f>
        <v>0</v>
      </c>
      <c r="SP14" s="5">
        <f>IFERROR(VLOOKUP(SP$1,'Factor Alfa'!$B$26:$C$45,2,FALSE),0%)</f>
        <v>0</v>
      </c>
      <c r="SQ14" s="5">
        <f>IFERROR(VLOOKUP(SQ$1,'Factor Alfa'!$B$26:$C$45,2,FALSE),0%)</f>
        <v>0</v>
      </c>
      <c r="SR14" s="5">
        <f>IFERROR(VLOOKUP(SR$1,'Factor Alfa'!$B$26:$C$45,2,FALSE),0%)</f>
        <v>0</v>
      </c>
      <c r="SS14" s="5">
        <f>IFERROR(VLOOKUP(SS$1,'Factor Alfa'!$B$26:$C$45,2,FALSE),0%)</f>
        <v>0</v>
      </c>
      <c r="ST14" s="5">
        <f>IFERROR(VLOOKUP(ST$1,'Factor Alfa'!$B$26:$C$45,2,FALSE),0%)</f>
        <v>0</v>
      </c>
      <c r="SU14" s="5">
        <f>IFERROR(VLOOKUP(SU$1,'Factor Alfa'!$B$26:$C$45,2,FALSE),0%)</f>
        <v>0</v>
      </c>
      <c r="SV14" s="5">
        <f>IFERROR(VLOOKUP(SV$1,'Factor Alfa'!$B$26:$C$45,2,FALSE),0%)</f>
        <v>0</v>
      </c>
      <c r="SW14" s="5">
        <f>IFERROR(VLOOKUP(SW$1,'Factor Alfa'!$B$26:$C$45,2,FALSE),0%)</f>
        <v>0</v>
      </c>
      <c r="SX14" s="5">
        <f>IFERROR(VLOOKUP(SX$1,'Factor Alfa'!$B$26:$C$45,2,FALSE),0%)</f>
        <v>0</v>
      </c>
      <c r="SY14" s="5">
        <f>IFERROR(VLOOKUP(SY$1,'Factor Alfa'!$B$26:$C$45,2,FALSE),0%)</f>
        <v>0</v>
      </c>
      <c r="SZ14" s="5">
        <f>IFERROR(VLOOKUP(SZ$1,'Factor Alfa'!$B$26:$C$45,2,FALSE),0%)</f>
        <v>0</v>
      </c>
      <c r="TA14" s="5">
        <f>IFERROR(VLOOKUP(TA$1,'Factor Alfa'!$B$26:$C$45,2,FALSE),0%)</f>
        <v>0</v>
      </c>
      <c r="TB14" s="5">
        <f>IFERROR(VLOOKUP(TB$1,'Factor Alfa'!$B$26:$C$45,2,FALSE),0%)</f>
        <v>0</v>
      </c>
      <c r="TC14" s="5">
        <f>IFERROR(VLOOKUP(TC$1,'Factor Alfa'!$B$26:$C$45,2,FALSE),0%)</f>
        <v>0</v>
      </c>
      <c r="TD14" s="5">
        <f>IFERROR(VLOOKUP(TD$1,'Factor Alfa'!$B$26:$C$45,2,FALSE),0%)</f>
        <v>0</v>
      </c>
      <c r="TE14" s="5">
        <f>IFERROR(VLOOKUP(TE$1,'Factor Alfa'!$B$26:$C$45,2,FALSE),0%)</f>
        <v>0</v>
      </c>
      <c r="TF14" s="5">
        <f>IFERROR(VLOOKUP(TF$1,'Factor Alfa'!$B$26:$C$45,2,FALSE),0%)</f>
        <v>0</v>
      </c>
      <c r="TG14" s="5">
        <f>IFERROR(VLOOKUP(TG$1,'Factor Alfa'!$B$26:$C$45,2,FALSE),0%)</f>
        <v>0</v>
      </c>
      <c r="TH14" s="5">
        <f>IFERROR(VLOOKUP(TH$1,'Factor Alfa'!$B$26:$C$45,2,FALSE),0%)</f>
        <v>0.05026</v>
      </c>
      <c r="TI14" s="5">
        <f>IFERROR(VLOOKUP(TI$1,'Factor Alfa'!$B$26:$C$45,2,FALSE),0%)</f>
        <v>0</v>
      </c>
      <c r="TJ14" s="5">
        <f>IFERROR(VLOOKUP(TJ$1,'Factor Alfa'!$B$26:$C$45,2,FALSE),0%)</f>
        <v>0</v>
      </c>
      <c r="TK14" s="5">
        <f>IFERROR(VLOOKUP(TK$1,'Factor Alfa'!$B$26:$C$45,2,FALSE),0%)</f>
        <v>0</v>
      </c>
      <c r="TL14" s="5">
        <f>IFERROR(VLOOKUP(TL$1,'Factor Alfa'!$B$26:$C$45,2,FALSE),0%)</f>
        <v>0</v>
      </c>
      <c r="TM14" s="5">
        <f>IFERROR(VLOOKUP(TM$1,'Factor Alfa'!$B$26:$C$45,2,FALSE),0%)</f>
        <v>0</v>
      </c>
      <c r="TN14" s="5">
        <f>IFERROR(VLOOKUP(TN$1,'Factor Alfa'!$B$26:$C$45,2,FALSE),0%)</f>
        <v>0</v>
      </c>
      <c r="TO14" s="5">
        <f>IFERROR(VLOOKUP(TO$1,'Factor Alfa'!$B$26:$C$45,2,FALSE),0%)</f>
        <v>0</v>
      </c>
      <c r="TP14" s="5">
        <f>IFERROR(VLOOKUP(TP$1,'Factor Alfa'!$B$26:$C$45,2,FALSE),0%)</f>
        <v>0</v>
      </c>
      <c r="TQ14" s="5">
        <f>IFERROR(VLOOKUP(TQ$1,'Factor Alfa'!$B$26:$C$45,2,FALSE),0%)</f>
        <v>0</v>
      </c>
      <c r="TR14" s="5">
        <f>IFERROR(VLOOKUP(TR$1,'Factor Alfa'!$B$26:$C$45,2,FALSE),0%)</f>
        <v>0</v>
      </c>
      <c r="TS14" s="5">
        <f>IFERROR(VLOOKUP(TS$1,'Factor Alfa'!$B$26:$C$45,2,FALSE),0%)</f>
        <v>0</v>
      </c>
      <c r="TT14" s="5">
        <f>IFERROR(VLOOKUP(TT$1,'Factor Alfa'!$B$26:$C$45,2,FALSE),0%)</f>
        <v>0</v>
      </c>
      <c r="TU14" s="5">
        <f>IFERROR(VLOOKUP(TU$1,'Factor Alfa'!$B$26:$C$45,2,FALSE),0%)</f>
        <v>0</v>
      </c>
      <c r="TV14" s="5">
        <f>IFERROR(VLOOKUP(TV$1,'Factor Alfa'!$B$26:$C$45,2,FALSE),0%)</f>
        <v>0</v>
      </c>
      <c r="TW14" s="5">
        <f>IFERROR(VLOOKUP(TW$1,'Factor Alfa'!$B$26:$C$45,2,FALSE),0%)</f>
        <v>0</v>
      </c>
      <c r="TX14" s="5">
        <f>IFERROR(VLOOKUP(TX$1,'Factor Alfa'!$B$26:$C$45,2,FALSE),0%)</f>
        <v>0</v>
      </c>
      <c r="TY14" s="5">
        <f>IFERROR(VLOOKUP(TY$1,'Factor Alfa'!$B$26:$C$45,2,FALSE),0%)</f>
        <v>0</v>
      </c>
      <c r="TZ14" s="5">
        <f>IFERROR(VLOOKUP(TZ$1,'Factor Alfa'!$B$26:$C$45,2,FALSE),0%)</f>
        <v>0</v>
      </c>
      <c r="UA14" s="5">
        <f>IFERROR(VLOOKUP(UA$1,'Factor Alfa'!$B$26:$C$45,2,FALSE),0%)</f>
        <v>0</v>
      </c>
      <c r="UB14" s="5">
        <f>IFERROR(VLOOKUP(UB$1,'Factor Alfa'!$B$26:$C$45,2,FALSE),0%)</f>
        <v>0</v>
      </c>
      <c r="UC14" s="5">
        <f>IFERROR(VLOOKUP(UC$1,'Factor Alfa'!$B$26:$C$45,2,FALSE),0%)</f>
        <v>0</v>
      </c>
      <c r="UD14" s="5">
        <f>IFERROR(VLOOKUP(UD$1,'Factor Alfa'!$B$26:$C$45,2,FALSE),0%)</f>
        <v>0</v>
      </c>
      <c r="UE14" s="5">
        <f>IFERROR(VLOOKUP(UE$1,'Factor Alfa'!$B$26:$C$45,2,FALSE),0%)</f>
        <v>0</v>
      </c>
      <c r="UF14" s="5">
        <f>IFERROR(VLOOKUP(UF$1,'Factor Alfa'!$B$26:$C$45,2,FALSE),0%)</f>
        <v>0</v>
      </c>
      <c r="UG14" s="5">
        <f>IFERROR(VLOOKUP(UG$1,'Factor Alfa'!$B$26:$C$45,2,FALSE),0%)</f>
        <v>0</v>
      </c>
      <c r="UH14" s="5">
        <f>IFERROR(VLOOKUP(UH$1,'Factor Alfa'!$B$26:$C$45,2,FALSE),0%)</f>
        <v>0</v>
      </c>
      <c r="UI14" s="5">
        <f>IFERROR(VLOOKUP(UI$1,'Factor Alfa'!$B$26:$C$45,2,FALSE),0%)</f>
        <v>0</v>
      </c>
      <c r="UJ14" s="5">
        <f>IFERROR(VLOOKUP(UJ$1,'Factor Alfa'!$B$26:$C$45,2,FALSE),0%)</f>
        <v>0</v>
      </c>
      <c r="UK14" s="5">
        <f>IFERROR(VLOOKUP(UK$1,'Factor Alfa'!$B$26:$C$45,2,FALSE),0%)</f>
        <v>0</v>
      </c>
      <c r="UL14" s="5">
        <f>IFERROR(VLOOKUP(UL$1,'Factor Alfa'!$B$26:$C$45,2,FALSE),0%)</f>
        <v>0</v>
      </c>
      <c r="UM14" s="5">
        <f>IFERROR(VLOOKUP(UM$1,'Factor Alfa'!$B$26:$C$45,2,FALSE),0%)</f>
        <v>0</v>
      </c>
      <c r="UN14" s="5">
        <f>IFERROR(VLOOKUP(UN$1,'Factor Alfa'!$B$26:$C$45,2,FALSE),0%)</f>
        <v>0</v>
      </c>
      <c r="UO14" s="5">
        <f>IFERROR(VLOOKUP(UO$1,'Factor Alfa'!$B$26:$C$45,2,FALSE),0%)</f>
        <v>0</v>
      </c>
      <c r="UP14" s="5">
        <f>IFERROR(VLOOKUP(UP$1,'Factor Alfa'!$B$26:$C$45,2,FALSE),0%)</f>
        <v>0</v>
      </c>
      <c r="UQ14" s="5">
        <f>IFERROR(VLOOKUP(UQ$1,'Factor Alfa'!$B$26:$C$45,2,FALSE),0%)</f>
        <v>0</v>
      </c>
      <c r="UR14" s="5">
        <f>IFERROR(VLOOKUP(UR$1,'Factor Alfa'!$B$26:$C$45,2,FALSE),0%)</f>
        <v>0</v>
      </c>
      <c r="US14" s="5">
        <f>IFERROR(VLOOKUP(US$1,'Factor Alfa'!$B$26:$C$45,2,FALSE),0%)</f>
        <v>0</v>
      </c>
      <c r="UT14" s="5">
        <f>IFERROR(VLOOKUP(UT$1,'Factor Alfa'!$B$26:$C$45,2,FALSE),0%)</f>
        <v>0</v>
      </c>
      <c r="UU14" s="5">
        <f>IFERROR(VLOOKUP(UU$1,'Factor Alfa'!$B$26:$C$45,2,FALSE),0%)</f>
        <v>0</v>
      </c>
      <c r="UV14" s="5">
        <f>IFERROR(VLOOKUP(UV$1,'Factor Alfa'!$B$26:$C$45,2,FALSE),0%)</f>
        <v>0</v>
      </c>
      <c r="UW14" s="5">
        <f>IFERROR(VLOOKUP(UW$1,'Factor Alfa'!$B$26:$C$45,2,FALSE),0%)</f>
        <v>0</v>
      </c>
      <c r="UX14" s="5">
        <f>IFERROR(VLOOKUP(UX$1,'Factor Alfa'!$B$26:$C$45,2,FALSE),0%)</f>
        <v>0</v>
      </c>
      <c r="UY14" s="5">
        <f>IFERROR(VLOOKUP(UY$1,'Factor Alfa'!$B$26:$C$45,2,FALSE),0%)</f>
        <v>0</v>
      </c>
      <c r="UZ14" s="5">
        <f>IFERROR(VLOOKUP(UZ$1,'Factor Alfa'!$B$26:$C$45,2,FALSE),0%)</f>
        <v>0</v>
      </c>
      <c r="VA14" s="5">
        <f>IFERROR(VLOOKUP(VA$1,'Factor Alfa'!$B$26:$C$45,2,FALSE),0%)</f>
        <v>0</v>
      </c>
      <c r="VB14" s="5">
        <f>IFERROR(VLOOKUP(VB$1,'Factor Alfa'!$B$26:$C$45,2,FALSE),0%)</f>
        <v>0</v>
      </c>
      <c r="VC14" s="5">
        <f>IFERROR(VLOOKUP(VC$1,'Factor Alfa'!$B$26:$C$45,2,FALSE),0%)</f>
        <v>0</v>
      </c>
      <c r="VD14" s="5">
        <f>IFERROR(VLOOKUP(VD$1,'Factor Alfa'!$B$26:$C$45,2,FALSE),0%)</f>
        <v>0</v>
      </c>
      <c r="VE14" s="5">
        <f>IFERROR(VLOOKUP(VE$1,'Factor Alfa'!$B$26:$C$45,2,FALSE),0%)</f>
        <v>0</v>
      </c>
      <c r="VF14" s="5">
        <f>IFERROR(VLOOKUP(VF$1,'Factor Alfa'!$B$26:$C$45,2,FALSE),0%)</f>
        <v>0</v>
      </c>
      <c r="VG14" s="5">
        <f>IFERROR(VLOOKUP(VG$1,'Factor Alfa'!$B$26:$C$45,2,FALSE),0%)</f>
        <v>0</v>
      </c>
      <c r="VH14" s="5">
        <f>IFERROR(VLOOKUP(VH$1,'Factor Alfa'!$B$26:$C$45,2,FALSE),0%)</f>
        <v>0</v>
      </c>
      <c r="VI14" s="5">
        <f>IFERROR(VLOOKUP(VI$1,'Factor Alfa'!$B$26:$C$45,2,FALSE),0%)</f>
        <v>0</v>
      </c>
      <c r="VJ14" s="5">
        <f>IFERROR(VLOOKUP(VJ$1,'Factor Alfa'!$B$26:$C$45,2,FALSE),0%)</f>
        <v>0</v>
      </c>
      <c r="VK14" s="5">
        <f>IFERROR(VLOOKUP(VK$1,'Factor Alfa'!$B$26:$C$45,2,FALSE),0%)</f>
        <v>0</v>
      </c>
      <c r="VL14" s="5">
        <f>IFERROR(VLOOKUP(VL$1,'Factor Alfa'!$B$26:$C$45,2,FALSE),0%)</f>
        <v>0</v>
      </c>
      <c r="VM14" s="5">
        <f>IFERROR(VLOOKUP(VM$1,'Factor Alfa'!$B$26:$C$45,2,FALSE),0%)</f>
        <v>0</v>
      </c>
      <c r="VN14" s="5">
        <f>IFERROR(VLOOKUP(VN$1,'Factor Alfa'!$B$26:$C$45,2,FALSE),0%)</f>
        <v>0</v>
      </c>
      <c r="VO14" s="5">
        <f>IFERROR(VLOOKUP(VO$1,'Factor Alfa'!$B$26:$C$45,2,FALSE),0%)</f>
        <v>0</v>
      </c>
      <c r="VP14" s="5">
        <f>IFERROR(VLOOKUP(VP$1,'Factor Alfa'!$B$26:$C$45,2,FALSE),0%)</f>
        <v>0</v>
      </c>
      <c r="VQ14" s="5">
        <f>IFERROR(VLOOKUP(VQ$1,'Factor Alfa'!$B$26:$C$45,2,FALSE),0%)</f>
        <v>0</v>
      </c>
      <c r="VR14" s="5">
        <f>IFERROR(VLOOKUP(VR$1,'Factor Alfa'!$B$26:$C$45,2,FALSE),0%)</f>
        <v>0</v>
      </c>
      <c r="VS14" s="5">
        <f>IFERROR(VLOOKUP(VS$1,'Factor Alfa'!$B$26:$C$45,2,FALSE),0%)</f>
        <v>0</v>
      </c>
      <c r="VT14" s="5">
        <f>IFERROR(VLOOKUP(VT$1,'Factor Alfa'!$B$26:$C$45,2,FALSE),0%)</f>
        <v>0</v>
      </c>
      <c r="VU14" s="5">
        <f>IFERROR(VLOOKUP(VU$1,'Factor Alfa'!$B$26:$C$45,2,FALSE),0%)</f>
        <v>0</v>
      </c>
      <c r="VV14" s="5">
        <f>IFERROR(VLOOKUP(VV$1,'Factor Alfa'!$B$26:$C$45,2,FALSE),0%)</f>
        <v>0</v>
      </c>
      <c r="VW14" s="5">
        <f>IFERROR(VLOOKUP(VW$1,'Factor Alfa'!$B$26:$C$45,2,FALSE),0%)</f>
        <v>0</v>
      </c>
      <c r="VX14" s="5">
        <f>IFERROR(VLOOKUP(VX$1,'Factor Alfa'!$B$26:$C$45,2,FALSE),0%)</f>
        <v>0</v>
      </c>
      <c r="VY14" s="5">
        <f>IFERROR(VLOOKUP(VY$1,'Factor Alfa'!$B$26:$C$45,2,FALSE),0%)</f>
        <v>0</v>
      </c>
      <c r="VZ14" s="5">
        <f>IFERROR(VLOOKUP(VZ$1,'Factor Alfa'!$B$26:$C$45,2,FALSE),0%)</f>
        <v>0</v>
      </c>
      <c r="WA14" s="5">
        <f>IFERROR(VLOOKUP(WA$1,'Factor Alfa'!$B$26:$C$45,2,FALSE),0%)</f>
        <v>0</v>
      </c>
      <c r="WB14" s="5">
        <f>IFERROR(VLOOKUP(WB$1,'Factor Alfa'!$B$26:$C$45,2,FALSE),0%)</f>
        <v>0</v>
      </c>
      <c r="WC14" s="5">
        <f>IFERROR(VLOOKUP(WC$1,'Factor Alfa'!$B$26:$C$45,2,FALSE),0%)</f>
        <v>0</v>
      </c>
      <c r="WD14" s="5">
        <f>IFERROR(VLOOKUP(WD$1,'Factor Alfa'!$B$26:$C$45,2,FALSE),0%)</f>
        <v>0</v>
      </c>
      <c r="WE14" s="5">
        <f>IFERROR(VLOOKUP(WE$1,'Factor Alfa'!$B$26:$C$45,2,FALSE),0%)</f>
        <v>0</v>
      </c>
      <c r="WF14" s="5">
        <f>IFERROR(VLOOKUP(WF$1,'Factor Alfa'!$B$26:$C$45,2,FALSE),0%)</f>
        <v>0</v>
      </c>
      <c r="WG14" s="5">
        <f>IFERROR(VLOOKUP(WG$1,'Factor Alfa'!$B$26:$C$45,2,FALSE),0%)</f>
        <v>0</v>
      </c>
      <c r="WH14" s="5">
        <f>IFERROR(VLOOKUP(WH$1,'Factor Alfa'!$B$26:$C$45,2,FALSE),0%)</f>
        <v>0</v>
      </c>
      <c r="WI14" s="5">
        <f>IFERROR(VLOOKUP(WI$1,'Factor Alfa'!$B$26:$C$45,2,FALSE),0%)</f>
        <v>0</v>
      </c>
      <c r="WJ14" s="5">
        <f>IFERROR(VLOOKUP(WJ$1,'Factor Alfa'!$B$26:$C$45,2,FALSE),0%)</f>
        <v>0</v>
      </c>
      <c r="WK14" s="5">
        <f>IFERROR(VLOOKUP(WK$1,'Factor Alfa'!$B$26:$C$45,2,FALSE),0%)</f>
        <v>0</v>
      </c>
      <c r="WL14" s="5">
        <f>IFERROR(VLOOKUP(WL$1,'Factor Alfa'!$B$26:$C$45,2,FALSE),0%)</f>
        <v>0</v>
      </c>
      <c r="WM14" s="5">
        <f>IFERROR(VLOOKUP(WM$1,'Factor Alfa'!$B$26:$C$45,2,FALSE),0%)</f>
        <v>0</v>
      </c>
      <c r="WN14" s="5">
        <f>IFERROR(VLOOKUP(WN$1,'Factor Alfa'!$B$26:$C$45,2,FALSE),0%)</f>
        <v>0</v>
      </c>
      <c r="WO14" s="5">
        <f>IFERROR(VLOOKUP(WO$1,'Factor Alfa'!$B$26:$C$45,2,FALSE),0%)</f>
        <v>0</v>
      </c>
      <c r="WP14" s="5">
        <f>IFERROR(VLOOKUP(WP$1,'Factor Alfa'!$B$26:$C$45,2,FALSE),0%)</f>
        <v>0</v>
      </c>
      <c r="WQ14" s="5">
        <f>IFERROR(VLOOKUP(WQ$1,'Factor Alfa'!$B$26:$C$45,2,FALSE),0%)</f>
        <v>0</v>
      </c>
      <c r="WR14" s="5">
        <f>IFERROR(VLOOKUP(WR$1,'Factor Alfa'!$B$26:$C$45,2,FALSE),0%)</f>
        <v>0</v>
      </c>
      <c r="WS14" s="5">
        <f>IFERROR(VLOOKUP(WS$1,'Factor Alfa'!$B$26:$C$45,2,FALSE),0%)</f>
        <v>0</v>
      </c>
      <c r="WT14" s="5">
        <f>IFERROR(VLOOKUP(WT$1,'Factor Alfa'!$B$26:$C$45,2,FALSE),0%)</f>
        <v>0</v>
      </c>
      <c r="WU14" s="5">
        <f>IFERROR(VLOOKUP(WU$1,'Factor Alfa'!$B$26:$C$45,2,FALSE),0%)</f>
        <v>0</v>
      </c>
      <c r="WV14" s="5">
        <f>IFERROR(VLOOKUP(WV$1,'Factor Alfa'!$B$26:$C$45,2,FALSE),0%)</f>
        <v>0</v>
      </c>
      <c r="WW14" s="5">
        <f>IFERROR(VLOOKUP(WW$1,'Factor Alfa'!$B$26:$C$45,2,FALSE),0%)</f>
        <v>0</v>
      </c>
      <c r="WX14" s="5">
        <f>IFERROR(VLOOKUP(WX$1,'Factor Alfa'!$B$26:$C$45,2,FALSE),0%)</f>
        <v>0</v>
      </c>
      <c r="WY14" s="5">
        <f>IFERROR(VLOOKUP(WY$1,'Factor Alfa'!$B$26:$C$45,2,FALSE),0%)</f>
        <v>0</v>
      </c>
      <c r="WZ14" s="5">
        <f>IFERROR(VLOOKUP(WZ$1,'Factor Alfa'!$B$26:$C$45,2,FALSE),0%)</f>
        <v>0</v>
      </c>
      <c r="XA14" s="5">
        <f>IFERROR(VLOOKUP(XA$1,'Factor Alfa'!$B$26:$C$45,2,FALSE),0%)</f>
        <v>0</v>
      </c>
      <c r="XB14" s="5">
        <f>IFERROR(VLOOKUP(XB$1,'Factor Alfa'!$B$26:$C$45,2,FALSE),0%)</f>
        <v>0</v>
      </c>
      <c r="XC14" s="5">
        <f>IFERROR(VLOOKUP(XC$1,'Factor Alfa'!$B$26:$C$45,2,FALSE),0%)</f>
        <v>0</v>
      </c>
      <c r="XD14" s="5">
        <f>IFERROR(VLOOKUP(XD$1,'Factor Alfa'!$B$26:$C$45,2,FALSE),0%)</f>
        <v>0</v>
      </c>
      <c r="XE14" s="5">
        <f>IFERROR(VLOOKUP(XE$1,'Factor Alfa'!$B$26:$C$45,2,FALSE),0%)</f>
        <v>0</v>
      </c>
      <c r="XF14" s="5">
        <f>IFERROR(VLOOKUP(XF$1,'Factor Alfa'!$B$26:$C$45,2,FALSE),0%)</f>
        <v>0</v>
      </c>
      <c r="XG14" s="5">
        <f>IFERROR(VLOOKUP(XG$1,'Factor Alfa'!$B$26:$C$45,2,FALSE),0%)</f>
        <v>0</v>
      </c>
      <c r="XH14" s="5">
        <f>IFERROR(VLOOKUP(XH$1,'Factor Alfa'!$B$26:$C$45,2,FALSE),0%)</f>
        <v>0</v>
      </c>
      <c r="XI14" s="5">
        <f>IFERROR(VLOOKUP(XI$1,'Factor Alfa'!$B$26:$C$45,2,FALSE),0%)</f>
        <v>0</v>
      </c>
      <c r="XJ14" s="5">
        <f>IFERROR(VLOOKUP(XJ$1,'Factor Alfa'!$B$26:$C$45,2,FALSE),0%)</f>
        <v>0</v>
      </c>
      <c r="XK14" s="5">
        <f>IFERROR(VLOOKUP(XK$1,'Factor Alfa'!$B$26:$C$45,2,FALSE),0%)</f>
        <v>0</v>
      </c>
      <c r="XL14" s="5">
        <f>IFERROR(VLOOKUP(XL$1,'Factor Alfa'!$B$26:$C$45,2,FALSE),0%)</f>
        <v>0</v>
      </c>
      <c r="XM14" s="5">
        <f>IFERROR(VLOOKUP(XM$1,'Factor Alfa'!$B$26:$C$45,2,FALSE),0%)</f>
        <v>0</v>
      </c>
      <c r="XN14" s="5">
        <f>IFERROR(VLOOKUP(XN$1,'Factor Alfa'!$B$26:$C$45,2,FALSE),0%)</f>
        <v>0</v>
      </c>
      <c r="XO14" s="5">
        <f>IFERROR(VLOOKUP(XO$1,'Factor Alfa'!$B$26:$C$45,2,FALSE),0%)</f>
        <v>0</v>
      </c>
      <c r="XP14" s="5">
        <f>IFERROR(VLOOKUP(XP$1,'Factor Alfa'!$B$26:$C$45,2,FALSE),0%)</f>
        <v>0</v>
      </c>
      <c r="XQ14" s="5">
        <f>IFERROR(VLOOKUP(XQ$1,'Factor Alfa'!$B$26:$C$45,2,FALSE),0%)</f>
        <v>0</v>
      </c>
      <c r="XR14" s="5">
        <f>IFERROR(VLOOKUP(XR$1,'Factor Alfa'!$B$26:$C$45,2,FALSE),0%)</f>
        <v>0</v>
      </c>
      <c r="XS14" s="5">
        <f>IFERROR(VLOOKUP(XS$1,'Factor Alfa'!$B$26:$C$45,2,FALSE),0%)</f>
        <v>0</v>
      </c>
      <c r="XT14" s="5">
        <f>IFERROR(VLOOKUP(XT$1,'Factor Alfa'!$B$26:$C$45,2,FALSE),0%)</f>
        <v>0</v>
      </c>
      <c r="XU14" s="5">
        <f>IFERROR(VLOOKUP(XU$1,'Factor Alfa'!$B$26:$C$45,2,FALSE),0%)</f>
        <v>0</v>
      </c>
      <c r="XV14" s="5">
        <f>IFERROR(VLOOKUP(XV$1,'Factor Alfa'!$B$26:$C$45,2,FALSE),0%)</f>
        <v>0</v>
      </c>
      <c r="XW14" s="5">
        <f>IFERROR(VLOOKUP(XW$1,'Factor Alfa'!$B$26:$C$45,2,FALSE),0%)</f>
        <v>0</v>
      </c>
      <c r="XX14" s="5">
        <f>IFERROR(VLOOKUP(XX$1,'Factor Alfa'!$B$26:$C$45,2,FALSE),0%)</f>
        <v>0</v>
      </c>
      <c r="XY14" s="5">
        <f>IFERROR(VLOOKUP(XY$1,'Factor Alfa'!$B$26:$C$45,2,FALSE),0%)</f>
        <v>0</v>
      </c>
      <c r="XZ14" s="5">
        <f>IFERROR(VLOOKUP(XZ$1,'Factor Alfa'!$B$26:$C$45,2,FALSE),0%)</f>
        <v>0</v>
      </c>
      <c r="YA14" s="5">
        <f>IFERROR(VLOOKUP(YA$1,'Factor Alfa'!$B$26:$C$45,2,FALSE),0%)</f>
        <v>0</v>
      </c>
      <c r="YB14" s="5">
        <f>IFERROR(VLOOKUP(YB$1,'Factor Alfa'!$B$26:$C$45,2,FALSE),0%)</f>
        <v>0.04148</v>
      </c>
      <c r="YC14" s="5">
        <f>IFERROR(VLOOKUP(YC$1,'Factor Alfa'!$B$26:$C$45,2,FALSE),0%)</f>
        <v>0</v>
      </c>
      <c r="YD14" s="5">
        <f>IFERROR(VLOOKUP(YD$1,'Factor Alfa'!$B$26:$C$45,2,FALSE),0%)</f>
        <v>0</v>
      </c>
      <c r="YE14" s="5">
        <f>IFERROR(VLOOKUP(YE$1,'Factor Alfa'!$B$26:$C$45,2,FALSE),0%)</f>
        <v>0</v>
      </c>
      <c r="YF14" s="5">
        <f>IFERROR(VLOOKUP(YF$1,'Factor Alfa'!$B$26:$C$45,2,FALSE),0%)</f>
        <v>0</v>
      </c>
      <c r="YG14" s="5">
        <f>IFERROR(VLOOKUP(YG$1,'Factor Alfa'!$B$26:$C$45,2,FALSE),0%)</f>
        <v>0</v>
      </c>
      <c r="YH14" s="5">
        <f>IFERROR(VLOOKUP(YH$1,'Factor Alfa'!$B$26:$C$45,2,FALSE),0%)</f>
        <v>0</v>
      </c>
      <c r="YI14" s="5">
        <f>IFERROR(VLOOKUP(YI$1,'Factor Alfa'!$B$26:$C$45,2,FALSE),0%)</f>
        <v>0.05026</v>
      </c>
      <c r="YJ14" s="5">
        <f>IFERROR(VLOOKUP(YJ$1,'Factor Alfa'!$B$26:$C$45,2,FALSE),0%)</f>
        <v>0</v>
      </c>
      <c r="YK14" s="5">
        <f>IFERROR(VLOOKUP(YK$1,'Factor Alfa'!$B$26:$C$45,2,FALSE),0%)</f>
        <v>0</v>
      </c>
      <c r="YL14" s="5">
        <f>IFERROR(VLOOKUP(YL$1,'Factor Alfa'!$B$26:$C$45,2,FALSE),0%)</f>
        <v>0</v>
      </c>
      <c r="YM14" s="5">
        <f>IFERROR(VLOOKUP(YM$1,'Factor Alfa'!$B$26:$C$45,2,FALSE),0%)</f>
        <v>0</v>
      </c>
      <c r="YN14" s="5">
        <f>IFERROR(VLOOKUP(YN$1,'Factor Alfa'!$B$26:$C$45,2,FALSE),0%)</f>
        <v>0</v>
      </c>
      <c r="YO14" s="5">
        <f>IFERROR(VLOOKUP(YO$1,'Factor Alfa'!$B$26:$C$45,2,FALSE),0%)</f>
        <v>0</v>
      </c>
      <c r="YP14" s="5">
        <f>IFERROR(VLOOKUP(YP$1,'Factor Alfa'!$B$26:$C$45,2,FALSE),0%)</f>
        <v>0</v>
      </c>
      <c r="YQ14" s="5">
        <f>IFERROR(VLOOKUP(YQ$1,'Factor Alfa'!$B$26:$C$45,2,FALSE),0%)</f>
        <v>0</v>
      </c>
      <c r="YR14" s="5">
        <f>IFERROR(VLOOKUP(YR$1,'Factor Alfa'!$B$26:$C$45,2,FALSE),0%)</f>
        <v>0</v>
      </c>
      <c r="YS14" s="5">
        <f>IFERROR(VLOOKUP(YS$1,'Factor Alfa'!$B$26:$C$45,2,FALSE),0%)</f>
        <v>0</v>
      </c>
      <c r="YT14" s="5">
        <f>IFERROR(VLOOKUP(YT$1,'Factor Alfa'!$B$26:$C$45,2,FALSE),0%)</f>
        <v>0</v>
      </c>
      <c r="YU14" s="5">
        <f>IFERROR(VLOOKUP(YU$1,'Factor Alfa'!$B$26:$C$45,2,FALSE),0%)</f>
        <v>0</v>
      </c>
      <c r="YV14" s="5">
        <f>IFERROR(VLOOKUP(YV$1,'Factor Alfa'!$B$26:$C$45,2,FALSE),0%)</f>
        <v>0</v>
      </c>
      <c r="YW14" s="5">
        <f>IFERROR(VLOOKUP(YW$1,'Factor Alfa'!$B$26:$C$45,2,FALSE),0%)</f>
        <v>0</v>
      </c>
      <c r="YX14" s="5">
        <f>IFERROR(VLOOKUP(YX$1,'Factor Alfa'!$B$26:$C$45,2,FALSE),0%)</f>
        <v>0</v>
      </c>
      <c r="YY14" s="5">
        <f>IFERROR(VLOOKUP(YY$1,'Factor Alfa'!$B$26:$C$45,2,FALSE),0%)</f>
        <v>0</v>
      </c>
      <c r="YZ14" s="5">
        <f>IFERROR(VLOOKUP(YZ$1,'Factor Alfa'!$B$26:$C$45,2,FALSE),0%)</f>
        <v>0</v>
      </c>
      <c r="ZA14" s="5">
        <f>IFERROR(VLOOKUP(ZA$1,'Factor Alfa'!$B$26:$C$45,2,FALSE),0%)</f>
        <v>0</v>
      </c>
      <c r="ZB14" s="5">
        <f>IFERROR(VLOOKUP(ZB$1,'Factor Alfa'!$B$26:$C$45,2,FALSE),0%)</f>
        <v>0</v>
      </c>
      <c r="ZC14" s="5">
        <f>IFERROR(VLOOKUP(ZC$1,'Factor Alfa'!$B$26:$C$45,2,FALSE),0%)</f>
        <v>0</v>
      </c>
      <c r="ZD14" s="5">
        <f>IFERROR(VLOOKUP(ZD$1,'Factor Alfa'!$B$26:$C$45,2,FALSE),0%)</f>
        <v>0</v>
      </c>
      <c r="ZE14" s="5">
        <f>IFERROR(VLOOKUP(ZE$1,'Factor Alfa'!$B$26:$C$45,2,FALSE),0%)</f>
        <v>0</v>
      </c>
      <c r="ZF14" s="5">
        <f>IFERROR(VLOOKUP(ZF$1,'Factor Alfa'!$B$26:$C$45,2,FALSE),0%)</f>
        <v>0</v>
      </c>
      <c r="ZG14" s="5">
        <f>IFERROR(VLOOKUP(ZG$1,'Factor Alfa'!$B$26:$C$45,2,FALSE),0%)</f>
        <v>0</v>
      </c>
      <c r="ZH14" s="5">
        <f>IFERROR(VLOOKUP(ZH$1,'Factor Alfa'!$B$26:$C$45,2,FALSE),0%)</f>
        <v>0</v>
      </c>
      <c r="ZI14" s="5">
        <f>IFERROR(VLOOKUP(ZI$1,'Factor Alfa'!$B$26:$C$45,2,FALSE),0%)</f>
        <v>0</v>
      </c>
      <c r="ZJ14" s="5">
        <f>IFERROR(VLOOKUP(ZJ$1,'Factor Alfa'!$B$26:$C$45,2,FALSE),0%)</f>
        <v>0</v>
      </c>
      <c r="ZK14" s="5">
        <f>IFERROR(VLOOKUP(ZK$1,'Factor Alfa'!$B$26:$C$45,2,FALSE),0%)</f>
        <v>0</v>
      </c>
      <c r="ZL14" s="5">
        <f>IFERROR(VLOOKUP(ZL$1,'Factor Alfa'!$B$26:$C$45,2,FALSE),0%)</f>
        <v>0</v>
      </c>
      <c r="ZM14" s="5">
        <f>IFERROR(VLOOKUP(ZM$1,'Factor Alfa'!$B$26:$C$45,2,FALSE),0%)</f>
        <v>0</v>
      </c>
      <c r="ZN14" s="5">
        <f>IFERROR(VLOOKUP(ZN$1,'Factor Alfa'!$B$26:$C$45,2,FALSE),0%)</f>
        <v>0</v>
      </c>
      <c r="ZO14" s="5">
        <f>IFERROR(VLOOKUP(ZO$1,'Factor Alfa'!$B$26:$C$45,2,FALSE),0%)</f>
        <v>0</v>
      </c>
      <c r="ZP14" s="5">
        <f>IFERROR(VLOOKUP(ZP$1,'Factor Alfa'!$B$26:$C$45,2,FALSE),0%)</f>
        <v>0</v>
      </c>
      <c r="ZQ14" s="5">
        <f>IFERROR(VLOOKUP(ZQ$1,'Factor Alfa'!$B$26:$C$45,2,FALSE),0%)</f>
        <v>0</v>
      </c>
      <c r="ZR14" s="5">
        <f>IFERROR(VLOOKUP(ZR$1,'Factor Alfa'!$B$26:$C$45,2,FALSE),0%)</f>
        <v>0</v>
      </c>
      <c r="ZS14" s="5">
        <f>IFERROR(VLOOKUP(ZS$1,'Factor Alfa'!$B$26:$C$45,2,FALSE),0%)</f>
        <v>0</v>
      </c>
      <c r="ZT14" s="5">
        <f>IFERROR(VLOOKUP(ZT$1,'Factor Alfa'!$B$26:$C$45,2,FALSE),0%)</f>
        <v>0</v>
      </c>
      <c r="ZU14" s="5">
        <f>IFERROR(VLOOKUP(ZU$1,'Factor Alfa'!$B$26:$C$45,2,FALSE),0%)</f>
        <v>0</v>
      </c>
      <c r="ZV14" s="5">
        <f>IFERROR(VLOOKUP(ZV$1,'Factor Alfa'!$B$26:$C$45,2,FALSE),0%)</f>
        <v>0</v>
      </c>
      <c r="ZW14" s="5">
        <f>IFERROR(VLOOKUP(ZW$1,'Factor Alfa'!$B$26:$C$45,2,FALSE),0%)</f>
        <v>0</v>
      </c>
      <c r="ZX14" s="5">
        <f>IFERROR(VLOOKUP(ZX$1,'Factor Alfa'!$B$26:$C$45,2,FALSE),0%)</f>
        <v>0</v>
      </c>
      <c r="ZY14" s="5">
        <f>IFERROR(VLOOKUP(ZY$1,'Factor Alfa'!$B$26:$C$45,2,FALSE),0%)</f>
        <v>0</v>
      </c>
      <c r="ZZ14" s="5">
        <f>IFERROR(VLOOKUP(ZZ$1,'Factor Alfa'!$B$26:$C$45,2,FALSE),0%)</f>
        <v>0</v>
      </c>
      <c r="AAA14" s="5">
        <f>IFERROR(VLOOKUP(AAA$1,'Factor Alfa'!$B$26:$C$45,2,FALSE),0%)</f>
        <v>0</v>
      </c>
      <c r="AAB14" s="5">
        <f>IFERROR(VLOOKUP(AAB$1,'Factor Alfa'!$B$26:$C$45,2,FALSE),0%)</f>
        <v>0</v>
      </c>
      <c r="AAC14" s="5">
        <f>IFERROR(VLOOKUP(AAC$1,'Factor Alfa'!$B$26:$C$45,2,FALSE),0%)</f>
        <v>0</v>
      </c>
      <c r="AAD14" s="5">
        <f>IFERROR(VLOOKUP(AAD$1,'Factor Alfa'!$B$26:$C$45,2,FALSE),0%)</f>
        <v>0</v>
      </c>
      <c r="AAE14" s="5">
        <f>IFERROR(VLOOKUP(AAE$1,'Factor Alfa'!$B$26:$C$45,2,FALSE),0%)</f>
        <v>0</v>
      </c>
      <c r="AAF14" s="5">
        <f>IFERROR(VLOOKUP(AAF$1,'Factor Alfa'!$B$26:$C$45,2,FALSE),0%)</f>
        <v>0</v>
      </c>
      <c r="AAG14" s="5">
        <f>IFERROR(VLOOKUP(AAG$1,'Factor Alfa'!$B$26:$C$45,2,FALSE),0%)</f>
        <v>0</v>
      </c>
      <c r="AAH14" s="5">
        <f>IFERROR(VLOOKUP(AAH$1,'Factor Alfa'!$B$26:$C$45,2,FALSE),0%)</f>
        <v>0</v>
      </c>
      <c r="AAI14" s="5">
        <f>IFERROR(VLOOKUP(AAI$1,'Factor Alfa'!$B$26:$C$45,2,FALSE),0%)</f>
        <v>0</v>
      </c>
      <c r="AAJ14" s="5">
        <f>IFERROR(VLOOKUP(AAJ$1,'Factor Alfa'!$B$26:$C$45,2,FALSE),0%)</f>
        <v>0</v>
      </c>
      <c r="AAK14" s="5">
        <f>IFERROR(VLOOKUP(AAK$1,'Factor Alfa'!$B$26:$C$45,2,FALSE),0%)</f>
        <v>0</v>
      </c>
      <c r="AAL14" s="5">
        <f>IFERROR(VLOOKUP(AAL$1,'Factor Alfa'!$B$26:$C$45,2,FALSE),0%)</f>
        <v>0</v>
      </c>
      <c r="AAM14" s="5">
        <f>IFERROR(VLOOKUP(AAM$1,'Factor Alfa'!$B$26:$C$45,2,FALSE),0%)</f>
        <v>0</v>
      </c>
      <c r="AAN14" s="5">
        <f>IFERROR(VLOOKUP(AAN$1,'Factor Alfa'!$B$26:$C$45,2,FALSE),0%)</f>
        <v>0</v>
      </c>
      <c r="AAO14" s="5">
        <f>IFERROR(VLOOKUP(AAO$1,'Factor Alfa'!$B$26:$C$45,2,FALSE),0%)</f>
        <v>0</v>
      </c>
      <c r="AAP14" s="5">
        <f>IFERROR(VLOOKUP(AAP$1,'Factor Alfa'!$B$26:$C$45,2,FALSE),0%)</f>
        <v>0</v>
      </c>
      <c r="AAQ14" s="5">
        <f>IFERROR(VLOOKUP(AAQ$1,'Factor Alfa'!$B$26:$C$45,2,FALSE),0%)</f>
        <v>0</v>
      </c>
      <c r="AAR14" s="5">
        <f>IFERROR(VLOOKUP(AAR$1,'Factor Alfa'!$B$26:$C$45,2,FALSE),0%)</f>
        <v>0</v>
      </c>
      <c r="AAS14" s="5">
        <f>IFERROR(VLOOKUP(AAS$1,'Factor Alfa'!$B$26:$C$45,2,FALSE),0%)</f>
        <v>0</v>
      </c>
      <c r="AAT14" s="5">
        <f>IFERROR(VLOOKUP(AAT$1,'Factor Alfa'!$B$26:$C$45,2,FALSE),0%)</f>
        <v>0</v>
      </c>
      <c r="AAU14" s="5">
        <f>IFERROR(VLOOKUP(AAU$1,'Factor Alfa'!$B$26:$C$45,2,FALSE),0%)</f>
        <v>0</v>
      </c>
      <c r="AAV14" s="5">
        <f>IFERROR(VLOOKUP(AAV$1,'Factor Alfa'!$B$26:$C$45,2,FALSE),0%)</f>
        <v>0</v>
      </c>
      <c r="AAW14" s="5">
        <f>IFERROR(VLOOKUP(AAW$1,'Factor Alfa'!$B$26:$C$45,2,FALSE),0%)</f>
        <v>0</v>
      </c>
      <c r="AAX14" s="5">
        <f>IFERROR(VLOOKUP(AAX$1,'Factor Alfa'!$B$26:$C$45,2,FALSE),0%)</f>
        <v>0</v>
      </c>
      <c r="AAY14" s="5">
        <f>IFERROR(VLOOKUP(AAY$1,'Factor Alfa'!$B$26:$C$45,2,FALSE),0%)</f>
        <v>0</v>
      </c>
      <c r="AAZ14" s="5">
        <f>IFERROR(VLOOKUP(AAZ$1,'Factor Alfa'!$B$26:$C$45,2,FALSE),0%)</f>
        <v>0</v>
      </c>
      <c r="ABA14" s="5">
        <f>IFERROR(VLOOKUP(ABA$1,'Factor Alfa'!$B$26:$C$45,2,FALSE),0%)</f>
        <v>0</v>
      </c>
      <c r="ABB14" s="5">
        <f>IFERROR(VLOOKUP(ABB$1,'Factor Alfa'!$B$26:$C$45,2,FALSE),0%)</f>
        <v>0</v>
      </c>
      <c r="ABC14" s="5">
        <f>IFERROR(VLOOKUP(ABC$1,'Factor Alfa'!$B$26:$C$45,2,FALSE),0%)</f>
        <v>0</v>
      </c>
      <c r="ABD14" s="5">
        <f>IFERROR(VLOOKUP(ABD$1,'Factor Alfa'!$B$26:$C$45,2,FALSE),0%)</f>
        <v>0</v>
      </c>
      <c r="ABE14" s="5">
        <f>IFERROR(VLOOKUP(ABE$1,'Factor Alfa'!$B$26:$C$45,2,FALSE),0%)</f>
        <v>0</v>
      </c>
      <c r="ABF14" s="5">
        <f>IFERROR(VLOOKUP(ABF$1,'Factor Alfa'!$B$26:$C$45,2,FALSE),0%)</f>
        <v>0</v>
      </c>
      <c r="ABG14" s="5">
        <f>IFERROR(VLOOKUP(ABG$1,'Factor Alfa'!$B$26:$C$45,2,FALSE),0%)</f>
        <v>0</v>
      </c>
      <c r="ABH14" s="5">
        <f>IFERROR(VLOOKUP(ABH$1,'Factor Alfa'!$B$26:$C$45,2,FALSE),0%)</f>
        <v>0</v>
      </c>
      <c r="ABI14" s="5">
        <f>IFERROR(VLOOKUP(ABI$1,'Factor Alfa'!$B$26:$C$45,2,FALSE),0%)</f>
        <v>0</v>
      </c>
      <c r="ABJ14" s="5">
        <f>IFERROR(VLOOKUP(ABJ$1,'Factor Alfa'!$B$26:$C$45,2,FALSE),0%)</f>
        <v>0</v>
      </c>
      <c r="ABK14" s="5">
        <f>IFERROR(VLOOKUP(ABK$1,'Factor Alfa'!$B$26:$C$45,2,FALSE),0%)</f>
        <v>0</v>
      </c>
      <c r="ABL14" s="5">
        <f>IFERROR(VLOOKUP(ABL$1,'Factor Alfa'!$B$26:$C$45,2,FALSE),0%)</f>
        <v>0</v>
      </c>
      <c r="ABM14" s="5">
        <f>IFERROR(VLOOKUP(ABM$1,'Factor Alfa'!$B$26:$C$45,2,FALSE),0%)</f>
        <v>0</v>
      </c>
      <c r="ABN14" s="5">
        <f>IFERROR(VLOOKUP(ABN$1,'Factor Alfa'!$B$26:$C$45,2,FALSE),0%)</f>
        <v>0</v>
      </c>
      <c r="ABO14" s="5">
        <f>IFERROR(VLOOKUP(ABO$1,'Factor Alfa'!$B$26:$C$45,2,FALSE),0%)</f>
        <v>0</v>
      </c>
      <c r="ABP14" s="5">
        <f>IFERROR(VLOOKUP(ABP$1,'Factor Alfa'!$B$26:$C$45,2,FALSE),0%)</f>
        <v>0</v>
      </c>
      <c r="ABQ14" s="5">
        <f>IFERROR(VLOOKUP(ABQ$1,'Factor Alfa'!$B$26:$C$45,2,FALSE),0%)</f>
        <v>0</v>
      </c>
      <c r="ABR14" s="5">
        <f>IFERROR(VLOOKUP(ABR$1,'Factor Alfa'!$B$26:$C$45,2,FALSE),0%)</f>
        <v>0</v>
      </c>
      <c r="ABS14" s="5">
        <f>IFERROR(VLOOKUP(ABS$1,'Factor Alfa'!$B$26:$C$45,2,FALSE),0%)</f>
        <v>0</v>
      </c>
      <c r="ABT14" s="5">
        <f>IFERROR(VLOOKUP(ABT$1,'Factor Alfa'!$B$26:$C$45,2,FALSE),0%)</f>
        <v>0</v>
      </c>
      <c r="ABU14" s="5">
        <f>IFERROR(VLOOKUP(ABU$1,'Factor Alfa'!$B$26:$C$45,2,FALSE),0%)</f>
        <v>0</v>
      </c>
      <c r="ABV14" s="5">
        <f>IFERROR(VLOOKUP(ABV$1,'Factor Alfa'!$B$26:$C$45,2,FALSE),0%)</f>
        <v>0</v>
      </c>
      <c r="ABW14" s="5">
        <f>IFERROR(VLOOKUP(ABW$1,'Factor Alfa'!$B$26:$C$45,2,FALSE),0%)</f>
        <v>0</v>
      </c>
      <c r="ABX14" s="5">
        <f>IFERROR(VLOOKUP(ABX$1,'Factor Alfa'!$B$26:$C$45,2,FALSE),0%)</f>
        <v>0</v>
      </c>
      <c r="ABY14" s="5">
        <f>IFERROR(VLOOKUP(ABY$1,'Factor Alfa'!$B$26:$C$45,2,FALSE),0%)</f>
        <v>0</v>
      </c>
      <c r="ABZ14" s="5">
        <f>IFERROR(VLOOKUP(ABZ$1,'Factor Alfa'!$B$26:$C$45,2,FALSE),0%)</f>
        <v>0</v>
      </c>
      <c r="ACA14" s="5">
        <f>IFERROR(VLOOKUP(ACA$1,'Factor Alfa'!$B$26:$C$45,2,FALSE),0%)</f>
        <v>0</v>
      </c>
      <c r="ACB14" s="5">
        <f>IFERROR(VLOOKUP(ACB$1,'Factor Alfa'!$B$26:$C$45,2,FALSE),0%)</f>
        <v>0</v>
      </c>
      <c r="ACC14" s="5">
        <f>IFERROR(VLOOKUP(ACC$1,'Factor Alfa'!$B$26:$C$45,2,FALSE),0%)</f>
        <v>0</v>
      </c>
      <c r="ACD14" s="5">
        <f>IFERROR(VLOOKUP(ACD$1,'Factor Alfa'!$B$26:$C$45,2,FALSE),0%)</f>
        <v>0</v>
      </c>
      <c r="ACE14" s="5">
        <f>IFERROR(VLOOKUP(ACE$1,'Factor Alfa'!$B$26:$C$45,2,FALSE),0%)</f>
        <v>0</v>
      </c>
      <c r="ACF14" s="5">
        <f>IFERROR(VLOOKUP(ACF$1,'Factor Alfa'!$B$26:$C$45,2,FALSE),0%)</f>
        <v>0</v>
      </c>
      <c r="ACG14" s="5">
        <f>IFERROR(VLOOKUP(ACG$1,'Factor Alfa'!$B$26:$C$45,2,FALSE),0%)</f>
        <v>0</v>
      </c>
      <c r="ACH14" s="5">
        <f>IFERROR(VLOOKUP(ACH$1,'Factor Alfa'!$B$26:$C$45,2,FALSE),0%)</f>
        <v>0</v>
      </c>
      <c r="ACI14" s="5">
        <f>IFERROR(VLOOKUP(ACI$1,'Factor Alfa'!$B$26:$C$45,2,FALSE),0%)</f>
        <v>0</v>
      </c>
      <c r="ACJ14" s="5">
        <f>IFERROR(VLOOKUP(ACJ$1,'Factor Alfa'!$B$26:$C$45,2,FALSE),0%)</f>
        <v>0</v>
      </c>
      <c r="ACK14" s="5">
        <f>IFERROR(VLOOKUP(ACK$1,'Factor Alfa'!$B$26:$C$45,2,FALSE),0%)</f>
        <v>0</v>
      </c>
      <c r="ACL14" s="5">
        <f>IFERROR(VLOOKUP(ACL$1,'Factor Alfa'!$B$26:$C$45,2,FALSE),0%)</f>
        <v>0</v>
      </c>
      <c r="ACM14" s="5">
        <f>IFERROR(VLOOKUP(ACM$1,'Factor Alfa'!$B$26:$C$45,2,FALSE),0%)</f>
        <v>0</v>
      </c>
      <c r="ACN14" s="5">
        <f>IFERROR(VLOOKUP(ACN$1,'Factor Alfa'!$B$26:$C$45,2,FALSE),0%)</f>
        <v>0</v>
      </c>
      <c r="ACO14" s="5">
        <f>IFERROR(VLOOKUP(ACO$1,'Factor Alfa'!$B$26:$C$45,2,FALSE),0%)</f>
        <v>0</v>
      </c>
      <c r="ACP14" s="5">
        <f>IFERROR(VLOOKUP(ACP$1,'Factor Alfa'!$B$26:$C$45,2,FALSE),0%)</f>
        <v>0</v>
      </c>
      <c r="ACQ14" s="5">
        <f>IFERROR(VLOOKUP(ACQ$1,'Factor Alfa'!$B$26:$C$45,2,FALSE),0%)</f>
        <v>0</v>
      </c>
      <c r="ACR14" s="5">
        <f>IFERROR(VLOOKUP(ACR$1,'Factor Alfa'!$B$26:$C$45,2,FALSE),0%)</f>
        <v>0</v>
      </c>
      <c r="ACS14" s="5">
        <f>IFERROR(VLOOKUP(ACS$1,'Factor Alfa'!$B$26:$C$45,2,FALSE),0%)</f>
        <v>0</v>
      </c>
      <c r="ACT14" s="5">
        <f>IFERROR(VLOOKUP(ACT$1,'Factor Alfa'!$B$26:$C$45,2,FALSE),0%)</f>
        <v>0</v>
      </c>
      <c r="ACU14" s="5">
        <f>IFERROR(VLOOKUP(ACU$1,'Factor Alfa'!$B$26:$C$45,2,FALSE),0%)</f>
        <v>0</v>
      </c>
      <c r="ACV14" s="5">
        <f>IFERROR(VLOOKUP(ACV$1,'Factor Alfa'!$B$26:$C$45,2,FALSE),0%)</f>
        <v>0</v>
      </c>
      <c r="ACW14" s="5">
        <f>IFERROR(VLOOKUP(ACW$1,'Factor Alfa'!$B$26:$C$45,2,FALSE),0%)</f>
        <v>0</v>
      </c>
      <c r="ACX14" s="5">
        <f>IFERROR(VLOOKUP(ACX$1,'Factor Alfa'!$B$26:$C$45,2,FALSE),0%)</f>
        <v>0</v>
      </c>
      <c r="ACY14" s="5">
        <f>IFERROR(VLOOKUP(ACY$1,'Factor Alfa'!$B$26:$C$45,2,FALSE),0%)</f>
        <v>0</v>
      </c>
      <c r="ACZ14" s="5">
        <f>IFERROR(VLOOKUP(ACZ$1,'Factor Alfa'!$B$26:$C$45,2,FALSE),0%)</f>
        <v>0</v>
      </c>
      <c r="ADA14" s="5">
        <f>IFERROR(VLOOKUP(ADA$1,'Factor Alfa'!$B$26:$C$45,2,FALSE),0%)</f>
        <v>0</v>
      </c>
      <c r="ADB14" s="5">
        <f>IFERROR(VLOOKUP(ADB$1,'Factor Alfa'!$B$26:$C$45,2,FALSE),0%)</f>
        <v>0</v>
      </c>
      <c r="ADC14" s="5">
        <f>IFERROR(VLOOKUP(ADC$1,'Factor Alfa'!$B$26:$C$45,2,FALSE),0%)</f>
        <v>0</v>
      </c>
      <c r="ADD14" s="5">
        <f>IFERROR(VLOOKUP(ADD$1,'Factor Alfa'!$B$26:$C$45,2,FALSE),0%)</f>
        <v>0</v>
      </c>
      <c r="ADE14" s="5">
        <f>IFERROR(VLOOKUP(ADE$1,'Factor Alfa'!$B$26:$C$45,2,FALSE),0%)</f>
        <v>0</v>
      </c>
      <c r="ADF14" s="5">
        <f>IFERROR(VLOOKUP(ADF$1,'Factor Alfa'!$B$26:$C$45,2,FALSE),0%)</f>
        <v>0</v>
      </c>
      <c r="ADG14" s="5">
        <f>IFERROR(VLOOKUP(ADG$1,'Factor Alfa'!$B$26:$C$45,2,FALSE),0%)</f>
        <v>0</v>
      </c>
      <c r="ADH14" s="5">
        <f>IFERROR(VLOOKUP(ADH$1,'Factor Alfa'!$B$26:$C$45,2,FALSE),0%)</f>
        <v>0</v>
      </c>
      <c r="ADI14" s="5">
        <f>IFERROR(VLOOKUP(ADI$1,'Factor Alfa'!$B$26:$C$45,2,FALSE),0%)</f>
        <v>0</v>
      </c>
      <c r="ADJ14" s="5">
        <f>IFERROR(VLOOKUP(ADJ$1,'Factor Alfa'!$B$26:$C$45,2,FALSE),0%)</f>
        <v>0</v>
      </c>
      <c r="ADK14" s="5">
        <f>IFERROR(VLOOKUP(ADK$1,'Factor Alfa'!$B$26:$C$45,2,FALSE),0%)</f>
        <v>0</v>
      </c>
      <c r="ADL14" s="5">
        <f>IFERROR(VLOOKUP(ADL$1,'Factor Alfa'!$B$26:$C$45,2,FALSE),0%)</f>
        <v>0</v>
      </c>
      <c r="ADM14" s="5">
        <f>IFERROR(VLOOKUP(ADM$1,'Factor Alfa'!$B$26:$C$45,2,FALSE),0%)</f>
        <v>0</v>
      </c>
      <c r="ADN14" s="5">
        <f>IFERROR(VLOOKUP(ADN$1,'Factor Alfa'!$B$26:$C$45,2,FALSE),0%)</f>
        <v>0</v>
      </c>
      <c r="ADO14" s="5">
        <f>IFERROR(VLOOKUP(ADO$1,'Factor Alfa'!$B$26:$C$45,2,FALSE),0%)</f>
        <v>0</v>
      </c>
      <c r="ADP14" s="5">
        <f>IFERROR(VLOOKUP(ADP$1,'Factor Alfa'!$B$26:$C$45,2,FALSE),0%)</f>
        <v>0</v>
      </c>
      <c r="ADQ14" s="5">
        <f>IFERROR(VLOOKUP(ADQ$1,'Factor Alfa'!$B$26:$C$45,2,FALSE),0%)</f>
        <v>0</v>
      </c>
      <c r="ADR14" s="5">
        <f>IFERROR(VLOOKUP(ADR$1,'Factor Alfa'!$B$26:$C$45,2,FALSE),0%)</f>
        <v>0</v>
      </c>
      <c r="ADS14" s="5">
        <f>IFERROR(VLOOKUP(ADS$1,'Factor Alfa'!$B$26:$C$45,2,FALSE),0%)</f>
        <v>0</v>
      </c>
      <c r="ADT14" s="5">
        <f>IFERROR(VLOOKUP(ADT$1,'Factor Alfa'!$B$26:$C$45,2,FALSE),0%)</f>
        <v>0</v>
      </c>
      <c r="ADU14" s="5">
        <f>IFERROR(VLOOKUP(ADU$1,'Factor Alfa'!$B$26:$C$45,2,FALSE),0%)</f>
        <v>0</v>
      </c>
      <c r="ADV14" s="5">
        <f>IFERROR(VLOOKUP(ADV$1,'Factor Alfa'!$B$26:$C$45,2,FALSE),0%)</f>
        <v>0</v>
      </c>
      <c r="ADW14" s="5">
        <f>IFERROR(VLOOKUP(ADW$1,'Factor Alfa'!$B$26:$C$45,2,FALSE),0%)</f>
        <v>0</v>
      </c>
      <c r="ADX14" s="5">
        <f>IFERROR(VLOOKUP(ADX$1,'Factor Alfa'!$B$26:$C$45,2,FALSE),0%)</f>
        <v>0</v>
      </c>
      <c r="ADY14" s="5">
        <f>IFERROR(VLOOKUP(ADY$1,'Factor Alfa'!$B$26:$C$45,2,FALSE),0%)</f>
        <v>0</v>
      </c>
      <c r="ADZ14" s="5">
        <f>IFERROR(VLOOKUP(ADZ$1,'Factor Alfa'!$B$26:$C$45,2,FALSE),0%)</f>
        <v>0</v>
      </c>
      <c r="AEA14" s="5">
        <f>IFERROR(VLOOKUP(AEA$1,'Factor Alfa'!$B$26:$C$45,2,FALSE),0%)</f>
        <v>0</v>
      </c>
      <c r="AEB14" s="5">
        <f>IFERROR(VLOOKUP(AEB$1,'Factor Alfa'!$B$26:$C$45,2,FALSE),0%)</f>
        <v>0</v>
      </c>
      <c r="AEC14" s="5">
        <f>IFERROR(VLOOKUP(AEC$1,'Factor Alfa'!$B$26:$C$45,2,FALSE),0%)</f>
        <v>0</v>
      </c>
      <c r="AED14" s="5">
        <f>IFERROR(VLOOKUP(AED$1,'Factor Alfa'!$B$26:$C$45,2,FALSE),0%)</f>
        <v>0</v>
      </c>
      <c r="AEE14" s="5">
        <f>IFERROR(VLOOKUP(AEE$1,'Factor Alfa'!$B$26:$C$45,2,FALSE),0%)</f>
        <v>0</v>
      </c>
      <c r="AEF14" s="5">
        <f>IFERROR(VLOOKUP(AEF$1,'Factor Alfa'!$B$26:$C$45,2,FALSE),0%)</f>
        <v>0</v>
      </c>
      <c r="AEG14" s="5">
        <f>IFERROR(VLOOKUP(AEG$1,'Factor Alfa'!$B$26:$C$45,2,FALSE),0%)</f>
        <v>0</v>
      </c>
      <c r="AEH14" s="5">
        <f>IFERROR(VLOOKUP(AEH$1,'Factor Alfa'!$B$26:$C$45,2,FALSE),0%)</f>
        <v>0</v>
      </c>
      <c r="AEI14" s="5">
        <f>IFERROR(VLOOKUP(AEI$1,'Factor Alfa'!$B$26:$C$45,2,FALSE),0%)</f>
        <v>0</v>
      </c>
      <c r="AEJ14" s="5">
        <f>IFERROR(VLOOKUP(AEJ$1,'Factor Alfa'!$B$26:$C$45,2,FALSE),0%)</f>
        <v>0</v>
      </c>
      <c r="AEK14" s="5">
        <f>IFERROR(VLOOKUP(AEK$1,'Factor Alfa'!$B$26:$C$45,2,FALSE),0%)</f>
        <v>0</v>
      </c>
      <c r="AEL14" s="5">
        <f>IFERROR(VLOOKUP(AEL$1,'Factor Alfa'!$B$26:$C$45,2,FALSE),0%)</f>
        <v>0</v>
      </c>
      <c r="AEM14" s="5">
        <f>IFERROR(VLOOKUP(AEM$1,'Factor Alfa'!$B$26:$C$45,2,FALSE),0%)</f>
        <v>0</v>
      </c>
      <c r="AEN14" s="5">
        <f>IFERROR(VLOOKUP(AEN$1,'Factor Alfa'!$B$26:$C$45,2,FALSE),0%)</f>
        <v>0</v>
      </c>
      <c r="AEO14" s="5">
        <f>IFERROR(VLOOKUP(AEO$1,'Factor Alfa'!$B$26:$C$45,2,FALSE),0%)</f>
        <v>0</v>
      </c>
      <c r="AEP14" s="5">
        <f>IFERROR(VLOOKUP(AEP$1,'Factor Alfa'!$B$26:$C$45,2,FALSE),0%)</f>
        <v>0</v>
      </c>
      <c r="AEQ14" s="5">
        <f>IFERROR(VLOOKUP(AEQ$1,'Factor Alfa'!$B$26:$C$45,2,FALSE),0%)</f>
        <v>0</v>
      </c>
      <c r="AER14" s="5">
        <f>IFERROR(VLOOKUP(AER$1,'Factor Alfa'!$B$26:$C$45,2,FALSE),0%)</f>
        <v>0.06822</v>
      </c>
      <c r="AES14" s="5">
        <f>IFERROR(VLOOKUP(AES$1,'Factor Alfa'!$B$26:$C$45,2,FALSE),0%)</f>
        <v>0</v>
      </c>
      <c r="AET14" s="5">
        <f>IFERROR(VLOOKUP(AET$1,'Factor Alfa'!$B$26:$C$45,2,FALSE),0%)</f>
        <v>0</v>
      </c>
      <c r="AEU14" s="5">
        <f>IFERROR(VLOOKUP(AEU$1,'Factor Alfa'!$B$26:$C$45,2,FALSE),0%)</f>
        <v>0</v>
      </c>
      <c r="AEV14" s="5">
        <f>IFERROR(VLOOKUP(AEV$1,'Factor Alfa'!$B$26:$C$45,2,FALSE),0%)</f>
        <v>0</v>
      </c>
      <c r="AEW14" s="5">
        <f>IFERROR(VLOOKUP(AEW$1,'Factor Alfa'!$B$26:$C$45,2,FALSE),0%)</f>
        <v>0</v>
      </c>
      <c r="AEX14" s="5">
        <f>IFERROR(VLOOKUP(AEX$1,'Factor Alfa'!$B$26:$C$45,2,FALSE),0%)</f>
        <v>0</v>
      </c>
      <c r="AEY14" s="5">
        <f>IFERROR(VLOOKUP(AEY$1,'Factor Alfa'!$B$26:$C$45,2,FALSE),0%)</f>
        <v>0</v>
      </c>
      <c r="AEZ14" s="5">
        <f>IFERROR(VLOOKUP(AEZ$1,'Factor Alfa'!$B$26:$C$45,2,FALSE),0%)</f>
        <v>0</v>
      </c>
      <c r="AFA14" s="5">
        <f>IFERROR(VLOOKUP(AFA$1,'Factor Alfa'!$B$26:$C$45,2,FALSE),0%)</f>
        <v>0</v>
      </c>
      <c r="AFB14" s="5">
        <f>IFERROR(VLOOKUP(AFB$1,'Factor Alfa'!$B$26:$C$45,2,FALSE),0%)</f>
        <v>0</v>
      </c>
      <c r="AFC14" s="5">
        <f>IFERROR(VLOOKUP(AFC$1,'Factor Alfa'!$B$26:$C$45,2,FALSE),0%)</f>
        <v>0</v>
      </c>
      <c r="AFD14" s="5">
        <f>IFERROR(VLOOKUP(AFD$1,'Factor Alfa'!$B$26:$C$45,2,FALSE),0%)</f>
        <v>0</v>
      </c>
      <c r="AFE14" s="5">
        <f>IFERROR(VLOOKUP(AFE$1,'Factor Alfa'!$B$26:$C$45,2,FALSE),0%)</f>
        <v>0.06822</v>
      </c>
      <c r="AFF14" s="5">
        <f>IFERROR(VLOOKUP(AFF$1,'Factor Alfa'!$B$26:$C$45,2,FALSE),0%)</f>
        <v>0</v>
      </c>
      <c r="AFG14" s="5">
        <f>IFERROR(VLOOKUP(AFG$1,'Factor Alfa'!$B$26:$C$45,2,FALSE),0%)</f>
        <v>0</v>
      </c>
      <c r="AFH14" s="5">
        <f>IFERROR(VLOOKUP(AFH$1,'Factor Alfa'!$B$26:$C$45,2,FALSE),0%)</f>
        <v>0</v>
      </c>
      <c r="AFI14" s="5">
        <f>IFERROR(VLOOKUP(AFI$1,'Factor Alfa'!$B$26:$C$45,2,FALSE),0%)</f>
        <v>0</v>
      </c>
      <c r="AFJ14" s="5">
        <f>IFERROR(VLOOKUP(AFJ$1,'Factor Alfa'!$B$26:$C$45,2,FALSE),0%)</f>
        <v>0</v>
      </c>
      <c r="AFK14" s="5">
        <f>IFERROR(VLOOKUP(AFK$1,'Factor Alfa'!$B$26:$C$45,2,FALSE),0%)</f>
        <v>0</v>
      </c>
      <c r="AFL14" s="5">
        <f>IFERROR(VLOOKUP(AFL$1,'Factor Alfa'!$B$26:$C$45,2,FALSE),0%)</f>
        <v>0</v>
      </c>
      <c r="AFM14" s="5">
        <f>IFERROR(VLOOKUP(AFM$1,'Factor Alfa'!$B$26:$C$45,2,FALSE),0%)</f>
        <v>0</v>
      </c>
      <c r="AFN14" s="5">
        <f>IFERROR(VLOOKUP(AFN$1,'Factor Alfa'!$B$26:$C$45,2,FALSE),0%)</f>
        <v>0</v>
      </c>
      <c r="AFO14" s="5">
        <f>IFERROR(VLOOKUP(AFO$1,'Factor Alfa'!$B$26:$C$45,2,FALSE),0%)</f>
        <v>0</v>
      </c>
      <c r="AFP14" s="5">
        <f>IFERROR(VLOOKUP(AFP$1,'Factor Alfa'!$B$26:$C$45,2,FALSE),0%)</f>
        <v>0</v>
      </c>
      <c r="AFQ14" s="5">
        <f>IFERROR(VLOOKUP(AFQ$1,'Factor Alfa'!$B$26:$C$45,2,FALSE),0%)</f>
        <v>0</v>
      </c>
      <c r="AFR14" s="5">
        <f>IFERROR(VLOOKUP(AFR$1,'Factor Alfa'!$B$26:$C$45,2,FALSE),0%)</f>
        <v>0</v>
      </c>
      <c r="AFS14" s="5">
        <f>IFERROR(VLOOKUP(AFS$1,'Factor Alfa'!$B$26:$C$45,2,FALSE),0%)</f>
        <v>0</v>
      </c>
      <c r="AFT14" s="5">
        <f>IFERROR(VLOOKUP(AFT$1,'Factor Alfa'!$B$26:$C$45,2,FALSE),0%)</f>
        <v>0</v>
      </c>
      <c r="AFU14" s="5">
        <f>IFERROR(VLOOKUP(AFU$1,'Factor Alfa'!$B$26:$C$45,2,FALSE),0%)</f>
        <v>0</v>
      </c>
      <c r="AFV14" s="5">
        <f>IFERROR(VLOOKUP(AFV$1,'Factor Alfa'!$B$26:$C$45,2,FALSE),0%)</f>
        <v>0</v>
      </c>
      <c r="AFW14" s="5">
        <f>IFERROR(VLOOKUP(AFW$1,'Factor Alfa'!$B$26:$C$45,2,FALSE),0%)</f>
        <v>0</v>
      </c>
      <c r="AFX14" s="5">
        <f>IFERROR(VLOOKUP(AFX$1,'Factor Alfa'!$B$26:$C$45,2,FALSE),0%)</f>
        <v>0</v>
      </c>
      <c r="AFY14" s="5">
        <f>IFERROR(VLOOKUP(AFY$1,'Factor Alfa'!$B$26:$C$45,2,FALSE),0%)</f>
        <v>0</v>
      </c>
      <c r="AFZ14" s="5">
        <f>IFERROR(VLOOKUP(AFZ$1,'Factor Alfa'!$B$26:$C$45,2,FALSE),0%)</f>
        <v>0</v>
      </c>
      <c r="AGA14" s="5">
        <f>IFERROR(VLOOKUP(AGA$1,'Factor Alfa'!$B$26:$C$45,2,FALSE),0%)</f>
        <v>0</v>
      </c>
      <c r="AGB14" s="5">
        <f>IFERROR(VLOOKUP(AGB$1,'Factor Alfa'!$B$26:$C$45,2,FALSE),0%)</f>
        <v>0</v>
      </c>
      <c r="AGC14" s="5">
        <f>IFERROR(VLOOKUP(AGC$1,'Factor Alfa'!$B$26:$C$45,2,FALSE),0%)</f>
        <v>0</v>
      </c>
      <c r="AGD14" s="5">
        <f>IFERROR(VLOOKUP(AGD$1,'Factor Alfa'!$B$26:$C$45,2,FALSE),0%)</f>
        <v>0</v>
      </c>
      <c r="AGE14" s="5">
        <f>IFERROR(VLOOKUP(AGE$1,'Factor Alfa'!$B$26:$C$45,2,FALSE),0%)</f>
        <v>0</v>
      </c>
      <c r="AGF14" s="5">
        <f>IFERROR(VLOOKUP(AGF$1,'Factor Alfa'!$B$26:$C$45,2,FALSE),0%)</f>
        <v>0</v>
      </c>
      <c r="AGG14" s="5">
        <f>IFERROR(VLOOKUP(AGG$1,'Factor Alfa'!$B$26:$C$45,2,FALSE),0%)</f>
        <v>0</v>
      </c>
      <c r="AGH14" s="5">
        <f>IFERROR(VLOOKUP(AGH$1,'Factor Alfa'!$B$26:$C$45,2,FALSE),0%)</f>
        <v>0</v>
      </c>
      <c r="AGI14" s="5">
        <f>IFERROR(VLOOKUP(AGI$1,'Factor Alfa'!$B$26:$C$45,2,FALSE),0%)</f>
        <v>0</v>
      </c>
      <c r="AGJ14" s="5">
        <f>IFERROR(VLOOKUP(AGJ$1,'Factor Alfa'!$B$26:$C$45,2,FALSE),0%)</f>
        <v>0</v>
      </c>
      <c r="AGK14" s="5">
        <f>IFERROR(VLOOKUP(AGK$1,'Factor Alfa'!$B$26:$C$45,2,FALSE),0%)</f>
        <v>0</v>
      </c>
      <c r="AGL14" s="5">
        <f>IFERROR(VLOOKUP(AGL$1,'Factor Alfa'!$B$26:$C$45,2,FALSE),0%)</f>
        <v>0</v>
      </c>
      <c r="AGM14" s="5">
        <f>IFERROR(VLOOKUP(AGM$1,'Factor Alfa'!$B$26:$C$45,2,FALSE),0%)</f>
        <v>0</v>
      </c>
      <c r="AGN14" s="5">
        <f>IFERROR(VLOOKUP(AGN$1,'Factor Alfa'!$B$26:$C$45,2,FALSE),0%)</f>
        <v>0</v>
      </c>
      <c r="AGO14" s="5">
        <f>IFERROR(VLOOKUP(AGO$1,'Factor Alfa'!$B$26:$C$45,2,FALSE),0%)</f>
        <v>0</v>
      </c>
      <c r="AGP14" s="5">
        <f>IFERROR(VLOOKUP(AGP$1,'Factor Alfa'!$B$26:$C$45,2,FALSE),0%)</f>
        <v>0</v>
      </c>
      <c r="AGQ14" s="5">
        <f>IFERROR(VLOOKUP(AGQ$1,'Factor Alfa'!$B$26:$C$45,2,FALSE),0%)</f>
        <v>0</v>
      </c>
      <c r="AGR14" s="5">
        <f>IFERROR(VLOOKUP(AGR$1,'Factor Alfa'!$B$26:$C$45,2,FALSE),0%)</f>
        <v>0</v>
      </c>
      <c r="AGS14" s="5">
        <f>IFERROR(VLOOKUP(AGS$1,'Factor Alfa'!$B$26:$C$45,2,FALSE),0%)</f>
        <v>0</v>
      </c>
      <c r="AGT14" s="5">
        <f>IFERROR(VLOOKUP(AGT$1,'Factor Alfa'!$B$26:$C$45,2,FALSE),0%)</f>
        <v>0</v>
      </c>
      <c r="AGU14" s="5">
        <f>IFERROR(VLOOKUP(AGU$1,'Factor Alfa'!$B$26:$C$45,2,FALSE),0%)</f>
        <v>0</v>
      </c>
      <c r="AGV14" s="5">
        <f>IFERROR(VLOOKUP(AGV$1,'Factor Alfa'!$B$26:$C$45,2,FALSE),0%)</f>
        <v>0</v>
      </c>
      <c r="AGW14" s="5">
        <f>IFERROR(VLOOKUP(AGW$1,'Factor Alfa'!$B$26:$C$45,2,FALSE),0%)</f>
        <v>0</v>
      </c>
      <c r="AGX14" s="5">
        <f>IFERROR(VLOOKUP(AGX$1,'Factor Alfa'!$B$26:$C$45,2,FALSE),0%)</f>
        <v>0</v>
      </c>
      <c r="AGY14" s="5">
        <f>IFERROR(VLOOKUP(AGY$1,'Factor Alfa'!$B$26:$C$45,2,FALSE),0%)</f>
        <v>0</v>
      </c>
      <c r="AGZ14" s="5">
        <f>IFERROR(VLOOKUP(AGZ$1,'Factor Alfa'!$B$26:$C$45,2,FALSE),0%)</f>
        <v>0</v>
      </c>
      <c r="AHA14" s="5">
        <f>IFERROR(VLOOKUP(AHA$1,'Factor Alfa'!$B$26:$C$45,2,FALSE),0%)</f>
        <v>0</v>
      </c>
      <c r="AHB14" s="5">
        <f>IFERROR(VLOOKUP(AHB$1,'Factor Alfa'!$B$26:$C$45,2,FALSE),0%)</f>
        <v>0</v>
      </c>
      <c r="AHC14" s="5">
        <f>IFERROR(VLOOKUP(AHC$1,'Factor Alfa'!$B$26:$C$45,2,FALSE),0%)</f>
        <v>0</v>
      </c>
      <c r="AHD14" s="5">
        <f>IFERROR(VLOOKUP(AHD$1,'Factor Alfa'!$B$26:$C$45,2,FALSE),0%)</f>
        <v>0</v>
      </c>
      <c r="AHE14" s="5">
        <f>IFERROR(VLOOKUP(AHE$1,'Factor Alfa'!$B$26:$C$45,2,FALSE),0%)</f>
        <v>0</v>
      </c>
      <c r="AHF14" s="5">
        <f>IFERROR(VLOOKUP(AHF$1,'Factor Alfa'!$B$26:$C$45,2,FALSE),0%)</f>
        <v>0</v>
      </c>
      <c r="AHG14" s="5">
        <f>IFERROR(VLOOKUP(AHG$1,'Factor Alfa'!$B$26:$C$45,2,FALSE),0%)</f>
        <v>0</v>
      </c>
      <c r="AHH14" s="5">
        <f>IFERROR(VLOOKUP(AHH$1,'Factor Alfa'!$B$26:$C$45,2,FALSE),0%)</f>
        <v>0</v>
      </c>
      <c r="AHI14" s="5">
        <f>IFERROR(VLOOKUP(AHI$1,'Factor Alfa'!$B$26:$C$45,2,FALSE),0%)</f>
        <v>0</v>
      </c>
      <c r="AHJ14" s="5">
        <f>IFERROR(VLOOKUP(AHJ$1,'Factor Alfa'!$B$26:$C$45,2,FALSE),0%)</f>
        <v>0</v>
      </c>
      <c r="AHK14" s="5">
        <f>IFERROR(VLOOKUP(AHK$1,'Factor Alfa'!$B$26:$C$45,2,FALSE),0%)</f>
        <v>0</v>
      </c>
      <c r="AHL14" s="5">
        <f>IFERROR(VLOOKUP(AHL$1,'Factor Alfa'!$B$26:$C$45,2,FALSE),0%)</f>
        <v>0</v>
      </c>
      <c r="AHM14" s="5">
        <f>IFERROR(VLOOKUP(AHM$1,'Factor Alfa'!$B$26:$C$45,2,FALSE),0%)</f>
        <v>0</v>
      </c>
      <c r="AHN14" s="5">
        <f>IFERROR(VLOOKUP(AHN$1,'Factor Alfa'!$B$26:$C$45,2,FALSE),0%)</f>
        <v>0</v>
      </c>
      <c r="AHO14" s="5">
        <f>IFERROR(VLOOKUP(AHO$1,'Factor Alfa'!$B$26:$C$45,2,FALSE),0%)</f>
        <v>0</v>
      </c>
      <c r="AHP14" s="5">
        <f>IFERROR(VLOOKUP(AHP$1,'Factor Alfa'!$B$26:$C$45,2,FALSE),0%)</f>
        <v>0</v>
      </c>
      <c r="AHQ14" s="5">
        <f>IFERROR(VLOOKUP(AHQ$1,'Factor Alfa'!$B$26:$C$45,2,FALSE),0%)</f>
        <v>0</v>
      </c>
      <c r="AHR14" s="5">
        <f>IFERROR(VLOOKUP(AHR$1,'Factor Alfa'!$B$26:$C$45,2,FALSE),0%)</f>
        <v>0</v>
      </c>
      <c r="AHS14" s="5">
        <f>IFERROR(VLOOKUP(AHS$1,'Factor Alfa'!$B$26:$C$45,2,FALSE),0%)</f>
        <v>0</v>
      </c>
      <c r="AHT14" s="5">
        <f>IFERROR(VLOOKUP(AHT$1,'Factor Alfa'!$B$26:$C$45,2,FALSE),0%)</f>
        <v>0</v>
      </c>
      <c r="AHU14" s="5">
        <f>IFERROR(VLOOKUP(AHU$1,'Factor Alfa'!$B$26:$C$45,2,FALSE),0%)</f>
        <v>0</v>
      </c>
      <c r="AHV14" s="5">
        <f>IFERROR(VLOOKUP(AHV$1,'Factor Alfa'!$B$26:$C$45,2,FALSE),0%)</f>
        <v>0</v>
      </c>
      <c r="AHW14" s="5">
        <f>IFERROR(VLOOKUP(AHW$1,'Factor Alfa'!$B$26:$C$45,2,FALSE),0%)</f>
        <v>0</v>
      </c>
      <c r="AHX14" s="5">
        <f>IFERROR(VLOOKUP(AHX$1,'Factor Alfa'!$B$26:$C$45,2,FALSE),0%)</f>
        <v>0</v>
      </c>
      <c r="AHY14" s="5">
        <f>IFERROR(VLOOKUP(AHY$1,'Factor Alfa'!$B$26:$C$45,2,FALSE),0%)</f>
        <v>0</v>
      </c>
      <c r="AHZ14" s="5">
        <f>IFERROR(VLOOKUP(AHZ$1,'Factor Alfa'!$B$26:$C$45,2,FALSE),0%)</f>
        <v>0</v>
      </c>
      <c r="AIA14" s="5">
        <f>IFERROR(VLOOKUP(AIA$1,'Factor Alfa'!$B$26:$C$45,2,FALSE),0%)</f>
        <v>0</v>
      </c>
      <c r="AIB14" s="5">
        <f>IFERROR(VLOOKUP(AIB$1,'Factor Alfa'!$B$26:$C$45,2,FALSE),0%)</f>
        <v>0</v>
      </c>
      <c r="AIC14" s="5">
        <f>IFERROR(VLOOKUP(AIC$1,'Factor Alfa'!$B$26:$C$45,2,FALSE),0%)</f>
        <v>0</v>
      </c>
      <c r="AID14" s="5">
        <f>IFERROR(VLOOKUP(AID$1,'Factor Alfa'!$B$26:$C$45,2,FALSE),0%)</f>
        <v>0</v>
      </c>
      <c r="AIE14" s="5">
        <f>IFERROR(VLOOKUP(AIE$1,'Factor Alfa'!$B$26:$C$45,2,FALSE),0%)</f>
        <v>0</v>
      </c>
      <c r="AIF14" s="5">
        <f>IFERROR(VLOOKUP(AIF$1,'Factor Alfa'!$B$26:$C$45,2,FALSE),0%)</f>
        <v>0</v>
      </c>
      <c r="AIG14" s="5">
        <f>IFERROR(VLOOKUP(AIG$1,'Factor Alfa'!$B$26:$C$45,2,FALSE),0%)</f>
        <v>0</v>
      </c>
      <c r="AIH14" s="5">
        <f>IFERROR(VLOOKUP(AIH$1,'Factor Alfa'!$B$26:$C$45,2,FALSE),0%)</f>
        <v>0</v>
      </c>
      <c r="AII14" s="5">
        <f>IFERROR(VLOOKUP(AII$1,'Factor Alfa'!$B$26:$C$45,2,FALSE),0%)</f>
        <v>0</v>
      </c>
      <c r="AIJ14" s="5">
        <f>IFERROR(VLOOKUP(AIJ$1,'Factor Alfa'!$B$26:$C$45,2,FALSE),0%)</f>
        <v>0</v>
      </c>
      <c r="AIK14" s="5">
        <f>IFERROR(VLOOKUP(AIK$1,'Factor Alfa'!$B$26:$C$45,2,FALSE),0%)</f>
        <v>0</v>
      </c>
      <c r="AIL14" s="5">
        <f>IFERROR(VLOOKUP(AIL$1,'Factor Alfa'!$B$26:$C$45,2,FALSE),0%)</f>
        <v>0</v>
      </c>
      <c r="AIM14" s="5">
        <f>IFERROR(VLOOKUP(AIM$1,'Factor Alfa'!$B$26:$C$45,2,FALSE),0%)</f>
        <v>0</v>
      </c>
      <c r="AIN14" s="5">
        <f>IFERROR(VLOOKUP(AIN$1,'Factor Alfa'!$B$26:$C$45,2,FALSE),0%)</f>
        <v>0</v>
      </c>
      <c r="AIO14" s="5">
        <f>IFERROR(VLOOKUP(AIO$1,'Factor Alfa'!$B$26:$C$45,2,FALSE),0%)</f>
        <v>0</v>
      </c>
      <c r="AIP14" s="5">
        <f>IFERROR(VLOOKUP(AIP$1,'Factor Alfa'!$B$26:$C$45,2,FALSE),0%)</f>
        <v>0</v>
      </c>
      <c r="AIQ14" s="5">
        <f>IFERROR(VLOOKUP(AIQ$1,'Factor Alfa'!$B$26:$C$45,2,FALSE),0%)</f>
        <v>0</v>
      </c>
      <c r="AIR14" s="5">
        <f>IFERROR(VLOOKUP(AIR$1,'Factor Alfa'!$B$26:$C$45,2,FALSE),0%)</f>
        <v>0</v>
      </c>
      <c r="AIS14" s="5">
        <f>IFERROR(VLOOKUP(AIS$1,'Factor Alfa'!$B$26:$C$45,2,FALSE),0%)</f>
        <v>0</v>
      </c>
      <c r="AIT14" s="5">
        <f>IFERROR(VLOOKUP(AIT$1,'Factor Alfa'!$B$26:$C$45,2,FALSE),0%)</f>
        <v>0</v>
      </c>
      <c r="AIU14" s="5">
        <f>IFERROR(VLOOKUP(AIU$1,'Factor Alfa'!$B$26:$C$45,2,FALSE),0%)</f>
        <v>0</v>
      </c>
      <c r="AIV14" s="5">
        <f>IFERROR(VLOOKUP(AIV$1,'Factor Alfa'!$B$26:$C$45,2,FALSE),0%)</f>
        <v>0</v>
      </c>
      <c r="AIW14" s="5">
        <f>IFERROR(VLOOKUP(AIW$1,'Factor Alfa'!$B$26:$C$45,2,FALSE),0%)</f>
        <v>0</v>
      </c>
      <c r="AIX14" s="5">
        <f>IFERROR(VLOOKUP(AIX$1,'Factor Alfa'!$B$26:$C$45,2,FALSE),0%)</f>
        <v>0</v>
      </c>
      <c r="AIY14" s="5">
        <f>IFERROR(VLOOKUP(AIY$1,'Factor Alfa'!$B$26:$C$45,2,FALSE),0%)</f>
        <v>0</v>
      </c>
      <c r="AIZ14" s="5">
        <f>IFERROR(VLOOKUP(AIZ$1,'Factor Alfa'!$B$26:$C$45,2,FALSE),0%)</f>
        <v>0</v>
      </c>
      <c r="AJA14" s="5">
        <f>IFERROR(VLOOKUP(AJA$1,'Factor Alfa'!$B$26:$C$45,2,FALSE),0%)</f>
        <v>0</v>
      </c>
      <c r="AJB14" s="5">
        <f>IFERROR(VLOOKUP(AJB$1,'Factor Alfa'!$B$26:$C$45,2,FALSE),0%)</f>
        <v>0</v>
      </c>
      <c r="AJC14" s="5">
        <f>IFERROR(VLOOKUP(AJC$1,'Factor Alfa'!$B$26:$C$45,2,FALSE),0%)</f>
        <v>0</v>
      </c>
      <c r="AJD14" s="5">
        <f>IFERROR(VLOOKUP(AJD$1,'Factor Alfa'!$B$26:$C$45,2,FALSE),0%)</f>
        <v>0</v>
      </c>
      <c r="AJE14" s="5">
        <f>IFERROR(VLOOKUP(AJE$1,'Factor Alfa'!$B$26:$C$45,2,FALSE),0%)</f>
        <v>0</v>
      </c>
      <c r="AJF14" s="5">
        <f>IFERROR(VLOOKUP(AJF$1,'Factor Alfa'!$B$26:$C$45,2,FALSE),0%)</f>
        <v>0</v>
      </c>
      <c r="AJG14" s="5">
        <f>IFERROR(VLOOKUP(AJG$1,'Factor Alfa'!$B$26:$C$45,2,FALSE),0%)</f>
        <v>0</v>
      </c>
      <c r="AJH14" s="5">
        <f>IFERROR(VLOOKUP(AJH$1,'Factor Alfa'!$B$26:$C$45,2,FALSE),0%)</f>
        <v>0</v>
      </c>
      <c r="AJI14" s="5">
        <f>IFERROR(VLOOKUP(AJI$1,'Factor Alfa'!$B$26:$C$45,2,FALSE),0%)</f>
        <v>0</v>
      </c>
      <c r="AJJ14" s="5">
        <f>IFERROR(VLOOKUP(AJJ$1,'Factor Alfa'!$B$26:$C$45,2,FALSE),0%)</f>
        <v>0</v>
      </c>
      <c r="AJK14" s="5">
        <f>IFERROR(VLOOKUP(AJK$1,'Factor Alfa'!$B$26:$C$45,2,FALSE),0%)</f>
        <v>0</v>
      </c>
      <c r="AJL14" s="5">
        <f>IFERROR(VLOOKUP(AJL$1,'Factor Alfa'!$B$26:$C$45,2,FALSE),0%)</f>
        <v>0</v>
      </c>
      <c r="AJM14" s="5">
        <f>IFERROR(VLOOKUP(AJM$1,'Factor Alfa'!$B$26:$C$45,2,FALSE),0%)</f>
        <v>0</v>
      </c>
      <c r="AJN14" s="5">
        <f>IFERROR(VLOOKUP(AJN$1,'Factor Alfa'!$B$26:$C$45,2,FALSE),0%)</f>
        <v>0</v>
      </c>
      <c r="AJO14" s="5">
        <f>IFERROR(VLOOKUP(AJO$1,'Factor Alfa'!$B$26:$C$45,2,FALSE),0%)</f>
        <v>0</v>
      </c>
      <c r="AJP14" s="5">
        <f>IFERROR(VLOOKUP(AJP$1,'Factor Alfa'!$B$26:$C$45,2,FALSE),0%)</f>
        <v>0</v>
      </c>
      <c r="AJQ14" s="5">
        <f>IFERROR(VLOOKUP(AJQ$1,'Factor Alfa'!$B$26:$C$45,2,FALSE),0%)</f>
        <v>0</v>
      </c>
      <c r="AJR14" s="5">
        <f>IFERROR(VLOOKUP(AJR$1,'Factor Alfa'!$B$26:$C$45,2,FALSE),0%)</f>
        <v>0</v>
      </c>
      <c r="AJS14" s="5">
        <f>IFERROR(VLOOKUP(AJS$1,'Factor Alfa'!$B$26:$C$45,2,FALSE),0%)</f>
        <v>0</v>
      </c>
      <c r="AJT14" s="5">
        <f>IFERROR(VLOOKUP(AJT$1,'Factor Alfa'!$B$26:$C$45,2,FALSE),0%)</f>
        <v>0</v>
      </c>
      <c r="AJU14" s="5">
        <f>IFERROR(VLOOKUP(AJU$1,'Factor Alfa'!$B$26:$C$45,2,FALSE),0%)</f>
        <v>0</v>
      </c>
      <c r="AJV14" s="5">
        <f>IFERROR(VLOOKUP(AJV$1,'Factor Alfa'!$B$26:$C$45,2,FALSE),0%)</f>
        <v>0</v>
      </c>
      <c r="AJW14" s="5">
        <f>IFERROR(VLOOKUP(AJW$1,'Factor Alfa'!$B$26:$C$45,2,FALSE),0%)</f>
        <v>0</v>
      </c>
      <c r="AJX14" s="5">
        <f>IFERROR(VLOOKUP(AJX$1,'Factor Alfa'!$B$26:$C$45,2,FALSE),0%)</f>
        <v>0</v>
      </c>
      <c r="AJY14" s="5">
        <f>IFERROR(VLOOKUP(AJY$1,'Factor Alfa'!$B$26:$C$45,2,FALSE),0%)</f>
        <v>0</v>
      </c>
      <c r="AJZ14" s="5">
        <f>IFERROR(VLOOKUP(AJZ$1,'Factor Alfa'!$B$26:$C$45,2,FALSE),0%)</f>
        <v>0</v>
      </c>
      <c r="AKA14" s="5">
        <f>IFERROR(VLOOKUP(AKA$1,'Factor Alfa'!$B$26:$C$45,2,FALSE),0%)</f>
        <v>0</v>
      </c>
      <c r="AKB14" s="5">
        <f>IFERROR(VLOOKUP(AKB$1,'Factor Alfa'!$B$26:$C$45,2,FALSE),0%)</f>
        <v>0</v>
      </c>
      <c r="AKC14" s="5">
        <f>IFERROR(VLOOKUP(AKC$1,'Factor Alfa'!$B$26:$C$45,2,FALSE),0%)</f>
        <v>0</v>
      </c>
      <c r="AKD14" s="5">
        <f>IFERROR(VLOOKUP(AKD$1,'Factor Alfa'!$B$26:$C$45,2,FALSE),0%)</f>
        <v>0</v>
      </c>
      <c r="AKE14" s="5">
        <f>IFERROR(VLOOKUP(AKE$1,'Factor Alfa'!$B$26:$C$45,2,FALSE),0%)</f>
        <v>0</v>
      </c>
      <c r="AKF14" s="5">
        <f>IFERROR(VLOOKUP(AKF$1,'Factor Alfa'!$B$26:$C$45,2,FALSE),0%)</f>
        <v>0</v>
      </c>
      <c r="AKG14" s="5">
        <f>IFERROR(VLOOKUP(AKG$1,'Factor Alfa'!$B$26:$C$45,2,FALSE),0%)</f>
        <v>0</v>
      </c>
      <c r="AKH14" s="5">
        <f>IFERROR(VLOOKUP(AKH$1,'Factor Alfa'!$B$26:$C$45,2,FALSE),0%)</f>
        <v>0</v>
      </c>
      <c r="AKI14" s="5">
        <f>IFERROR(VLOOKUP(AKI$1,'Factor Alfa'!$B$26:$C$45,2,FALSE),0%)</f>
        <v>0.06822</v>
      </c>
      <c r="AKJ14" s="5">
        <f>IFERROR(VLOOKUP(AKJ$1,'Factor Alfa'!$B$26:$C$45,2,FALSE),0%)</f>
        <v>0</v>
      </c>
      <c r="AKK14" s="5">
        <f>IFERROR(VLOOKUP(AKK$1,'Factor Alfa'!$B$26:$C$45,2,FALSE),0%)</f>
        <v>0</v>
      </c>
      <c r="AKL14" s="5">
        <f>IFERROR(VLOOKUP(AKL$1,'Factor Alfa'!$B$26:$C$45,2,FALSE),0%)</f>
        <v>0</v>
      </c>
      <c r="AKM14" s="5">
        <f>IFERROR(VLOOKUP(AKM$1,'Factor Alfa'!$B$26:$C$45,2,FALSE),0%)</f>
        <v>0.04004</v>
      </c>
      <c r="AKN14" s="5">
        <f>IFERROR(VLOOKUP(AKN$1,'Factor Alfa'!$B$26:$C$45,2,FALSE),0%)</f>
        <v>0</v>
      </c>
      <c r="AKO14" s="5">
        <f>IFERROR(VLOOKUP(AKO$1,'Factor Alfa'!$B$26:$C$45,2,FALSE),0%)</f>
        <v>0</v>
      </c>
      <c r="AKP14" s="5">
        <f>IFERROR(VLOOKUP(AKP$1,'Factor Alfa'!$B$26:$C$45,2,FALSE),0%)</f>
        <v>0</v>
      </c>
      <c r="AKQ14" s="5">
        <f>IFERROR(VLOOKUP(AKQ$1,'Factor Alfa'!$B$26:$C$45,2,FALSE),0%)</f>
        <v>0</v>
      </c>
      <c r="AKR14" s="5">
        <f>IFERROR(VLOOKUP(AKR$1,'Factor Alfa'!$B$26:$C$45,2,FALSE),0%)</f>
        <v>0</v>
      </c>
      <c r="AKS14" s="5">
        <f>IFERROR(VLOOKUP(AKS$1,'Factor Alfa'!$B$26:$C$45,2,FALSE),0%)</f>
        <v>0</v>
      </c>
      <c r="AKT14" s="5">
        <f>IFERROR(VLOOKUP(AKT$1,'Factor Alfa'!$B$26:$C$45,2,FALSE),0%)</f>
        <v>0</v>
      </c>
      <c r="AKU14" s="5">
        <f>IFERROR(VLOOKUP(AKU$1,'Factor Alfa'!$B$26:$C$45,2,FALSE),0%)</f>
        <v>0</v>
      </c>
      <c r="AKV14" s="5">
        <f>IFERROR(VLOOKUP(AKV$1,'Factor Alfa'!$B$26:$C$45,2,FALSE),0%)</f>
        <v>0</v>
      </c>
      <c r="AKW14" s="5">
        <f>IFERROR(VLOOKUP(AKW$1,'Factor Alfa'!$B$26:$C$45,2,FALSE),0%)</f>
        <v>0</v>
      </c>
      <c r="AKX14" s="5">
        <f>IFERROR(VLOOKUP(AKX$1,'Factor Alfa'!$B$26:$C$45,2,FALSE),0%)</f>
        <v>0</v>
      </c>
      <c r="AKY14" s="5">
        <f>IFERROR(VLOOKUP(AKY$1,'Factor Alfa'!$B$26:$C$45,2,FALSE),0%)</f>
        <v>0</v>
      </c>
      <c r="AKZ14" s="5">
        <f>IFERROR(VLOOKUP(AKZ$1,'Factor Alfa'!$B$26:$C$45,2,FALSE),0%)</f>
        <v>0</v>
      </c>
      <c r="ALA14" s="5">
        <f>IFERROR(VLOOKUP(ALA$1,'Factor Alfa'!$B$26:$C$45,2,FALSE),0%)</f>
        <v>0</v>
      </c>
      <c r="ALB14" s="5">
        <f>IFERROR(VLOOKUP(ALB$1,'Factor Alfa'!$B$26:$C$45,2,FALSE),0%)</f>
        <v>0</v>
      </c>
      <c r="ALC14" s="5">
        <f>IFERROR(VLOOKUP(ALC$1,'Factor Alfa'!$B$26:$C$45,2,FALSE),0%)</f>
        <v>0</v>
      </c>
      <c r="ALD14" s="5">
        <f>IFERROR(VLOOKUP(ALD$1,'Factor Alfa'!$B$26:$C$45,2,FALSE),0%)</f>
        <v>0</v>
      </c>
      <c r="ALE14" s="5">
        <f>IFERROR(VLOOKUP(ALE$1,'Factor Alfa'!$B$26:$C$45,2,FALSE),0%)</f>
        <v>0</v>
      </c>
      <c r="ALF14" s="5">
        <f>IFERROR(VLOOKUP(ALF$1,'Factor Alfa'!$B$26:$C$45,2,FALSE),0%)</f>
        <v>0</v>
      </c>
      <c r="ALG14" s="5">
        <f>IFERROR(VLOOKUP(ALG$1,'Factor Alfa'!$B$26:$C$45,2,FALSE),0%)</f>
        <v>0</v>
      </c>
      <c r="ALH14" s="5">
        <f>IFERROR(VLOOKUP(ALH$1,'Factor Alfa'!$B$26:$C$45,2,FALSE),0%)</f>
        <v>0</v>
      </c>
      <c r="ALI14" s="5">
        <f>IFERROR(VLOOKUP(ALI$1,'Factor Alfa'!$B$26:$C$45,2,FALSE),0%)</f>
        <v>0</v>
      </c>
      <c r="ALJ14" s="5">
        <f>IFERROR(VLOOKUP(ALJ$1,'Factor Alfa'!$B$26:$C$45,2,FALSE),0%)</f>
        <v>0</v>
      </c>
      <c r="ALK14" s="5">
        <f>IFERROR(VLOOKUP(ALK$1,'Factor Alfa'!$B$26:$C$45,2,FALSE),0%)</f>
        <v>0</v>
      </c>
      <c r="ALL14" s="5">
        <f>IFERROR(VLOOKUP(ALL$1,'Factor Alfa'!$B$26:$C$45,2,FALSE),0%)</f>
        <v>0</v>
      </c>
      <c r="ALM14" s="5">
        <f>IFERROR(VLOOKUP(ALM$1,'Factor Alfa'!$B$26:$C$45,2,FALSE),0%)</f>
        <v>0</v>
      </c>
      <c r="ALN14" s="5">
        <f>IFERROR(VLOOKUP(ALN$1,'Factor Alfa'!$B$26:$C$45,2,FALSE),0%)</f>
        <v>0</v>
      </c>
      <c r="ALO14" s="5">
        <f>IFERROR(VLOOKUP(ALO$1,'Factor Alfa'!$B$26:$C$45,2,FALSE),0%)</f>
        <v>0</v>
      </c>
      <c r="ALP14" s="5">
        <f>IFERROR(VLOOKUP(ALP$1,'Factor Alfa'!$B$26:$C$45,2,FALSE),0%)</f>
        <v>0</v>
      </c>
      <c r="ALQ14" s="5">
        <f>IFERROR(VLOOKUP(ALQ$1,'Factor Alfa'!$B$26:$C$45,2,FALSE),0%)</f>
        <v>0</v>
      </c>
      <c r="ALR14" s="5">
        <f>IFERROR(VLOOKUP(ALR$1,'Factor Alfa'!$B$26:$C$45,2,FALSE),0%)</f>
        <v>0</v>
      </c>
      <c r="ALS14" s="5">
        <f>IFERROR(VLOOKUP(ALS$1,'Factor Alfa'!$B$26:$C$45,2,FALSE),0%)</f>
        <v>0</v>
      </c>
      <c r="ALT14" s="5">
        <f>IFERROR(VLOOKUP(ALT$1,'Factor Alfa'!$B$26:$C$45,2,FALSE),0%)</f>
        <v>0</v>
      </c>
      <c r="ALU14" s="5">
        <f>IFERROR(VLOOKUP(ALU$1,'Factor Alfa'!$B$26:$C$45,2,FALSE),0%)</f>
        <v>0</v>
      </c>
      <c r="ALV14" s="5">
        <f>IFERROR(VLOOKUP(ALV$1,'Factor Alfa'!$B$26:$C$45,2,FALSE),0%)</f>
        <v>0</v>
      </c>
      <c r="ALW14" s="5">
        <f>IFERROR(VLOOKUP(ALW$1,'Factor Alfa'!$B$26:$C$45,2,FALSE),0%)</f>
        <v>0</v>
      </c>
      <c r="ALX14" s="5">
        <f>IFERROR(VLOOKUP(ALX$1,'Factor Alfa'!$B$26:$C$45,2,FALSE),0%)</f>
        <v>0</v>
      </c>
      <c r="ALY14" s="5">
        <f>IFERROR(VLOOKUP(ALY$1,'Factor Alfa'!$B$26:$C$45,2,FALSE),0%)</f>
        <v>0</v>
      </c>
      <c r="ALZ14" s="5">
        <f>IFERROR(VLOOKUP(ALZ$1,'Factor Alfa'!$B$26:$C$45,2,FALSE),0%)</f>
        <v>0</v>
      </c>
      <c r="AMA14" s="5">
        <f>IFERROR(VLOOKUP(AMA$1,'Factor Alfa'!$B$26:$C$45,2,FALSE),0%)</f>
        <v>0</v>
      </c>
      <c r="AMB14" s="5">
        <f>IFERROR(VLOOKUP(AMB$1,'Factor Alfa'!$B$26:$C$45,2,FALSE),0%)</f>
        <v>0</v>
      </c>
      <c r="AMC14" s="5">
        <f>IFERROR(VLOOKUP(AMC$1,'Factor Alfa'!$B$26:$C$45,2,FALSE),0%)</f>
        <v>0</v>
      </c>
      <c r="AMD14" s="5">
        <f>IFERROR(VLOOKUP(AMD$1,'Factor Alfa'!$B$26:$C$45,2,FALSE),0%)</f>
        <v>0</v>
      </c>
      <c r="AME14" s="5">
        <f>IFERROR(VLOOKUP(AME$1,'Factor Alfa'!$B$26:$C$45,2,FALSE),0%)</f>
        <v>0</v>
      </c>
      <c r="AMF14" s="5">
        <f>IFERROR(VLOOKUP(AMF$1,'Factor Alfa'!$B$26:$C$45,2,FALSE),0%)</f>
        <v>0</v>
      </c>
      <c r="AMG14" s="5">
        <f>IFERROR(VLOOKUP(AMG$1,'Factor Alfa'!$B$26:$C$45,2,FALSE),0%)</f>
        <v>0</v>
      </c>
      <c r="AMH14" s="5">
        <f>IFERROR(VLOOKUP(AMH$1,'Factor Alfa'!$B$26:$C$45,2,FALSE),0%)</f>
        <v>0.04004</v>
      </c>
      <c r="AMI14" s="5">
        <f>IFERROR(VLOOKUP(AMI$1,'Factor Alfa'!$B$26:$C$45,2,FALSE),0%)</f>
        <v>0</v>
      </c>
      <c r="AMJ14" s="5">
        <f>IFERROR(VLOOKUP(AMJ$1,'Factor Alfa'!$B$26:$C$45,2,FALSE),0%)</f>
        <v>0</v>
      </c>
      <c r="AMK14" s="5">
        <f>IFERROR(VLOOKUP(AMK$1,'Factor Alfa'!$B$26:$C$45,2,FALSE),0%)</f>
        <v>0</v>
      </c>
      <c r="AML14" s="5">
        <f>IFERROR(VLOOKUP(AML$1,'Factor Alfa'!$B$26:$C$45,2,FALSE),0%)</f>
        <v>0</v>
      </c>
      <c r="AMM14" s="5">
        <f>IFERROR(VLOOKUP(AMM$1,'Factor Alfa'!$B$26:$C$45,2,FALSE),0%)</f>
        <v>0</v>
      </c>
      <c r="AMN14" s="5">
        <f>IFERROR(VLOOKUP(AMN$1,'Factor Alfa'!$B$26:$C$45,2,FALSE),0%)</f>
        <v>0</v>
      </c>
      <c r="AMO14" s="5">
        <f>IFERROR(VLOOKUP(AMO$1,'Factor Alfa'!$B$26:$C$45,2,FALSE),0%)</f>
        <v>0</v>
      </c>
      <c r="AMP14" s="5">
        <f>IFERROR(VLOOKUP(AMP$1,'Factor Alfa'!$B$26:$C$45,2,FALSE),0%)</f>
        <v>0</v>
      </c>
      <c r="AMQ14" s="5">
        <f>IFERROR(VLOOKUP(AMQ$1,'Factor Alfa'!$B$26:$C$45,2,FALSE),0%)</f>
        <v>0</v>
      </c>
      <c r="AMR14" s="5">
        <f>IFERROR(VLOOKUP(AMR$1,'Factor Alfa'!$B$26:$C$45,2,FALSE),0%)</f>
        <v>0</v>
      </c>
      <c r="AMS14" s="5">
        <f>IFERROR(VLOOKUP(AMS$1,'Factor Alfa'!$B$26:$C$45,2,FALSE),0%)</f>
        <v>0</v>
      </c>
      <c r="AMT14" s="5">
        <f>IFERROR(VLOOKUP(AMT$1,'Factor Alfa'!$B$26:$C$45,2,FALSE),0%)</f>
        <v>0</v>
      </c>
      <c r="AMU14" s="5">
        <f>IFERROR(VLOOKUP(AMU$1,'Factor Alfa'!$B$26:$C$45,2,FALSE),0%)</f>
        <v>0</v>
      </c>
      <c r="AMV14" s="5">
        <f>IFERROR(VLOOKUP(AMV$1,'Factor Alfa'!$B$26:$C$45,2,FALSE),0%)</f>
        <v>0</v>
      </c>
      <c r="AMW14" s="5">
        <f>IFERROR(VLOOKUP(AMW$1,'Factor Alfa'!$B$26:$C$45,2,FALSE),0%)</f>
        <v>0</v>
      </c>
      <c r="AMX14" s="5">
        <f>IFERROR(VLOOKUP(AMX$1,'Factor Alfa'!$B$26:$C$45,2,FALSE),0%)</f>
        <v>0</v>
      </c>
      <c r="AMY14" s="5">
        <f>IFERROR(VLOOKUP(AMY$1,'Factor Alfa'!$B$26:$C$45,2,FALSE),0%)</f>
        <v>0</v>
      </c>
      <c r="AMZ14" s="5">
        <f>IFERROR(VLOOKUP(AMZ$1,'Factor Alfa'!$B$26:$C$45,2,FALSE),0%)</f>
        <v>0</v>
      </c>
      <c r="ANA14" s="5">
        <f>IFERROR(VLOOKUP(ANA$1,'Factor Alfa'!$B$26:$C$45,2,FALSE),0%)</f>
        <v>0</v>
      </c>
      <c r="ANB14" s="5">
        <f>IFERROR(VLOOKUP(ANB$1,'Factor Alfa'!$B$26:$C$45,2,FALSE),0%)</f>
        <v>0</v>
      </c>
      <c r="ANC14" s="5">
        <f>IFERROR(VLOOKUP(ANC$1,'Factor Alfa'!$B$26:$C$45,2,FALSE),0%)</f>
        <v>0</v>
      </c>
      <c r="AND14" s="5">
        <f>IFERROR(VLOOKUP(AND$1,'Factor Alfa'!$B$26:$C$45,2,FALSE),0%)</f>
        <v>0</v>
      </c>
      <c r="ANE14" s="5">
        <f>IFERROR(VLOOKUP(ANE$1,'Factor Alfa'!$B$26:$C$45,2,FALSE),0%)</f>
        <v>0</v>
      </c>
      <c r="ANF14" s="5">
        <f>IFERROR(VLOOKUP(ANF$1,'Factor Alfa'!$B$26:$C$45,2,FALSE),0%)</f>
        <v>0</v>
      </c>
      <c r="ANG14" s="5">
        <f>IFERROR(VLOOKUP(ANG$1,'Factor Alfa'!$B$26:$C$45,2,FALSE),0%)</f>
        <v>0</v>
      </c>
      <c r="ANH14" s="5">
        <f>IFERROR(VLOOKUP(ANH$1,'Factor Alfa'!$B$26:$C$45,2,FALSE),0%)</f>
        <v>0</v>
      </c>
      <c r="ANI14" s="5">
        <f>IFERROR(VLOOKUP(ANI$1,'Factor Alfa'!$B$26:$C$45,2,FALSE),0%)</f>
        <v>0</v>
      </c>
      <c r="ANJ14" s="5">
        <f>IFERROR(VLOOKUP(ANJ$1,'Factor Alfa'!$B$26:$C$45,2,FALSE),0%)</f>
        <v>0</v>
      </c>
      <c r="ANK14" s="5">
        <f>IFERROR(VLOOKUP(ANK$1,'Factor Alfa'!$B$26:$C$45,2,FALSE),0%)</f>
        <v>0</v>
      </c>
      <c r="ANL14" s="5">
        <f>IFERROR(VLOOKUP(ANL$1,'Factor Alfa'!$B$26:$C$45,2,FALSE),0%)</f>
        <v>0</v>
      </c>
      <c r="ANM14" s="5">
        <f>IFERROR(VLOOKUP(ANM$1,'Factor Alfa'!$B$26:$C$45,2,FALSE),0%)</f>
        <v>0</v>
      </c>
      <c r="ANN14" s="5">
        <f>IFERROR(VLOOKUP(ANN$1,'Factor Alfa'!$B$26:$C$45,2,FALSE),0%)</f>
        <v>0</v>
      </c>
      <c r="ANO14" s="5">
        <f>IFERROR(VLOOKUP(ANO$1,'Factor Alfa'!$B$26:$C$45,2,FALSE),0%)</f>
        <v>0</v>
      </c>
      <c r="ANP14" s="5">
        <f>IFERROR(VLOOKUP(ANP$1,'Factor Alfa'!$B$26:$C$45,2,FALSE),0%)</f>
        <v>0</v>
      </c>
      <c r="ANQ14" s="5">
        <f>IFERROR(VLOOKUP(ANQ$1,'Factor Alfa'!$B$26:$C$45,2,FALSE),0%)</f>
        <v>0</v>
      </c>
      <c r="ANR14" s="5">
        <f>IFERROR(VLOOKUP(ANR$1,'Factor Alfa'!$B$26:$C$45,2,FALSE),0%)</f>
        <v>0</v>
      </c>
      <c r="ANS14" s="5">
        <f>IFERROR(VLOOKUP(ANS$1,'Factor Alfa'!$B$26:$C$45,2,FALSE),0%)</f>
        <v>0</v>
      </c>
      <c r="ANT14" s="5">
        <f>IFERROR(VLOOKUP(ANT$1,'Factor Alfa'!$B$26:$C$45,2,FALSE),0%)</f>
        <v>0</v>
      </c>
      <c r="ANU14" s="5">
        <f>IFERROR(VLOOKUP(ANU$1,'Factor Alfa'!$B$26:$C$45,2,FALSE),0%)</f>
        <v>0</v>
      </c>
      <c r="ANV14" s="5">
        <f>IFERROR(VLOOKUP(ANV$1,'Factor Alfa'!$B$26:$C$45,2,FALSE),0%)</f>
        <v>0</v>
      </c>
      <c r="ANW14" s="5">
        <f>IFERROR(VLOOKUP(ANW$1,'Factor Alfa'!$B$26:$C$45,2,FALSE),0%)</f>
        <v>0</v>
      </c>
      <c r="ANX14" s="5">
        <f>IFERROR(VLOOKUP(ANX$1,'Factor Alfa'!$B$26:$C$45,2,FALSE),0%)</f>
        <v>0</v>
      </c>
      <c r="ANY14" s="5">
        <f>IFERROR(VLOOKUP(ANY$1,'Factor Alfa'!$B$26:$C$45,2,FALSE),0%)</f>
        <v>0</v>
      </c>
      <c r="ANZ14" s="5">
        <f>IFERROR(VLOOKUP(ANZ$1,'Factor Alfa'!$B$26:$C$45,2,FALSE),0%)</f>
        <v>0</v>
      </c>
      <c r="AOA14" s="5">
        <f>IFERROR(VLOOKUP(AOA$1,'Factor Alfa'!$B$26:$C$45,2,FALSE),0%)</f>
        <v>0</v>
      </c>
      <c r="AOB14" s="5">
        <f>IFERROR(VLOOKUP(AOB$1,'Factor Alfa'!$B$26:$C$45,2,FALSE),0%)</f>
        <v>0</v>
      </c>
      <c r="AOC14" s="5">
        <f>IFERROR(VLOOKUP(AOC$1,'Factor Alfa'!$B$26:$C$45,2,FALSE),0%)</f>
        <v>0</v>
      </c>
      <c r="AOD14" s="5">
        <f>IFERROR(VLOOKUP(AOD$1,'Factor Alfa'!$B$26:$C$45,2,FALSE),0%)</f>
        <v>0</v>
      </c>
      <c r="AOE14" s="5">
        <f>IFERROR(VLOOKUP(AOE$1,'Factor Alfa'!$B$26:$C$45,2,FALSE),0%)</f>
        <v>0</v>
      </c>
      <c r="AOF14" s="5">
        <f>IFERROR(VLOOKUP(AOF$1,'Factor Alfa'!$B$26:$C$45,2,FALSE),0%)</f>
        <v>0</v>
      </c>
      <c r="AOG14" s="5">
        <f>IFERROR(VLOOKUP(AOG$1,'Factor Alfa'!$B$26:$C$45,2,FALSE),0%)</f>
        <v>0</v>
      </c>
      <c r="AOH14" s="5">
        <f>IFERROR(VLOOKUP(AOH$1,'Factor Alfa'!$B$26:$C$45,2,FALSE),0%)</f>
        <v>0</v>
      </c>
      <c r="AOI14" s="5">
        <f>IFERROR(VLOOKUP(AOI$1,'Factor Alfa'!$B$26:$C$45,2,FALSE),0%)</f>
        <v>0</v>
      </c>
      <c r="AOJ14" s="5">
        <f>IFERROR(VLOOKUP(AOJ$1,'Factor Alfa'!$B$26:$C$45,2,FALSE),0%)</f>
        <v>0</v>
      </c>
      <c r="AOK14" s="5">
        <f>IFERROR(VLOOKUP(AOK$1,'Factor Alfa'!$B$26:$C$45,2,FALSE),0%)</f>
        <v>0</v>
      </c>
      <c r="AOL14" s="5">
        <f>IFERROR(VLOOKUP(AOL$1,'Factor Alfa'!$B$26:$C$45,2,FALSE),0%)</f>
        <v>0</v>
      </c>
      <c r="AOM14" s="5">
        <f>IFERROR(VLOOKUP(AOM$1,'Factor Alfa'!$B$26:$C$45,2,FALSE),0%)</f>
        <v>0</v>
      </c>
      <c r="AON14" s="5">
        <f>IFERROR(VLOOKUP(AON$1,'Factor Alfa'!$B$26:$C$45,2,FALSE),0%)</f>
        <v>0</v>
      </c>
      <c r="AOO14" s="5">
        <f>IFERROR(VLOOKUP(AOO$1,'Factor Alfa'!$B$26:$C$45,2,FALSE),0%)</f>
        <v>0</v>
      </c>
      <c r="AOP14" s="5">
        <f>IFERROR(VLOOKUP(AOP$1,'Factor Alfa'!$B$26:$C$45,2,FALSE),0%)</f>
        <v>0</v>
      </c>
      <c r="AOQ14" s="5">
        <f>IFERROR(VLOOKUP(AOQ$1,'Factor Alfa'!$B$26:$C$45,2,FALSE),0%)</f>
        <v>0</v>
      </c>
      <c r="AOR14" s="5">
        <f>IFERROR(VLOOKUP(AOR$1,'Factor Alfa'!$B$26:$C$45,2,FALSE),0%)</f>
        <v>0</v>
      </c>
      <c r="AOS14" s="5">
        <f>IFERROR(VLOOKUP(AOS$1,'Factor Alfa'!$B$26:$C$45,2,FALSE),0%)</f>
        <v>0</v>
      </c>
      <c r="AOT14" s="5">
        <f>IFERROR(VLOOKUP(AOT$1,'Factor Alfa'!$B$26:$C$45,2,FALSE),0%)</f>
        <v>0</v>
      </c>
      <c r="AOU14" s="5">
        <f>IFERROR(VLOOKUP(AOU$1,'Factor Alfa'!$B$26:$C$45,2,FALSE),0%)</f>
        <v>0</v>
      </c>
      <c r="AOV14" s="5">
        <f>IFERROR(VLOOKUP(AOV$1,'Factor Alfa'!$B$26:$C$45,2,FALSE),0%)</f>
        <v>0</v>
      </c>
      <c r="AOW14" s="5">
        <f>IFERROR(VLOOKUP(AOW$1,'Factor Alfa'!$B$26:$C$45,2,FALSE),0%)</f>
        <v>0</v>
      </c>
      <c r="AOX14" s="5">
        <f>IFERROR(VLOOKUP(AOX$1,'Factor Alfa'!$B$26:$C$45,2,FALSE),0%)</f>
        <v>0</v>
      </c>
      <c r="AOY14" s="5">
        <f>IFERROR(VLOOKUP(AOY$1,'Factor Alfa'!$B$26:$C$45,2,FALSE),0%)</f>
        <v>0</v>
      </c>
      <c r="AOZ14" s="5">
        <f>IFERROR(VLOOKUP(AOZ$1,'Factor Alfa'!$B$26:$C$45,2,FALSE),0%)</f>
        <v>0</v>
      </c>
      <c r="APA14" s="5">
        <f>IFERROR(VLOOKUP(APA$1,'Factor Alfa'!$B$26:$C$45,2,FALSE),0%)</f>
        <v>0</v>
      </c>
      <c r="APB14" s="5">
        <f>IFERROR(VLOOKUP(APB$1,'Factor Alfa'!$B$26:$C$45,2,FALSE),0%)</f>
        <v>0</v>
      </c>
      <c r="APC14" s="5">
        <f>IFERROR(VLOOKUP(APC$1,'Factor Alfa'!$B$26:$C$45,2,FALSE),0%)</f>
        <v>0</v>
      </c>
      <c r="APD14" s="5">
        <f>IFERROR(VLOOKUP(APD$1,'Factor Alfa'!$B$26:$C$45,2,FALSE),0%)</f>
        <v>0</v>
      </c>
      <c r="APE14" s="5">
        <f>IFERROR(VLOOKUP(APE$1,'Factor Alfa'!$B$26:$C$45,2,FALSE),0%)</f>
        <v>0</v>
      </c>
      <c r="APF14" s="5">
        <f>IFERROR(VLOOKUP(APF$1,'Factor Alfa'!$B$26:$C$45,2,FALSE),0%)</f>
        <v>0</v>
      </c>
      <c r="APG14" s="5">
        <f>IFERROR(VLOOKUP(APG$1,'Factor Alfa'!$B$26:$C$45,2,FALSE),0%)</f>
        <v>0</v>
      </c>
      <c r="APH14" s="5">
        <f>IFERROR(VLOOKUP(APH$1,'Factor Alfa'!$B$26:$C$45,2,FALSE),0%)</f>
        <v>0</v>
      </c>
      <c r="API14" s="5">
        <f>IFERROR(VLOOKUP(API$1,'Factor Alfa'!$B$26:$C$45,2,FALSE),0%)</f>
        <v>0</v>
      </c>
      <c r="APJ14" s="5">
        <f>IFERROR(VLOOKUP(APJ$1,'Factor Alfa'!$B$26:$C$45,2,FALSE),0%)</f>
        <v>0</v>
      </c>
      <c r="APK14" s="5">
        <f>IFERROR(VLOOKUP(APK$1,'Factor Alfa'!$B$26:$C$45,2,FALSE),0%)</f>
        <v>0</v>
      </c>
      <c r="APL14" s="5">
        <f>IFERROR(VLOOKUP(APL$1,'Factor Alfa'!$B$26:$C$45,2,FALSE),0%)</f>
        <v>0</v>
      </c>
      <c r="APM14" s="5">
        <f>IFERROR(VLOOKUP(APM$1,'Factor Alfa'!$B$26:$C$45,2,FALSE),0%)</f>
        <v>0</v>
      </c>
      <c r="APN14" s="5">
        <f>IFERROR(VLOOKUP(APN$1,'Factor Alfa'!$B$26:$C$45,2,FALSE),0%)</f>
        <v>0</v>
      </c>
      <c r="APO14" s="5">
        <f>IFERROR(VLOOKUP(APO$1,'Factor Alfa'!$B$26:$C$45,2,FALSE),0%)</f>
        <v>0</v>
      </c>
      <c r="APP14" s="5">
        <f>IFERROR(VLOOKUP(APP$1,'Factor Alfa'!$B$26:$C$45,2,FALSE),0%)</f>
        <v>0</v>
      </c>
      <c r="APQ14" s="5">
        <f>IFERROR(VLOOKUP(APQ$1,'Factor Alfa'!$B$26:$C$45,2,FALSE),0%)</f>
        <v>0</v>
      </c>
      <c r="APR14" s="5">
        <f>IFERROR(VLOOKUP(APR$1,'Factor Alfa'!$B$26:$C$45,2,FALSE),0%)</f>
        <v>0</v>
      </c>
      <c r="APS14" s="5">
        <f>IFERROR(VLOOKUP(APS$1,'Factor Alfa'!$B$26:$C$45,2,FALSE),0%)</f>
        <v>0</v>
      </c>
      <c r="APT14" s="5">
        <f>IFERROR(VLOOKUP(APT$1,'Factor Alfa'!$B$26:$C$45,2,FALSE),0%)</f>
        <v>0</v>
      </c>
      <c r="APU14" s="5">
        <f>IFERROR(VLOOKUP(APU$1,'Factor Alfa'!$B$26:$C$45,2,FALSE),0%)</f>
        <v>0</v>
      </c>
      <c r="APV14" s="5">
        <f>IFERROR(VLOOKUP(APV$1,'Factor Alfa'!$B$26:$C$45,2,FALSE),0%)</f>
        <v>0</v>
      </c>
      <c r="APW14" s="5">
        <f>IFERROR(VLOOKUP(APW$1,'Factor Alfa'!$B$26:$C$45,2,FALSE),0%)</f>
        <v>0</v>
      </c>
      <c r="APX14" s="5">
        <f>IFERROR(VLOOKUP(APX$1,'Factor Alfa'!$B$26:$C$45,2,FALSE),0%)</f>
        <v>0</v>
      </c>
      <c r="APY14" s="5">
        <f>IFERROR(VLOOKUP(APY$1,'Factor Alfa'!$B$26:$C$45,2,FALSE),0%)</f>
        <v>0</v>
      </c>
      <c r="APZ14" s="5">
        <f>IFERROR(VLOOKUP(APZ$1,'Factor Alfa'!$B$26:$C$45,2,FALSE),0%)</f>
        <v>0</v>
      </c>
      <c r="AQA14" s="5">
        <f>IFERROR(VLOOKUP(AQA$1,'Factor Alfa'!$B$26:$C$45,2,FALSE),0%)</f>
        <v>0</v>
      </c>
      <c r="AQB14" s="5">
        <f>IFERROR(VLOOKUP(AQB$1,'Factor Alfa'!$B$26:$C$45,2,FALSE),0%)</f>
        <v>0</v>
      </c>
      <c r="AQC14" s="5">
        <f>IFERROR(VLOOKUP(AQC$1,'Factor Alfa'!$B$26:$C$45,2,FALSE),0%)</f>
        <v>0</v>
      </c>
      <c r="AQD14" s="5">
        <f>IFERROR(VLOOKUP(AQD$1,'Factor Alfa'!$B$26:$C$45,2,FALSE),0%)</f>
        <v>0</v>
      </c>
      <c r="AQE14" s="5">
        <f>IFERROR(VLOOKUP(AQE$1,'Factor Alfa'!$B$26:$C$45,2,FALSE),0%)</f>
        <v>0</v>
      </c>
      <c r="AQF14" s="5">
        <f>IFERROR(VLOOKUP(AQF$1,'Factor Alfa'!$B$26:$C$45,2,FALSE),0%)</f>
        <v>0</v>
      </c>
      <c r="AQG14" s="5">
        <f>IFERROR(VLOOKUP(AQG$1,'Factor Alfa'!$B$26:$C$45,2,FALSE),0%)</f>
        <v>0</v>
      </c>
      <c r="AQH14" s="5">
        <f>IFERROR(VLOOKUP(AQH$1,'Factor Alfa'!$B$26:$C$45,2,FALSE),0%)</f>
        <v>0</v>
      </c>
      <c r="AQI14" s="5">
        <f>IFERROR(VLOOKUP(AQI$1,'Factor Alfa'!$B$26:$C$45,2,FALSE),0%)</f>
        <v>0</v>
      </c>
      <c r="AQJ14" s="5">
        <f>IFERROR(VLOOKUP(AQJ$1,'Factor Alfa'!$B$26:$C$45,2,FALSE),0%)</f>
        <v>0</v>
      </c>
      <c r="AQK14" s="5">
        <f>IFERROR(VLOOKUP(AQK$1,'Factor Alfa'!$B$26:$C$45,2,FALSE),0%)</f>
        <v>0</v>
      </c>
      <c r="AQL14" s="5">
        <f>IFERROR(VLOOKUP(AQL$1,'Factor Alfa'!$B$26:$C$45,2,FALSE),0%)</f>
        <v>0</v>
      </c>
      <c r="AQM14" s="5">
        <f>IFERROR(VLOOKUP(AQM$1,'Factor Alfa'!$B$26:$C$45,2,FALSE),0%)</f>
        <v>0</v>
      </c>
      <c r="AQN14" s="5">
        <f>IFERROR(VLOOKUP(AQN$1,'Factor Alfa'!$B$26:$C$45,2,FALSE),0%)</f>
        <v>0</v>
      </c>
      <c r="AQO14" s="5">
        <f>IFERROR(VLOOKUP(AQO$1,'Factor Alfa'!$B$26:$C$45,2,FALSE),0%)</f>
        <v>0</v>
      </c>
      <c r="AQP14" s="5">
        <f>IFERROR(VLOOKUP(AQP$1,'Factor Alfa'!$B$26:$C$45,2,FALSE),0%)</f>
        <v>0</v>
      </c>
      <c r="AQQ14" s="5">
        <f>IFERROR(VLOOKUP(AQQ$1,'Factor Alfa'!$B$26:$C$45,2,FALSE),0%)</f>
        <v>0</v>
      </c>
      <c r="AQR14" s="5">
        <f>IFERROR(VLOOKUP(AQR$1,'Factor Alfa'!$B$26:$C$45,2,FALSE),0%)</f>
        <v>0</v>
      </c>
      <c r="AQS14" s="5">
        <f>IFERROR(VLOOKUP(AQS$1,'Factor Alfa'!$B$26:$C$45,2,FALSE),0%)</f>
        <v>0</v>
      </c>
      <c r="AQT14" s="5">
        <f>IFERROR(VLOOKUP(AQT$1,'Factor Alfa'!$B$26:$C$45,2,FALSE),0%)</f>
        <v>0</v>
      </c>
      <c r="AQU14" s="5">
        <f>IFERROR(VLOOKUP(AQU$1,'Factor Alfa'!$B$26:$C$45,2,FALSE),0%)</f>
        <v>0</v>
      </c>
      <c r="AQV14" s="5">
        <f>IFERROR(VLOOKUP(AQV$1,'Factor Alfa'!$B$26:$C$45,2,FALSE),0%)</f>
        <v>0</v>
      </c>
      <c r="AQW14" s="5">
        <f>IFERROR(VLOOKUP(AQW$1,'Factor Alfa'!$B$26:$C$45,2,FALSE),0%)</f>
        <v>0</v>
      </c>
      <c r="AQX14" s="5">
        <f>IFERROR(VLOOKUP(AQX$1,'Factor Alfa'!$B$26:$C$45,2,FALSE),0%)</f>
        <v>0</v>
      </c>
      <c r="AQY14" s="5">
        <f>IFERROR(VLOOKUP(AQY$1,'Factor Alfa'!$B$26:$C$45,2,FALSE),0%)</f>
        <v>0</v>
      </c>
      <c r="AQZ14" s="5">
        <f>IFERROR(VLOOKUP(AQZ$1,'Factor Alfa'!$B$26:$C$45,2,FALSE),0%)</f>
        <v>0</v>
      </c>
      <c r="ARA14" s="5">
        <f>IFERROR(VLOOKUP(ARA$1,'Factor Alfa'!$B$26:$C$45,2,FALSE),0%)</f>
        <v>0</v>
      </c>
      <c r="ARB14" s="5">
        <f>IFERROR(VLOOKUP(ARB$1,'Factor Alfa'!$B$26:$C$45,2,FALSE),0%)</f>
        <v>0</v>
      </c>
      <c r="ARC14" s="5">
        <f>IFERROR(VLOOKUP(ARC$1,'Factor Alfa'!$B$26:$C$45,2,FALSE),0%)</f>
        <v>0</v>
      </c>
      <c r="ARD14" s="5">
        <f>IFERROR(VLOOKUP(ARD$1,'Factor Alfa'!$B$26:$C$45,2,FALSE),0%)</f>
        <v>0</v>
      </c>
      <c r="ARE14" s="5">
        <f>IFERROR(VLOOKUP(ARE$1,'Factor Alfa'!$B$26:$C$45,2,FALSE),0%)</f>
        <v>0</v>
      </c>
      <c r="ARF14" s="5">
        <f>IFERROR(VLOOKUP(ARF$1,'Factor Alfa'!$B$26:$C$45,2,FALSE),0%)</f>
        <v>0</v>
      </c>
      <c r="ARG14" s="5">
        <f>IFERROR(VLOOKUP(ARG$1,'Factor Alfa'!$B$26:$C$45,2,FALSE),0%)</f>
        <v>0</v>
      </c>
      <c r="ARH14" s="5">
        <f>IFERROR(VLOOKUP(ARH$1,'Factor Alfa'!$B$26:$C$45,2,FALSE),0%)</f>
        <v>0</v>
      </c>
      <c r="ARI14" s="5">
        <f>IFERROR(VLOOKUP(ARI$1,'Factor Alfa'!$B$26:$C$45,2,FALSE),0%)</f>
        <v>0</v>
      </c>
      <c r="ARJ14" s="5">
        <f>IFERROR(VLOOKUP(ARJ$1,'Factor Alfa'!$B$26:$C$45,2,FALSE),0%)</f>
        <v>0</v>
      </c>
      <c r="ARK14" s="5">
        <f>IFERROR(VLOOKUP(ARK$1,'Factor Alfa'!$B$26:$C$45,2,FALSE),0%)</f>
        <v>0</v>
      </c>
      <c r="ARL14" s="5">
        <f>IFERROR(VLOOKUP(ARL$1,'Factor Alfa'!$B$26:$C$45,2,FALSE),0%)</f>
        <v>0</v>
      </c>
      <c r="ARM14" s="5">
        <f>IFERROR(VLOOKUP(ARM$1,'Factor Alfa'!$B$26:$C$45,2,FALSE),0%)</f>
        <v>0</v>
      </c>
      <c r="ARN14" s="5">
        <f>IFERROR(VLOOKUP(ARN$1,'Factor Alfa'!$B$26:$C$45,2,FALSE),0%)</f>
        <v>0</v>
      </c>
      <c r="ARO14" s="5">
        <f>IFERROR(VLOOKUP(ARO$1,'Factor Alfa'!$B$26:$C$45,2,FALSE),0%)</f>
        <v>0</v>
      </c>
      <c r="ARP14" s="5">
        <f>IFERROR(VLOOKUP(ARP$1,'Factor Alfa'!$B$26:$C$45,2,FALSE),0%)</f>
        <v>0</v>
      </c>
      <c r="ARQ14" s="5">
        <f>IFERROR(VLOOKUP(ARQ$1,'Factor Alfa'!$B$26:$C$45,2,FALSE),0%)</f>
        <v>0</v>
      </c>
      <c r="ARR14" s="5">
        <f>IFERROR(VLOOKUP(ARR$1,'Factor Alfa'!$B$26:$C$45,2,FALSE),0%)</f>
        <v>0</v>
      </c>
      <c r="ARS14" s="5">
        <f>IFERROR(VLOOKUP(ARS$1,'Factor Alfa'!$B$26:$C$45,2,FALSE),0%)</f>
        <v>0</v>
      </c>
      <c r="ART14" s="5">
        <f>IFERROR(VLOOKUP(ART$1,'Factor Alfa'!$B$26:$C$45,2,FALSE),0%)</f>
        <v>0</v>
      </c>
      <c r="ARU14" s="5">
        <f>IFERROR(VLOOKUP(ARU$1,'Factor Alfa'!$B$26:$C$45,2,FALSE),0%)</f>
        <v>0</v>
      </c>
      <c r="ARV14" s="5">
        <f>IFERROR(VLOOKUP(ARV$1,'Factor Alfa'!$B$26:$C$45,2,FALSE),0%)</f>
        <v>0</v>
      </c>
      <c r="ARW14" s="5">
        <f>IFERROR(VLOOKUP(ARW$1,'Factor Alfa'!$B$26:$C$45,2,FALSE),0%)</f>
        <v>0</v>
      </c>
      <c r="ARX14" s="5">
        <f>IFERROR(VLOOKUP(ARX$1,'Factor Alfa'!$B$26:$C$45,2,FALSE),0%)</f>
        <v>0</v>
      </c>
      <c r="ARY14" s="5">
        <f>IFERROR(VLOOKUP(ARY$1,'Factor Alfa'!$B$26:$C$45,2,FALSE),0%)</f>
        <v>0</v>
      </c>
      <c r="ARZ14" s="5">
        <f>IFERROR(VLOOKUP(ARZ$1,'Factor Alfa'!$B$26:$C$45,2,FALSE),0%)</f>
        <v>0</v>
      </c>
      <c r="ASA14" s="5">
        <f>IFERROR(VLOOKUP(ASA$1,'Factor Alfa'!$B$26:$C$45,2,FALSE),0%)</f>
        <v>0</v>
      </c>
      <c r="ASB14" s="5">
        <f>IFERROR(VLOOKUP(ASB$1,'Factor Alfa'!$B$26:$C$45,2,FALSE),0%)</f>
        <v>0</v>
      </c>
      <c r="ASC14" s="5">
        <f>IFERROR(VLOOKUP(ASC$1,'Factor Alfa'!$B$26:$C$45,2,FALSE),0%)</f>
        <v>0</v>
      </c>
      <c r="ASD14" s="5">
        <f>IFERROR(VLOOKUP(ASD$1,'Factor Alfa'!$B$26:$C$45,2,FALSE),0%)</f>
        <v>0</v>
      </c>
      <c r="ASE14" s="5">
        <f>IFERROR(VLOOKUP(ASE$1,'Factor Alfa'!$B$26:$C$45,2,FALSE),0%)</f>
        <v>0</v>
      </c>
      <c r="ASF14" s="5">
        <f>IFERROR(VLOOKUP(ASF$1,'Factor Alfa'!$B$26:$C$45,2,FALSE),0%)</f>
        <v>0</v>
      </c>
      <c r="ASG14" s="5">
        <f>IFERROR(VLOOKUP(ASG$1,'Factor Alfa'!$B$26:$C$45,2,FALSE),0%)</f>
        <v>0</v>
      </c>
      <c r="ASH14" s="5">
        <f>IFERROR(VLOOKUP(ASH$1,'Factor Alfa'!$B$26:$C$45,2,FALSE),0%)</f>
        <v>0</v>
      </c>
      <c r="ASI14" s="5">
        <f>IFERROR(VLOOKUP(ASI$1,'Factor Alfa'!$B$26:$C$45,2,FALSE),0%)</f>
        <v>0</v>
      </c>
      <c r="ASJ14" s="5">
        <f>IFERROR(VLOOKUP(ASJ$1,'Factor Alfa'!$B$26:$C$45,2,FALSE),0%)</f>
        <v>0</v>
      </c>
      <c r="ASK14" s="5">
        <f>IFERROR(VLOOKUP(ASK$1,'Factor Alfa'!$B$26:$C$45,2,FALSE),0%)</f>
        <v>0</v>
      </c>
      <c r="ASL14" s="5">
        <f>IFERROR(VLOOKUP(ASL$1,'Factor Alfa'!$B$26:$C$45,2,FALSE),0%)</f>
        <v>0</v>
      </c>
      <c r="ASM14" s="5">
        <f>IFERROR(VLOOKUP(ASM$1,'Factor Alfa'!$B$26:$C$45,2,FALSE),0%)</f>
        <v>0</v>
      </c>
      <c r="ASN14" s="5">
        <f>IFERROR(VLOOKUP(ASN$1,'Factor Alfa'!$B$26:$C$45,2,FALSE),0%)</f>
        <v>0</v>
      </c>
      <c r="ASO14" s="5">
        <f>IFERROR(VLOOKUP(ASO$1,'Factor Alfa'!$B$26:$C$45,2,FALSE),0%)</f>
        <v>0</v>
      </c>
      <c r="ASP14" s="5">
        <f>IFERROR(VLOOKUP(ASP$1,'Factor Alfa'!$B$26:$C$45,2,FALSE),0%)</f>
        <v>0.04004</v>
      </c>
      <c r="ASQ14" s="5">
        <f>IFERROR(VLOOKUP(ASQ$1,'Factor Alfa'!$B$26:$C$45,2,FALSE),0%)</f>
        <v>0</v>
      </c>
      <c r="ASR14" s="5">
        <f>IFERROR(VLOOKUP(ASR$1,'Factor Alfa'!$B$26:$C$45,2,FALSE),0%)</f>
        <v>0</v>
      </c>
      <c r="ASS14" s="5">
        <f>IFERROR(VLOOKUP(ASS$1,'Factor Alfa'!$B$26:$C$45,2,FALSE),0%)</f>
        <v>0.06822</v>
      </c>
      <c r="AST14" s="5">
        <f>IFERROR(VLOOKUP(AST$1,'Factor Alfa'!$B$26:$C$45,2,FALSE),0%)</f>
        <v>0</v>
      </c>
      <c r="ASU14" s="5">
        <f>IFERROR(VLOOKUP(ASU$1,'Factor Alfa'!$B$26:$C$45,2,FALSE),0%)</f>
        <v>0</v>
      </c>
      <c r="ASV14" s="5">
        <f>IFERROR(VLOOKUP(ASV$1,'Factor Alfa'!$B$26:$C$45,2,FALSE),0%)</f>
        <v>0</v>
      </c>
      <c r="ASW14" s="5">
        <f>IFERROR(VLOOKUP(ASW$1,'Factor Alfa'!$B$26:$C$45,2,FALSE),0%)</f>
        <v>0</v>
      </c>
      <c r="ASX14" s="5">
        <f>IFERROR(VLOOKUP(ASX$1,'Factor Alfa'!$B$26:$C$45,2,FALSE),0%)</f>
        <v>0</v>
      </c>
      <c r="ASY14" s="5">
        <f>IFERROR(VLOOKUP(ASY$1,'Factor Alfa'!$B$26:$C$45,2,FALSE),0%)</f>
        <v>0</v>
      </c>
      <c r="ASZ14" s="5">
        <f>IFERROR(VLOOKUP(ASZ$1,'Factor Alfa'!$B$26:$C$45,2,FALSE),0%)</f>
        <v>0</v>
      </c>
      <c r="ATA14" s="5">
        <f>IFERROR(VLOOKUP(ATA$1,'Factor Alfa'!$B$26:$C$45,2,FALSE),0%)</f>
        <v>0</v>
      </c>
      <c r="ATB14" s="5">
        <f>IFERROR(VLOOKUP(ATB$1,'Factor Alfa'!$B$26:$C$45,2,FALSE),0%)</f>
        <v>0</v>
      </c>
      <c r="ATC14" s="5">
        <f>IFERROR(VLOOKUP(ATC$1,'Factor Alfa'!$B$26:$C$45,2,FALSE),0%)</f>
        <v>0</v>
      </c>
      <c r="ATD14" s="5">
        <f>IFERROR(VLOOKUP(ATD$1,'Factor Alfa'!$B$26:$C$45,2,FALSE),0%)</f>
        <v>0</v>
      </c>
      <c r="ATE14" s="5">
        <f>IFERROR(VLOOKUP(ATE$1,'Factor Alfa'!$B$26:$C$45,2,FALSE),0%)</f>
        <v>0</v>
      </c>
      <c r="ATF14" s="5">
        <f>IFERROR(VLOOKUP(ATF$1,'Factor Alfa'!$B$26:$C$45,2,FALSE),0%)</f>
        <v>0</v>
      </c>
      <c r="ATG14" s="5">
        <f>IFERROR(VLOOKUP(ATG$1,'Factor Alfa'!$B$26:$C$45,2,FALSE),0%)</f>
        <v>0</v>
      </c>
      <c r="ATH14" s="5">
        <f>IFERROR(VLOOKUP(ATH$1,'Factor Alfa'!$B$26:$C$45,2,FALSE),0%)</f>
        <v>0</v>
      </c>
      <c r="ATI14" s="5">
        <f>IFERROR(VLOOKUP(ATI$1,'Factor Alfa'!$B$26:$C$45,2,FALSE),0%)</f>
        <v>0</v>
      </c>
      <c r="ATJ14" s="5">
        <f>IFERROR(VLOOKUP(ATJ$1,'Factor Alfa'!$B$26:$C$45,2,FALSE),0%)</f>
        <v>0</v>
      </c>
      <c r="ATK14" s="5">
        <f>IFERROR(VLOOKUP(ATK$1,'Factor Alfa'!$B$26:$C$45,2,FALSE),0%)</f>
        <v>0</v>
      </c>
      <c r="ATL14" s="5">
        <f>IFERROR(VLOOKUP(ATL$1,'Factor Alfa'!$B$26:$C$45,2,FALSE),0%)</f>
        <v>0</v>
      </c>
      <c r="ATM14" s="5">
        <f>IFERROR(VLOOKUP(ATM$1,'Factor Alfa'!$B$26:$C$45,2,FALSE),0%)</f>
        <v>0</v>
      </c>
      <c r="ATN14" s="5">
        <f>IFERROR(VLOOKUP(ATN$1,'Factor Alfa'!$B$26:$C$45,2,FALSE),0%)</f>
        <v>0</v>
      </c>
      <c r="ATO14" s="5">
        <f>IFERROR(VLOOKUP(ATO$1,'Factor Alfa'!$B$26:$C$45,2,FALSE),0%)</f>
        <v>0</v>
      </c>
      <c r="ATP14" s="5">
        <f>IFERROR(VLOOKUP(ATP$1,'Factor Alfa'!$B$26:$C$45,2,FALSE),0%)</f>
        <v>0</v>
      </c>
      <c r="ATQ14" s="5">
        <f>IFERROR(VLOOKUP(ATQ$1,'Factor Alfa'!$B$26:$C$45,2,FALSE),0%)</f>
        <v>0.04148</v>
      </c>
      <c r="ATR14" s="5">
        <f>IFERROR(VLOOKUP(ATR$1,'Factor Alfa'!$B$26:$C$45,2,FALSE),0%)</f>
        <v>0</v>
      </c>
      <c r="ATS14" s="5">
        <f>IFERROR(VLOOKUP(ATS$1,'Factor Alfa'!$B$26:$C$45,2,FALSE),0%)</f>
        <v>0</v>
      </c>
      <c r="ATT14" s="5">
        <f>IFERROR(VLOOKUP(ATT$1,'Factor Alfa'!$B$26:$C$45,2,FALSE),0%)</f>
        <v>0.04148</v>
      </c>
      <c r="ATU14" s="5">
        <f>IFERROR(VLOOKUP(ATU$1,'Factor Alfa'!$B$26:$C$45,2,FALSE),0%)</f>
        <v>0</v>
      </c>
      <c r="ATV14" s="5">
        <f>IFERROR(VLOOKUP(ATV$1,'Factor Alfa'!$B$26:$C$45,2,FALSE),0%)</f>
        <v>0</v>
      </c>
      <c r="ATW14" s="5">
        <f>IFERROR(VLOOKUP(ATW$1,'Factor Alfa'!$B$26:$C$45,2,FALSE),0%)</f>
        <v>0</v>
      </c>
      <c r="ATX14" s="5">
        <f>IFERROR(VLOOKUP(ATX$1,'Factor Alfa'!$B$26:$C$45,2,FALSE),0%)</f>
        <v>0</v>
      </c>
      <c r="ATY14" s="5">
        <f>IFERROR(VLOOKUP(ATY$1,'Factor Alfa'!$B$26:$C$45,2,FALSE),0%)</f>
        <v>0</v>
      </c>
      <c r="ATZ14" s="5">
        <f>IFERROR(VLOOKUP(ATZ$1,'Factor Alfa'!$B$26:$C$45,2,FALSE),0%)</f>
        <v>0</v>
      </c>
      <c r="AUA14" s="5">
        <f>IFERROR(VLOOKUP(AUA$1,'Factor Alfa'!$B$26:$C$45,2,FALSE),0%)</f>
        <v>0</v>
      </c>
      <c r="AUB14" s="5">
        <f>IFERROR(VLOOKUP(AUB$1,'Factor Alfa'!$B$26:$C$45,2,FALSE),0%)</f>
        <v>0</v>
      </c>
      <c r="AUC14" s="5">
        <f>IFERROR(VLOOKUP(AUC$1,'Factor Alfa'!$B$26:$C$45,2,FALSE),0%)</f>
        <v>0</v>
      </c>
      <c r="AUD14" s="5">
        <f>IFERROR(VLOOKUP(AUD$1,'Factor Alfa'!$B$26:$C$45,2,FALSE),0%)</f>
        <v>0</v>
      </c>
      <c r="AUE14" s="5">
        <f>IFERROR(VLOOKUP(AUE$1,'Factor Alfa'!$B$26:$C$45,2,FALSE),0%)</f>
        <v>0</v>
      </c>
      <c r="AUF14" s="5">
        <f>IFERROR(VLOOKUP(AUF$1,'Factor Alfa'!$B$26:$C$45,2,FALSE),0%)</f>
        <v>0</v>
      </c>
      <c r="AUG14" s="5">
        <f>IFERROR(VLOOKUP(AUG$1,'Factor Alfa'!$B$26:$C$45,2,FALSE),0%)</f>
        <v>0</v>
      </c>
      <c r="AUH14" s="5">
        <f>IFERROR(VLOOKUP(AUH$1,'Factor Alfa'!$B$26:$C$45,2,FALSE),0%)</f>
        <v>0</v>
      </c>
      <c r="AUI14" s="5">
        <f>IFERROR(VLOOKUP(AUI$1,'Factor Alfa'!$B$26:$C$45,2,FALSE),0%)</f>
        <v>0</v>
      </c>
      <c r="AUJ14" s="5">
        <f>IFERROR(VLOOKUP(AUJ$1,'Factor Alfa'!$B$26:$C$45,2,FALSE),0%)</f>
        <v>0</v>
      </c>
      <c r="AUK14" s="5">
        <f>IFERROR(VLOOKUP(AUK$1,'Factor Alfa'!$B$26:$C$45,2,FALSE),0%)</f>
        <v>0</v>
      </c>
      <c r="AUL14" s="5">
        <f>IFERROR(VLOOKUP(AUL$1,'Factor Alfa'!$B$26:$C$45,2,FALSE),0%)</f>
        <v>0</v>
      </c>
      <c r="AUM14" s="5">
        <f>IFERROR(VLOOKUP(AUM$1,'Factor Alfa'!$B$26:$C$45,2,FALSE),0%)</f>
        <v>0</v>
      </c>
      <c r="AUN14" s="5">
        <f>IFERROR(VLOOKUP(AUN$1,'Factor Alfa'!$B$26:$C$45,2,FALSE),0%)</f>
        <v>0</v>
      </c>
      <c r="AUO14" s="5">
        <f>IFERROR(VLOOKUP(AUO$1,'Factor Alfa'!$B$26:$C$45,2,FALSE),0%)</f>
        <v>0</v>
      </c>
      <c r="AUP14" s="5">
        <f>IFERROR(VLOOKUP(AUP$1,'Factor Alfa'!$B$26:$C$45,2,FALSE),0%)</f>
        <v>0</v>
      </c>
      <c r="AUQ14" s="5">
        <f>IFERROR(VLOOKUP(AUQ$1,'Factor Alfa'!$B$26:$C$45,2,FALSE),0%)</f>
        <v>0</v>
      </c>
      <c r="AUR14" s="5">
        <f>IFERROR(VLOOKUP(AUR$1,'Factor Alfa'!$B$26:$C$45,2,FALSE),0%)</f>
        <v>0</v>
      </c>
      <c r="AUS14" s="5">
        <f>IFERROR(VLOOKUP(AUS$1,'Factor Alfa'!$B$26:$C$45,2,FALSE),0%)</f>
        <v>0</v>
      </c>
      <c r="AUT14" s="5">
        <f>IFERROR(VLOOKUP(AUT$1,'Factor Alfa'!$B$26:$C$45,2,FALSE),0%)</f>
        <v>0</v>
      </c>
      <c r="AUU14" s="5">
        <f>IFERROR(VLOOKUP(AUU$1,'Factor Alfa'!$B$26:$C$45,2,FALSE),0%)</f>
        <v>0</v>
      </c>
      <c r="AUV14" s="5">
        <f>IFERROR(VLOOKUP(AUV$1,'Factor Alfa'!$B$26:$C$45,2,FALSE),0%)</f>
        <v>0</v>
      </c>
      <c r="AUW14" s="5">
        <f>IFERROR(VLOOKUP(AUW$1,'Factor Alfa'!$B$26:$C$45,2,FALSE),0%)</f>
        <v>0</v>
      </c>
      <c r="AUX14" s="5">
        <f>IFERROR(VLOOKUP(AUX$1,'Factor Alfa'!$B$26:$C$45,2,FALSE),0%)</f>
        <v>0</v>
      </c>
      <c r="AUY14" s="5">
        <f>IFERROR(VLOOKUP(AUY$1,'Factor Alfa'!$B$26:$C$45,2,FALSE),0%)</f>
        <v>0</v>
      </c>
      <c r="AUZ14" s="5">
        <f>IFERROR(VLOOKUP(AUZ$1,'Factor Alfa'!$B$26:$C$45,2,FALSE),0%)</f>
        <v>0</v>
      </c>
      <c r="AVA14" s="5">
        <f>IFERROR(VLOOKUP(AVA$1,'Factor Alfa'!$B$26:$C$45,2,FALSE),0%)</f>
        <v>0</v>
      </c>
      <c r="AVB14" s="5">
        <f>IFERROR(VLOOKUP(AVB$1,'Factor Alfa'!$B$26:$C$45,2,FALSE),0%)</f>
        <v>0</v>
      </c>
      <c r="AVC14" s="5">
        <f>IFERROR(VLOOKUP(AVC$1,'Factor Alfa'!$B$26:$C$45,2,FALSE),0%)</f>
        <v>0</v>
      </c>
      <c r="AVD14" s="5">
        <f>IFERROR(VLOOKUP(AVD$1,'Factor Alfa'!$B$26:$C$45,2,FALSE),0%)</f>
        <v>0</v>
      </c>
      <c r="AVE14" s="5">
        <f>IFERROR(VLOOKUP(AVE$1,'Factor Alfa'!$B$26:$C$45,2,FALSE),0%)</f>
        <v>0</v>
      </c>
      <c r="AVF14" s="5">
        <f>IFERROR(VLOOKUP(AVF$1,'Factor Alfa'!$B$26:$C$45,2,FALSE),0%)</f>
        <v>0</v>
      </c>
      <c r="AVG14" s="5">
        <f>IFERROR(VLOOKUP(AVG$1,'Factor Alfa'!$B$26:$C$45,2,FALSE),0%)</f>
        <v>0</v>
      </c>
      <c r="AVH14" s="5">
        <f>IFERROR(VLOOKUP(AVH$1,'Factor Alfa'!$B$26:$C$45,2,FALSE),0%)</f>
        <v>0</v>
      </c>
      <c r="AVI14" s="5">
        <f>IFERROR(VLOOKUP(AVI$1,'Factor Alfa'!$B$26:$C$45,2,FALSE),0%)</f>
        <v>0</v>
      </c>
      <c r="AVJ14" s="5">
        <f>IFERROR(VLOOKUP(AVJ$1,'Factor Alfa'!$B$26:$C$45,2,FALSE),0%)</f>
        <v>0</v>
      </c>
      <c r="AVK14" s="5">
        <f>IFERROR(VLOOKUP(AVK$1,'Factor Alfa'!$B$26:$C$45,2,FALSE),0%)</f>
        <v>0</v>
      </c>
      <c r="AVL14" s="5">
        <f>IFERROR(VLOOKUP(AVL$1,'Factor Alfa'!$B$26:$C$45,2,FALSE),0%)</f>
        <v>0</v>
      </c>
      <c r="AVM14" s="5">
        <f>IFERROR(VLOOKUP(AVM$1,'Factor Alfa'!$B$26:$C$45,2,FALSE),0%)</f>
        <v>0</v>
      </c>
      <c r="AVN14" s="5">
        <f>IFERROR(VLOOKUP(AVN$1,'Factor Alfa'!$B$26:$C$45,2,FALSE),0%)</f>
        <v>0</v>
      </c>
      <c r="AVO14" s="5">
        <f>IFERROR(VLOOKUP(AVO$1,'Factor Alfa'!$B$26:$C$45,2,FALSE),0%)</f>
        <v>0</v>
      </c>
      <c r="AVP14" s="5">
        <f>IFERROR(VLOOKUP(AVP$1,'Factor Alfa'!$B$26:$C$45,2,FALSE),0%)</f>
        <v>0</v>
      </c>
      <c r="AVQ14" s="5">
        <f>IFERROR(VLOOKUP(AVQ$1,'Factor Alfa'!$B$26:$C$45,2,FALSE),0%)</f>
        <v>0</v>
      </c>
      <c r="AVR14" s="5">
        <f>IFERROR(VLOOKUP(AVR$1,'Factor Alfa'!$B$26:$C$45,2,FALSE),0%)</f>
        <v>0</v>
      </c>
      <c r="AVS14" s="5">
        <f>IFERROR(VLOOKUP(AVS$1,'Factor Alfa'!$B$26:$C$45,2,FALSE),0%)</f>
        <v>0</v>
      </c>
      <c r="AVT14" s="5">
        <f>IFERROR(VLOOKUP(AVT$1,'Factor Alfa'!$B$26:$C$45,2,FALSE),0%)</f>
        <v>0</v>
      </c>
      <c r="AVU14" s="5">
        <f>IFERROR(VLOOKUP(AVU$1,'Factor Alfa'!$B$26:$C$45,2,FALSE),0%)</f>
        <v>0</v>
      </c>
      <c r="AVV14" s="5">
        <f>IFERROR(VLOOKUP(AVV$1,'Factor Alfa'!$B$26:$C$45,2,FALSE),0%)</f>
        <v>0</v>
      </c>
      <c r="AVW14" s="5">
        <f>IFERROR(VLOOKUP(AVW$1,'Factor Alfa'!$B$26:$C$45,2,FALSE),0%)</f>
        <v>0</v>
      </c>
      <c r="AVX14" s="5">
        <f>IFERROR(VLOOKUP(AVX$1,'Factor Alfa'!$B$26:$C$45,2,FALSE),0%)</f>
        <v>0</v>
      </c>
      <c r="AVY14" s="5">
        <f>IFERROR(VLOOKUP(AVY$1,'Factor Alfa'!$B$26:$C$45,2,FALSE),0%)</f>
        <v>0</v>
      </c>
      <c r="AVZ14" s="5">
        <f>IFERROR(VLOOKUP(AVZ$1,'Factor Alfa'!$B$26:$C$45,2,FALSE),0%)</f>
        <v>0</v>
      </c>
      <c r="AWA14" s="5">
        <f>IFERROR(VLOOKUP(AWA$1,'Factor Alfa'!$B$26:$C$45,2,FALSE),0%)</f>
        <v>0</v>
      </c>
      <c r="AWB14" s="5">
        <f>IFERROR(VLOOKUP(AWB$1,'Factor Alfa'!$B$26:$C$45,2,FALSE),0%)</f>
        <v>0</v>
      </c>
      <c r="AWC14" s="5">
        <f>IFERROR(VLOOKUP(AWC$1,'Factor Alfa'!$B$26:$C$45,2,FALSE),0%)</f>
        <v>0</v>
      </c>
      <c r="AWD14" s="5">
        <f>IFERROR(VLOOKUP(AWD$1,'Factor Alfa'!$B$26:$C$45,2,FALSE),0%)</f>
        <v>0</v>
      </c>
      <c r="AWE14" s="5">
        <f>IFERROR(VLOOKUP(AWE$1,'Factor Alfa'!$B$26:$C$45,2,FALSE),0%)</f>
        <v>0</v>
      </c>
      <c r="AWF14" s="5">
        <f>IFERROR(VLOOKUP(AWF$1,'Factor Alfa'!$B$26:$C$45,2,FALSE),0%)</f>
        <v>0</v>
      </c>
      <c r="AWG14" s="5">
        <f>IFERROR(VLOOKUP(AWG$1,'Factor Alfa'!$B$26:$C$45,2,FALSE),0%)</f>
        <v>0</v>
      </c>
      <c r="AWH14" s="5">
        <f>IFERROR(VLOOKUP(AWH$1,'Factor Alfa'!$B$26:$C$45,2,FALSE),0%)</f>
        <v>0</v>
      </c>
      <c r="AWI14" s="5">
        <f>IFERROR(VLOOKUP(AWI$1,'Factor Alfa'!$B$26:$C$45,2,FALSE),0%)</f>
        <v>0</v>
      </c>
      <c r="AWJ14" s="5">
        <f>IFERROR(VLOOKUP(AWJ$1,'Factor Alfa'!$B$26:$C$45,2,FALSE),0%)</f>
        <v>0</v>
      </c>
      <c r="AWK14" s="5">
        <f>IFERROR(VLOOKUP(AWK$1,'Factor Alfa'!$B$26:$C$45,2,FALSE),0%)</f>
        <v>0</v>
      </c>
      <c r="AWL14" s="5">
        <f>IFERROR(VLOOKUP(AWL$1,'Factor Alfa'!$B$26:$C$45,2,FALSE),0%)</f>
        <v>0</v>
      </c>
      <c r="AWM14" s="5">
        <f>IFERROR(VLOOKUP(AWM$1,'Factor Alfa'!$B$26:$C$45,2,FALSE),0%)</f>
        <v>0</v>
      </c>
      <c r="AWN14" s="5">
        <f>IFERROR(VLOOKUP(AWN$1,'Factor Alfa'!$B$26:$C$45,2,FALSE),0%)</f>
        <v>0</v>
      </c>
      <c r="AWO14" s="5">
        <f>IFERROR(VLOOKUP(AWO$1,'Factor Alfa'!$B$26:$C$45,2,FALSE),0%)</f>
        <v>0</v>
      </c>
      <c r="AWP14" s="5">
        <f>IFERROR(VLOOKUP(AWP$1,'Factor Alfa'!$B$26:$C$45,2,FALSE),0%)</f>
        <v>0</v>
      </c>
      <c r="AWQ14" s="5">
        <f>IFERROR(VLOOKUP(AWQ$1,'Factor Alfa'!$B$26:$C$45,2,FALSE),0%)</f>
        <v>0</v>
      </c>
      <c r="AWR14" s="5">
        <f>IFERROR(VLOOKUP(AWR$1,'Factor Alfa'!$B$26:$C$45,2,FALSE),0%)</f>
        <v>0</v>
      </c>
      <c r="AWS14" s="5">
        <f>IFERROR(VLOOKUP(AWS$1,'Factor Alfa'!$B$26:$C$45,2,FALSE),0%)</f>
        <v>0</v>
      </c>
      <c r="AWT14" s="5">
        <f>IFERROR(VLOOKUP(AWT$1,'Factor Alfa'!$B$26:$C$45,2,FALSE),0%)</f>
        <v>0</v>
      </c>
      <c r="AWU14" s="5">
        <f>IFERROR(VLOOKUP(AWU$1,'Factor Alfa'!$B$26:$C$45,2,FALSE),0%)</f>
        <v>0</v>
      </c>
      <c r="AWV14" s="5">
        <f>IFERROR(VLOOKUP(AWV$1,'Factor Alfa'!$B$26:$C$45,2,FALSE),0%)</f>
        <v>0</v>
      </c>
      <c r="AWW14" s="5">
        <f>IFERROR(VLOOKUP(AWW$1,'Factor Alfa'!$B$26:$C$45,2,FALSE),0%)</f>
        <v>0</v>
      </c>
      <c r="AWX14" s="5">
        <f>IFERROR(VLOOKUP(AWX$1,'Factor Alfa'!$B$26:$C$45,2,FALSE),0%)</f>
        <v>0</v>
      </c>
      <c r="AWY14" s="5">
        <f>IFERROR(VLOOKUP(AWY$1,'Factor Alfa'!$B$26:$C$45,2,FALSE),0%)</f>
        <v>0</v>
      </c>
      <c r="AWZ14" s="5">
        <f>IFERROR(VLOOKUP(AWZ$1,'Factor Alfa'!$B$26:$C$45,2,FALSE),0%)</f>
        <v>0</v>
      </c>
      <c r="AXA14" s="5">
        <f>IFERROR(VLOOKUP(AXA$1,'Factor Alfa'!$B$26:$C$45,2,FALSE),0%)</f>
        <v>0</v>
      </c>
      <c r="AXB14" s="5">
        <f>IFERROR(VLOOKUP(AXB$1,'Factor Alfa'!$B$26:$C$45,2,FALSE),0%)</f>
        <v>0</v>
      </c>
      <c r="AXC14" s="5">
        <f>IFERROR(VLOOKUP(AXC$1,'Factor Alfa'!$B$26:$C$45,2,FALSE),0%)</f>
        <v>0</v>
      </c>
      <c r="AXD14" s="5">
        <f>IFERROR(VLOOKUP(AXD$1,'Factor Alfa'!$B$26:$C$45,2,FALSE),0%)</f>
        <v>0</v>
      </c>
      <c r="AXE14" s="5">
        <f>IFERROR(VLOOKUP(AXE$1,'Factor Alfa'!$B$26:$C$45,2,FALSE),0%)</f>
        <v>0</v>
      </c>
      <c r="AXF14" s="5">
        <f>IFERROR(VLOOKUP(AXF$1,'Factor Alfa'!$B$26:$C$45,2,FALSE),0%)</f>
        <v>0</v>
      </c>
      <c r="AXG14" s="5">
        <f>IFERROR(VLOOKUP(AXG$1,'Factor Alfa'!$B$26:$C$45,2,FALSE),0%)</f>
        <v>0</v>
      </c>
      <c r="AXH14" s="5">
        <f>IFERROR(VLOOKUP(AXH$1,'Factor Alfa'!$B$26:$C$45,2,FALSE),0%)</f>
        <v>0</v>
      </c>
      <c r="AXI14" s="5">
        <f>IFERROR(VLOOKUP(AXI$1,'Factor Alfa'!$B$26:$C$45,2,FALSE),0%)</f>
        <v>0</v>
      </c>
      <c r="AXJ14" s="5">
        <f>IFERROR(VLOOKUP(AXJ$1,'Factor Alfa'!$B$26:$C$45,2,FALSE),0%)</f>
        <v>0</v>
      </c>
      <c r="AXK14" s="5">
        <f>IFERROR(VLOOKUP(AXK$1,'Factor Alfa'!$B$26:$C$45,2,FALSE),0%)</f>
        <v>0</v>
      </c>
      <c r="AXL14" s="5">
        <f>IFERROR(VLOOKUP(AXL$1,'Factor Alfa'!$B$26:$C$45,2,FALSE),0%)</f>
        <v>0</v>
      </c>
      <c r="AXM14" s="5">
        <f>IFERROR(VLOOKUP(AXM$1,'Factor Alfa'!$B$26:$C$45,2,FALSE),0%)</f>
        <v>0</v>
      </c>
      <c r="AXN14" s="5">
        <f>IFERROR(VLOOKUP(AXN$1,'Factor Alfa'!$B$26:$C$45,2,FALSE),0%)</f>
        <v>0</v>
      </c>
      <c r="AXO14" s="5">
        <f>IFERROR(VLOOKUP(AXO$1,'Factor Alfa'!$B$26:$C$45,2,FALSE),0%)</f>
        <v>0</v>
      </c>
      <c r="AXP14" s="5">
        <f>IFERROR(VLOOKUP(AXP$1,'Factor Alfa'!$B$26:$C$45,2,FALSE),0%)</f>
        <v>0</v>
      </c>
      <c r="AXQ14" s="5">
        <f>IFERROR(VLOOKUP(AXQ$1,'Factor Alfa'!$B$26:$C$45,2,FALSE),0%)</f>
        <v>0</v>
      </c>
      <c r="AXR14" s="5">
        <f>IFERROR(VLOOKUP(AXR$1,'Factor Alfa'!$B$26:$C$45,2,FALSE),0%)</f>
        <v>0</v>
      </c>
      <c r="AXS14" s="5">
        <f>IFERROR(VLOOKUP(AXS$1,'Factor Alfa'!$B$26:$C$45,2,FALSE),0%)</f>
        <v>0</v>
      </c>
      <c r="AXT14" s="5">
        <f>IFERROR(VLOOKUP(AXT$1,'Factor Alfa'!$B$26:$C$45,2,FALSE),0%)</f>
        <v>0</v>
      </c>
      <c r="AXU14" s="5">
        <f>IFERROR(VLOOKUP(AXU$1,'Factor Alfa'!$B$26:$C$45,2,FALSE),0%)</f>
        <v>0</v>
      </c>
      <c r="AXV14" s="5">
        <f>IFERROR(VLOOKUP(AXV$1,'Factor Alfa'!$B$26:$C$45,2,FALSE),0%)</f>
        <v>0</v>
      </c>
      <c r="AXW14" s="5">
        <f>IFERROR(VLOOKUP(AXW$1,'Factor Alfa'!$B$26:$C$45,2,FALSE),0%)</f>
        <v>0</v>
      </c>
      <c r="AXX14" s="5">
        <f>IFERROR(VLOOKUP(AXX$1,'Factor Alfa'!$B$26:$C$45,2,FALSE),0%)</f>
        <v>0</v>
      </c>
      <c r="AXY14" s="5">
        <f>IFERROR(VLOOKUP(AXY$1,'Factor Alfa'!$B$26:$C$45,2,FALSE),0%)</f>
        <v>0</v>
      </c>
      <c r="AXZ14" s="5">
        <f>IFERROR(VLOOKUP(AXZ$1,'Factor Alfa'!$B$26:$C$45,2,FALSE),0%)</f>
        <v>0.04148</v>
      </c>
      <c r="AYA14" s="5">
        <f>IFERROR(VLOOKUP(AYA$1,'Factor Alfa'!$B$26:$C$45,2,FALSE),0%)</f>
        <v>0</v>
      </c>
      <c r="AYB14" s="5">
        <f>IFERROR(VLOOKUP(AYB$1,'Factor Alfa'!$B$26:$C$45,2,FALSE),0%)</f>
        <v>0</v>
      </c>
      <c r="AYC14" s="5">
        <f>IFERROR(VLOOKUP(AYC$1,'Factor Alfa'!$B$26:$C$45,2,FALSE),0%)</f>
        <v>0</v>
      </c>
      <c r="AYD14" s="5">
        <f>IFERROR(VLOOKUP(AYD$1,'Factor Alfa'!$B$26:$C$45,2,FALSE),0%)</f>
        <v>0</v>
      </c>
      <c r="AYE14" s="5">
        <f>IFERROR(VLOOKUP(AYE$1,'Factor Alfa'!$B$26:$C$45,2,FALSE),0%)</f>
        <v>0</v>
      </c>
      <c r="AYF14" s="5">
        <f>IFERROR(VLOOKUP(AYF$1,'Factor Alfa'!$B$26:$C$45,2,FALSE),0%)</f>
        <v>0</v>
      </c>
      <c r="AYG14" s="5">
        <f>IFERROR(VLOOKUP(AYG$1,'Factor Alfa'!$B$26:$C$45,2,FALSE),0%)</f>
        <v>0</v>
      </c>
      <c r="AYH14" s="5">
        <f>IFERROR(VLOOKUP(AYH$1,'Factor Alfa'!$B$26:$C$45,2,FALSE),0%)</f>
        <v>0</v>
      </c>
      <c r="AYI14" s="5">
        <f>IFERROR(VLOOKUP(AYI$1,'Factor Alfa'!$B$26:$C$45,2,FALSE),0%)</f>
        <v>0</v>
      </c>
      <c r="AYJ14" s="5">
        <f>IFERROR(VLOOKUP(AYJ$1,'Factor Alfa'!$B$26:$C$45,2,FALSE),0%)</f>
        <v>0</v>
      </c>
      <c r="AYK14" s="5">
        <f>IFERROR(VLOOKUP(AYK$1,'Factor Alfa'!$B$26:$C$45,2,FALSE),0%)</f>
        <v>0</v>
      </c>
      <c r="AYL14" s="5">
        <f>IFERROR(VLOOKUP(AYL$1,'Factor Alfa'!$B$26:$C$45,2,FALSE),0%)</f>
        <v>0</v>
      </c>
      <c r="AYM14" s="5">
        <f>IFERROR(VLOOKUP(AYM$1,'Factor Alfa'!$B$26:$C$45,2,FALSE),0%)</f>
        <v>0</v>
      </c>
      <c r="AYN14" s="5">
        <f>IFERROR(VLOOKUP(AYN$1,'Factor Alfa'!$B$26:$C$45,2,FALSE),0%)</f>
        <v>0</v>
      </c>
      <c r="AYO14" s="5">
        <f>IFERROR(VLOOKUP(AYO$1,'Factor Alfa'!$B$26:$C$45,2,FALSE),0%)</f>
        <v>0</v>
      </c>
      <c r="AYP14" s="5">
        <f>IFERROR(VLOOKUP(AYP$1,'Factor Alfa'!$B$26:$C$45,2,FALSE),0%)</f>
        <v>0</v>
      </c>
      <c r="AYQ14" s="5">
        <f>IFERROR(VLOOKUP(AYQ$1,'Factor Alfa'!$B$26:$C$45,2,FALSE),0%)</f>
        <v>0</v>
      </c>
      <c r="AYR14" s="5">
        <f>IFERROR(VLOOKUP(AYR$1,'Factor Alfa'!$B$26:$C$45,2,FALSE),0%)</f>
        <v>0</v>
      </c>
      <c r="AYS14" s="5">
        <f>IFERROR(VLOOKUP(AYS$1,'Factor Alfa'!$B$26:$C$45,2,FALSE),0%)</f>
        <v>0</v>
      </c>
      <c r="AYT14" s="5">
        <f>IFERROR(VLOOKUP(AYT$1,'Factor Alfa'!$B$26:$C$45,2,FALSE),0%)</f>
        <v>0</v>
      </c>
      <c r="AYU14" s="5">
        <f>IFERROR(VLOOKUP(AYU$1,'Factor Alfa'!$B$26:$C$45,2,FALSE),0%)</f>
        <v>0</v>
      </c>
      <c r="AYV14" s="5">
        <f>IFERROR(VLOOKUP(AYV$1,'Factor Alfa'!$B$26:$C$45,2,FALSE),0%)</f>
        <v>0</v>
      </c>
      <c r="AYW14" s="5">
        <f>IFERROR(VLOOKUP(AYW$1,'Factor Alfa'!$B$26:$C$45,2,FALSE),0%)</f>
        <v>0</v>
      </c>
      <c r="AYX14" s="5">
        <f>IFERROR(VLOOKUP(AYX$1,'Factor Alfa'!$B$26:$C$45,2,FALSE),0%)</f>
        <v>0</v>
      </c>
      <c r="AYY14" s="5">
        <f>IFERROR(VLOOKUP(AYY$1,'Factor Alfa'!$B$26:$C$45,2,FALSE),0%)</f>
        <v>0</v>
      </c>
      <c r="AYZ14" s="5">
        <f>IFERROR(VLOOKUP(AYZ$1,'Factor Alfa'!$B$26:$C$45,2,FALSE),0%)</f>
        <v>0</v>
      </c>
      <c r="AZA14" s="5">
        <f>IFERROR(VLOOKUP(AZA$1,'Factor Alfa'!$B$26:$C$45,2,FALSE),0%)</f>
        <v>0</v>
      </c>
      <c r="AZB14" s="5">
        <f>IFERROR(VLOOKUP(AZB$1,'Factor Alfa'!$B$26:$C$45,2,FALSE),0%)</f>
        <v>0</v>
      </c>
      <c r="AZC14" s="5">
        <f>IFERROR(VLOOKUP(AZC$1,'Factor Alfa'!$B$26:$C$45,2,FALSE),0%)</f>
        <v>0</v>
      </c>
      <c r="AZD14" s="5">
        <f>IFERROR(VLOOKUP(AZD$1,'Factor Alfa'!$B$26:$C$45,2,FALSE),0%)</f>
        <v>0</v>
      </c>
      <c r="AZE14" s="5">
        <f>IFERROR(VLOOKUP(AZE$1,'Factor Alfa'!$B$26:$C$45,2,FALSE),0%)</f>
        <v>0</v>
      </c>
      <c r="AZF14" s="5">
        <f>IFERROR(VLOOKUP(AZF$1,'Factor Alfa'!$B$26:$C$45,2,FALSE),0%)</f>
        <v>0</v>
      </c>
      <c r="AZG14" s="5">
        <f>IFERROR(VLOOKUP(AZG$1,'Factor Alfa'!$B$26:$C$45,2,FALSE),0%)</f>
        <v>0</v>
      </c>
      <c r="AZH14" s="5">
        <f>IFERROR(VLOOKUP(AZH$1,'Factor Alfa'!$B$26:$C$45,2,FALSE),0%)</f>
        <v>0</v>
      </c>
      <c r="AZI14" s="5">
        <f>IFERROR(VLOOKUP(AZI$1,'Factor Alfa'!$B$26:$C$45,2,FALSE),0%)</f>
        <v>0</v>
      </c>
      <c r="AZJ14" s="5">
        <f>IFERROR(VLOOKUP(AZJ$1,'Factor Alfa'!$B$26:$C$45,2,FALSE),0%)</f>
        <v>0</v>
      </c>
      <c r="AZK14" s="5">
        <f>IFERROR(VLOOKUP(AZK$1,'Factor Alfa'!$B$26:$C$45,2,FALSE),0%)</f>
        <v>0</v>
      </c>
      <c r="AZL14" s="5">
        <f>IFERROR(VLOOKUP(AZL$1,'Factor Alfa'!$B$26:$C$45,2,FALSE),0%)</f>
        <v>0</v>
      </c>
      <c r="AZM14" s="5">
        <f>IFERROR(VLOOKUP(AZM$1,'Factor Alfa'!$B$26:$C$45,2,FALSE),0%)</f>
        <v>0</v>
      </c>
      <c r="AZN14" s="5">
        <f>IFERROR(VLOOKUP(AZN$1,'Factor Alfa'!$B$26:$C$45,2,FALSE),0%)</f>
        <v>0</v>
      </c>
      <c r="AZO14" s="5">
        <f>IFERROR(VLOOKUP(AZO$1,'Factor Alfa'!$B$26:$C$45,2,FALSE),0%)</f>
        <v>0</v>
      </c>
      <c r="AZP14" s="5">
        <f>IFERROR(VLOOKUP(AZP$1,'Factor Alfa'!$B$26:$C$45,2,FALSE),0%)</f>
        <v>0</v>
      </c>
      <c r="AZQ14" s="5">
        <f>IFERROR(VLOOKUP(AZQ$1,'Factor Alfa'!$B$26:$C$45,2,FALSE),0%)</f>
        <v>0</v>
      </c>
      <c r="AZR14" s="5">
        <f>IFERROR(VLOOKUP(AZR$1,'Factor Alfa'!$B$26:$C$45,2,FALSE),0%)</f>
        <v>0</v>
      </c>
      <c r="AZS14" s="5">
        <f>IFERROR(VLOOKUP(AZS$1,'Factor Alfa'!$B$26:$C$45,2,FALSE),0%)</f>
        <v>0</v>
      </c>
      <c r="AZT14" s="5">
        <f>IFERROR(VLOOKUP(AZT$1,'Factor Alfa'!$B$26:$C$45,2,FALSE),0%)</f>
        <v>0</v>
      </c>
      <c r="AZU14" s="5">
        <f>IFERROR(VLOOKUP(AZU$1,'Factor Alfa'!$B$26:$C$45,2,FALSE),0%)</f>
        <v>0</v>
      </c>
      <c r="AZV14" s="5">
        <f>IFERROR(VLOOKUP(AZV$1,'Factor Alfa'!$B$26:$C$45,2,FALSE),0%)</f>
        <v>0</v>
      </c>
      <c r="AZW14" s="5">
        <f>IFERROR(VLOOKUP(AZW$1,'Factor Alfa'!$B$26:$C$45,2,FALSE),0%)</f>
        <v>0</v>
      </c>
      <c r="AZX14" s="5">
        <f>IFERROR(VLOOKUP(AZX$1,'Factor Alfa'!$B$26:$C$45,2,FALSE),0%)</f>
        <v>0</v>
      </c>
      <c r="AZY14" s="5">
        <f>IFERROR(VLOOKUP(AZY$1,'Factor Alfa'!$B$26:$C$45,2,FALSE),0%)</f>
        <v>0</v>
      </c>
      <c r="AZZ14" s="5">
        <f>IFERROR(VLOOKUP(AZZ$1,'Factor Alfa'!$B$26:$C$45,2,FALSE),0%)</f>
        <v>0</v>
      </c>
      <c r="BAA14" s="5">
        <f>IFERROR(VLOOKUP(BAA$1,'Factor Alfa'!$B$26:$C$45,2,FALSE),0%)</f>
        <v>0</v>
      </c>
      <c r="BAB14" s="5">
        <f>IFERROR(VLOOKUP(BAB$1,'Factor Alfa'!$B$26:$C$45,2,FALSE),0%)</f>
        <v>0</v>
      </c>
      <c r="BAC14" s="5">
        <f>IFERROR(VLOOKUP(BAC$1,'Factor Alfa'!$B$26:$C$45,2,FALSE),0%)</f>
        <v>0</v>
      </c>
      <c r="BAD14" s="5">
        <f>IFERROR(VLOOKUP(BAD$1,'Factor Alfa'!$B$26:$C$45,2,FALSE),0%)</f>
        <v>0</v>
      </c>
      <c r="BAE14" s="5">
        <f>IFERROR(VLOOKUP(BAE$1,'Factor Alfa'!$B$26:$C$45,2,FALSE),0%)</f>
        <v>0</v>
      </c>
      <c r="BAF14" s="5">
        <f>IFERROR(VLOOKUP(BAF$1,'Factor Alfa'!$B$26:$C$45,2,FALSE),0%)</f>
        <v>0</v>
      </c>
      <c r="BAG14" s="5">
        <f>IFERROR(VLOOKUP(BAG$1,'Factor Alfa'!$B$26:$C$45,2,FALSE),0%)</f>
        <v>0</v>
      </c>
      <c r="BAH14" s="5">
        <f>IFERROR(VLOOKUP(BAH$1,'Factor Alfa'!$B$26:$C$45,2,FALSE),0%)</f>
        <v>0</v>
      </c>
      <c r="BAI14" s="5">
        <f>IFERROR(VLOOKUP(BAI$1,'Factor Alfa'!$B$26:$C$45,2,FALSE),0%)</f>
        <v>0</v>
      </c>
      <c r="BAJ14" s="5">
        <f>IFERROR(VLOOKUP(BAJ$1,'Factor Alfa'!$B$26:$C$45,2,FALSE),0%)</f>
        <v>0</v>
      </c>
      <c r="BAK14" s="5">
        <f>IFERROR(VLOOKUP(BAK$1,'Factor Alfa'!$B$26:$C$45,2,FALSE),0%)</f>
        <v>0</v>
      </c>
      <c r="BAL14" s="5">
        <f>IFERROR(VLOOKUP(BAL$1,'Factor Alfa'!$B$26:$C$45,2,FALSE),0%)</f>
        <v>0</v>
      </c>
      <c r="BAM14" s="5">
        <f>IFERROR(VLOOKUP(BAM$1,'Factor Alfa'!$B$26:$C$45,2,FALSE),0%)</f>
        <v>0</v>
      </c>
      <c r="BAN14" s="5">
        <f>IFERROR(VLOOKUP(BAN$1,'Factor Alfa'!$B$26:$C$45,2,FALSE),0%)</f>
        <v>0</v>
      </c>
      <c r="BAO14" s="5">
        <f>IFERROR(VLOOKUP(BAO$1,'Factor Alfa'!$B$26:$C$45,2,FALSE),0%)</f>
        <v>0</v>
      </c>
      <c r="BAP14" s="5">
        <f>IFERROR(VLOOKUP(BAP$1,'Factor Alfa'!$B$26:$C$45,2,FALSE),0%)</f>
        <v>0</v>
      </c>
      <c r="BAQ14" s="5">
        <f>IFERROR(VLOOKUP(BAQ$1,'Factor Alfa'!$B$26:$C$45,2,FALSE),0%)</f>
        <v>0</v>
      </c>
      <c r="BAR14" s="5">
        <f>IFERROR(VLOOKUP(BAR$1,'Factor Alfa'!$B$26:$C$45,2,FALSE),0%)</f>
        <v>0</v>
      </c>
      <c r="BAS14" s="5">
        <f>IFERROR(VLOOKUP(BAS$1,'Factor Alfa'!$B$26:$C$45,2,FALSE),0%)</f>
        <v>0</v>
      </c>
      <c r="BAT14" s="5">
        <f>IFERROR(VLOOKUP(BAT$1,'Factor Alfa'!$B$26:$C$45,2,FALSE),0%)</f>
        <v>0</v>
      </c>
      <c r="BAU14" s="5">
        <f>IFERROR(VLOOKUP(BAU$1,'Factor Alfa'!$B$26:$C$45,2,FALSE),0%)</f>
        <v>0</v>
      </c>
      <c r="BAV14" s="5">
        <f>IFERROR(VLOOKUP(BAV$1,'Factor Alfa'!$B$26:$C$45,2,FALSE),0%)</f>
        <v>0</v>
      </c>
      <c r="BAW14" s="5">
        <f>IFERROR(VLOOKUP(BAW$1,'Factor Alfa'!$B$26:$C$45,2,FALSE),0%)</f>
        <v>0</v>
      </c>
      <c r="BAX14" s="5">
        <f>IFERROR(VLOOKUP(BAX$1,'Factor Alfa'!$B$26:$C$45,2,FALSE),0%)</f>
        <v>0</v>
      </c>
      <c r="BAY14" s="5">
        <f>IFERROR(VLOOKUP(BAY$1,'Factor Alfa'!$B$26:$C$45,2,FALSE),0%)</f>
        <v>0</v>
      </c>
      <c r="BAZ14" s="5">
        <f>IFERROR(VLOOKUP(BAZ$1,'Factor Alfa'!$B$26:$C$45,2,FALSE),0%)</f>
        <v>0</v>
      </c>
      <c r="BBA14" s="5">
        <f>IFERROR(VLOOKUP(BBA$1,'Factor Alfa'!$B$26:$C$45,2,FALSE),0%)</f>
        <v>0</v>
      </c>
      <c r="BBB14" s="5">
        <f>IFERROR(VLOOKUP(BBB$1,'Factor Alfa'!$B$26:$C$45,2,FALSE),0%)</f>
        <v>0</v>
      </c>
      <c r="BBC14" s="5">
        <f>IFERROR(VLOOKUP(BBC$1,'Factor Alfa'!$B$26:$C$45,2,FALSE),0%)</f>
        <v>0</v>
      </c>
      <c r="BBD14" s="5">
        <f>IFERROR(VLOOKUP(BBD$1,'Factor Alfa'!$B$26:$C$45,2,FALSE),0%)</f>
        <v>0</v>
      </c>
      <c r="BBE14" s="5">
        <f>IFERROR(VLOOKUP(BBE$1,'Factor Alfa'!$B$26:$C$45,2,FALSE),0%)</f>
        <v>0</v>
      </c>
      <c r="BBF14" s="5">
        <f>IFERROR(VLOOKUP(BBF$1,'Factor Alfa'!$B$26:$C$45,2,FALSE),0%)</f>
        <v>0</v>
      </c>
      <c r="BBG14" s="5">
        <f>IFERROR(VLOOKUP(BBG$1,'Factor Alfa'!$B$26:$C$45,2,FALSE),0%)</f>
        <v>0</v>
      </c>
      <c r="BBH14" s="5">
        <f>IFERROR(VLOOKUP(BBH$1,'Factor Alfa'!$B$26:$C$45,2,FALSE),0%)</f>
        <v>0</v>
      </c>
      <c r="BBI14" s="5">
        <f>IFERROR(VLOOKUP(BBI$1,'Factor Alfa'!$B$26:$C$45,2,FALSE),0%)</f>
        <v>0</v>
      </c>
      <c r="BBJ14" s="5">
        <f>IFERROR(VLOOKUP(BBJ$1,'Factor Alfa'!$B$26:$C$45,2,FALSE),0%)</f>
        <v>0</v>
      </c>
      <c r="BBK14" s="5">
        <f>IFERROR(VLOOKUP(BBK$1,'Factor Alfa'!$B$26:$C$45,2,FALSE),0%)</f>
        <v>0</v>
      </c>
      <c r="BBL14" s="5">
        <f>IFERROR(VLOOKUP(BBL$1,'Factor Alfa'!$B$26:$C$45,2,FALSE),0%)</f>
        <v>0</v>
      </c>
      <c r="BBM14" s="5">
        <f>IFERROR(VLOOKUP(BBM$1,'Factor Alfa'!$B$26:$C$45,2,FALSE),0%)</f>
        <v>0</v>
      </c>
      <c r="BBN14" s="5">
        <f>IFERROR(VLOOKUP(BBN$1,'Factor Alfa'!$B$26:$C$45,2,FALSE),0%)</f>
        <v>0</v>
      </c>
      <c r="BBO14" s="5">
        <f>IFERROR(VLOOKUP(BBO$1,'Factor Alfa'!$B$26:$C$45,2,FALSE),0%)</f>
        <v>0</v>
      </c>
      <c r="BBP14" s="5">
        <f>IFERROR(VLOOKUP(BBP$1,'Factor Alfa'!$B$26:$C$45,2,FALSE),0%)</f>
        <v>0</v>
      </c>
      <c r="BBQ14" s="5">
        <f>IFERROR(VLOOKUP(BBQ$1,'Factor Alfa'!$B$26:$C$45,2,FALSE),0%)</f>
        <v>0</v>
      </c>
      <c r="BBR14" s="5">
        <f>IFERROR(VLOOKUP(BBR$1,'Factor Alfa'!$B$26:$C$45,2,FALSE),0%)</f>
        <v>0</v>
      </c>
      <c r="BBS14" s="5">
        <f>IFERROR(VLOOKUP(BBS$1,'Factor Alfa'!$B$26:$C$45,2,FALSE),0%)</f>
        <v>0</v>
      </c>
      <c r="BBT14" s="5">
        <f>IFERROR(VLOOKUP(BBT$1,'Factor Alfa'!$B$26:$C$45,2,FALSE),0%)</f>
        <v>0</v>
      </c>
      <c r="BBU14" s="5">
        <f>IFERROR(VLOOKUP(BBU$1,'Factor Alfa'!$B$26:$C$45,2,FALSE),0%)</f>
        <v>0</v>
      </c>
      <c r="BBV14" s="5">
        <f>IFERROR(VLOOKUP(BBV$1,'Factor Alfa'!$B$26:$C$45,2,FALSE),0%)</f>
        <v>0</v>
      </c>
      <c r="BBW14" s="5">
        <f>IFERROR(VLOOKUP(BBW$1,'Factor Alfa'!$B$26:$C$45,2,FALSE),0%)</f>
        <v>0</v>
      </c>
      <c r="BBX14" s="5">
        <f>IFERROR(VLOOKUP(BBX$1,'Factor Alfa'!$B$26:$C$45,2,FALSE),0%)</f>
        <v>0</v>
      </c>
      <c r="BBY14" s="5">
        <f>IFERROR(VLOOKUP(BBY$1,'Factor Alfa'!$B$26:$C$45,2,FALSE),0%)</f>
        <v>0</v>
      </c>
      <c r="BBZ14" s="5">
        <f>IFERROR(VLOOKUP(BBZ$1,'Factor Alfa'!$B$26:$C$45,2,FALSE),0%)</f>
        <v>0</v>
      </c>
      <c r="BCA14" s="5">
        <f>IFERROR(VLOOKUP(BCA$1,'Factor Alfa'!$B$26:$C$45,2,FALSE),0%)</f>
        <v>0</v>
      </c>
      <c r="BCB14" s="5">
        <f>IFERROR(VLOOKUP(BCB$1,'Factor Alfa'!$B$26:$C$45,2,FALSE),0%)</f>
        <v>0</v>
      </c>
      <c r="BCC14" s="5">
        <f>IFERROR(VLOOKUP(BCC$1,'Factor Alfa'!$B$26:$C$45,2,FALSE),0%)</f>
        <v>0</v>
      </c>
      <c r="BCD14" s="5">
        <f>IFERROR(VLOOKUP(BCD$1,'Factor Alfa'!$B$26:$C$45,2,FALSE),0%)</f>
        <v>0</v>
      </c>
      <c r="BCE14" s="5">
        <f>IFERROR(VLOOKUP(BCE$1,'Factor Alfa'!$B$26:$C$45,2,FALSE),0%)</f>
        <v>0</v>
      </c>
      <c r="BCF14" s="5">
        <f>IFERROR(VLOOKUP(BCF$1,'Factor Alfa'!$B$26:$C$45,2,FALSE),0%)</f>
        <v>0</v>
      </c>
      <c r="BCG14" s="5">
        <f>IFERROR(VLOOKUP(BCG$1,'Factor Alfa'!$B$26:$C$45,2,FALSE),0%)</f>
        <v>0</v>
      </c>
      <c r="BCH14" s="5">
        <f>IFERROR(VLOOKUP(BCH$1,'Factor Alfa'!$B$26:$C$45,2,FALSE),0%)</f>
        <v>0</v>
      </c>
      <c r="BCI14" s="5">
        <f>IFERROR(VLOOKUP(BCI$1,'Factor Alfa'!$B$26:$C$45,2,FALSE),0%)</f>
        <v>0</v>
      </c>
      <c r="BCJ14" s="5">
        <f>IFERROR(VLOOKUP(BCJ$1,'Factor Alfa'!$B$26:$C$45,2,FALSE),0%)</f>
        <v>0</v>
      </c>
      <c r="BCK14" s="5">
        <f>IFERROR(VLOOKUP(BCK$1,'Factor Alfa'!$B$26:$C$45,2,FALSE),0%)</f>
        <v>0.04004</v>
      </c>
      <c r="BCL14" s="5">
        <f>IFERROR(VLOOKUP(BCL$1,'Factor Alfa'!$B$26:$C$45,2,FALSE),0%)</f>
        <v>0</v>
      </c>
      <c r="BCM14" s="5">
        <f>IFERROR(VLOOKUP(BCM$1,'Factor Alfa'!$B$26:$C$45,2,FALSE),0%)</f>
        <v>0</v>
      </c>
      <c r="BCN14" s="5">
        <f>IFERROR(VLOOKUP(BCN$1,'Factor Alfa'!$B$26:$C$45,2,FALSE),0%)</f>
        <v>0</v>
      </c>
      <c r="BCO14" s="5">
        <f>IFERROR(VLOOKUP(BCO$1,'Factor Alfa'!$B$26:$C$45,2,FALSE),0%)</f>
        <v>0</v>
      </c>
      <c r="BCP14" s="5">
        <f>IFERROR(VLOOKUP(BCP$1,'Factor Alfa'!$B$26:$C$45,2,FALSE),0%)</f>
        <v>0</v>
      </c>
      <c r="BCQ14" s="5">
        <f>IFERROR(VLOOKUP(BCQ$1,'Factor Alfa'!$B$26:$C$45,2,FALSE),0%)</f>
        <v>0</v>
      </c>
      <c r="BCR14" s="5">
        <f>IFERROR(VLOOKUP(BCR$1,'Factor Alfa'!$B$26:$C$45,2,FALSE),0%)</f>
        <v>0</v>
      </c>
      <c r="BCS14" s="5">
        <f>IFERROR(VLOOKUP(BCS$1,'Factor Alfa'!$B$26:$C$45,2,FALSE),0%)</f>
        <v>0</v>
      </c>
      <c r="BCT14" s="5">
        <f>IFERROR(VLOOKUP(BCT$1,'Factor Alfa'!$B$26:$C$45,2,FALSE),0%)</f>
        <v>0</v>
      </c>
      <c r="BCU14" s="5">
        <f>IFERROR(VLOOKUP(BCU$1,'Factor Alfa'!$B$26:$C$45,2,FALSE),0%)</f>
        <v>0</v>
      </c>
      <c r="BCV14" s="5">
        <f>IFERROR(VLOOKUP(BCV$1,'Factor Alfa'!$B$26:$C$45,2,FALSE),0%)</f>
        <v>0</v>
      </c>
      <c r="BCW14" s="5">
        <f>IFERROR(VLOOKUP(BCW$1,'Factor Alfa'!$B$26:$C$45,2,FALSE),0%)</f>
        <v>0</v>
      </c>
      <c r="BCX14" s="5">
        <f>IFERROR(VLOOKUP(BCX$1,'Factor Alfa'!$B$26:$C$45,2,FALSE),0%)</f>
        <v>0</v>
      </c>
      <c r="BCY14" s="5">
        <f>IFERROR(VLOOKUP(BCY$1,'Factor Alfa'!$B$26:$C$45,2,FALSE),0%)</f>
        <v>0</v>
      </c>
      <c r="BCZ14" s="5">
        <f>IFERROR(VLOOKUP(BCZ$1,'Factor Alfa'!$B$26:$C$45,2,FALSE),0%)</f>
        <v>0</v>
      </c>
      <c r="BDA14" s="5">
        <f>IFERROR(VLOOKUP(BDA$1,'Factor Alfa'!$B$26:$C$45,2,FALSE),0%)</f>
        <v>0</v>
      </c>
      <c r="BDB14" s="5">
        <f>IFERROR(VLOOKUP(BDB$1,'Factor Alfa'!$B$26:$C$45,2,FALSE),0%)</f>
        <v>0</v>
      </c>
      <c r="BDC14" s="5">
        <f>IFERROR(VLOOKUP(BDC$1,'Factor Alfa'!$B$26:$C$45,2,FALSE),0%)</f>
        <v>0</v>
      </c>
      <c r="BDD14" s="5">
        <f>IFERROR(VLOOKUP(BDD$1,'Factor Alfa'!$B$26:$C$45,2,FALSE),0%)</f>
        <v>0</v>
      </c>
      <c r="BDE14" s="5">
        <f>IFERROR(VLOOKUP(BDE$1,'Factor Alfa'!$B$26:$C$45,2,FALSE),0%)</f>
        <v>0</v>
      </c>
      <c r="BDF14" s="5">
        <f>IFERROR(VLOOKUP(BDF$1,'Factor Alfa'!$B$26:$C$45,2,FALSE),0%)</f>
        <v>0</v>
      </c>
      <c r="BDG14" s="5">
        <f>IFERROR(VLOOKUP(BDG$1,'Factor Alfa'!$B$26:$C$45,2,FALSE),0%)</f>
        <v>0</v>
      </c>
      <c r="BDH14" s="5">
        <f>IFERROR(VLOOKUP(BDH$1,'Factor Alfa'!$B$26:$C$45,2,FALSE),0%)</f>
        <v>0</v>
      </c>
      <c r="BDI14" s="5">
        <f>IFERROR(VLOOKUP(BDI$1,'Factor Alfa'!$B$26:$C$45,2,FALSE),0%)</f>
        <v>0</v>
      </c>
      <c r="BDJ14" s="5">
        <f>IFERROR(VLOOKUP(BDJ$1,'Factor Alfa'!$B$26:$C$45,2,FALSE),0%)</f>
        <v>0</v>
      </c>
      <c r="BDK14" s="5">
        <f>IFERROR(VLOOKUP(BDK$1,'Factor Alfa'!$B$26:$C$45,2,FALSE),0%)</f>
        <v>0</v>
      </c>
      <c r="BDL14" s="5">
        <f>IFERROR(VLOOKUP(BDL$1,'Factor Alfa'!$B$26:$C$45,2,FALSE),0%)</f>
        <v>0</v>
      </c>
      <c r="BDM14" s="5">
        <f>IFERROR(VLOOKUP(BDM$1,'Factor Alfa'!$B$26:$C$45,2,FALSE),0%)</f>
        <v>0</v>
      </c>
      <c r="BDN14" s="5">
        <f>IFERROR(VLOOKUP(BDN$1,'Factor Alfa'!$B$26:$C$45,2,FALSE),0%)</f>
        <v>0</v>
      </c>
      <c r="BDO14" s="5">
        <f>IFERROR(VLOOKUP(BDO$1,'Factor Alfa'!$B$26:$C$45,2,FALSE),0%)</f>
        <v>0</v>
      </c>
      <c r="BDP14" s="5">
        <f>IFERROR(VLOOKUP(BDP$1,'Factor Alfa'!$B$26:$C$45,2,FALSE),0%)</f>
        <v>0</v>
      </c>
      <c r="BDQ14" s="5">
        <f>IFERROR(VLOOKUP(BDQ$1,'Factor Alfa'!$B$26:$C$45,2,FALSE),0%)</f>
        <v>0</v>
      </c>
      <c r="BDR14" s="5">
        <f>IFERROR(VLOOKUP(BDR$1,'Factor Alfa'!$B$26:$C$45,2,FALSE),0%)</f>
        <v>0</v>
      </c>
      <c r="BDS14" s="5">
        <f>IFERROR(VLOOKUP(BDS$1,'Factor Alfa'!$B$26:$C$45,2,FALSE),0%)</f>
        <v>0</v>
      </c>
      <c r="BDT14" s="5">
        <f>IFERROR(VLOOKUP(BDT$1,'Factor Alfa'!$B$26:$C$45,2,FALSE),0%)</f>
        <v>0</v>
      </c>
      <c r="BDU14" s="5">
        <f>IFERROR(VLOOKUP(BDU$1,'Factor Alfa'!$B$26:$C$45,2,FALSE),0%)</f>
        <v>0</v>
      </c>
      <c r="BDV14" s="5">
        <f>IFERROR(VLOOKUP(BDV$1,'Factor Alfa'!$B$26:$C$45,2,FALSE),0%)</f>
        <v>0</v>
      </c>
      <c r="BDW14" s="5">
        <f>IFERROR(VLOOKUP(BDW$1,'Factor Alfa'!$B$26:$C$45,2,FALSE),0%)</f>
        <v>0</v>
      </c>
      <c r="BDX14" s="5">
        <f>IFERROR(VLOOKUP(BDX$1,'Factor Alfa'!$B$26:$C$45,2,FALSE),0%)</f>
        <v>0</v>
      </c>
      <c r="BDY14" s="5">
        <f>IFERROR(VLOOKUP(BDY$1,'Factor Alfa'!$B$26:$C$45,2,FALSE),0%)</f>
        <v>0</v>
      </c>
      <c r="BDZ14" s="5">
        <f>IFERROR(VLOOKUP(BDZ$1,'Factor Alfa'!$B$26:$C$45,2,FALSE),0%)</f>
        <v>0</v>
      </c>
      <c r="BEA14" s="5">
        <f>IFERROR(VLOOKUP(BEA$1,'Factor Alfa'!$B$26:$C$45,2,FALSE),0%)</f>
        <v>0</v>
      </c>
      <c r="BEB14" s="5">
        <f>IFERROR(VLOOKUP(BEB$1,'Factor Alfa'!$B$26:$C$45,2,FALSE),0%)</f>
        <v>0</v>
      </c>
      <c r="BEC14" s="5">
        <f>IFERROR(VLOOKUP(BEC$1,'Factor Alfa'!$B$26:$C$45,2,FALSE),0%)</f>
        <v>0</v>
      </c>
      <c r="BED14" s="5">
        <f>IFERROR(VLOOKUP(BED$1,'Factor Alfa'!$B$26:$C$45,2,FALSE),0%)</f>
        <v>0</v>
      </c>
      <c r="BEE14" s="5">
        <f>IFERROR(VLOOKUP(BEE$1,'Factor Alfa'!$B$26:$C$45,2,FALSE),0%)</f>
        <v>0</v>
      </c>
      <c r="BEF14" s="5">
        <f>IFERROR(VLOOKUP(BEF$1,'Factor Alfa'!$B$26:$C$45,2,FALSE),0%)</f>
        <v>0</v>
      </c>
      <c r="BEG14" s="5">
        <f>IFERROR(VLOOKUP(BEG$1,'Factor Alfa'!$B$26:$C$45,2,FALSE),0%)</f>
        <v>0</v>
      </c>
      <c r="BEH14" s="5">
        <f>IFERROR(VLOOKUP(BEH$1,'Factor Alfa'!$B$26:$C$45,2,FALSE),0%)</f>
        <v>0</v>
      </c>
      <c r="BEI14" s="5">
        <f>IFERROR(VLOOKUP(BEI$1,'Factor Alfa'!$B$26:$C$45,2,FALSE),0%)</f>
        <v>0</v>
      </c>
      <c r="BEJ14" s="5">
        <f>IFERROR(VLOOKUP(BEJ$1,'Factor Alfa'!$B$26:$C$45,2,FALSE),0%)</f>
        <v>0</v>
      </c>
      <c r="BEK14" s="5">
        <f>IFERROR(VLOOKUP(BEK$1,'Factor Alfa'!$B$26:$C$45,2,FALSE),0%)</f>
        <v>0</v>
      </c>
      <c r="BEL14" s="5">
        <f>IFERROR(VLOOKUP(BEL$1,'Factor Alfa'!$B$26:$C$45,2,FALSE),0%)</f>
        <v>0</v>
      </c>
      <c r="BEM14" s="5">
        <f>IFERROR(VLOOKUP(BEM$1,'Factor Alfa'!$B$26:$C$45,2,FALSE),0%)</f>
        <v>0</v>
      </c>
      <c r="BEN14" s="5">
        <f>IFERROR(VLOOKUP(BEN$1,'Factor Alfa'!$B$26:$C$45,2,FALSE),0%)</f>
        <v>0</v>
      </c>
      <c r="BEO14" s="5">
        <f>IFERROR(VLOOKUP(BEO$1,'Factor Alfa'!$B$26:$C$45,2,FALSE),0%)</f>
        <v>0</v>
      </c>
      <c r="BEP14" s="5">
        <f>IFERROR(VLOOKUP(BEP$1,'Factor Alfa'!$B$26:$C$45,2,FALSE),0%)</f>
        <v>0</v>
      </c>
      <c r="BEQ14" s="5">
        <f>IFERROR(VLOOKUP(BEQ$1,'Factor Alfa'!$B$26:$C$45,2,FALSE),0%)</f>
        <v>0</v>
      </c>
      <c r="BER14" s="5">
        <f>IFERROR(VLOOKUP(BER$1,'Factor Alfa'!$B$26:$C$45,2,FALSE),0%)</f>
        <v>0</v>
      </c>
      <c r="BES14" s="5">
        <f>IFERROR(VLOOKUP(BES$1,'Factor Alfa'!$B$26:$C$45,2,FALSE),0%)</f>
        <v>0.04148</v>
      </c>
      <c r="BET14" s="5">
        <f>IFERROR(VLOOKUP(BET$1,'Factor Alfa'!$B$26:$C$45,2,FALSE),0%)</f>
        <v>0</v>
      </c>
      <c r="BEU14" s="5">
        <f>IFERROR(VLOOKUP(BEU$1,'Factor Alfa'!$B$26:$C$45,2,FALSE),0%)</f>
        <v>0</v>
      </c>
      <c r="BEV14" s="5">
        <f>IFERROR(VLOOKUP(BEV$1,'Factor Alfa'!$B$26:$C$45,2,FALSE),0%)</f>
        <v>0</v>
      </c>
      <c r="BEW14" s="5">
        <f>IFERROR(VLOOKUP(BEW$1,'Factor Alfa'!$B$26:$C$45,2,FALSE),0%)</f>
        <v>0</v>
      </c>
      <c r="BEX14" s="5">
        <f>IFERROR(VLOOKUP(BEX$1,'Factor Alfa'!$B$26:$C$45,2,FALSE),0%)</f>
        <v>0</v>
      </c>
      <c r="BEY14" s="5">
        <f>IFERROR(VLOOKUP(BEY$1,'Factor Alfa'!$B$26:$C$45,2,FALSE),0%)</f>
        <v>0</v>
      </c>
      <c r="BEZ14" s="5">
        <f>IFERROR(VLOOKUP(BEZ$1,'Factor Alfa'!$B$26:$C$45,2,FALSE),0%)</f>
        <v>0</v>
      </c>
      <c r="BFA14" s="5">
        <f>IFERROR(VLOOKUP(BFA$1,'Factor Alfa'!$B$26:$C$45,2,FALSE),0%)</f>
        <v>0</v>
      </c>
      <c r="BFB14" s="5">
        <f>IFERROR(VLOOKUP(BFB$1,'Factor Alfa'!$B$26:$C$45,2,FALSE),0%)</f>
        <v>0</v>
      </c>
      <c r="BFC14" s="5">
        <f>IFERROR(VLOOKUP(BFC$1,'Factor Alfa'!$B$26:$C$45,2,FALSE),0%)</f>
        <v>0</v>
      </c>
      <c r="BFD14" s="5">
        <f>IFERROR(VLOOKUP(BFD$1,'Factor Alfa'!$B$26:$C$45,2,FALSE),0%)</f>
        <v>0</v>
      </c>
      <c r="BFE14" s="5">
        <f>IFERROR(VLOOKUP(BFE$1,'Factor Alfa'!$B$26:$C$45,2,FALSE),0%)</f>
        <v>0</v>
      </c>
      <c r="BFF14" s="5">
        <f>IFERROR(VLOOKUP(BFF$1,'Factor Alfa'!$B$26:$C$45,2,FALSE),0%)</f>
        <v>0</v>
      </c>
      <c r="BFG14" s="5">
        <f>IFERROR(VLOOKUP(BFG$1,'Factor Alfa'!$B$26:$C$45,2,FALSE),0%)</f>
        <v>0</v>
      </c>
      <c r="BFH14" s="5">
        <f>IFERROR(VLOOKUP(BFH$1,'Factor Alfa'!$B$26:$C$45,2,FALSE),0%)</f>
        <v>0</v>
      </c>
      <c r="BFI14" s="5">
        <f>IFERROR(VLOOKUP(BFI$1,'Factor Alfa'!$B$26:$C$45,2,FALSE),0%)</f>
        <v>0</v>
      </c>
      <c r="BFJ14" s="5">
        <f>IFERROR(VLOOKUP(BFJ$1,'Factor Alfa'!$B$26:$C$45,2,FALSE),0%)</f>
        <v>0</v>
      </c>
      <c r="BFK14" s="5">
        <f>IFERROR(VLOOKUP(BFK$1,'Factor Alfa'!$B$26:$C$45,2,FALSE),0%)</f>
        <v>0</v>
      </c>
      <c r="BFL14" s="5">
        <f>IFERROR(VLOOKUP(BFL$1,'Factor Alfa'!$B$26:$C$45,2,FALSE),0%)</f>
        <v>0</v>
      </c>
      <c r="BFM14" s="5">
        <f>IFERROR(VLOOKUP(BFM$1,'Factor Alfa'!$B$26:$C$45,2,FALSE),0%)</f>
        <v>0</v>
      </c>
      <c r="BFN14" s="5">
        <f>IFERROR(VLOOKUP(BFN$1,'Factor Alfa'!$B$26:$C$45,2,FALSE),0%)</f>
        <v>0</v>
      </c>
      <c r="BFO14" s="5">
        <f>IFERROR(VLOOKUP(BFO$1,'Factor Alfa'!$B$26:$C$45,2,FALSE),0%)</f>
        <v>0</v>
      </c>
      <c r="BFP14" s="5">
        <f>IFERROR(VLOOKUP(BFP$1,'Factor Alfa'!$B$26:$C$45,2,FALSE),0%)</f>
        <v>0</v>
      </c>
      <c r="BFQ14" s="5">
        <f>IFERROR(VLOOKUP(BFQ$1,'Factor Alfa'!$B$26:$C$45,2,FALSE),0%)</f>
        <v>0</v>
      </c>
      <c r="BFR14" s="5">
        <f>IFERROR(VLOOKUP(BFR$1,'Factor Alfa'!$B$26:$C$45,2,FALSE),0%)</f>
        <v>0</v>
      </c>
      <c r="BFS14" s="5">
        <f>IFERROR(VLOOKUP(BFS$1,'Factor Alfa'!$B$26:$C$45,2,FALSE),0%)</f>
        <v>0</v>
      </c>
      <c r="BFT14" s="5">
        <f>IFERROR(VLOOKUP(BFT$1,'Factor Alfa'!$B$26:$C$45,2,FALSE),0%)</f>
        <v>0</v>
      </c>
      <c r="BFU14" s="5">
        <f>IFERROR(VLOOKUP(BFU$1,'Factor Alfa'!$B$26:$C$45,2,FALSE),0%)</f>
        <v>0</v>
      </c>
      <c r="BFV14" s="5">
        <f>IFERROR(VLOOKUP(BFV$1,'Factor Alfa'!$B$26:$C$45,2,FALSE),0%)</f>
        <v>0</v>
      </c>
      <c r="BFW14" s="5">
        <f>IFERROR(VLOOKUP(BFW$1,'Factor Alfa'!$B$26:$C$45,2,FALSE),0%)</f>
        <v>0</v>
      </c>
      <c r="BFX14" s="5">
        <f>IFERROR(VLOOKUP(BFX$1,'Factor Alfa'!$B$26:$C$45,2,FALSE),0%)</f>
        <v>0</v>
      </c>
      <c r="BFY14" s="5">
        <f>IFERROR(VLOOKUP(BFY$1,'Factor Alfa'!$B$26:$C$45,2,FALSE),0%)</f>
        <v>0</v>
      </c>
      <c r="BFZ14" s="5">
        <f>IFERROR(VLOOKUP(BFZ$1,'Factor Alfa'!$B$26:$C$45,2,FALSE),0%)</f>
        <v>0</v>
      </c>
      <c r="BGA14" s="5">
        <f>IFERROR(VLOOKUP(BGA$1,'Factor Alfa'!$B$26:$C$45,2,FALSE),0%)</f>
        <v>0</v>
      </c>
      <c r="BGB14" s="5">
        <f>IFERROR(VLOOKUP(BGB$1,'Factor Alfa'!$B$26:$C$45,2,FALSE),0%)</f>
        <v>0</v>
      </c>
      <c r="BGC14" s="5">
        <f>IFERROR(VLOOKUP(BGC$1,'Factor Alfa'!$B$26:$C$45,2,FALSE),0%)</f>
        <v>0</v>
      </c>
      <c r="BGD14" s="5">
        <f>IFERROR(VLOOKUP(BGD$1,'Factor Alfa'!$B$26:$C$45,2,FALSE),0%)</f>
        <v>0</v>
      </c>
      <c r="BGE14" s="5">
        <f>IFERROR(VLOOKUP(BGE$1,'Factor Alfa'!$B$26:$C$45,2,FALSE),0%)</f>
        <v>0</v>
      </c>
      <c r="BGF14" s="5">
        <f>IFERROR(VLOOKUP(BGF$1,'Factor Alfa'!$B$26:$C$45,2,FALSE),0%)</f>
        <v>0</v>
      </c>
      <c r="BGG14" s="5">
        <f>IFERROR(VLOOKUP(BGG$1,'Factor Alfa'!$B$26:$C$45,2,FALSE),0%)</f>
        <v>0</v>
      </c>
      <c r="BGH14" s="5">
        <f>IFERROR(VLOOKUP(BGH$1,'Factor Alfa'!$B$26:$C$45,2,FALSE),0%)</f>
        <v>0</v>
      </c>
      <c r="BGI14" s="5">
        <f>IFERROR(VLOOKUP(BGI$1,'Factor Alfa'!$B$26:$C$45,2,FALSE),0%)</f>
        <v>0</v>
      </c>
      <c r="BGJ14" s="5">
        <f>IFERROR(VLOOKUP(BGJ$1,'Factor Alfa'!$B$26:$C$45,2,FALSE),0%)</f>
        <v>0</v>
      </c>
      <c r="BGK14" s="5">
        <f>IFERROR(VLOOKUP(BGK$1,'Factor Alfa'!$B$26:$C$45,2,FALSE),0%)</f>
        <v>0</v>
      </c>
      <c r="BGL14" s="5">
        <f>IFERROR(VLOOKUP(BGL$1,'Factor Alfa'!$B$26:$C$45,2,FALSE),0%)</f>
        <v>0</v>
      </c>
      <c r="BGM14" s="5">
        <f>IFERROR(VLOOKUP(BGM$1,'Factor Alfa'!$B$26:$C$45,2,FALSE),0%)</f>
        <v>0</v>
      </c>
      <c r="BGN14" s="5">
        <f>IFERROR(VLOOKUP(BGN$1,'Factor Alfa'!$B$26:$C$45,2,FALSE),0%)</f>
        <v>0</v>
      </c>
      <c r="BGO14" s="5">
        <f>IFERROR(VLOOKUP(BGO$1,'Factor Alfa'!$B$26:$C$45,2,FALSE),0%)</f>
        <v>0</v>
      </c>
      <c r="BGP14" s="5">
        <f>IFERROR(VLOOKUP(BGP$1,'Factor Alfa'!$B$26:$C$45,2,FALSE),0%)</f>
        <v>0</v>
      </c>
      <c r="BGQ14" s="5">
        <f>IFERROR(VLOOKUP(BGQ$1,'Factor Alfa'!$B$26:$C$45,2,FALSE),0%)</f>
        <v>0</v>
      </c>
      <c r="BGR14" s="5">
        <f>IFERROR(VLOOKUP(BGR$1,'Factor Alfa'!$B$26:$C$45,2,FALSE),0%)</f>
        <v>0.05026</v>
      </c>
      <c r="BGS14" s="5">
        <f>IFERROR(VLOOKUP(BGS$1,'Factor Alfa'!$B$26:$C$45,2,FALSE),0%)</f>
        <v>0</v>
      </c>
      <c r="BGT14" s="5">
        <f>IFERROR(VLOOKUP(BGT$1,'Factor Alfa'!$B$26:$C$45,2,FALSE),0%)</f>
        <v>0</v>
      </c>
      <c r="BGU14" s="5">
        <f>IFERROR(VLOOKUP(BGU$1,'Factor Alfa'!$B$26:$C$45,2,FALSE),0%)</f>
        <v>0</v>
      </c>
      <c r="BGV14" s="5">
        <f>IFERROR(VLOOKUP(BGV$1,'Factor Alfa'!$B$26:$C$45,2,FALSE),0%)</f>
        <v>0</v>
      </c>
      <c r="BGW14" s="5">
        <f>IFERROR(VLOOKUP(BGW$1,'Factor Alfa'!$B$26:$C$45,2,FALSE),0%)</f>
        <v>0</v>
      </c>
      <c r="BGX14" s="5">
        <f>IFERROR(VLOOKUP(BGX$1,'Factor Alfa'!$B$26:$C$45,2,FALSE),0%)</f>
        <v>0</v>
      </c>
      <c r="BGY14" s="5">
        <f>IFERROR(VLOOKUP(BGY$1,'Factor Alfa'!$B$26:$C$45,2,FALSE),0%)</f>
        <v>0</v>
      </c>
      <c r="BGZ14" s="5">
        <f>IFERROR(VLOOKUP(BGZ$1,'Factor Alfa'!$B$26:$C$45,2,FALSE),0%)</f>
        <v>0</v>
      </c>
      <c r="BHA14" s="5">
        <f>IFERROR(VLOOKUP(BHA$1,'Factor Alfa'!$B$26:$C$45,2,FALSE),0%)</f>
        <v>0</v>
      </c>
      <c r="BHB14" s="5">
        <f>IFERROR(VLOOKUP(BHB$1,'Factor Alfa'!$B$26:$C$45,2,FALSE),0%)</f>
        <v>0</v>
      </c>
      <c r="BHC14" s="5">
        <f>IFERROR(VLOOKUP(BHC$1,'Factor Alfa'!$B$26:$C$45,2,FALSE),0%)</f>
        <v>0</v>
      </c>
      <c r="BHD14" s="5">
        <f>IFERROR(VLOOKUP(BHD$1,'Factor Alfa'!$B$26:$C$45,2,FALSE),0%)</f>
        <v>0</v>
      </c>
      <c r="BHE14" s="5">
        <f>IFERROR(VLOOKUP(BHE$1,'Factor Alfa'!$B$26:$C$45,2,FALSE),0%)</f>
        <v>0</v>
      </c>
      <c r="BHF14" s="5">
        <f>IFERROR(VLOOKUP(BHF$1,'Factor Alfa'!$B$26:$C$45,2,FALSE),0%)</f>
        <v>0</v>
      </c>
      <c r="BHG14" s="5">
        <f>IFERROR(VLOOKUP(BHG$1,'Factor Alfa'!$B$26:$C$45,2,FALSE),0%)</f>
        <v>0</v>
      </c>
      <c r="BHH14" s="5">
        <f>IFERROR(VLOOKUP(BHH$1,'Factor Alfa'!$B$26:$C$45,2,FALSE),0%)</f>
        <v>0</v>
      </c>
      <c r="BHI14" s="5">
        <f>IFERROR(VLOOKUP(BHI$1,'Factor Alfa'!$B$26:$C$45,2,FALSE),0%)</f>
        <v>0</v>
      </c>
      <c r="BHJ14" s="5">
        <f>IFERROR(VLOOKUP(BHJ$1,'Factor Alfa'!$B$26:$C$45,2,FALSE),0%)</f>
        <v>0</v>
      </c>
      <c r="BHK14" s="5">
        <f>IFERROR(VLOOKUP(BHK$1,'Factor Alfa'!$B$26:$C$45,2,FALSE),0%)</f>
        <v>0</v>
      </c>
      <c r="BHL14" s="5">
        <f>IFERROR(VLOOKUP(BHL$1,'Factor Alfa'!$B$26:$C$45,2,FALSE),0%)</f>
        <v>0</v>
      </c>
      <c r="BHM14" s="5">
        <f>IFERROR(VLOOKUP(BHM$1,'Factor Alfa'!$B$26:$C$45,2,FALSE),0%)</f>
        <v>0</v>
      </c>
      <c r="BHN14" s="5">
        <f>IFERROR(VLOOKUP(BHN$1,'Factor Alfa'!$B$26:$C$45,2,FALSE),0%)</f>
        <v>0</v>
      </c>
      <c r="BHO14" s="5">
        <f>IFERROR(VLOOKUP(BHO$1,'Factor Alfa'!$B$26:$C$45,2,FALSE),0%)</f>
        <v>0</v>
      </c>
      <c r="BHP14" s="5">
        <f>IFERROR(VLOOKUP(BHP$1,'Factor Alfa'!$B$26:$C$45,2,FALSE),0%)</f>
        <v>0</v>
      </c>
      <c r="BHQ14" s="5">
        <f>IFERROR(VLOOKUP(BHQ$1,'Factor Alfa'!$B$26:$C$45,2,FALSE),0%)</f>
        <v>0</v>
      </c>
      <c r="BHR14" s="5">
        <f>IFERROR(VLOOKUP(BHR$1,'Factor Alfa'!$B$26:$C$45,2,FALSE),0%)</f>
        <v>0</v>
      </c>
      <c r="BHS14" s="5">
        <f>IFERROR(VLOOKUP(BHS$1,'Factor Alfa'!$B$26:$C$45,2,FALSE),0%)</f>
        <v>0</v>
      </c>
      <c r="BHT14" s="5">
        <f>IFERROR(VLOOKUP(BHT$1,'Factor Alfa'!$B$26:$C$45,2,FALSE),0%)</f>
        <v>0</v>
      </c>
      <c r="BHU14" s="5">
        <f>IFERROR(VLOOKUP(BHU$1,'Factor Alfa'!$B$26:$C$45,2,FALSE),0%)</f>
        <v>0</v>
      </c>
      <c r="BHV14" s="5">
        <f>IFERROR(VLOOKUP(BHV$1,'Factor Alfa'!$B$26:$C$45,2,FALSE),0%)</f>
        <v>0</v>
      </c>
      <c r="BHW14" s="5">
        <f>IFERROR(VLOOKUP(BHW$1,'Factor Alfa'!$B$26:$C$45,2,FALSE),0%)</f>
        <v>0</v>
      </c>
      <c r="BHX14" s="5">
        <f>IFERROR(VLOOKUP(BHX$1,'Factor Alfa'!$B$26:$C$45,2,FALSE),0%)</f>
        <v>0</v>
      </c>
      <c r="BHY14" s="5">
        <f>IFERROR(VLOOKUP(BHY$1,'Factor Alfa'!$B$26:$C$45,2,FALSE),0%)</f>
        <v>0</v>
      </c>
      <c r="BHZ14" s="5">
        <f>IFERROR(VLOOKUP(BHZ$1,'Factor Alfa'!$B$26:$C$45,2,FALSE),0%)</f>
        <v>0</v>
      </c>
      <c r="BIA14" s="5">
        <f>IFERROR(VLOOKUP(BIA$1,'Factor Alfa'!$B$26:$C$45,2,FALSE),0%)</f>
        <v>0</v>
      </c>
      <c r="BIB14" s="5">
        <f>IFERROR(VLOOKUP(BIB$1,'Factor Alfa'!$B$26:$C$45,2,FALSE),0%)</f>
        <v>0</v>
      </c>
      <c r="BIC14" s="5">
        <f>IFERROR(VLOOKUP(BIC$1,'Factor Alfa'!$B$26:$C$45,2,FALSE),0%)</f>
        <v>0</v>
      </c>
      <c r="BID14" s="5">
        <f>IFERROR(VLOOKUP(BID$1,'Factor Alfa'!$B$26:$C$45,2,FALSE),0%)</f>
        <v>0</v>
      </c>
      <c r="BIE14" s="5">
        <f>IFERROR(VLOOKUP(BIE$1,'Factor Alfa'!$B$26:$C$45,2,FALSE),0%)</f>
        <v>0</v>
      </c>
      <c r="BIF14" s="5">
        <f>IFERROR(VLOOKUP(BIF$1,'Factor Alfa'!$B$26:$C$45,2,FALSE),0%)</f>
        <v>0</v>
      </c>
      <c r="BIG14" s="5">
        <f>IFERROR(VLOOKUP(BIG$1,'Factor Alfa'!$B$26:$C$45,2,FALSE),0%)</f>
        <v>0</v>
      </c>
      <c r="BIH14" s="5">
        <f>IFERROR(VLOOKUP(BIH$1,'Factor Alfa'!$B$26:$C$45,2,FALSE),0%)</f>
        <v>0</v>
      </c>
      <c r="BII14" s="5">
        <f>IFERROR(VLOOKUP(BII$1,'Factor Alfa'!$B$26:$C$45,2,FALSE),0%)</f>
        <v>0</v>
      </c>
      <c r="BIJ14" s="5">
        <f>IFERROR(VLOOKUP(BIJ$1,'Factor Alfa'!$B$26:$C$45,2,FALSE),0%)</f>
        <v>0</v>
      </c>
      <c r="BIK14" s="5">
        <f>IFERROR(VLOOKUP(BIK$1,'Factor Alfa'!$B$26:$C$45,2,FALSE),0%)</f>
        <v>0</v>
      </c>
      <c r="BIL14" s="5">
        <f>IFERROR(VLOOKUP(BIL$1,'Factor Alfa'!$B$26:$C$45,2,FALSE),0%)</f>
        <v>0</v>
      </c>
      <c r="BIM14" s="5">
        <f>IFERROR(VLOOKUP(BIM$1,'Factor Alfa'!$B$26:$C$45,2,FALSE),0%)</f>
        <v>0</v>
      </c>
      <c r="BIN14" s="5">
        <f>IFERROR(VLOOKUP(BIN$1,'Factor Alfa'!$B$26:$C$45,2,FALSE),0%)</f>
        <v>0</v>
      </c>
      <c r="BIO14" s="5">
        <f>IFERROR(VLOOKUP(BIO$1,'Factor Alfa'!$B$26:$C$45,2,FALSE),0%)</f>
        <v>0</v>
      </c>
      <c r="BIP14" s="5">
        <f>IFERROR(VLOOKUP(BIP$1,'Factor Alfa'!$B$26:$C$45,2,FALSE),0%)</f>
        <v>0</v>
      </c>
      <c r="BIQ14" s="5">
        <f>IFERROR(VLOOKUP(BIQ$1,'Factor Alfa'!$B$26:$C$45,2,FALSE),0%)</f>
        <v>0</v>
      </c>
      <c r="BIR14" s="5">
        <f>IFERROR(VLOOKUP(BIR$1,'Factor Alfa'!$B$26:$C$45,2,FALSE),0%)</f>
        <v>0</v>
      </c>
      <c r="BIS14" s="5">
        <f>IFERROR(VLOOKUP(BIS$1,'Factor Alfa'!$B$26:$C$45,2,FALSE),0%)</f>
        <v>0</v>
      </c>
      <c r="BIT14" s="5">
        <f>IFERROR(VLOOKUP(BIT$1,'Factor Alfa'!$B$26:$C$45,2,FALSE),0%)</f>
        <v>0</v>
      </c>
      <c r="BIU14" s="5">
        <f>IFERROR(VLOOKUP(BIU$1,'Factor Alfa'!$B$26:$C$45,2,FALSE),0%)</f>
        <v>0</v>
      </c>
      <c r="BIV14" s="5">
        <f>IFERROR(VLOOKUP(BIV$1,'Factor Alfa'!$B$26:$C$45,2,FALSE),0%)</f>
        <v>0</v>
      </c>
      <c r="BIW14" s="5">
        <f>IFERROR(VLOOKUP(BIW$1,'Factor Alfa'!$B$26:$C$45,2,FALSE),0%)</f>
        <v>0</v>
      </c>
      <c r="BIX14" s="5">
        <f>IFERROR(VLOOKUP(BIX$1,'Factor Alfa'!$B$26:$C$45,2,FALSE),0%)</f>
        <v>0</v>
      </c>
      <c r="BIY14" s="5">
        <f>IFERROR(VLOOKUP(BIY$1,'Factor Alfa'!$B$26:$C$45,2,FALSE),0%)</f>
        <v>0</v>
      </c>
      <c r="BIZ14" s="5">
        <f>IFERROR(VLOOKUP(BIZ$1,'Factor Alfa'!$B$26:$C$45,2,FALSE),0%)</f>
        <v>0</v>
      </c>
      <c r="BJA14" s="5">
        <f>IFERROR(VLOOKUP(BJA$1,'Factor Alfa'!$B$26:$C$45,2,FALSE),0%)</f>
        <v>0</v>
      </c>
      <c r="BJB14" s="5">
        <f>IFERROR(VLOOKUP(BJB$1,'Factor Alfa'!$B$26:$C$45,2,FALSE),0%)</f>
        <v>0</v>
      </c>
      <c r="BJC14" s="5">
        <f>IFERROR(VLOOKUP(BJC$1,'Factor Alfa'!$B$26:$C$45,2,FALSE),0%)</f>
        <v>0</v>
      </c>
      <c r="BJD14" s="5">
        <f>IFERROR(VLOOKUP(BJD$1,'Factor Alfa'!$B$26:$C$45,2,FALSE),0%)</f>
        <v>0</v>
      </c>
      <c r="BJE14" s="5">
        <f>IFERROR(VLOOKUP(BJE$1,'Factor Alfa'!$B$26:$C$45,2,FALSE),0%)</f>
        <v>0</v>
      </c>
      <c r="BJF14" s="5">
        <f>IFERROR(VLOOKUP(BJF$1,'Factor Alfa'!$B$26:$C$45,2,FALSE),0%)</f>
        <v>0</v>
      </c>
      <c r="BJG14" s="5">
        <f>IFERROR(VLOOKUP(BJG$1,'Factor Alfa'!$B$26:$C$45,2,FALSE),0%)</f>
        <v>0</v>
      </c>
      <c r="BJH14" s="5">
        <f>IFERROR(VLOOKUP(BJH$1,'Factor Alfa'!$B$26:$C$45,2,FALSE),0%)</f>
        <v>0</v>
      </c>
      <c r="BJI14" s="5">
        <f>IFERROR(VLOOKUP(BJI$1,'Factor Alfa'!$B$26:$C$45,2,FALSE),0%)</f>
        <v>0</v>
      </c>
      <c r="BJJ14" s="5">
        <f>IFERROR(VLOOKUP(BJJ$1,'Factor Alfa'!$B$26:$C$45,2,FALSE),0%)</f>
        <v>0</v>
      </c>
      <c r="BJK14" s="5">
        <f>IFERROR(VLOOKUP(BJK$1,'Factor Alfa'!$B$26:$C$45,2,FALSE),0%)</f>
        <v>0</v>
      </c>
      <c r="BJL14" s="5">
        <f>IFERROR(VLOOKUP(BJL$1,'Factor Alfa'!$B$26:$C$45,2,FALSE),0%)</f>
        <v>0</v>
      </c>
      <c r="BJM14" s="5">
        <f>IFERROR(VLOOKUP(BJM$1,'Factor Alfa'!$B$26:$C$45,2,FALSE),0%)</f>
        <v>0</v>
      </c>
      <c r="BJN14" s="5">
        <f>IFERROR(VLOOKUP(BJN$1,'Factor Alfa'!$B$26:$C$45,2,FALSE),0%)</f>
        <v>0</v>
      </c>
      <c r="BJO14" s="5">
        <f>IFERROR(VLOOKUP(BJO$1,'Factor Alfa'!$B$26:$C$45,2,FALSE),0%)</f>
        <v>0</v>
      </c>
      <c r="BJP14" s="5">
        <f>IFERROR(VLOOKUP(BJP$1,'Factor Alfa'!$B$26:$C$45,2,FALSE),0%)</f>
        <v>0</v>
      </c>
      <c r="BJQ14" s="5">
        <f>IFERROR(VLOOKUP(BJQ$1,'Factor Alfa'!$B$26:$C$45,2,FALSE),0%)</f>
        <v>0</v>
      </c>
      <c r="BJR14" s="5">
        <f>IFERROR(VLOOKUP(BJR$1,'Factor Alfa'!$B$26:$C$45,2,FALSE),0%)</f>
        <v>0</v>
      </c>
      <c r="BJS14" s="5">
        <f>IFERROR(VLOOKUP(BJS$1,'Factor Alfa'!$B$26:$C$45,2,FALSE),0%)</f>
        <v>0</v>
      </c>
      <c r="BJT14" s="5">
        <f>IFERROR(VLOOKUP(BJT$1,'Factor Alfa'!$B$26:$C$45,2,FALSE),0%)</f>
        <v>0</v>
      </c>
      <c r="BJU14" s="5">
        <f>IFERROR(VLOOKUP(BJU$1,'Factor Alfa'!$B$26:$C$45,2,FALSE),0%)</f>
        <v>0</v>
      </c>
      <c r="BJV14" s="5">
        <f>IFERROR(VLOOKUP(BJV$1,'Factor Alfa'!$B$26:$C$45,2,FALSE),0%)</f>
        <v>0</v>
      </c>
      <c r="BJW14" s="5">
        <f>IFERROR(VLOOKUP(BJW$1,'Factor Alfa'!$B$26:$C$45,2,FALSE),0%)</f>
        <v>0</v>
      </c>
      <c r="BJX14" s="5">
        <f>IFERROR(VLOOKUP(BJX$1,'Factor Alfa'!$B$26:$C$45,2,FALSE),0%)</f>
        <v>0</v>
      </c>
      <c r="BJY14" s="5">
        <f>IFERROR(VLOOKUP(BJY$1,'Factor Alfa'!$B$26:$C$45,2,FALSE),0%)</f>
        <v>0</v>
      </c>
      <c r="BJZ14" s="5">
        <f>IFERROR(VLOOKUP(BJZ$1,'Factor Alfa'!$B$26:$C$45,2,FALSE),0%)</f>
        <v>0</v>
      </c>
      <c r="BKA14" s="5">
        <f>IFERROR(VLOOKUP(BKA$1,'Factor Alfa'!$B$26:$C$45,2,FALSE),0%)</f>
        <v>0</v>
      </c>
      <c r="BKB14" s="5">
        <f>IFERROR(VLOOKUP(BKB$1,'Factor Alfa'!$B$26:$C$45,2,FALSE),0%)</f>
        <v>0</v>
      </c>
      <c r="BKC14" s="5">
        <f>IFERROR(VLOOKUP(BKC$1,'Factor Alfa'!$B$26:$C$45,2,FALSE),0%)</f>
        <v>0</v>
      </c>
      <c r="BKD14" s="5">
        <f>IFERROR(VLOOKUP(BKD$1,'Factor Alfa'!$B$26:$C$45,2,FALSE),0%)</f>
        <v>0</v>
      </c>
      <c r="BKE14" s="5">
        <f>IFERROR(VLOOKUP(BKE$1,'Factor Alfa'!$B$26:$C$45,2,FALSE),0%)</f>
        <v>0</v>
      </c>
      <c r="BKF14" s="5">
        <f>IFERROR(VLOOKUP(BKF$1,'Factor Alfa'!$B$26:$C$45,2,FALSE),0%)</f>
        <v>0</v>
      </c>
      <c r="BKG14" s="5">
        <f>IFERROR(VLOOKUP(BKG$1,'Factor Alfa'!$B$26:$C$45,2,FALSE),0%)</f>
        <v>0</v>
      </c>
      <c r="BKH14" s="5">
        <f>IFERROR(VLOOKUP(BKH$1,'Factor Alfa'!$B$26:$C$45,2,FALSE),0%)</f>
        <v>0</v>
      </c>
      <c r="BKI14" s="5">
        <f>IFERROR(VLOOKUP(BKI$1,'Factor Alfa'!$B$26:$C$45,2,FALSE),0%)</f>
        <v>0</v>
      </c>
      <c r="BKJ14" s="5">
        <f>IFERROR(VLOOKUP(BKJ$1,'Factor Alfa'!$B$26:$C$45,2,FALSE),0%)</f>
        <v>0</v>
      </c>
      <c r="BKK14" s="5">
        <f>IFERROR(VLOOKUP(BKK$1,'Factor Alfa'!$B$26:$C$45,2,FALSE),0%)</f>
        <v>0</v>
      </c>
      <c r="BKL14" s="5">
        <f>IFERROR(VLOOKUP(BKL$1,'Factor Alfa'!$B$26:$C$45,2,FALSE),0%)</f>
        <v>0</v>
      </c>
      <c r="BKM14" s="5">
        <f>IFERROR(VLOOKUP(BKM$1,'Factor Alfa'!$B$26:$C$45,2,FALSE),0%)</f>
        <v>0</v>
      </c>
      <c r="BKN14" s="5">
        <f>IFERROR(VLOOKUP(BKN$1,'Factor Alfa'!$B$26:$C$45,2,FALSE),0%)</f>
        <v>0</v>
      </c>
      <c r="BKO14" s="5">
        <f>IFERROR(VLOOKUP(BKO$1,'Factor Alfa'!$B$26:$C$45,2,FALSE),0%)</f>
        <v>0</v>
      </c>
      <c r="BKP14" s="5">
        <f>IFERROR(VLOOKUP(BKP$1,'Factor Alfa'!$B$26:$C$45,2,FALSE),0%)</f>
        <v>0</v>
      </c>
      <c r="BKQ14" s="5">
        <f>IFERROR(VLOOKUP(BKQ$1,'Factor Alfa'!$B$26:$C$45,2,FALSE),0%)</f>
        <v>0</v>
      </c>
      <c r="BKR14" s="5">
        <f>IFERROR(VLOOKUP(BKR$1,'Factor Alfa'!$B$26:$C$45,2,FALSE),0%)</f>
        <v>0</v>
      </c>
      <c r="BKS14" s="5">
        <f>IFERROR(VLOOKUP(BKS$1,'Factor Alfa'!$B$26:$C$45,2,FALSE),0%)</f>
        <v>0</v>
      </c>
      <c r="BKT14" s="5">
        <f>IFERROR(VLOOKUP(BKT$1,'Factor Alfa'!$B$26:$C$45,2,FALSE),0%)</f>
        <v>0</v>
      </c>
      <c r="BKU14" s="5">
        <f>IFERROR(VLOOKUP(BKU$1,'Factor Alfa'!$B$26:$C$45,2,FALSE),0%)</f>
        <v>0</v>
      </c>
      <c r="BKV14" s="5">
        <f>IFERROR(VLOOKUP(BKV$1,'Factor Alfa'!$B$26:$C$45,2,FALSE),0%)</f>
        <v>0</v>
      </c>
      <c r="BKW14" s="5">
        <f>IFERROR(VLOOKUP(BKW$1,'Factor Alfa'!$B$26:$C$45,2,FALSE),0%)</f>
        <v>0</v>
      </c>
      <c r="BKX14" s="5">
        <f>IFERROR(VLOOKUP(BKX$1,'Factor Alfa'!$B$26:$C$45,2,FALSE),0%)</f>
        <v>0</v>
      </c>
      <c r="BKY14" s="5">
        <f>IFERROR(VLOOKUP(BKY$1,'Factor Alfa'!$B$26:$C$45,2,FALSE),0%)</f>
        <v>0</v>
      </c>
      <c r="BKZ14" s="5">
        <f>IFERROR(VLOOKUP(BKZ$1,'Factor Alfa'!$B$26:$C$45,2,FALSE),0%)</f>
        <v>0</v>
      </c>
      <c r="BLA14" s="5">
        <f>IFERROR(VLOOKUP(BLA$1,'Factor Alfa'!$B$26:$C$45,2,FALSE),0%)</f>
        <v>0</v>
      </c>
      <c r="BLB14" s="5">
        <f>IFERROR(VLOOKUP(BLB$1,'Factor Alfa'!$B$26:$C$45,2,FALSE),0%)</f>
        <v>0</v>
      </c>
      <c r="BLC14" s="5">
        <f>IFERROR(VLOOKUP(BLC$1,'Factor Alfa'!$B$26:$C$45,2,FALSE),0%)</f>
        <v>0</v>
      </c>
      <c r="BLD14" s="5">
        <f>IFERROR(VLOOKUP(BLD$1,'Factor Alfa'!$B$26:$C$45,2,FALSE),0%)</f>
        <v>0</v>
      </c>
      <c r="BLE14" s="5">
        <f>IFERROR(VLOOKUP(BLE$1,'Factor Alfa'!$B$26:$C$45,2,FALSE),0%)</f>
        <v>0</v>
      </c>
      <c r="BLF14" s="5">
        <f>IFERROR(VLOOKUP(BLF$1,'Factor Alfa'!$B$26:$C$45,2,FALSE),0%)</f>
        <v>0</v>
      </c>
      <c r="BLG14" s="5">
        <f>IFERROR(VLOOKUP(BLG$1,'Factor Alfa'!$B$26:$C$45,2,FALSE),0%)</f>
        <v>0</v>
      </c>
      <c r="BLH14" s="5">
        <f>IFERROR(VLOOKUP(BLH$1,'Factor Alfa'!$B$26:$C$45,2,FALSE),0%)</f>
        <v>0</v>
      </c>
      <c r="BLI14" s="5">
        <f>IFERROR(VLOOKUP(BLI$1,'Factor Alfa'!$B$26:$C$45,2,FALSE),0%)</f>
        <v>0</v>
      </c>
      <c r="BLJ14" s="5">
        <f>IFERROR(VLOOKUP(BLJ$1,'Factor Alfa'!$B$26:$C$45,2,FALSE),0%)</f>
        <v>0</v>
      </c>
      <c r="BLK14" s="5">
        <f>IFERROR(VLOOKUP(BLK$1,'Factor Alfa'!$B$26:$C$45,2,FALSE),0%)</f>
        <v>0</v>
      </c>
      <c r="BLL14" s="5">
        <f>IFERROR(VLOOKUP(BLL$1,'Factor Alfa'!$B$26:$C$45,2,FALSE),0%)</f>
        <v>0</v>
      </c>
      <c r="BLM14" s="5">
        <f>IFERROR(VLOOKUP(BLM$1,'Factor Alfa'!$B$26:$C$45,2,FALSE),0%)</f>
        <v>0</v>
      </c>
      <c r="BLN14" s="5">
        <f>IFERROR(VLOOKUP(BLN$1,'Factor Alfa'!$B$26:$C$45,2,FALSE),0%)</f>
        <v>0</v>
      </c>
      <c r="BLO14" s="5">
        <f>IFERROR(VLOOKUP(BLO$1,'Factor Alfa'!$B$26:$C$45,2,FALSE),0%)</f>
        <v>0</v>
      </c>
      <c r="BLP14" s="5">
        <f>IFERROR(VLOOKUP(BLP$1,'Factor Alfa'!$B$26:$C$45,2,FALSE),0%)</f>
        <v>0</v>
      </c>
      <c r="BLQ14" s="5">
        <f>IFERROR(VLOOKUP(BLQ$1,'Factor Alfa'!$B$26:$C$45,2,FALSE),0%)</f>
        <v>0</v>
      </c>
      <c r="BLR14" s="5">
        <f>IFERROR(VLOOKUP(BLR$1,'Factor Alfa'!$B$26:$C$45,2,FALSE),0%)</f>
        <v>0</v>
      </c>
      <c r="BLS14" s="5">
        <f>IFERROR(VLOOKUP(BLS$1,'Factor Alfa'!$B$26:$C$45,2,FALSE),0%)</f>
        <v>0</v>
      </c>
      <c r="BLT14" s="5">
        <f>IFERROR(VLOOKUP(BLT$1,'Factor Alfa'!$B$26:$C$45,2,FALSE),0%)</f>
        <v>0</v>
      </c>
      <c r="BLU14" s="5">
        <f>IFERROR(VLOOKUP(BLU$1,'Factor Alfa'!$B$26:$C$45,2,FALSE),0%)</f>
        <v>0</v>
      </c>
      <c r="BLV14" s="5">
        <f>IFERROR(VLOOKUP(BLV$1,'Factor Alfa'!$B$26:$C$45,2,FALSE),0%)</f>
        <v>0</v>
      </c>
      <c r="BLW14" s="5">
        <f>IFERROR(VLOOKUP(BLW$1,'Factor Alfa'!$B$26:$C$45,2,FALSE),0%)</f>
        <v>0</v>
      </c>
      <c r="BLX14" s="5">
        <f>IFERROR(VLOOKUP(BLX$1,'Factor Alfa'!$B$26:$C$45,2,FALSE),0%)</f>
        <v>0</v>
      </c>
      <c r="BLY14" s="5">
        <f>IFERROR(VLOOKUP(BLY$1,'Factor Alfa'!$B$26:$C$45,2,FALSE),0%)</f>
        <v>0</v>
      </c>
      <c r="BLZ14" s="5">
        <f>IFERROR(VLOOKUP(BLZ$1,'Factor Alfa'!$B$26:$C$45,2,FALSE),0%)</f>
        <v>0</v>
      </c>
      <c r="BMA14" s="5">
        <f>IFERROR(VLOOKUP(BMA$1,'Factor Alfa'!$B$26:$C$45,2,FALSE),0%)</f>
        <v>0</v>
      </c>
      <c r="BMB14" s="5">
        <f>IFERROR(VLOOKUP(BMB$1,'Factor Alfa'!$B$26:$C$45,2,FALSE),0%)</f>
        <v>0</v>
      </c>
      <c r="BMC14" s="5">
        <f>IFERROR(VLOOKUP(BMC$1,'Factor Alfa'!$B$26:$C$45,2,FALSE),0%)</f>
        <v>0</v>
      </c>
      <c r="BMD14" s="5">
        <f>IFERROR(VLOOKUP(BMD$1,'Factor Alfa'!$B$26:$C$45,2,FALSE),0%)</f>
        <v>0</v>
      </c>
      <c r="BME14" s="5">
        <f>IFERROR(VLOOKUP(BME$1,'Factor Alfa'!$B$26:$C$45,2,FALSE),0%)</f>
        <v>0</v>
      </c>
      <c r="BMF14" s="5">
        <f>IFERROR(VLOOKUP(BMF$1,'Factor Alfa'!$B$26:$C$45,2,FALSE),0%)</f>
        <v>0</v>
      </c>
      <c r="BMG14" s="5">
        <f>IFERROR(VLOOKUP(BMG$1,'Factor Alfa'!$B$26:$C$45,2,FALSE),0%)</f>
        <v>0</v>
      </c>
      <c r="BMH14" s="5">
        <f>IFERROR(VLOOKUP(BMH$1,'Factor Alfa'!$B$26:$C$45,2,FALSE),0%)</f>
        <v>0</v>
      </c>
      <c r="BMI14" s="5">
        <f>IFERROR(VLOOKUP(BMI$1,'Factor Alfa'!$B$26:$C$45,2,FALSE),0%)</f>
        <v>0</v>
      </c>
      <c r="BMJ14" s="5">
        <f>IFERROR(VLOOKUP(BMJ$1,'Factor Alfa'!$B$26:$C$45,2,FALSE),0%)</f>
        <v>0</v>
      </c>
      <c r="BMK14" s="5">
        <f>IFERROR(VLOOKUP(BMK$1,'Factor Alfa'!$B$26:$C$45,2,FALSE),0%)</f>
        <v>0</v>
      </c>
      <c r="BML14" s="5">
        <f>IFERROR(VLOOKUP(BML$1,'Factor Alfa'!$B$26:$C$45,2,FALSE),0%)</f>
        <v>0</v>
      </c>
      <c r="BMM14" s="5">
        <f>IFERROR(VLOOKUP(BMM$1,'Factor Alfa'!$B$26:$C$45,2,FALSE),0%)</f>
        <v>0</v>
      </c>
      <c r="BMN14" s="5">
        <f>IFERROR(VLOOKUP(BMN$1,'Factor Alfa'!$B$26:$C$45,2,FALSE),0%)</f>
        <v>0</v>
      </c>
      <c r="BMO14" s="5">
        <f>IFERROR(VLOOKUP(BMO$1,'Factor Alfa'!$B$26:$C$45,2,FALSE),0%)</f>
        <v>0</v>
      </c>
      <c r="BMP14" s="5">
        <f>IFERROR(VLOOKUP(BMP$1,'Factor Alfa'!$B$26:$C$45,2,FALSE),0%)</f>
        <v>0</v>
      </c>
      <c r="BMQ14" s="5">
        <f>IFERROR(VLOOKUP(BMQ$1,'Factor Alfa'!$B$26:$C$45,2,FALSE),0%)</f>
        <v>0</v>
      </c>
      <c r="BMR14" s="5">
        <f>IFERROR(VLOOKUP(BMR$1,'Factor Alfa'!$B$26:$C$45,2,FALSE),0%)</f>
        <v>0</v>
      </c>
      <c r="BMS14" s="5">
        <f>IFERROR(VLOOKUP(BMS$1,'Factor Alfa'!$B$26:$C$45,2,FALSE),0%)</f>
        <v>0</v>
      </c>
      <c r="BMT14" s="5">
        <f>IFERROR(VLOOKUP(BMT$1,'Factor Alfa'!$B$26:$C$45,2,FALSE),0%)</f>
        <v>0</v>
      </c>
      <c r="BMU14" s="5">
        <f>IFERROR(VLOOKUP(BMU$1,'Factor Alfa'!$B$26:$C$45,2,FALSE),0%)</f>
        <v>0</v>
      </c>
      <c r="BMV14" s="5">
        <f>IFERROR(VLOOKUP(BMV$1,'Factor Alfa'!$B$26:$C$45,2,FALSE),0%)</f>
        <v>0</v>
      </c>
      <c r="BMW14" s="5">
        <f>IFERROR(VLOOKUP(BMW$1,'Factor Alfa'!$B$26:$C$45,2,FALSE),0%)</f>
        <v>0</v>
      </c>
      <c r="BMX14" s="5">
        <f>IFERROR(VLOOKUP(BMX$1,'Factor Alfa'!$B$26:$C$45,2,FALSE),0%)</f>
        <v>0</v>
      </c>
      <c r="BMY14" s="5">
        <f>IFERROR(VLOOKUP(BMY$1,'Factor Alfa'!$B$26:$C$45,2,FALSE),0%)</f>
        <v>0</v>
      </c>
      <c r="BMZ14" s="5">
        <f>IFERROR(VLOOKUP(BMZ$1,'Factor Alfa'!$B$26:$C$45,2,FALSE),0%)</f>
        <v>0</v>
      </c>
      <c r="BNA14" s="5">
        <f>IFERROR(VLOOKUP(BNA$1,'Factor Alfa'!$B$26:$C$45,2,FALSE),0%)</f>
        <v>0</v>
      </c>
      <c r="BNB14" s="5">
        <f>IFERROR(VLOOKUP(BNB$1,'Factor Alfa'!$B$26:$C$45,2,FALSE),0%)</f>
        <v>0</v>
      </c>
      <c r="BNC14" s="5">
        <f>IFERROR(VLOOKUP(BNC$1,'Factor Alfa'!$B$26:$C$45,2,FALSE),0%)</f>
        <v>0</v>
      </c>
      <c r="BND14" s="5">
        <f>IFERROR(VLOOKUP(BND$1,'Factor Alfa'!$B$26:$C$45,2,FALSE),0%)</f>
        <v>0</v>
      </c>
      <c r="BNE14" s="5">
        <f>IFERROR(VLOOKUP(BNE$1,'Factor Alfa'!$B$26:$C$45,2,FALSE),0%)</f>
        <v>0</v>
      </c>
      <c r="BNF14" s="5">
        <f>IFERROR(VLOOKUP(BNF$1,'Factor Alfa'!$B$26:$C$45,2,FALSE),0%)</f>
        <v>0</v>
      </c>
      <c r="BNG14" s="5">
        <f>IFERROR(VLOOKUP(BNG$1,'Factor Alfa'!$B$26:$C$45,2,FALSE),0%)</f>
        <v>0</v>
      </c>
      <c r="BNH14" s="5">
        <f>IFERROR(VLOOKUP(BNH$1,'Factor Alfa'!$B$26:$C$45,2,FALSE),0%)</f>
        <v>0</v>
      </c>
      <c r="BNI14" s="5">
        <f>IFERROR(VLOOKUP(BNI$1,'Factor Alfa'!$B$26:$C$45,2,FALSE),0%)</f>
        <v>0</v>
      </c>
      <c r="BNJ14" s="5">
        <f>IFERROR(VLOOKUP(BNJ$1,'Factor Alfa'!$B$26:$C$45,2,FALSE),0%)</f>
        <v>0</v>
      </c>
      <c r="BNK14" s="5">
        <f>IFERROR(VLOOKUP(BNK$1,'Factor Alfa'!$B$26:$C$45,2,FALSE),0%)</f>
        <v>0</v>
      </c>
      <c r="BNL14" s="5">
        <f>IFERROR(VLOOKUP(BNL$1,'Factor Alfa'!$B$26:$C$45,2,FALSE),0%)</f>
        <v>0</v>
      </c>
      <c r="BNM14" s="5">
        <f>IFERROR(VLOOKUP(BNM$1,'Factor Alfa'!$B$26:$C$45,2,FALSE),0%)</f>
        <v>0</v>
      </c>
      <c r="BNN14" s="5">
        <f>IFERROR(VLOOKUP(BNN$1,'Factor Alfa'!$B$26:$C$45,2,FALSE),0%)</f>
        <v>0</v>
      </c>
      <c r="BNO14" s="5">
        <f>IFERROR(VLOOKUP(BNO$1,'Factor Alfa'!$B$26:$C$45,2,FALSE),0%)</f>
        <v>0</v>
      </c>
      <c r="BNP14" s="5">
        <f>IFERROR(VLOOKUP(BNP$1,'Factor Alfa'!$B$26:$C$45,2,FALSE),0%)</f>
        <v>0</v>
      </c>
      <c r="BNQ14" s="5">
        <f>IFERROR(VLOOKUP(BNQ$1,'Factor Alfa'!$B$26:$C$45,2,FALSE),0%)</f>
        <v>0</v>
      </c>
      <c r="BNR14" s="5">
        <f>IFERROR(VLOOKUP(BNR$1,'Factor Alfa'!$B$26:$C$45,2,FALSE),0%)</f>
        <v>0</v>
      </c>
      <c r="BNS14" s="5">
        <f>IFERROR(VLOOKUP(BNS$1,'Factor Alfa'!$B$26:$C$45,2,FALSE),0%)</f>
        <v>0</v>
      </c>
      <c r="BNT14" s="5">
        <f>IFERROR(VLOOKUP(BNT$1,'Factor Alfa'!$B$26:$C$45,2,FALSE),0%)</f>
        <v>0</v>
      </c>
      <c r="BNU14" s="5">
        <f>IFERROR(VLOOKUP(BNU$1,'Factor Alfa'!$B$26:$C$45,2,FALSE),0%)</f>
        <v>0</v>
      </c>
      <c r="BNV14" s="5">
        <f>IFERROR(VLOOKUP(BNV$1,'Factor Alfa'!$B$26:$C$45,2,FALSE),0%)</f>
        <v>0</v>
      </c>
      <c r="BNW14" s="5">
        <f>IFERROR(VLOOKUP(BNW$1,'Factor Alfa'!$B$26:$C$45,2,FALSE),0%)</f>
        <v>0</v>
      </c>
      <c r="BNX14" s="5">
        <f>IFERROR(VLOOKUP(BNX$1,'Factor Alfa'!$B$26:$C$45,2,FALSE),0%)</f>
        <v>0</v>
      </c>
      <c r="BNY14" s="5">
        <f>IFERROR(VLOOKUP(BNY$1,'Factor Alfa'!$B$26:$C$45,2,FALSE),0%)</f>
        <v>0</v>
      </c>
      <c r="BNZ14" s="5">
        <f>IFERROR(VLOOKUP(BNZ$1,'Factor Alfa'!$B$26:$C$45,2,FALSE),0%)</f>
        <v>0</v>
      </c>
      <c r="BOA14" s="5">
        <f>IFERROR(VLOOKUP(BOA$1,'Factor Alfa'!$B$26:$C$45,2,FALSE),0%)</f>
        <v>0</v>
      </c>
      <c r="BOB14" s="5">
        <f>IFERROR(VLOOKUP(BOB$1,'Factor Alfa'!$B$26:$C$45,2,FALSE),0%)</f>
        <v>0</v>
      </c>
      <c r="BOC14" s="5">
        <f>IFERROR(VLOOKUP(BOC$1,'Factor Alfa'!$B$26:$C$45,2,FALSE),0%)</f>
        <v>0</v>
      </c>
      <c r="BOD14" s="5">
        <f>IFERROR(VLOOKUP(BOD$1,'Factor Alfa'!$B$26:$C$45,2,FALSE),0%)</f>
        <v>0</v>
      </c>
      <c r="BOE14" s="5">
        <f>IFERROR(VLOOKUP(BOE$1,'Factor Alfa'!$B$26:$C$45,2,FALSE),0%)</f>
        <v>0</v>
      </c>
      <c r="BOF14" s="5">
        <f>IFERROR(VLOOKUP(BOF$1,'Factor Alfa'!$B$26:$C$45,2,FALSE),0%)</f>
        <v>0</v>
      </c>
      <c r="BOG14" s="5">
        <f>IFERROR(VLOOKUP(BOG$1,'Factor Alfa'!$B$26:$C$45,2,FALSE),0%)</f>
        <v>0</v>
      </c>
      <c r="BOH14" s="5">
        <f>IFERROR(VLOOKUP(BOH$1,'Factor Alfa'!$B$26:$C$45,2,FALSE),0%)</f>
        <v>0</v>
      </c>
      <c r="BOI14" s="5">
        <f>IFERROR(VLOOKUP(BOI$1,'Factor Alfa'!$B$26:$C$45,2,FALSE),0%)</f>
        <v>0</v>
      </c>
      <c r="BOJ14" s="5">
        <f>IFERROR(VLOOKUP(BOJ$1,'Factor Alfa'!$B$26:$C$45,2,FALSE),0%)</f>
        <v>0</v>
      </c>
      <c r="BOK14" s="5">
        <f>IFERROR(VLOOKUP(BOK$1,'Factor Alfa'!$B$26:$C$45,2,FALSE),0%)</f>
        <v>0</v>
      </c>
      <c r="BOL14" s="5">
        <f>IFERROR(VLOOKUP(BOL$1,'Factor Alfa'!$B$26:$C$45,2,FALSE),0%)</f>
        <v>0</v>
      </c>
      <c r="BOM14" s="5">
        <f>IFERROR(VLOOKUP(BOM$1,'Factor Alfa'!$B$26:$C$45,2,FALSE),0%)</f>
        <v>0</v>
      </c>
      <c r="BON14" s="5">
        <f>IFERROR(VLOOKUP(BON$1,'Factor Alfa'!$B$26:$C$45,2,FALSE),0%)</f>
        <v>0</v>
      </c>
      <c r="BOO14" s="5">
        <f>IFERROR(VLOOKUP(BOO$1,'Factor Alfa'!$B$26:$C$45,2,FALSE),0%)</f>
        <v>0</v>
      </c>
      <c r="BOP14" s="5">
        <f>IFERROR(VLOOKUP(BOP$1,'Factor Alfa'!$B$26:$C$45,2,FALSE),0%)</f>
        <v>0</v>
      </c>
      <c r="BOQ14" s="5">
        <f>IFERROR(VLOOKUP(BOQ$1,'Factor Alfa'!$B$26:$C$45,2,FALSE),0%)</f>
        <v>0</v>
      </c>
      <c r="BOR14" s="5">
        <f>IFERROR(VLOOKUP(BOR$1,'Factor Alfa'!$B$26:$C$45,2,FALSE),0%)</f>
        <v>0</v>
      </c>
      <c r="BOS14" s="5">
        <f>IFERROR(VLOOKUP(BOS$1,'Factor Alfa'!$B$26:$C$45,2,FALSE),0%)</f>
        <v>0</v>
      </c>
      <c r="BOT14" s="5">
        <f>IFERROR(VLOOKUP(BOT$1,'Factor Alfa'!$B$26:$C$45,2,FALSE),0%)</f>
        <v>0</v>
      </c>
      <c r="BOU14" s="5">
        <f>IFERROR(VLOOKUP(BOU$1,'Factor Alfa'!$B$26:$C$45,2,FALSE),0%)</f>
        <v>0</v>
      </c>
      <c r="BOV14" s="5">
        <f>IFERROR(VLOOKUP(BOV$1,'Factor Alfa'!$B$26:$C$45,2,FALSE),0%)</f>
        <v>0</v>
      </c>
      <c r="BOW14" s="5">
        <f>IFERROR(VLOOKUP(BOW$1,'Factor Alfa'!$B$26:$C$45,2,FALSE),0%)</f>
        <v>0.04004</v>
      </c>
      <c r="BOX14" s="5">
        <f>IFERROR(VLOOKUP(BOX$1,'Factor Alfa'!$B$26:$C$45,2,FALSE),0%)</f>
        <v>0</v>
      </c>
      <c r="BOY14" s="5">
        <f>IFERROR(VLOOKUP(BOY$1,'Factor Alfa'!$B$26:$C$45,2,FALSE),0%)</f>
        <v>0</v>
      </c>
      <c r="BOZ14" s="5">
        <f>IFERROR(VLOOKUP(BOZ$1,'Factor Alfa'!$B$26:$C$45,2,FALSE),0%)</f>
        <v>0</v>
      </c>
      <c r="BPA14" s="5">
        <f>IFERROR(VLOOKUP(BPA$1,'Factor Alfa'!$B$26:$C$45,2,FALSE),0%)</f>
        <v>0</v>
      </c>
      <c r="BPB14" s="5">
        <f>IFERROR(VLOOKUP(BPB$1,'Factor Alfa'!$B$26:$C$45,2,FALSE),0%)</f>
        <v>0</v>
      </c>
      <c r="BPC14" s="5">
        <f>IFERROR(VLOOKUP(BPC$1,'Factor Alfa'!$B$26:$C$45,2,FALSE),0%)</f>
        <v>0</v>
      </c>
      <c r="BPD14" s="5">
        <f>IFERROR(VLOOKUP(BPD$1,'Factor Alfa'!$B$26:$C$45,2,FALSE),0%)</f>
        <v>0</v>
      </c>
      <c r="BPE14" s="5">
        <f>IFERROR(VLOOKUP(BPE$1,'Factor Alfa'!$B$26:$C$45,2,FALSE),0%)</f>
        <v>0</v>
      </c>
      <c r="BPF14" s="5">
        <f>IFERROR(VLOOKUP(BPF$1,'Factor Alfa'!$B$26:$C$45,2,FALSE),0%)</f>
        <v>0</v>
      </c>
      <c r="BPG14" s="5">
        <f>IFERROR(VLOOKUP(BPG$1,'Factor Alfa'!$B$26:$C$45,2,FALSE),0%)</f>
        <v>0.05026</v>
      </c>
      <c r="BPH14" s="5">
        <f>IFERROR(VLOOKUP(BPH$1,'Factor Alfa'!$B$26:$C$45,2,FALSE),0%)</f>
        <v>0</v>
      </c>
      <c r="BPI14" s="5">
        <f>IFERROR(VLOOKUP(BPI$1,'Factor Alfa'!$B$26:$C$45,2,FALSE),0%)</f>
        <v>0</v>
      </c>
      <c r="BPJ14" s="5">
        <f>IFERROR(VLOOKUP(BPJ$1,'Factor Alfa'!$B$26:$C$45,2,FALSE),0%)</f>
        <v>0</v>
      </c>
      <c r="BPK14" s="5">
        <f>IFERROR(VLOOKUP(BPK$1,'Factor Alfa'!$B$26:$C$45,2,FALSE),0%)</f>
        <v>0</v>
      </c>
      <c r="BPL14" s="5">
        <f>IFERROR(VLOOKUP(BPL$1,'Factor Alfa'!$B$26:$C$45,2,FALSE),0%)</f>
        <v>0</v>
      </c>
      <c r="BPM14" s="5">
        <f>IFERROR(VLOOKUP(BPM$1,'Factor Alfa'!$B$26:$C$45,2,FALSE),0%)</f>
        <v>0</v>
      </c>
      <c r="BPN14" s="5">
        <f>IFERROR(VLOOKUP(BPN$1,'Factor Alfa'!$B$26:$C$45,2,FALSE),0%)</f>
        <v>0</v>
      </c>
      <c r="BPO14" s="5">
        <f>IFERROR(VLOOKUP(BPO$1,'Factor Alfa'!$B$26:$C$45,2,FALSE),0%)</f>
        <v>0</v>
      </c>
      <c r="BPP14" s="5">
        <f>IFERROR(VLOOKUP(BPP$1,'Factor Alfa'!$B$26:$C$45,2,FALSE),0%)</f>
        <v>0</v>
      </c>
      <c r="BPQ14" s="5">
        <f>IFERROR(VLOOKUP(BPQ$1,'Factor Alfa'!$B$26:$C$45,2,FALSE),0%)</f>
        <v>0</v>
      </c>
      <c r="BPR14" s="5">
        <f>IFERROR(VLOOKUP(BPR$1,'Factor Alfa'!$B$26:$C$45,2,FALSE),0%)</f>
        <v>0</v>
      </c>
      <c r="BPS14" s="5">
        <f>IFERROR(VLOOKUP(BPS$1,'Factor Alfa'!$B$26:$C$45,2,FALSE),0%)</f>
        <v>0</v>
      </c>
      <c r="BPT14" s="5">
        <f>IFERROR(VLOOKUP(BPT$1,'Factor Alfa'!$B$26:$C$45,2,FALSE),0%)</f>
        <v>0</v>
      </c>
      <c r="BPU14" s="5">
        <f>IFERROR(VLOOKUP(BPU$1,'Factor Alfa'!$B$26:$C$45,2,FALSE),0%)</f>
        <v>0</v>
      </c>
      <c r="BPV14" s="5">
        <f>IFERROR(VLOOKUP(BPV$1,'Factor Alfa'!$B$26:$C$45,2,FALSE),0%)</f>
        <v>0</v>
      </c>
      <c r="BPW14" s="5">
        <f>IFERROR(VLOOKUP(BPW$1,'Factor Alfa'!$B$26:$C$45,2,FALSE),0%)</f>
        <v>0</v>
      </c>
      <c r="BPX14" s="5">
        <f>IFERROR(VLOOKUP(BPX$1,'Factor Alfa'!$B$26:$C$45,2,FALSE),0%)</f>
        <v>0</v>
      </c>
      <c r="BPY14" s="5">
        <f>IFERROR(VLOOKUP(BPY$1,'Factor Alfa'!$B$26:$C$45,2,FALSE),0%)</f>
        <v>0</v>
      </c>
      <c r="BPZ14" s="5">
        <f>IFERROR(VLOOKUP(BPZ$1,'Factor Alfa'!$B$26:$C$45,2,FALSE),0%)</f>
        <v>0</v>
      </c>
      <c r="BQA14" s="5">
        <f>IFERROR(VLOOKUP(BQA$1,'Factor Alfa'!$B$26:$C$45,2,FALSE),0%)</f>
        <v>0</v>
      </c>
      <c r="BQB14" s="5">
        <f>IFERROR(VLOOKUP(BQB$1,'Factor Alfa'!$B$26:$C$45,2,FALSE),0%)</f>
        <v>0</v>
      </c>
      <c r="BQC14" s="5">
        <f>IFERROR(VLOOKUP(BQC$1,'Factor Alfa'!$B$26:$C$45,2,FALSE),0%)</f>
        <v>0</v>
      </c>
      <c r="BQD14" s="5">
        <f>IFERROR(VLOOKUP(BQD$1,'Factor Alfa'!$B$26:$C$45,2,FALSE),0%)</f>
        <v>0</v>
      </c>
      <c r="BQE14" s="5">
        <f>IFERROR(VLOOKUP(BQE$1,'Factor Alfa'!$B$26:$C$45,2,FALSE),0%)</f>
        <v>0</v>
      </c>
      <c r="BQF14" s="5">
        <f>IFERROR(VLOOKUP(BQF$1,'Factor Alfa'!$B$26:$C$45,2,FALSE),0%)</f>
        <v>0</v>
      </c>
      <c r="BQG14" s="5">
        <f>IFERROR(VLOOKUP(BQG$1,'Factor Alfa'!$B$26:$C$45,2,FALSE),0%)</f>
        <v>0</v>
      </c>
      <c r="BQH14" s="5">
        <f>IFERROR(VLOOKUP(BQH$1,'Factor Alfa'!$B$26:$C$45,2,FALSE),0%)</f>
        <v>0</v>
      </c>
      <c r="BQI14" s="5">
        <f>IFERROR(VLOOKUP(BQI$1,'Factor Alfa'!$B$26:$C$45,2,FALSE),0%)</f>
        <v>0</v>
      </c>
      <c r="BQJ14" s="5">
        <f>IFERROR(VLOOKUP(BQJ$1,'Factor Alfa'!$B$26:$C$45,2,FALSE),0%)</f>
        <v>0</v>
      </c>
      <c r="BQK14" s="5">
        <f>IFERROR(VLOOKUP(BQK$1,'Factor Alfa'!$B$26:$C$45,2,FALSE),0%)</f>
        <v>0</v>
      </c>
      <c r="BQL14" s="5">
        <f>IFERROR(VLOOKUP(BQL$1,'Factor Alfa'!$B$26:$C$45,2,FALSE),0%)</f>
        <v>0</v>
      </c>
      <c r="BQM14" s="5">
        <f>IFERROR(VLOOKUP(BQM$1,'Factor Alfa'!$B$26:$C$45,2,FALSE),0%)</f>
        <v>0</v>
      </c>
      <c r="BQN14" s="5">
        <f>IFERROR(VLOOKUP(BQN$1,'Factor Alfa'!$B$26:$C$45,2,FALSE),0%)</f>
        <v>0</v>
      </c>
      <c r="BQO14" s="5">
        <f>IFERROR(VLOOKUP(BQO$1,'Factor Alfa'!$B$26:$C$45,2,FALSE),0%)</f>
        <v>0</v>
      </c>
      <c r="BQP14" s="5">
        <f>IFERROR(VLOOKUP(BQP$1,'Factor Alfa'!$B$26:$C$45,2,FALSE),0%)</f>
        <v>0</v>
      </c>
      <c r="BQQ14" s="5">
        <f>IFERROR(VLOOKUP(BQQ$1,'Factor Alfa'!$B$26:$C$45,2,FALSE),0%)</f>
        <v>0</v>
      </c>
      <c r="BQR14" s="5">
        <f>IFERROR(VLOOKUP(BQR$1,'Factor Alfa'!$B$26:$C$45,2,FALSE),0%)</f>
        <v>0</v>
      </c>
      <c r="BQS14" s="5">
        <f>IFERROR(VLOOKUP(BQS$1,'Factor Alfa'!$B$26:$C$45,2,FALSE),0%)</f>
        <v>0</v>
      </c>
      <c r="BQT14" s="5">
        <f>IFERROR(VLOOKUP(BQT$1,'Factor Alfa'!$B$26:$C$45,2,FALSE),0%)</f>
        <v>0</v>
      </c>
      <c r="BQU14" s="5">
        <f>IFERROR(VLOOKUP(BQU$1,'Factor Alfa'!$B$26:$C$45,2,FALSE),0%)</f>
        <v>0</v>
      </c>
      <c r="BQV14" s="5">
        <f>IFERROR(VLOOKUP(BQV$1,'Factor Alfa'!$B$26:$C$45,2,FALSE),0%)</f>
        <v>0</v>
      </c>
      <c r="BQW14" s="5">
        <f>IFERROR(VLOOKUP(BQW$1,'Factor Alfa'!$B$26:$C$45,2,FALSE),0%)</f>
        <v>0</v>
      </c>
      <c r="BQX14" s="5">
        <f>IFERROR(VLOOKUP(BQX$1,'Factor Alfa'!$B$26:$C$45,2,FALSE),0%)</f>
        <v>0</v>
      </c>
      <c r="BQY14" s="5">
        <f>IFERROR(VLOOKUP(BQY$1,'Factor Alfa'!$B$26:$C$45,2,FALSE),0%)</f>
        <v>0</v>
      </c>
      <c r="BQZ14" s="5">
        <f>IFERROR(VLOOKUP(BQZ$1,'Factor Alfa'!$B$26:$C$45,2,FALSE),0%)</f>
        <v>0</v>
      </c>
      <c r="BRA14" s="5">
        <f>IFERROR(VLOOKUP(BRA$1,'Factor Alfa'!$B$26:$C$45,2,FALSE),0%)</f>
        <v>0</v>
      </c>
      <c r="BRB14" s="5">
        <f>IFERROR(VLOOKUP(BRB$1,'Factor Alfa'!$B$26:$C$45,2,FALSE),0%)</f>
        <v>0</v>
      </c>
      <c r="BRC14" s="5">
        <f>IFERROR(VLOOKUP(BRC$1,'Factor Alfa'!$B$26:$C$45,2,FALSE),0%)</f>
        <v>0</v>
      </c>
      <c r="BRD14" s="5">
        <f>IFERROR(VLOOKUP(BRD$1,'Factor Alfa'!$B$26:$C$45,2,FALSE),0%)</f>
        <v>0</v>
      </c>
      <c r="BRE14" s="5">
        <f>IFERROR(VLOOKUP(BRE$1,'Factor Alfa'!$B$26:$C$45,2,FALSE),0%)</f>
        <v>0</v>
      </c>
      <c r="BRF14" s="5">
        <f>IFERROR(VLOOKUP(BRF$1,'Factor Alfa'!$B$26:$C$45,2,FALSE),0%)</f>
        <v>0</v>
      </c>
      <c r="BRG14" s="5">
        <f>IFERROR(VLOOKUP(BRG$1,'Factor Alfa'!$B$26:$C$45,2,FALSE),0%)</f>
        <v>0</v>
      </c>
      <c r="BRH14" s="5">
        <f>IFERROR(VLOOKUP(BRH$1,'Factor Alfa'!$B$26:$C$45,2,FALSE),0%)</f>
        <v>0</v>
      </c>
      <c r="BRI14" s="5">
        <f>IFERROR(VLOOKUP(BRI$1,'Factor Alfa'!$B$26:$C$45,2,FALSE),0%)</f>
        <v>0</v>
      </c>
      <c r="BRJ14" s="5">
        <f>IFERROR(VLOOKUP(BRJ$1,'Factor Alfa'!$B$26:$C$45,2,FALSE),0%)</f>
        <v>0</v>
      </c>
      <c r="BRK14" s="5">
        <f>IFERROR(VLOOKUP(BRK$1,'Factor Alfa'!$B$26:$C$45,2,FALSE),0%)</f>
        <v>0</v>
      </c>
      <c r="BRL14" s="5">
        <f>IFERROR(VLOOKUP(BRL$1,'Factor Alfa'!$B$26:$C$45,2,FALSE),0%)</f>
        <v>0</v>
      </c>
      <c r="BRM14" s="5">
        <f>IFERROR(VLOOKUP(BRM$1,'Factor Alfa'!$B$26:$C$45,2,FALSE),0%)</f>
        <v>0</v>
      </c>
      <c r="BRN14" s="5">
        <f>IFERROR(VLOOKUP(BRN$1,'Factor Alfa'!$B$26:$C$45,2,FALSE),0%)</f>
        <v>0</v>
      </c>
      <c r="BRO14" s="5">
        <f>IFERROR(VLOOKUP(BRO$1,'Factor Alfa'!$B$26:$C$45,2,FALSE),0%)</f>
        <v>0</v>
      </c>
      <c r="BRP14" s="5">
        <f>IFERROR(VLOOKUP(BRP$1,'Factor Alfa'!$B$26:$C$45,2,FALSE),0%)</f>
        <v>0</v>
      </c>
      <c r="BRQ14" s="5">
        <f>IFERROR(VLOOKUP(BRQ$1,'Factor Alfa'!$B$26:$C$45,2,FALSE),0%)</f>
        <v>0</v>
      </c>
      <c r="BRR14" s="5">
        <f>IFERROR(VLOOKUP(BRR$1,'Factor Alfa'!$B$26:$C$45,2,FALSE),0%)</f>
        <v>0</v>
      </c>
      <c r="BRS14" s="5">
        <f>IFERROR(VLOOKUP(BRS$1,'Factor Alfa'!$B$26:$C$45,2,FALSE),0%)</f>
        <v>0</v>
      </c>
      <c r="BRT14" s="5">
        <f>IFERROR(VLOOKUP(BRT$1,'Factor Alfa'!$B$26:$C$45,2,FALSE),0%)</f>
        <v>0</v>
      </c>
      <c r="BRU14" s="5">
        <f>IFERROR(VLOOKUP(BRU$1,'Factor Alfa'!$B$26:$C$45,2,FALSE),0%)</f>
        <v>0</v>
      </c>
      <c r="BRV14" s="5">
        <f>IFERROR(VLOOKUP(BRV$1,'Factor Alfa'!$B$26:$C$45,2,FALSE),0%)</f>
        <v>0</v>
      </c>
      <c r="BRW14" s="5">
        <f>IFERROR(VLOOKUP(BRW$1,'Factor Alfa'!$B$26:$C$45,2,FALSE),0%)</f>
        <v>0</v>
      </c>
      <c r="BRX14" s="5">
        <f>IFERROR(VLOOKUP(BRX$1,'Factor Alfa'!$B$26:$C$45,2,FALSE),0%)</f>
        <v>0</v>
      </c>
      <c r="BRY14" s="5">
        <f>IFERROR(VLOOKUP(BRY$1,'Factor Alfa'!$B$26:$C$45,2,FALSE),0%)</f>
        <v>0</v>
      </c>
      <c r="BRZ14" s="5">
        <f>IFERROR(VLOOKUP(BRZ$1,'Factor Alfa'!$B$26:$C$45,2,FALSE),0%)</f>
        <v>0</v>
      </c>
      <c r="BSA14" s="5">
        <f>IFERROR(VLOOKUP(BSA$1,'Factor Alfa'!$B$26:$C$45,2,FALSE),0%)</f>
        <v>0</v>
      </c>
      <c r="BSB14" s="5">
        <f>IFERROR(VLOOKUP(BSB$1,'Factor Alfa'!$B$26:$C$45,2,FALSE),0%)</f>
        <v>0</v>
      </c>
      <c r="BSC14" s="5">
        <f>IFERROR(VLOOKUP(BSC$1,'Factor Alfa'!$B$26:$C$45,2,FALSE),0%)</f>
        <v>0</v>
      </c>
      <c r="BSD14" s="5">
        <f>IFERROR(VLOOKUP(BSD$1,'Factor Alfa'!$B$26:$C$45,2,FALSE),0%)</f>
        <v>0</v>
      </c>
      <c r="BSE14" s="5">
        <f>IFERROR(VLOOKUP(BSE$1,'Factor Alfa'!$B$26:$C$45,2,FALSE),0%)</f>
        <v>0</v>
      </c>
      <c r="BSF14" s="5">
        <f>IFERROR(VLOOKUP(BSF$1,'Factor Alfa'!$B$26:$C$45,2,FALSE),0%)</f>
        <v>0</v>
      </c>
      <c r="BSG14" s="5">
        <f>IFERROR(VLOOKUP(BSG$1,'Factor Alfa'!$B$26:$C$45,2,FALSE),0%)</f>
        <v>0</v>
      </c>
      <c r="BSH14" s="5">
        <f>IFERROR(VLOOKUP(BSH$1,'Factor Alfa'!$B$26:$C$45,2,FALSE),0%)</f>
        <v>0</v>
      </c>
      <c r="BSI14" s="5">
        <f>IFERROR(VLOOKUP(BSI$1,'Factor Alfa'!$B$26:$C$45,2,FALSE),0%)</f>
        <v>0</v>
      </c>
      <c r="BSJ14" s="5">
        <f>IFERROR(VLOOKUP(BSJ$1,'Factor Alfa'!$B$26:$C$45,2,FALSE),0%)</f>
        <v>0</v>
      </c>
      <c r="BSK14" s="5">
        <f>IFERROR(VLOOKUP(BSK$1,'Factor Alfa'!$B$26:$C$45,2,FALSE),0%)</f>
        <v>0</v>
      </c>
      <c r="BSL14" s="5">
        <f>IFERROR(VLOOKUP(BSL$1,'Factor Alfa'!$B$26:$C$45,2,FALSE),0%)</f>
        <v>0</v>
      </c>
      <c r="BSM14" s="5">
        <f>IFERROR(VLOOKUP(BSM$1,'Factor Alfa'!$B$26:$C$45,2,FALSE),0%)</f>
        <v>0</v>
      </c>
      <c r="BSN14" s="5">
        <f>IFERROR(VLOOKUP(BSN$1,'Factor Alfa'!$B$26:$C$45,2,FALSE),0%)</f>
        <v>0</v>
      </c>
      <c r="BSO14" s="5">
        <f>IFERROR(VLOOKUP(BSO$1,'Factor Alfa'!$B$26:$C$45,2,FALSE),0%)</f>
        <v>0</v>
      </c>
      <c r="BSP14" s="5">
        <f>IFERROR(VLOOKUP(BSP$1,'Factor Alfa'!$B$26:$C$45,2,FALSE),0%)</f>
        <v>0</v>
      </c>
      <c r="BSQ14" s="5">
        <f>IFERROR(VLOOKUP(BSQ$1,'Factor Alfa'!$B$26:$C$45,2,FALSE),0%)</f>
        <v>0</v>
      </c>
      <c r="BSR14" s="5">
        <f>IFERROR(VLOOKUP(BSR$1,'Factor Alfa'!$B$26:$C$45,2,FALSE),0%)</f>
        <v>0</v>
      </c>
      <c r="BSS14" s="5">
        <f>IFERROR(VLOOKUP(BSS$1,'Factor Alfa'!$B$26:$C$45,2,FALSE),0%)</f>
        <v>0</v>
      </c>
      <c r="BST14" s="5">
        <f>IFERROR(VLOOKUP(BST$1,'Factor Alfa'!$B$26:$C$45,2,FALSE),0%)</f>
        <v>0</v>
      </c>
      <c r="BSU14" s="5">
        <f>IFERROR(VLOOKUP(BSU$1,'Factor Alfa'!$B$26:$C$45,2,FALSE),0%)</f>
        <v>0</v>
      </c>
      <c r="BSV14" s="5">
        <f>IFERROR(VLOOKUP(BSV$1,'Factor Alfa'!$B$26:$C$45,2,FALSE),0%)</f>
        <v>0</v>
      </c>
      <c r="BSW14" s="5">
        <f>IFERROR(VLOOKUP(BSW$1,'Factor Alfa'!$B$26:$C$45,2,FALSE),0%)</f>
        <v>0</v>
      </c>
      <c r="BSX14" s="5">
        <f>IFERROR(VLOOKUP(BSX$1,'Factor Alfa'!$B$26:$C$45,2,FALSE),0%)</f>
        <v>0</v>
      </c>
      <c r="BSY14" s="5">
        <f>IFERROR(VLOOKUP(BSY$1,'Factor Alfa'!$B$26:$C$45,2,FALSE),0%)</f>
        <v>0</v>
      </c>
      <c r="BSZ14" s="5">
        <f>IFERROR(VLOOKUP(BSZ$1,'Factor Alfa'!$B$26:$C$45,2,FALSE),0%)</f>
        <v>0</v>
      </c>
      <c r="BTA14" s="5">
        <f>IFERROR(VLOOKUP(BTA$1,'Factor Alfa'!$B$26:$C$45,2,FALSE),0%)</f>
        <v>0</v>
      </c>
      <c r="BTB14" s="5">
        <f>IFERROR(VLOOKUP(BTB$1,'Factor Alfa'!$B$26:$C$45,2,FALSE),0%)</f>
        <v>0</v>
      </c>
      <c r="BTC14" s="5">
        <f>IFERROR(VLOOKUP(BTC$1,'Factor Alfa'!$B$26:$C$45,2,FALSE),0%)</f>
        <v>0</v>
      </c>
      <c r="BTD14" s="5">
        <f>IFERROR(VLOOKUP(BTD$1,'Factor Alfa'!$B$26:$C$45,2,FALSE),0%)</f>
        <v>0</v>
      </c>
      <c r="BTE14" s="5">
        <f>IFERROR(VLOOKUP(BTE$1,'Factor Alfa'!$B$26:$C$45,2,FALSE),0%)</f>
        <v>0</v>
      </c>
      <c r="BTF14" s="5">
        <f>IFERROR(VLOOKUP(BTF$1,'Factor Alfa'!$B$26:$C$45,2,FALSE),0%)</f>
        <v>0</v>
      </c>
      <c r="BTG14" s="5">
        <f>IFERROR(VLOOKUP(BTG$1,'Factor Alfa'!$B$26:$C$45,2,FALSE),0%)</f>
        <v>0</v>
      </c>
      <c r="BTH14" s="5">
        <f>IFERROR(VLOOKUP(BTH$1,'Factor Alfa'!$B$26:$C$45,2,FALSE),0%)</f>
        <v>0</v>
      </c>
      <c r="BTI14" s="5">
        <f>IFERROR(VLOOKUP(BTI$1,'Factor Alfa'!$B$26:$C$45,2,FALSE),0%)</f>
        <v>0</v>
      </c>
      <c r="BTJ14" s="5">
        <f>IFERROR(VLOOKUP(BTJ$1,'Factor Alfa'!$B$26:$C$45,2,FALSE),0%)</f>
        <v>0</v>
      </c>
      <c r="BTK14" s="5">
        <f>IFERROR(VLOOKUP(BTK$1,'Factor Alfa'!$B$26:$C$45,2,FALSE),0%)</f>
        <v>0</v>
      </c>
      <c r="BTL14" s="5">
        <f>IFERROR(VLOOKUP(BTL$1,'Factor Alfa'!$B$26:$C$45,2,FALSE),0%)</f>
        <v>0</v>
      </c>
      <c r="BTM14" s="5">
        <f>IFERROR(VLOOKUP(BTM$1,'Factor Alfa'!$B$26:$C$45,2,FALSE),0%)</f>
        <v>0</v>
      </c>
      <c r="BTN14" s="5">
        <f>IFERROR(VLOOKUP(BTN$1,'Factor Alfa'!$B$26:$C$45,2,FALSE),0%)</f>
        <v>0</v>
      </c>
      <c r="BTO14" s="5">
        <f>IFERROR(VLOOKUP(BTO$1,'Factor Alfa'!$B$26:$C$45,2,FALSE),0%)</f>
        <v>0</v>
      </c>
      <c r="BTP14" s="5">
        <f>IFERROR(VLOOKUP(BTP$1,'Factor Alfa'!$B$26:$C$45,2,FALSE),0%)</f>
        <v>0</v>
      </c>
      <c r="BTQ14" s="5">
        <f>IFERROR(VLOOKUP(BTQ$1,'Factor Alfa'!$B$26:$C$45,2,FALSE),0%)</f>
        <v>0</v>
      </c>
      <c r="BTR14" s="5">
        <f>IFERROR(VLOOKUP(BTR$1,'Factor Alfa'!$B$26:$C$45,2,FALSE),0%)</f>
        <v>0</v>
      </c>
      <c r="BTS14" s="5">
        <f>IFERROR(VLOOKUP(BTS$1,'Factor Alfa'!$B$26:$C$45,2,FALSE),0%)</f>
        <v>0</v>
      </c>
      <c r="BTT14" s="5">
        <f>IFERROR(VLOOKUP(BTT$1,'Factor Alfa'!$B$26:$C$45,2,FALSE),0%)</f>
        <v>0</v>
      </c>
      <c r="BTU14" s="5">
        <f>IFERROR(VLOOKUP(BTU$1,'Factor Alfa'!$B$26:$C$45,2,FALSE),0%)</f>
        <v>0</v>
      </c>
      <c r="BTV14" s="5">
        <f>IFERROR(VLOOKUP(BTV$1,'Factor Alfa'!$B$26:$C$45,2,FALSE),0%)</f>
        <v>0</v>
      </c>
      <c r="BTW14" s="5">
        <f>IFERROR(VLOOKUP(BTW$1,'Factor Alfa'!$B$26:$C$45,2,FALSE),0%)</f>
        <v>0</v>
      </c>
      <c r="BTX14" s="5">
        <f>IFERROR(VLOOKUP(BTX$1,'Factor Alfa'!$B$26:$C$45,2,FALSE),0%)</f>
        <v>0</v>
      </c>
      <c r="BTY14" s="5">
        <f>IFERROR(VLOOKUP(BTY$1,'Factor Alfa'!$B$26:$C$45,2,FALSE),0%)</f>
        <v>0</v>
      </c>
      <c r="BTZ14" s="5">
        <f>IFERROR(VLOOKUP(BTZ$1,'Factor Alfa'!$B$26:$C$45,2,FALSE),0%)</f>
        <v>0</v>
      </c>
      <c r="BUA14" s="5">
        <f>IFERROR(VLOOKUP(BUA$1,'Factor Alfa'!$B$26:$C$45,2,FALSE),0%)</f>
        <v>0</v>
      </c>
      <c r="BUB14" s="5">
        <f>IFERROR(VLOOKUP(BUB$1,'Factor Alfa'!$B$26:$C$45,2,FALSE),0%)</f>
        <v>0</v>
      </c>
      <c r="BUC14" s="5">
        <f>IFERROR(VLOOKUP(BUC$1,'Factor Alfa'!$B$26:$C$45,2,FALSE),0%)</f>
        <v>0</v>
      </c>
      <c r="BUD14" s="5">
        <f>IFERROR(VLOOKUP(BUD$1,'Factor Alfa'!$B$26:$C$45,2,FALSE),0%)</f>
        <v>0</v>
      </c>
      <c r="BUE14" s="5">
        <f>IFERROR(VLOOKUP(BUE$1,'Factor Alfa'!$B$26:$C$45,2,FALSE),0%)</f>
        <v>0</v>
      </c>
      <c r="BUF14" s="5">
        <f>IFERROR(VLOOKUP(BUF$1,'Factor Alfa'!$B$26:$C$45,2,FALSE),0%)</f>
        <v>0</v>
      </c>
      <c r="BUG14" s="5">
        <f>IFERROR(VLOOKUP(BUG$1,'Factor Alfa'!$B$26:$C$45,2,FALSE),0%)</f>
        <v>0</v>
      </c>
      <c r="BUH14" s="5">
        <f>IFERROR(VLOOKUP(BUH$1,'Factor Alfa'!$B$26:$C$45,2,FALSE),0%)</f>
        <v>0</v>
      </c>
      <c r="BUI14" s="5">
        <f>IFERROR(VLOOKUP(BUI$1,'Factor Alfa'!$B$26:$C$45,2,FALSE),0%)</f>
        <v>0</v>
      </c>
      <c r="BUJ14" s="5">
        <f>IFERROR(VLOOKUP(BUJ$1,'Factor Alfa'!$B$26:$C$45,2,FALSE),0%)</f>
        <v>0</v>
      </c>
      <c r="BUK14" s="5">
        <f>IFERROR(VLOOKUP(BUK$1,'Factor Alfa'!$B$26:$C$45,2,FALSE),0%)</f>
        <v>0</v>
      </c>
      <c r="BUL14" s="5">
        <f>IFERROR(VLOOKUP(BUL$1,'Factor Alfa'!$B$26:$C$45,2,FALSE),0%)</f>
        <v>0</v>
      </c>
      <c r="BUM14" s="5">
        <f>IFERROR(VLOOKUP(BUM$1,'Factor Alfa'!$B$26:$C$45,2,FALSE),0%)</f>
        <v>0</v>
      </c>
      <c r="BUN14" s="5">
        <f>IFERROR(VLOOKUP(BUN$1,'Factor Alfa'!$B$26:$C$45,2,FALSE),0%)</f>
        <v>0</v>
      </c>
      <c r="BUO14" s="5">
        <f>IFERROR(VLOOKUP(BUO$1,'Factor Alfa'!$B$26:$C$45,2,FALSE),0%)</f>
        <v>0</v>
      </c>
      <c r="BUP14" s="5">
        <f>IFERROR(VLOOKUP(BUP$1,'Factor Alfa'!$B$26:$C$45,2,FALSE),0%)</f>
        <v>0</v>
      </c>
      <c r="BUQ14" s="5">
        <f>IFERROR(VLOOKUP(BUQ$1,'Factor Alfa'!$B$26:$C$45,2,FALSE),0%)</f>
        <v>0</v>
      </c>
      <c r="BUR14" s="5">
        <f>IFERROR(VLOOKUP(BUR$1,'Factor Alfa'!$B$26:$C$45,2,FALSE),0%)</f>
        <v>0</v>
      </c>
      <c r="BUS14" s="5">
        <f>IFERROR(VLOOKUP(BUS$1,'Factor Alfa'!$B$26:$C$45,2,FALSE),0%)</f>
        <v>0</v>
      </c>
      <c r="BUT14" s="5">
        <f>IFERROR(VLOOKUP(BUT$1,'Factor Alfa'!$B$26:$C$45,2,FALSE),0%)</f>
        <v>0</v>
      </c>
      <c r="BUU14" s="5">
        <f>IFERROR(VLOOKUP(BUU$1,'Factor Alfa'!$B$26:$C$45,2,FALSE),0%)</f>
        <v>0</v>
      </c>
      <c r="BUV14" s="5">
        <f>IFERROR(VLOOKUP(BUV$1,'Factor Alfa'!$B$26:$C$45,2,FALSE),0%)</f>
        <v>0</v>
      </c>
      <c r="BUW14" s="5">
        <f>IFERROR(VLOOKUP(BUW$1,'Factor Alfa'!$B$26:$C$45,2,FALSE),0%)</f>
        <v>0</v>
      </c>
      <c r="BUX14" s="5">
        <f>IFERROR(VLOOKUP(BUX$1,'Factor Alfa'!$B$26:$C$45,2,FALSE),0%)</f>
        <v>0</v>
      </c>
      <c r="BUY14" s="5">
        <f>IFERROR(VLOOKUP(BUY$1,'Factor Alfa'!$B$26:$C$45,2,FALSE),0%)</f>
        <v>0</v>
      </c>
      <c r="BUZ14" s="5">
        <f>IFERROR(VLOOKUP(BUZ$1,'Factor Alfa'!$B$26:$C$45,2,FALSE),0%)</f>
        <v>0</v>
      </c>
      <c r="BVA14" s="5">
        <f>IFERROR(VLOOKUP(BVA$1,'Factor Alfa'!$B$26:$C$45,2,FALSE),0%)</f>
        <v>0</v>
      </c>
      <c r="BVB14" s="5">
        <f>IFERROR(VLOOKUP(BVB$1,'Factor Alfa'!$B$26:$C$45,2,FALSE),0%)</f>
        <v>0</v>
      </c>
      <c r="BVC14" s="5">
        <f>IFERROR(VLOOKUP(BVC$1,'Factor Alfa'!$B$26:$C$45,2,FALSE),0%)</f>
        <v>0</v>
      </c>
      <c r="BVD14" s="5">
        <f>IFERROR(VLOOKUP(BVD$1,'Factor Alfa'!$B$26:$C$45,2,FALSE),0%)</f>
        <v>0</v>
      </c>
      <c r="BVE14" s="5">
        <f>IFERROR(VLOOKUP(BVE$1,'Factor Alfa'!$B$26:$C$45,2,FALSE),0%)</f>
        <v>0</v>
      </c>
      <c r="BVF14" s="5">
        <f>IFERROR(VLOOKUP(BVF$1,'Factor Alfa'!$B$26:$C$45,2,FALSE),0%)</f>
        <v>0</v>
      </c>
      <c r="BVG14" s="5">
        <f>IFERROR(VLOOKUP(BVG$1,'Factor Alfa'!$B$26:$C$45,2,FALSE),0%)</f>
        <v>0</v>
      </c>
      <c r="BVH14" s="5">
        <f>IFERROR(VLOOKUP(BVH$1,'Factor Alfa'!$B$26:$C$45,2,FALSE),0%)</f>
        <v>0</v>
      </c>
      <c r="BVI14" s="5">
        <f>IFERROR(VLOOKUP(BVI$1,'Factor Alfa'!$B$26:$C$45,2,FALSE),0%)</f>
        <v>0</v>
      </c>
      <c r="BVJ14" s="5">
        <f>IFERROR(VLOOKUP(BVJ$1,'Factor Alfa'!$B$26:$C$45,2,FALSE),0%)</f>
        <v>0</v>
      </c>
      <c r="BVK14" s="5">
        <f>IFERROR(VLOOKUP(BVK$1,'Factor Alfa'!$B$26:$C$45,2,FALSE),0%)</f>
        <v>0</v>
      </c>
      <c r="BVL14" s="5">
        <f>IFERROR(VLOOKUP(BVL$1,'Factor Alfa'!$B$26:$C$45,2,FALSE),0%)</f>
        <v>0</v>
      </c>
      <c r="BVM14" s="5">
        <f>IFERROR(VLOOKUP(BVM$1,'Factor Alfa'!$B$26:$C$45,2,FALSE),0%)</f>
        <v>0</v>
      </c>
      <c r="BVN14" s="5">
        <f>IFERROR(VLOOKUP(BVN$1,'Factor Alfa'!$B$26:$C$45,2,FALSE),0%)</f>
        <v>0</v>
      </c>
      <c r="BVO14" s="5">
        <f>IFERROR(VLOOKUP(BVO$1,'Factor Alfa'!$B$26:$C$45,2,FALSE),0%)</f>
        <v>0</v>
      </c>
      <c r="BVP14" s="5">
        <f>IFERROR(VLOOKUP(BVP$1,'Factor Alfa'!$B$26:$C$45,2,FALSE),0%)</f>
        <v>0</v>
      </c>
      <c r="BVQ14" s="5">
        <f>IFERROR(VLOOKUP(BVQ$1,'Factor Alfa'!$B$26:$C$45,2,FALSE),0%)</f>
        <v>0</v>
      </c>
      <c r="BVR14" s="5">
        <f>IFERROR(VLOOKUP(BVR$1,'Factor Alfa'!$B$26:$C$45,2,FALSE),0%)</f>
        <v>0</v>
      </c>
      <c r="BVS14" s="5">
        <f>IFERROR(VLOOKUP(BVS$1,'Factor Alfa'!$B$26:$C$45,2,FALSE),0%)</f>
        <v>0</v>
      </c>
      <c r="BVT14" s="5">
        <f>IFERROR(VLOOKUP(BVT$1,'Factor Alfa'!$B$26:$C$45,2,FALSE),0%)</f>
        <v>0</v>
      </c>
      <c r="BVU14" s="5">
        <f>IFERROR(VLOOKUP(BVU$1,'Factor Alfa'!$B$26:$C$45,2,FALSE),0%)</f>
        <v>0</v>
      </c>
      <c r="BVV14" s="5">
        <f>IFERROR(VLOOKUP(BVV$1,'Factor Alfa'!$B$26:$C$45,2,FALSE),0%)</f>
        <v>0</v>
      </c>
      <c r="BVW14" s="5">
        <f>IFERROR(VLOOKUP(BVW$1,'Factor Alfa'!$B$26:$C$45,2,FALSE),0%)</f>
        <v>0</v>
      </c>
      <c r="BVX14" s="5">
        <f>IFERROR(VLOOKUP(BVX$1,'Factor Alfa'!$B$26:$C$45,2,FALSE),0%)</f>
        <v>0</v>
      </c>
      <c r="BVY14" s="5">
        <f>IFERROR(VLOOKUP(BVY$1,'Factor Alfa'!$B$26:$C$45,2,FALSE),0%)</f>
        <v>0</v>
      </c>
      <c r="BVZ14" s="5">
        <f>IFERROR(VLOOKUP(BVZ$1,'Factor Alfa'!$B$26:$C$45,2,FALSE),0%)</f>
        <v>0</v>
      </c>
      <c r="BWA14" s="5">
        <f>IFERROR(VLOOKUP(BWA$1,'Factor Alfa'!$B$26:$C$45,2,FALSE),0%)</f>
        <v>0</v>
      </c>
      <c r="BWB14" s="5">
        <f>IFERROR(VLOOKUP(BWB$1,'Factor Alfa'!$B$26:$C$45,2,FALSE),0%)</f>
        <v>0</v>
      </c>
      <c r="BWC14" s="5">
        <f>IFERROR(VLOOKUP(BWC$1,'Factor Alfa'!$B$26:$C$45,2,FALSE),0%)</f>
        <v>0</v>
      </c>
      <c r="BWD14" s="5">
        <f>IFERROR(VLOOKUP(BWD$1,'Factor Alfa'!$B$26:$C$45,2,FALSE),0%)</f>
        <v>0</v>
      </c>
      <c r="BWE14" s="5">
        <f>IFERROR(VLOOKUP(BWE$1,'Factor Alfa'!$B$26:$C$45,2,FALSE),0%)</f>
        <v>0</v>
      </c>
      <c r="BWF14" s="5">
        <f>IFERROR(VLOOKUP(BWF$1,'Factor Alfa'!$B$26:$C$45,2,FALSE),0%)</f>
        <v>0</v>
      </c>
      <c r="BWG14" s="5">
        <f>IFERROR(VLOOKUP(BWG$1,'Factor Alfa'!$B$26:$C$45,2,FALSE),0%)</f>
        <v>0</v>
      </c>
      <c r="BWH14" s="5">
        <f>IFERROR(VLOOKUP(BWH$1,'Factor Alfa'!$B$26:$C$45,2,FALSE),0%)</f>
        <v>0</v>
      </c>
      <c r="BWI14" s="5">
        <f>IFERROR(VLOOKUP(BWI$1,'Factor Alfa'!$B$26:$C$45,2,FALSE),0%)</f>
        <v>0</v>
      </c>
      <c r="BWJ14" s="5">
        <f>IFERROR(VLOOKUP(BWJ$1,'Factor Alfa'!$B$26:$C$45,2,FALSE),0%)</f>
        <v>0</v>
      </c>
      <c r="BWK14" s="5">
        <f>IFERROR(VLOOKUP(BWK$1,'Factor Alfa'!$B$26:$C$45,2,FALSE),0%)</f>
        <v>0</v>
      </c>
      <c r="BWL14" s="5">
        <f>IFERROR(VLOOKUP(BWL$1,'Factor Alfa'!$B$26:$C$45,2,FALSE),0%)</f>
        <v>0</v>
      </c>
      <c r="BWM14" s="5">
        <f>IFERROR(VLOOKUP(BWM$1,'Factor Alfa'!$B$26:$C$45,2,FALSE),0%)</f>
        <v>0</v>
      </c>
      <c r="BWN14" s="5">
        <f>IFERROR(VLOOKUP(BWN$1,'Factor Alfa'!$B$26:$C$45,2,FALSE),0%)</f>
        <v>0</v>
      </c>
      <c r="BWO14" s="5">
        <f>IFERROR(VLOOKUP(BWO$1,'Factor Alfa'!$B$26:$C$45,2,FALSE),0%)</f>
        <v>0</v>
      </c>
      <c r="BWP14" s="5">
        <f>IFERROR(VLOOKUP(BWP$1,'Factor Alfa'!$B$26:$C$45,2,FALSE),0%)</f>
        <v>0</v>
      </c>
      <c r="BWQ14" s="5">
        <f>IFERROR(VLOOKUP(BWQ$1,'Factor Alfa'!$B$26:$C$45,2,FALSE),0%)</f>
        <v>0</v>
      </c>
      <c r="BWR14" s="5">
        <f>IFERROR(VLOOKUP(BWR$1,'Factor Alfa'!$B$26:$C$45,2,FALSE),0%)</f>
        <v>0</v>
      </c>
      <c r="BWS14" s="5">
        <f>IFERROR(VLOOKUP(BWS$1,'Factor Alfa'!$B$26:$C$45,2,FALSE),0%)</f>
        <v>0</v>
      </c>
      <c r="BWT14" s="5">
        <f>IFERROR(VLOOKUP(BWT$1,'Factor Alfa'!$B$26:$C$45,2,FALSE),0%)</f>
        <v>0</v>
      </c>
      <c r="BWU14" s="5">
        <f>IFERROR(VLOOKUP(BWU$1,'Factor Alfa'!$B$26:$C$45,2,FALSE),0%)</f>
        <v>0</v>
      </c>
      <c r="BWV14" s="5">
        <f>IFERROR(VLOOKUP(BWV$1,'Factor Alfa'!$B$26:$C$45,2,FALSE),0%)</f>
        <v>0</v>
      </c>
      <c r="BWW14" s="5">
        <f>IFERROR(VLOOKUP(BWW$1,'Factor Alfa'!$B$26:$C$45,2,FALSE),0%)</f>
        <v>0</v>
      </c>
      <c r="BWX14" s="5">
        <f>IFERROR(VLOOKUP(BWX$1,'Factor Alfa'!$B$26:$C$45,2,FALSE),0%)</f>
        <v>0</v>
      </c>
      <c r="BWY14" s="5">
        <f>IFERROR(VLOOKUP(BWY$1,'Factor Alfa'!$B$26:$C$45,2,FALSE),0%)</f>
        <v>0</v>
      </c>
      <c r="BWZ14" s="5">
        <f>IFERROR(VLOOKUP(BWZ$1,'Factor Alfa'!$B$26:$C$45,2,FALSE),0%)</f>
        <v>0</v>
      </c>
      <c r="BXA14" s="5">
        <f>IFERROR(VLOOKUP(BXA$1,'Factor Alfa'!$B$26:$C$45,2,FALSE),0%)</f>
        <v>0</v>
      </c>
      <c r="BXB14" s="5">
        <f>IFERROR(VLOOKUP(BXB$1,'Factor Alfa'!$B$26:$C$45,2,FALSE),0%)</f>
        <v>0</v>
      </c>
      <c r="BXC14" s="5">
        <f>IFERROR(VLOOKUP(BXC$1,'Factor Alfa'!$B$26:$C$45,2,FALSE),0%)</f>
        <v>0</v>
      </c>
      <c r="BXD14" s="5">
        <f>IFERROR(VLOOKUP(BXD$1,'Factor Alfa'!$B$26:$C$45,2,FALSE),0%)</f>
        <v>0</v>
      </c>
      <c r="BXE14" s="5">
        <f>IFERROR(VLOOKUP(BXE$1,'Factor Alfa'!$B$26:$C$45,2,FALSE),0%)</f>
        <v>0</v>
      </c>
      <c r="BXF14" s="5">
        <f>IFERROR(VLOOKUP(BXF$1,'Factor Alfa'!$B$26:$C$45,2,FALSE),0%)</f>
        <v>0</v>
      </c>
      <c r="BXG14" s="5">
        <f>IFERROR(VLOOKUP(BXG$1,'Factor Alfa'!$B$26:$C$45,2,FALSE),0%)</f>
        <v>0</v>
      </c>
      <c r="BXH14" s="5">
        <f>IFERROR(VLOOKUP(BXH$1,'Factor Alfa'!$B$26:$C$45,2,FALSE),0%)</f>
        <v>0</v>
      </c>
      <c r="BXI14" s="5">
        <f>IFERROR(VLOOKUP(BXI$1,'Factor Alfa'!$B$26:$C$45,2,FALSE),0%)</f>
        <v>0</v>
      </c>
      <c r="BXJ14" s="5">
        <f>IFERROR(VLOOKUP(BXJ$1,'Factor Alfa'!$B$26:$C$45,2,FALSE),0%)</f>
        <v>0</v>
      </c>
      <c r="BXK14" s="5">
        <f>IFERROR(VLOOKUP(BXK$1,'Factor Alfa'!$B$26:$C$45,2,FALSE),0%)</f>
        <v>0</v>
      </c>
      <c r="BXL14" s="5">
        <f>IFERROR(VLOOKUP(BXL$1,'Factor Alfa'!$B$26:$C$45,2,FALSE),0%)</f>
        <v>0</v>
      </c>
      <c r="BXM14" s="5">
        <f>IFERROR(VLOOKUP(BXM$1,'Factor Alfa'!$B$26:$C$45,2,FALSE),0%)</f>
        <v>0</v>
      </c>
      <c r="BXN14" s="5">
        <f>IFERROR(VLOOKUP(BXN$1,'Factor Alfa'!$B$26:$C$45,2,FALSE),0%)</f>
        <v>0</v>
      </c>
      <c r="BXO14" s="5">
        <f>IFERROR(VLOOKUP(BXO$1,'Factor Alfa'!$B$26:$C$45,2,FALSE),0%)</f>
        <v>0</v>
      </c>
      <c r="BXP14" s="5">
        <f>IFERROR(VLOOKUP(BXP$1,'Factor Alfa'!$B$26:$C$45,2,FALSE),0%)</f>
        <v>0</v>
      </c>
      <c r="BXQ14" s="5">
        <f>IFERROR(VLOOKUP(BXQ$1,'Factor Alfa'!$B$26:$C$45,2,FALSE),0%)</f>
        <v>0</v>
      </c>
      <c r="BXR14" s="5">
        <f>IFERROR(VLOOKUP(BXR$1,'Factor Alfa'!$B$26:$C$45,2,FALSE),0%)</f>
        <v>0</v>
      </c>
      <c r="BXS14" s="5">
        <f>IFERROR(VLOOKUP(BXS$1,'Factor Alfa'!$B$26:$C$45,2,FALSE),0%)</f>
        <v>0</v>
      </c>
      <c r="BXT14" s="5">
        <f>IFERROR(VLOOKUP(BXT$1,'Factor Alfa'!$B$26:$C$45,2,FALSE),0%)</f>
        <v>0</v>
      </c>
      <c r="BXU14" s="5">
        <f>IFERROR(VLOOKUP(BXU$1,'Factor Alfa'!$B$26:$C$45,2,FALSE),0%)</f>
        <v>0</v>
      </c>
      <c r="BXV14" s="5">
        <f>IFERROR(VLOOKUP(BXV$1,'Factor Alfa'!$B$26:$C$45,2,FALSE),0%)</f>
        <v>0</v>
      </c>
      <c r="BXW14" s="5">
        <f>IFERROR(VLOOKUP(BXW$1,'Factor Alfa'!$B$26:$C$45,2,FALSE),0%)</f>
        <v>0</v>
      </c>
      <c r="BXX14" s="5">
        <f>IFERROR(VLOOKUP(BXX$1,'Factor Alfa'!$B$26:$C$45,2,FALSE),0%)</f>
        <v>0</v>
      </c>
      <c r="BXY14" s="5">
        <f>IFERROR(VLOOKUP(BXY$1,'Factor Alfa'!$B$26:$C$45,2,FALSE),0%)</f>
        <v>0</v>
      </c>
      <c r="BXZ14" s="5">
        <f>IFERROR(VLOOKUP(BXZ$1,'Factor Alfa'!$B$26:$C$45,2,FALSE),0%)</f>
        <v>0</v>
      </c>
      <c r="BYA14" s="5">
        <f>IFERROR(VLOOKUP(BYA$1,'Factor Alfa'!$B$26:$C$45,2,FALSE),0%)</f>
        <v>0</v>
      </c>
      <c r="BYB14" s="5">
        <f>IFERROR(VLOOKUP(BYB$1,'Factor Alfa'!$B$26:$C$45,2,FALSE),0%)</f>
        <v>0</v>
      </c>
      <c r="BYC14" s="5">
        <f>IFERROR(VLOOKUP(BYC$1,'Factor Alfa'!$B$26:$C$45,2,FALSE),0%)</f>
        <v>0</v>
      </c>
      <c r="BYD14" s="5">
        <f>IFERROR(VLOOKUP(BYD$1,'Factor Alfa'!$B$26:$C$45,2,FALSE),0%)</f>
        <v>0</v>
      </c>
      <c r="BYE14" s="5">
        <f>IFERROR(VLOOKUP(BYE$1,'Factor Alfa'!$B$26:$C$45,2,FALSE),0%)</f>
        <v>0</v>
      </c>
      <c r="BYF14" s="5">
        <f>IFERROR(VLOOKUP(BYF$1,'Factor Alfa'!$B$26:$C$45,2,FALSE),0%)</f>
        <v>0</v>
      </c>
      <c r="BYG14" s="5">
        <f>IFERROR(VLOOKUP(BYG$1,'Factor Alfa'!$B$26:$C$45,2,FALSE),0%)</f>
        <v>0</v>
      </c>
      <c r="BYH14" s="5">
        <f>IFERROR(VLOOKUP(BYH$1,'Factor Alfa'!$B$26:$C$45,2,FALSE),0%)</f>
        <v>0</v>
      </c>
      <c r="BYI14" s="5">
        <f>IFERROR(VLOOKUP(BYI$1,'Factor Alfa'!$B$26:$C$45,2,FALSE),0%)</f>
        <v>0</v>
      </c>
      <c r="BYJ14" s="5">
        <f>IFERROR(VLOOKUP(BYJ$1,'Factor Alfa'!$B$26:$C$45,2,FALSE),0%)</f>
        <v>0</v>
      </c>
      <c r="BYK14" s="5">
        <f>IFERROR(VLOOKUP(BYK$1,'Factor Alfa'!$B$26:$C$45,2,FALSE),0%)</f>
        <v>0</v>
      </c>
      <c r="BYL14" s="5">
        <f>IFERROR(VLOOKUP(BYL$1,'Factor Alfa'!$B$26:$C$45,2,FALSE),0%)</f>
        <v>0</v>
      </c>
    </row>
  </sheetData>
  <hyperlinks>
    <hyperlink r:id="rId1" ref="EF1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59.13"/>
    <col customWidth="1" min="3" max="3" width="21.88"/>
  </cols>
  <sheetData>
    <row r="1">
      <c r="A1" s="7"/>
      <c r="B1" s="8" t="s">
        <v>2026</v>
      </c>
      <c r="C1" s="9" t="s">
        <v>2027</v>
      </c>
      <c r="D1" s="10"/>
      <c r="E1" s="10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7"/>
      <c r="B2" s="11" t="s">
        <v>2028</v>
      </c>
      <c r="C2" s="12" t="s">
        <v>2029</v>
      </c>
      <c r="D2" s="13" t="s">
        <v>0</v>
      </c>
      <c r="E2" s="13"/>
      <c r="F2" s="14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7"/>
      <c r="B3" s="11" t="s">
        <v>2030</v>
      </c>
      <c r="C3" s="12" t="s">
        <v>2029</v>
      </c>
      <c r="D3" s="13" t="s">
        <v>0</v>
      </c>
      <c r="E3" s="7"/>
      <c r="F3" s="14" t="s">
        <v>2031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7"/>
      <c r="B4" s="11" t="s">
        <v>2032</v>
      </c>
      <c r="C4" s="12" t="s">
        <v>2033</v>
      </c>
      <c r="D4" s="13" t="s">
        <v>0</v>
      </c>
      <c r="E4" s="1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7"/>
      <c r="B5" s="11" t="s">
        <v>2034</v>
      </c>
      <c r="C5" s="12" t="s">
        <v>2035</v>
      </c>
      <c r="D5" s="13" t="s">
        <v>0</v>
      </c>
      <c r="E5" s="13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7"/>
      <c r="B6" s="11" t="s">
        <v>2036</v>
      </c>
      <c r="C6" s="12" t="s">
        <v>2035</v>
      </c>
      <c r="D6" s="13" t="s">
        <v>0</v>
      </c>
      <c r="E6" s="13"/>
      <c r="F6" s="13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7"/>
      <c r="B7" s="11" t="s">
        <v>2037</v>
      </c>
      <c r="C7" s="12" t="s">
        <v>2035</v>
      </c>
      <c r="D7" s="13" t="s">
        <v>0</v>
      </c>
      <c r="E7" s="13"/>
      <c r="F7" s="13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7"/>
      <c r="B8" s="11" t="s">
        <v>2038</v>
      </c>
      <c r="C8" s="12" t="s">
        <v>2035</v>
      </c>
      <c r="D8" s="13" t="s">
        <v>0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7"/>
      <c r="B9" s="15"/>
      <c r="C9" s="16"/>
      <c r="D9" s="1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7"/>
      <c r="B10" s="11" t="s">
        <v>2039</v>
      </c>
      <c r="C10" s="12" t="s">
        <v>2035</v>
      </c>
      <c r="D10" s="13" t="s">
        <v>0</v>
      </c>
      <c r="E10" s="13"/>
      <c r="F10" s="13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7"/>
      <c r="B11" s="11" t="s">
        <v>2040</v>
      </c>
      <c r="C11" s="12" t="s">
        <v>2035</v>
      </c>
      <c r="D11" s="13" t="s">
        <v>0</v>
      </c>
      <c r="E11" s="7"/>
      <c r="F11" s="13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7"/>
      <c r="B12" s="18" t="s">
        <v>2021</v>
      </c>
      <c r="C12" s="12" t="s">
        <v>2035</v>
      </c>
      <c r="D12" s="13" t="s">
        <v>0</v>
      </c>
      <c r="E12" s="7"/>
      <c r="F12" s="13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7"/>
      <c r="B13" s="11" t="s">
        <v>2019</v>
      </c>
      <c r="C13" s="12" t="s">
        <v>2035</v>
      </c>
      <c r="D13" s="13" t="s">
        <v>0</v>
      </c>
      <c r="E13" s="7"/>
      <c r="F13" s="1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7"/>
      <c r="B14" s="11" t="s">
        <v>2041</v>
      </c>
      <c r="C14" s="12" t="s">
        <v>2035</v>
      </c>
      <c r="D14" s="13" t="s">
        <v>0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7"/>
      <c r="B15" s="11" t="s">
        <v>2025</v>
      </c>
      <c r="C15" s="12" t="s">
        <v>2042</v>
      </c>
      <c r="D15" s="13" t="s">
        <v>0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7"/>
      <c r="B16" s="19"/>
      <c r="C16" s="9"/>
      <c r="D16" s="8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11" t="s">
        <v>2043</v>
      </c>
      <c r="C17" s="12" t="s">
        <v>2035</v>
      </c>
      <c r="D17" s="13" t="s">
        <v>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7"/>
      <c r="B18" s="11" t="s">
        <v>2044</v>
      </c>
      <c r="C18" s="12" t="s">
        <v>2035</v>
      </c>
      <c r="D18" s="13" t="s">
        <v>0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7"/>
      <c r="B19" s="10"/>
      <c r="C19" s="10"/>
      <c r="D19" s="10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7"/>
      <c r="B20" s="11" t="s">
        <v>2045</v>
      </c>
      <c r="C20" s="12" t="s">
        <v>2035</v>
      </c>
      <c r="D20" s="13" t="s">
        <v>0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7"/>
      <c r="B21" s="10"/>
      <c r="C21" s="10"/>
      <c r="D21" s="10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7"/>
      <c r="B22" s="10"/>
      <c r="C22" s="10"/>
      <c r="D22" s="10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7"/>
      <c r="B23" s="11" t="s">
        <v>2046</v>
      </c>
      <c r="C23" s="10"/>
      <c r="D23" s="13" t="s">
        <v>2047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7"/>
      <c r="B24" s="11" t="s">
        <v>2048</v>
      </c>
      <c r="C24" s="12" t="s">
        <v>2035</v>
      </c>
      <c r="D24" s="13" t="s">
        <v>2049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7"/>
      <c r="B25" s="11" t="s">
        <v>2050</v>
      </c>
      <c r="C25" s="12" t="s">
        <v>2035</v>
      </c>
      <c r="D25" s="13" t="s">
        <v>2049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7"/>
      <c r="B26" s="10"/>
      <c r="C26" s="10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7"/>
      <c r="B27" s="11" t="s">
        <v>2051</v>
      </c>
      <c r="C27" s="20"/>
      <c r="D27" s="13" t="s">
        <v>2052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7"/>
      <c r="B28" s="11" t="s">
        <v>2053</v>
      </c>
      <c r="C28" s="20"/>
      <c r="D28" s="13" t="s">
        <v>2052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7"/>
      <c r="B29" s="11" t="s">
        <v>2054</v>
      </c>
      <c r="C29" s="20"/>
      <c r="D29" s="13" t="s">
        <v>2052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7"/>
      <c r="B30" s="11" t="s">
        <v>2055</v>
      </c>
      <c r="C30" s="10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7"/>
      <c r="B31" s="21"/>
      <c r="C31" s="12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7"/>
      <c r="B32" s="21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7"/>
      <c r="B36" s="10"/>
      <c r="C36" s="10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10"/>
      <c r="C37" s="10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10"/>
      <c r="C38" s="10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10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10"/>
      <c r="C40" s="10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10"/>
      <c r="C41" s="10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10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22" t="s">
        <v>2056</v>
      </c>
      <c r="C46" s="23" t="s">
        <v>2057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13" t="s">
        <v>2058</v>
      </c>
      <c r="C47" s="23" t="s">
        <v>2059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13" t="s">
        <v>2060</v>
      </c>
      <c r="C48" s="23" t="s">
        <v>2061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13" t="s">
        <v>2062</v>
      </c>
      <c r="C49" s="24" t="s">
        <v>2063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10"/>
      <c r="C50" s="10"/>
      <c r="D50" s="10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13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13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13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13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13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  <row r="1014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</row>
    <row r="101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</row>
    <row r="1016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</row>
    <row r="1017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</row>
    <row r="1018">
      <c r="A1018" s="7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</row>
    <row r="1019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</row>
    <row r="1020">
      <c r="A1020" s="7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</row>
    <row r="1021">
      <c r="A1021" s="7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</row>
    <row r="1022">
      <c r="A1022" s="7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</row>
    <row r="1023">
      <c r="A1023" s="7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</row>
    <row r="1024">
      <c r="A1024" s="7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</row>
    <row r="1025">
      <c r="A1025" s="7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</row>
    <row r="1026">
      <c r="A1026" s="7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</row>
    <row r="1027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</row>
    <row r="1028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</row>
    <row r="1029">
      <c r="A1029" s="7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</row>
    <row r="1030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</row>
  </sheetData>
  <hyperlinks>
    <hyperlink display="Working Capital Pesos" location="'Working Capital Pesos'!A1" ref="B2"/>
    <hyperlink display="Working Capital USD/Pesos" location="'Working Capital USDPesos'!A1" ref="B3"/>
    <hyperlink display="Renta fija USD Corto plazo" location="'Renta fija USD Corto Plazo'!A1" ref="B4"/>
    <hyperlink display="Renta fija USD Hiper Conservador" location="'Renta fija USD Hiper Conservado'!A1" ref="B5"/>
    <hyperlink display="Renta fija USD + Oro Conservador" location="'Renta Fija USD + Oro Conservado'!A1" ref="B6"/>
    <hyperlink display="Renta Fija Mixta + Metales Moderado" location="'Renta Fija Mixta + Metales Mode'!A1" ref="B7"/>
    <hyperlink display="Renta Fija Mixta + Metales Agresivo" location="'Renta Fija Mixta + Metales Agre'!A1" ref="B8"/>
    <hyperlink display="Renta Mixta Conservador" location="'Renta Mixta Conservador'!A1" ref="B10"/>
    <hyperlink display="Renta Mixta Moderado" location="'Renta Mixta Moderado'!A1" ref="B11"/>
    <hyperlink display="All Weather" location="'All Weather'!A1" ref="B12"/>
    <hyperlink display="Dividendos" location="Dividendos!A1" ref="B13"/>
    <hyperlink display="Renta Mixta Agresivo" location="'Renta Mixta Agresivo'!A1" ref="B14"/>
    <hyperlink display="Factor Alfa" location="'Factor Alfa'!A1" ref="B15"/>
    <hyperlink display="CERA Conservador" location="'CERA Conservador'!A1" ref="B17"/>
    <hyperlink display="CERA Agresivo" location="'CERA Agresivo'!A1" ref="B18"/>
    <hyperlink display="Argy sin ONs" location="'ARGY sin ONs'!A1" ref="B20"/>
    <hyperlink display="Acciones individuales" location="'Acciones individuales'!A1" ref="B23"/>
    <hyperlink display="Lau Nazarian" location="'Lau 8'!A1" ref="B24"/>
    <hyperlink display="Quiles Franco" location="Quiles!A1" ref="B25"/>
    <hyperlink display="Merval" location="Merval!A1" ref="B27"/>
    <hyperlink display="Merval + VIST" location="'Merval + VIST'!A1" ref="B28"/>
    <hyperlink display="Merval + VIST + MELI" location="'Merval + VIST + MELI'!A1" ref="B29"/>
    <hyperlink display="Futuros A3" location="'Futuros A3'!A1" ref="B30"/>
    <hyperlink r:id="rId1" ref="C46"/>
    <hyperlink r:id="rId2" ref="C47"/>
    <hyperlink r:id="rId3" ref="C48"/>
    <hyperlink r:id="rId4" location="!/?category=Multi-Country&amp;currency=USD&amp;model=ER&amp;scale=Log&amp;selected=60&amp;tab=details&amp;terms=Real&amp;type=Government+T-Bills&amp;vs=N4IgxgrgTlCmB2AXAygCwIYAdYGED2ANnlCAFzwQEEA0IqAlgCaMICCAzu7Iu2QNoBWAdQAcI6gEYA7ADZJU8dICckpcIBMABk3UtGzVN0SNEuevUaALCos6LE3QPXVLEh5YDMl3So9yPmgC6tAzMbJzcACoAnti8pHzBdEws8BxciDjoiLAA5sT0sPGJISkI%2BBBIUIXFIOhgILSMALYgSaGpFVXRMXH8SbAAHpjo8CyMvUX8IAAKAKKNIHMAiosASnMAkos4APIAsjtrOwBCiyvqiwBiABqLmwAyZwPDo%2BNZOfnVUwl8S6u0fYAVQekW2wT%2BG22tA2bWofz2h0BILBcL%2Bt0WABE5gA1NH-c6HQIvEZjWCMLqIKA9WI-P6Y2AAN1gRGwjHOzVgUFy9HguUW%2B0oiHoAFpKdS4SB2GAoBAAEZyrk49AECA-UBgLCwEVQbL0PAigi82BkUAEWAAM0QZB0IGquVQ1tImgAvrR8ozECL2KztUb4CbSGbLU7bfbHTa3eA4Ix6F6fXhsIbjaaQOarTbaOHQ1HMMREBbCPr2CLsFBC1BmqMwH6U0G0yHM3b6A6cy6XUA" ref="C49"/>
  </hyperlinks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5.0"/>
    <col customWidth="1" min="2" max="2" width="16.5"/>
    <col customWidth="1" min="3" max="3" width="19.0"/>
    <col customWidth="1" min="4" max="4" width="28.25"/>
  </cols>
  <sheetData>
    <row r="1">
      <c r="A1" s="25" t="s">
        <v>2064</v>
      </c>
      <c r="B1" s="26" t="s">
        <v>2065</v>
      </c>
      <c r="C1" s="26" t="s">
        <v>2066</v>
      </c>
      <c r="D1" s="26" t="s">
        <v>2067</v>
      </c>
      <c r="E1" s="27" t="s">
        <v>2068</v>
      </c>
      <c r="F1" s="27" t="s">
        <v>2069</v>
      </c>
      <c r="G1" s="27" t="s">
        <v>2070</v>
      </c>
      <c r="H1" s="27" t="s">
        <v>2071</v>
      </c>
      <c r="I1" s="27" t="s">
        <v>2072</v>
      </c>
      <c r="J1" s="27" t="s">
        <v>2073</v>
      </c>
      <c r="K1" s="27" t="s">
        <v>2074</v>
      </c>
      <c r="L1" s="27" t="s">
        <v>2075</v>
      </c>
      <c r="M1" s="27" t="s">
        <v>2076</v>
      </c>
      <c r="N1" s="27" t="s">
        <v>2077</v>
      </c>
      <c r="O1" s="27" t="s">
        <v>2078</v>
      </c>
      <c r="P1" s="28"/>
      <c r="Q1" s="27" t="s">
        <v>2079</v>
      </c>
      <c r="R1" s="29" t="s">
        <v>2079</v>
      </c>
      <c r="S1" s="29" t="s">
        <v>2080</v>
      </c>
      <c r="T1" s="30"/>
      <c r="U1" s="30"/>
      <c r="V1" s="30"/>
      <c r="W1" s="30"/>
      <c r="X1" s="30"/>
      <c r="Y1" s="30"/>
      <c r="Z1" s="30"/>
      <c r="AA1" s="30"/>
      <c r="AB1" s="30"/>
    </row>
    <row r="2">
      <c r="A2" s="31"/>
      <c r="B2" s="32" t="s">
        <v>2081</v>
      </c>
      <c r="C2" s="32" t="s">
        <v>2082</v>
      </c>
      <c r="D2" s="33" t="s">
        <v>2083</v>
      </c>
      <c r="E2" s="34" t="s">
        <v>2084</v>
      </c>
      <c r="F2" s="34" t="s">
        <v>2085</v>
      </c>
      <c r="G2" s="34" t="s">
        <v>2086</v>
      </c>
      <c r="H2" s="34" t="s">
        <v>2087</v>
      </c>
      <c r="I2" s="34" t="s">
        <v>2088</v>
      </c>
      <c r="J2" s="35" t="s">
        <v>2089</v>
      </c>
      <c r="K2" s="35" t="s">
        <v>2089</v>
      </c>
      <c r="L2" s="35" t="s">
        <v>2089</v>
      </c>
      <c r="M2" s="34" t="s">
        <v>2090</v>
      </c>
      <c r="N2" s="35" t="s">
        <v>2089</v>
      </c>
      <c r="O2" s="34" t="s">
        <v>2091</v>
      </c>
      <c r="P2" s="28"/>
      <c r="Q2" s="34" t="s">
        <v>2092</v>
      </c>
      <c r="R2" s="36">
        <v>0.22</v>
      </c>
      <c r="S2" s="37" t="str">
        <f t="shared" ref="S2:S52" si="1">E2-H2</f>
        <v>#VALUE!</v>
      </c>
      <c r="T2" s="37"/>
      <c r="U2" s="37"/>
      <c r="V2" s="37"/>
      <c r="W2" s="37"/>
      <c r="X2" s="37"/>
      <c r="Y2" s="37"/>
      <c r="Z2" s="37"/>
      <c r="AA2" s="37"/>
      <c r="AB2" s="37"/>
    </row>
    <row r="3">
      <c r="A3" s="38"/>
      <c r="B3" s="32" t="s">
        <v>2081</v>
      </c>
      <c r="C3" s="32" t="s">
        <v>2082</v>
      </c>
      <c r="D3" s="33" t="s">
        <v>2093</v>
      </c>
      <c r="E3" s="34" t="s">
        <v>2094</v>
      </c>
      <c r="F3" s="34" t="s">
        <v>2095</v>
      </c>
      <c r="G3" s="34" t="s">
        <v>2096</v>
      </c>
      <c r="H3" s="34" t="s">
        <v>2087</v>
      </c>
      <c r="I3" s="34" t="s">
        <v>2088</v>
      </c>
      <c r="J3" s="35" t="s">
        <v>2089</v>
      </c>
      <c r="K3" s="35" t="s">
        <v>2089</v>
      </c>
      <c r="L3" s="35" t="s">
        <v>2089</v>
      </c>
      <c r="M3" s="34" t="s">
        <v>2089</v>
      </c>
      <c r="N3" s="35" t="s">
        <v>2089</v>
      </c>
      <c r="O3" s="34" t="s">
        <v>2097</v>
      </c>
      <c r="P3" s="28"/>
      <c r="Q3" s="34" t="s">
        <v>2098</v>
      </c>
      <c r="R3" s="36">
        <v>0.23</v>
      </c>
      <c r="S3" s="37" t="str">
        <f t="shared" si="1"/>
        <v>#VALUE!</v>
      </c>
      <c r="T3" s="37"/>
      <c r="U3" s="37"/>
      <c r="V3" s="37"/>
      <c r="W3" s="37"/>
      <c r="X3" s="37"/>
      <c r="Y3" s="37"/>
      <c r="Z3" s="37"/>
      <c r="AA3" s="37"/>
      <c r="AB3" s="37"/>
    </row>
    <row r="4">
      <c r="A4" s="38"/>
      <c r="B4" s="32" t="s">
        <v>2081</v>
      </c>
      <c r="C4" s="32" t="s">
        <v>2082</v>
      </c>
      <c r="D4" s="33" t="s">
        <v>2099</v>
      </c>
      <c r="E4" s="34" t="s">
        <v>2100</v>
      </c>
      <c r="F4" s="34" t="s">
        <v>2101</v>
      </c>
      <c r="G4" s="34" t="s">
        <v>2102</v>
      </c>
      <c r="H4" s="34" t="s">
        <v>2103</v>
      </c>
      <c r="I4" s="34" t="s">
        <v>2104</v>
      </c>
      <c r="J4" s="35" t="s">
        <v>2089</v>
      </c>
      <c r="K4" s="35" t="s">
        <v>2089</v>
      </c>
      <c r="L4" s="35" t="s">
        <v>2089</v>
      </c>
      <c r="M4" s="34" t="s">
        <v>2105</v>
      </c>
      <c r="N4" s="35" t="s">
        <v>2089</v>
      </c>
      <c r="O4" s="34" t="s">
        <v>2087</v>
      </c>
      <c r="P4" s="28"/>
      <c r="Q4" s="34" t="s">
        <v>2106</v>
      </c>
      <c r="R4" s="36">
        <v>0.19</v>
      </c>
      <c r="S4" s="37" t="str">
        <f t="shared" si="1"/>
        <v>#VALUE!</v>
      </c>
      <c r="T4" s="37"/>
      <c r="U4" s="37"/>
      <c r="V4" s="37"/>
      <c r="W4" s="37"/>
      <c r="X4" s="37"/>
      <c r="Y4" s="37"/>
      <c r="Z4" s="37"/>
      <c r="AA4" s="37"/>
      <c r="AB4" s="37"/>
    </row>
    <row r="5">
      <c r="A5" s="38"/>
      <c r="B5" s="32" t="s">
        <v>2081</v>
      </c>
      <c r="C5" s="32" t="s">
        <v>2082</v>
      </c>
      <c r="D5" s="33" t="s">
        <v>2107</v>
      </c>
      <c r="E5" s="34" t="s">
        <v>2108</v>
      </c>
      <c r="F5" s="34" t="s">
        <v>2109</v>
      </c>
      <c r="G5" s="34" t="s">
        <v>2110</v>
      </c>
      <c r="H5" s="34" t="s">
        <v>2103</v>
      </c>
      <c r="I5" s="34" t="s">
        <v>2104</v>
      </c>
      <c r="J5" s="35" t="s">
        <v>2089</v>
      </c>
      <c r="K5" s="35" t="s">
        <v>2089</v>
      </c>
      <c r="L5" s="35" t="s">
        <v>2089</v>
      </c>
      <c r="M5" s="34" t="s">
        <v>2111</v>
      </c>
      <c r="N5" s="35" t="s">
        <v>2089</v>
      </c>
      <c r="O5" s="34" t="s">
        <v>2112</v>
      </c>
      <c r="P5" s="28"/>
      <c r="Q5" s="34" t="s">
        <v>2113</v>
      </c>
      <c r="R5" s="36">
        <v>0.3</v>
      </c>
      <c r="S5" s="37" t="str">
        <f t="shared" si="1"/>
        <v>#VALUE!</v>
      </c>
      <c r="T5" s="37"/>
      <c r="U5" s="37"/>
      <c r="V5" s="37"/>
      <c r="W5" s="37"/>
      <c r="X5" s="37"/>
      <c r="Y5" s="37"/>
      <c r="Z5" s="37"/>
      <c r="AA5" s="37"/>
      <c r="AB5" s="37"/>
    </row>
    <row r="6">
      <c r="A6" s="38"/>
      <c r="B6" s="32" t="s">
        <v>2081</v>
      </c>
      <c r="C6" s="32" t="s">
        <v>2082</v>
      </c>
      <c r="D6" s="33" t="s">
        <v>2114</v>
      </c>
      <c r="E6" s="34" t="s">
        <v>2110</v>
      </c>
      <c r="F6" s="34" t="s">
        <v>2115</v>
      </c>
      <c r="G6" s="34" t="s">
        <v>2116</v>
      </c>
      <c r="H6" s="34" t="s">
        <v>2117</v>
      </c>
      <c r="I6" s="34" t="s">
        <v>2088</v>
      </c>
      <c r="J6" s="35" t="s">
        <v>2089</v>
      </c>
      <c r="K6" s="35" t="s">
        <v>2089</v>
      </c>
      <c r="L6" s="35" t="s">
        <v>2089</v>
      </c>
      <c r="M6" s="34" t="s">
        <v>2118</v>
      </c>
      <c r="N6" s="35" t="s">
        <v>2089</v>
      </c>
      <c r="O6" s="34" t="s">
        <v>2119</v>
      </c>
      <c r="P6" s="28"/>
      <c r="Q6" s="34" t="s">
        <v>2120</v>
      </c>
      <c r="R6" s="36">
        <v>0.17</v>
      </c>
      <c r="S6" s="37" t="str">
        <f t="shared" si="1"/>
        <v>#VALUE!</v>
      </c>
      <c r="T6" s="37"/>
      <c r="U6" s="37"/>
      <c r="V6" s="37"/>
      <c r="W6" s="37"/>
      <c r="X6" s="37"/>
      <c r="Y6" s="37"/>
      <c r="Z6" s="37"/>
      <c r="AA6" s="37"/>
      <c r="AB6" s="37"/>
    </row>
    <row r="7">
      <c r="A7" s="38"/>
      <c r="B7" s="32" t="s">
        <v>2081</v>
      </c>
      <c r="C7" s="32" t="s">
        <v>2082</v>
      </c>
      <c r="D7" s="33" t="s">
        <v>2121</v>
      </c>
      <c r="E7" s="34" t="s">
        <v>2122</v>
      </c>
      <c r="F7" s="34" t="s">
        <v>2123</v>
      </c>
      <c r="G7" s="34" t="s">
        <v>2124</v>
      </c>
      <c r="H7" s="34" t="s">
        <v>2117</v>
      </c>
      <c r="I7" s="34" t="s">
        <v>2088</v>
      </c>
      <c r="J7" s="35" t="s">
        <v>2089</v>
      </c>
      <c r="K7" s="35" t="s">
        <v>2089</v>
      </c>
      <c r="L7" s="35" t="s">
        <v>2089</v>
      </c>
      <c r="M7" s="34" t="s">
        <v>2125</v>
      </c>
      <c r="N7" s="35" t="s">
        <v>2089</v>
      </c>
      <c r="O7" s="34" t="s">
        <v>2126</v>
      </c>
      <c r="P7" s="28"/>
      <c r="Q7" s="34" t="s">
        <v>2120</v>
      </c>
      <c r="R7" s="36">
        <v>0.14</v>
      </c>
      <c r="S7" s="37" t="str">
        <f t="shared" si="1"/>
        <v>#VALUE!</v>
      </c>
      <c r="T7" s="37"/>
      <c r="U7" s="37"/>
      <c r="V7" s="37"/>
      <c r="W7" s="37"/>
      <c r="X7" s="37"/>
      <c r="Y7" s="37"/>
      <c r="Z7" s="37"/>
      <c r="AA7" s="37"/>
      <c r="AB7" s="37"/>
    </row>
    <row r="8">
      <c r="A8" s="38"/>
      <c r="B8" s="32" t="s">
        <v>2081</v>
      </c>
      <c r="C8" s="32" t="s">
        <v>2082</v>
      </c>
      <c r="D8" s="33" t="s">
        <v>2127</v>
      </c>
      <c r="E8" s="34" t="s">
        <v>2128</v>
      </c>
      <c r="F8" s="34" t="s">
        <v>2129</v>
      </c>
      <c r="G8" s="34" t="s">
        <v>2130</v>
      </c>
      <c r="H8" s="34" t="s">
        <v>2131</v>
      </c>
      <c r="I8" s="34" t="s">
        <v>2104</v>
      </c>
      <c r="J8" s="35" t="s">
        <v>2089</v>
      </c>
      <c r="K8" s="35" t="s">
        <v>2089</v>
      </c>
      <c r="L8" s="35" t="s">
        <v>2089</v>
      </c>
      <c r="M8" s="34" t="s">
        <v>2125</v>
      </c>
      <c r="N8" s="35" t="s">
        <v>2089</v>
      </c>
      <c r="O8" s="34" t="s">
        <v>2088</v>
      </c>
      <c r="P8" s="28"/>
      <c r="Q8" s="34" t="s">
        <v>2132</v>
      </c>
      <c r="R8" s="36">
        <v>0.16</v>
      </c>
      <c r="S8" s="37" t="str">
        <f t="shared" si="1"/>
        <v>#VALUE!</v>
      </c>
      <c r="T8" s="37"/>
      <c r="U8" s="37"/>
      <c r="V8" s="37"/>
      <c r="W8" s="37"/>
      <c r="X8" s="37"/>
      <c r="Y8" s="37"/>
      <c r="Z8" s="37"/>
      <c r="AA8" s="37"/>
      <c r="AB8" s="37"/>
    </row>
    <row r="9">
      <c r="A9" s="38"/>
      <c r="B9" s="32" t="s">
        <v>2081</v>
      </c>
      <c r="C9" s="32" t="s">
        <v>2082</v>
      </c>
      <c r="D9" s="33" t="s">
        <v>2133</v>
      </c>
      <c r="E9" s="34" t="s">
        <v>2134</v>
      </c>
      <c r="F9" s="34" t="s">
        <v>2135</v>
      </c>
      <c r="G9" s="34" t="s">
        <v>2136</v>
      </c>
      <c r="H9" s="34" t="s">
        <v>2131</v>
      </c>
      <c r="I9" s="34" t="s">
        <v>2104</v>
      </c>
      <c r="J9" s="35" t="s">
        <v>2089</v>
      </c>
      <c r="K9" s="35" t="s">
        <v>2089</v>
      </c>
      <c r="L9" s="35" t="s">
        <v>2089</v>
      </c>
      <c r="M9" s="34" t="s">
        <v>2137</v>
      </c>
      <c r="N9" s="35" t="s">
        <v>2089</v>
      </c>
      <c r="O9" s="34" t="s">
        <v>2138</v>
      </c>
      <c r="P9" s="28"/>
      <c r="Q9" s="34" t="s">
        <v>2139</v>
      </c>
      <c r="R9" s="36">
        <v>0.22</v>
      </c>
      <c r="S9" s="37" t="str">
        <f t="shared" si="1"/>
        <v>#VALUE!</v>
      </c>
      <c r="T9" s="37"/>
      <c r="U9" s="37"/>
      <c r="V9" s="37"/>
      <c r="W9" s="37"/>
      <c r="X9" s="37"/>
      <c r="Y9" s="37"/>
      <c r="Z9" s="37"/>
      <c r="AA9" s="37"/>
      <c r="AB9" s="37"/>
    </row>
    <row r="10">
      <c r="A10" s="38"/>
      <c r="B10" s="32" t="s">
        <v>2081</v>
      </c>
      <c r="C10" s="32" t="s">
        <v>2082</v>
      </c>
      <c r="D10" s="33" t="s">
        <v>2140</v>
      </c>
      <c r="E10" s="34" t="s">
        <v>2141</v>
      </c>
      <c r="F10" s="34" t="s">
        <v>2142</v>
      </c>
      <c r="G10" s="34" t="s">
        <v>2143</v>
      </c>
      <c r="H10" s="34" t="s">
        <v>2144</v>
      </c>
      <c r="I10" s="34" t="s">
        <v>2145</v>
      </c>
      <c r="J10" s="35" t="s">
        <v>2089</v>
      </c>
      <c r="K10" s="35" t="s">
        <v>2089</v>
      </c>
      <c r="L10" s="35" t="s">
        <v>2089</v>
      </c>
      <c r="M10" s="34" t="s">
        <v>2146</v>
      </c>
      <c r="N10" s="35" t="s">
        <v>2089</v>
      </c>
      <c r="O10" s="34" t="s">
        <v>2144</v>
      </c>
      <c r="P10" s="28"/>
      <c r="Q10" s="34" t="s">
        <v>2147</v>
      </c>
      <c r="R10" s="36">
        <v>0.15</v>
      </c>
      <c r="S10" s="37" t="str">
        <f t="shared" si="1"/>
        <v>#VALUE!</v>
      </c>
      <c r="T10" s="37"/>
      <c r="U10" s="37"/>
      <c r="V10" s="37"/>
      <c r="W10" s="37"/>
      <c r="X10" s="37"/>
      <c r="Y10" s="37"/>
      <c r="Z10" s="37"/>
      <c r="AA10" s="37"/>
      <c r="AB10" s="37"/>
    </row>
    <row r="11">
      <c r="A11" s="38"/>
      <c r="B11" s="32" t="s">
        <v>2081</v>
      </c>
      <c r="C11" s="32" t="s">
        <v>2082</v>
      </c>
      <c r="D11" s="33" t="s">
        <v>2148</v>
      </c>
      <c r="E11" s="34" t="s">
        <v>2108</v>
      </c>
      <c r="F11" s="34" t="s">
        <v>2149</v>
      </c>
      <c r="G11" s="34" t="s">
        <v>2110</v>
      </c>
      <c r="H11" s="34" t="s">
        <v>2144</v>
      </c>
      <c r="I11" s="34" t="s">
        <v>2145</v>
      </c>
      <c r="J11" s="35" t="s">
        <v>2089</v>
      </c>
      <c r="K11" s="35" t="s">
        <v>2089</v>
      </c>
      <c r="L11" s="35" t="s">
        <v>2089</v>
      </c>
      <c r="M11" s="34" t="s">
        <v>2150</v>
      </c>
      <c r="N11" s="35" t="s">
        <v>2089</v>
      </c>
      <c r="O11" s="34" t="s">
        <v>2112</v>
      </c>
      <c r="P11" s="28"/>
      <c r="Q11" s="34" t="s">
        <v>2151</v>
      </c>
      <c r="R11" s="36">
        <v>0.25</v>
      </c>
      <c r="S11" s="37" t="str">
        <f t="shared" si="1"/>
        <v>#VALUE!</v>
      </c>
      <c r="T11" s="37"/>
      <c r="U11" s="37"/>
      <c r="V11" s="37"/>
      <c r="W11" s="37"/>
      <c r="X11" s="37"/>
      <c r="Y11" s="37"/>
      <c r="Z11" s="37"/>
      <c r="AA11" s="37"/>
      <c r="AB11" s="37"/>
    </row>
    <row r="12">
      <c r="A12" s="38"/>
      <c r="B12" s="32" t="s">
        <v>2081</v>
      </c>
      <c r="C12" s="32" t="s">
        <v>2082</v>
      </c>
      <c r="D12" s="33" t="s">
        <v>2152</v>
      </c>
      <c r="E12" s="34" t="s">
        <v>2153</v>
      </c>
      <c r="F12" s="34" t="s">
        <v>2095</v>
      </c>
      <c r="G12" s="34" t="s">
        <v>2154</v>
      </c>
      <c r="H12" s="34" t="s">
        <v>2155</v>
      </c>
      <c r="I12" s="34" t="s">
        <v>2104</v>
      </c>
      <c r="J12" s="35" t="s">
        <v>2089</v>
      </c>
      <c r="K12" s="35" t="s">
        <v>2089</v>
      </c>
      <c r="L12" s="35" t="s">
        <v>2089</v>
      </c>
      <c r="M12" s="34" t="s">
        <v>2156</v>
      </c>
      <c r="N12" s="35" t="s">
        <v>2089</v>
      </c>
      <c r="O12" s="34" t="s">
        <v>2157</v>
      </c>
      <c r="P12" s="28"/>
      <c r="Q12" s="34" t="s">
        <v>2158</v>
      </c>
      <c r="R12" s="36">
        <v>0.14</v>
      </c>
      <c r="S12" s="37" t="str">
        <f t="shared" si="1"/>
        <v>#VALUE!</v>
      </c>
      <c r="T12" s="37"/>
      <c r="U12" s="37"/>
      <c r="V12" s="37"/>
      <c r="W12" s="37"/>
      <c r="X12" s="37"/>
      <c r="Y12" s="37"/>
      <c r="Z12" s="37"/>
      <c r="AA12" s="37"/>
      <c r="AB12" s="37"/>
    </row>
    <row r="13">
      <c r="A13" s="38"/>
      <c r="B13" s="32" t="s">
        <v>2081</v>
      </c>
      <c r="C13" s="32" t="s">
        <v>2082</v>
      </c>
      <c r="D13" s="33" t="s">
        <v>2159</v>
      </c>
      <c r="E13" s="34" t="s">
        <v>2160</v>
      </c>
      <c r="F13" s="34" t="s">
        <v>2123</v>
      </c>
      <c r="G13" s="34" t="s">
        <v>2161</v>
      </c>
      <c r="H13" s="34" t="s">
        <v>2155</v>
      </c>
      <c r="I13" s="34" t="s">
        <v>2104</v>
      </c>
      <c r="J13" s="35" t="s">
        <v>2089</v>
      </c>
      <c r="K13" s="35" t="s">
        <v>2089</v>
      </c>
      <c r="L13" s="35" t="s">
        <v>2089</v>
      </c>
      <c r="M13" s="34" t="s">
        <v>2090</v>
      </c>
      <c r="N13" s="35" t="s">
        <v>2089</v>
      </c>
      <c r="O13" s="34" t="s">
        <v>2162</v>
      </c>
      <c r="P13" s="28"/>
      <c r="Q13" s="34" t="s">
        <v>2158</v>
      </c>
      <c r="R13" s="36">
        <v>0.11</v>
      </c>
      <c r="S13" s="37" t="str">
        <f t="shared" si="1"/>
        <v>#VALUE!</v>
      </c>
      <c r="T13" s="37"/>
      <c r="U13" s="37"/>
      <c r="V13" s="37"/>
      <c r="W13" s="37"/>
      <c r="X13" s="37"/>
      <c r="Y13" s="37"/>
      <c r="Z13" s="37"/>
      <c r="AA13" s="37"/>
      <c r="AB13" s="37"/>
    </row>
    <row r="14">
      <c r="A14" s="38"/>
      <c r="B14" s="32" t="s">
        <v>2081</v>
      </c>
      <c r="C14" s="32" t="s">
        <v>2082</v>
      </c>
      <c r="D14" s="33" t="s">
        <v>2163</v>
      </c>
      <c r="E14" s="34" t="s">
        <v>2153</v>
      </c>
      <c r="F14" s="34" t="s">
        <v>2164</v>
      </c>
      <c r="G14" s="34" t="s">
        <v>2165</v>
      </c>
      <c r="H14" s="34" t="s">
        <v>2166</v>
      </c>
      <c r="I14" s="34" t="s">
        <v>2104</v>
      </c>
      <c r="J14" s="35" t="s">
        <v>2089</v>
      </c>
      <c r="K14" s="35" t="s">
        <v>2089</v>
      </c>
      <c r="L14" s="35" t="s">
        <v>2089</v>
      </c>
      <c r="M14" s="34" t="s">
        <v>2090</v>
      </c>
      <c r="N14" s="35" t="s">
        <v>2089</v>
      </c>
      <c r="O14" s="34" t="s">
        <v>2117</v>
      </c>
      <c r="P14" s="28"/>
      <c r="Q14" s="34" t="s">
        <v>2167</v>
      </c>
      <c r="R14" s="36">
        <v>0.1</v>
      </c>
      <c r="S14" s="37" t="str">
        <f t="shared" si="1"/>
        <v>#VALUE!</v>
      </c>
      <c r="T14" s="37"/>
      <c r="U14" s="37"/>
      <c r="V14" s="37"/>
      <c r="W14" s="37"/>
      <c r="X14" s="37"/>
      <c r="Y14" s="37"/>
      <c r="Z14" s="37"/>
      <c r="AA14" s="37"/>
      <c r="AB14" s="37"/>
    </row>
    <row r="15">
      <c r="A15" s="38"/>
      <c r="B15" s="32" t="s">
        <v>2081</v>
      </c>
      <c r="C15" s="32" t="s">
        <v>2082</v>
      </c>
      <c r="D15" s="33" t="s">
        <v>2168</v>
      </c>
      <c r="E15" s="34" t="s">
        <v>2128</v>
      </c>
      <c r="F15" s="34" t="s">
        <v>2169</v>
      </c>
      <c r="G15" s="34" t="s">
        <v>2130</v>
      </c>
      <c r="H15" s="34" t="s">
        <v>2166</v>
      </c>
      <c r="I15" s="34" t="s">
        <v>2104</v>
      </c>
      <c r="J15" s="35" t="s">
        <v>2089</v>
      </c>
      <c r="K15" s="35" t="s">
        <v>2089</v>
      </c>
      <c r="L15" s="35" t="s">
        <v>2089</v>
      </c>
      <c r="M15" s="34" t="s">
        <v>2137</v>
      </c>
      <c r="N15" s="35" t="s">
        <v>2089</v>
      </c>
      <c r="O15" s="34" t="s">
        <v>2104</v>
      </c>
      <c r="P15" s="28"/>
      <c r="Q15" s="34" t="s">
        <v>2120</v>
      </c>
      <c r="R15" s="36">
        <v>0.16</v>
      </c>
      <c r="S15" s="37" t="str">
        <f t="shared" si="1"/>
        <v>#VALUE!</v>
      </c>
      <c r="T15" s="37"/>
      <c r="U15" s="37"/>
      <c r="V15" s="37"/>
      <c r="W15" s="37"/>
      <c r="X15" s="37"/>
      <c r="Y15" s="37"/>
      <c r="Z15" s="37"/>
      <c r="AA15" s="37"/>
      <c r="AB15" s="37"/>
    </row>
    <row r="16">
      <c r="A16" s="39"/>
      <c r="B16" s="32" t="s">
        <v>2170</v>
      </c>
      <c r="C16" s="32" t="s">
        <v>2171</v>
      </c>
      <c r="D16" s="33" t="s">
        <v>2172</v>
      </c>
      <c r="E16" s="34" t="s">
        <v>2088</v>
      </c>
      <c r="F16" s="34" t="s">
        <v>2173</v>
      </c>
      <c r="G16" s="34" t="s">
        <v>2137</v>
      </c>
      <c r="H16" s="34" t="s">
        <v>2117</v>
      </c>
      <c r="I16" s="34" t="s">
        <v>2174</v>
      </c>
      <c r="J16" s="35" t="s">
        <v>2089</v>
      </c>
      <c r="K16" s="35" t="s">
        <v>2089</v>
      </c>
      <c r="L16" s="35" t="s">
        <v>2089</v>
      </c>
      <c r="M16" s="35" t="s">
        <v>2089</v>
      </c>
      <c r="N16" s="35" t="s">
        <v>2089</v>
      </c>
      <c r="O16" s="34" t="s">
        <v>2174</v>
      </c>
      <c r="P16" s="28"/>
      <c r="Q16" s="34" t="s">
        <v>2175</v>
      </c>
      <c r="R16" s="36">
        <v>-0.15</v>
      </c>
      <c r="S16" s="37" t="str">
        <f t="shared" si="1"/>
        <v>#VALUE!</v>
      </c>
      <c r="T16" s="37"/>
      <c r="U16" s="37"/>
      <c r="V16" s="37"/>
      <c r="W16" s="37"/>
      <c r="X16" s="37"/>
      <c r="Y16" s="37"/>
      <c r="Z16" s="37"/>
      <c r="AA16" s="37"/>
      <c r="AB16" s="37"/>
    </row>
    <row r="17">
      <c r="A17" s="39"/>
      <c r="B17" s="32" t="s">
        <v>2170</v>
      </c>
      <c r="C17" s="32" t="s">
        <v>2171</v>
      </c>
      <c r="D17" s="33" t="s">
        <v>2176</v>
      </c>
      <c r="E17" s="34" t="s">
        <v>2086</v>
      </c>
      <c r="F17" s="34" t="s">
        <v>2173</v>
      </c>
      <c r="G17" s="34" t="s">
        <v>2104</v>
      </c>
      <c r="H17" s="34" t="s">
        <v>2136</v>
      </c>
      <c r="I17" s="34" t="s">
        <v>2177</v>
      </c>
      <c r="J17" s="35" t="s">
        <v>2089</v>
      </c>
      <c r="K17" s="35" t="s">
        <v>2089</v>
      </c>
      <c r="L17" s="35" t="s">
        <v>2089</v>
      </c>
      <c r="M17" s="35" t="s">
        <v>2089</v>
      </c>
      <c r="N17" s="35" t="s">
        <v>2089</v>
      </c>
      <c r="O17" s="34" t="s">
        <v>2178</v>
      </c>
      <c r="P17" s="28"/>
      <c r="Q17" s="34" t="s">
        <v>2147</v>
      </c>
      <c r="R17" s="36">
        <v>0.21</v>
      </c>
      <c r="S17" s="37" t="str">
        <f t="shared" si="1"/>
        <v>#VALUE!</v>
      </c>
      <c r="T17" s="37"/>
      <c r="U17" s="37"/>
      <c r="V17" s="37"/>
      <c r="W17" s="37"/>
      <c r="X17" s="37"/>
      <c r="Y17" s="37"/>
      <c r="Z17" s="37"/>
      <c r="AA17" s="37"/>
      <c r="AB17" s="37"/>
    </row>
    <row r="18">
      <c r="A18" s="39"/>
      <c r="B18" s="32" t="s">
        <v>2170</v>
      </c>
      <c r="C18" s="32" t="s">
        <v>2179</v>
      </c>
      <c r="D18" s="33" t="s">
        <v>2180</v>
      </c>
      <c r="E18" s="34" t="s">
        <v>2181</v>
      </c>
      <c r="F18" s="34" t="s">
        <v>2182</v>
      </c>
      <c r="G18" s="34" t="s">
        <v>2157</v>
      </c>
      <c r="H18" s="34" t="s">
        <v>2124</v>
      </c>
      <c r="I18" s="34" t="s">
        <v>2183</v>
      </c>
      <c r="J18" s="35" t="s">
        <v>2089</v>
      </c>
      <c r="K18" s="35" t="s">
        <v>2089</v>
      </c>
      <c r="L18" s="35" t="s">
        <v>2089</v>
      </c>
      <c r="M18" s="35" t="s">
        <v>2089</v>
      </c>
      <c r="N18" s="35" t="s">
        <v>2089</v>
      </c>
      <c r="O18" s="34" t="s">
        <v>2184</v>
      </c>
      <c r="P18" s="28"/>
      <c r="Q18" s="34" t="s">
        <v>2185</v>
      </c>
      <c r="R18" s="36">
        <v>0.05</v>
      </c>
      <c r="S18" s="37" t="str">
        <f t="shared" si="1"/>
        <v>#VALUE!</v>
      </c>
      <c r="T18" s="37"/>
      <c r="U18" s="37"/>
      <c r="V18" s="37"/>
      <c r="W18" s="37"/>
      <c r="X18" s="37"/>
      <c r="Y18" s="37"/>
      <c r="Z18" s="37"/>
      <c r="AA18" s="37"/>
      <c r="AB18" s="37"/>
    </row>
    <row r="19">
      <c r="A19" s="39"/>
      <c r="B19" s="32" t="s">
        <v>2170</v>
      </c>
      <c r="C19" s="32" t="s">
        <v>2179</v>
      </c>
      <c r="D19" s="33" t="s">
        <v>2186</v>
      </c>
      <c r="E19" s="34" t="s">
        <v>2187</v>
      </c>
      <c r="F19" s="34" t="s">
        <v>2188</v>
      </c>
      <c r="G19" s="34" t="s">
        <v>2189</v>
      </c>
      <c r="H19" s="34" t="s">
        <v>2144</v>
      </c>
      <c r="I19" s="34" t="s">
        <v>2146</v>
      </c>
      <c r="J19" s="35" t="s">
        <v>2089</v>
      </c>
      <c r="K19" s="35" t="s">
        <v>2089</v>
      </c>
      <c r="L19" s="35" t="s">
        <v>2089</v>
      </c>
      <c r="M19" s="35" t="s">
        <v>2089</v>
      </c>
      <c r="N19" s="35" t="s">
        <v>2089</v>
      </c>
      <c r="O19" s="34" t="s">
        <v>2105</v>
      </c>
      <c r="P19" s="28"/>
      <c r="Q19" s="34" t="s">
        <v>2190</v>
      </c>
      <c r="R19" s="36">
        <v>-0.08</v>
      </c>
      <c r="S19" s="37" t="str">
        <f t="shared" si="1"/>
        <v>#VALUE!</v>
      </c>
      <c r="T19" s="37"/>
      <c r="U19" s="37"/>
      <c r="V19" s="37"/>
      <c r="W19" s="37"/>
      <c r="X19" s="37"/>
      <c r="Y19" s="37"/>
      <c r="Z19" s="37"/>
      <c r="AA19" s="37"/>
      <c r="AB19" s="37"/>
    </row>
    <row r="20">
      <c r="A20" s="39"/>
      <c r="B20" s="32" t="s">
        <v>2170</v>
      </c>
      <c r="C20" s="32" t="s">
        <v>2179</v>
      </c>
      <c r="D20" s="33" t="s">
        <v>2191</v>
      </c>
      <c r="E20" s="34" t="s">
        <v>2088</v>
      </c>
      <c r="F20" s="34" t="s">
        <v>2192</v>
      </c>
      <c r="G20" s="34" t="s">
        <v>2137</v>
      </c>
      <c r="H20" s="34" t="s">
        <v>2193</v>
      </c>
      <c r="I20" s="34" t="s">
        <v>2194</v>
      </c>
      <c r="J20" s="35" t="s">
        <v>2089</v>
      </c>
      <c r="K20" s="35" t="s">
        <v>2089</v>
      </c>
      <c r="L20" s="35" t="s">
        <v>2089</v>
      </c>
      <c r="M20" s="35" t="s">
        <v>2089</v>
      </c>
      <c r="N20" s="35" t="s">
        <v>2089</v>
      </c>
      <c r="O20" s="34" t="s">
        <v>2174</v>
      </c>
      <c r="P20" s="28"/>
      <c r="Q20" s="34" t="s">
        <v>2195</v>
      </c>
      <c r="R20" s="36">
        <v>-0.1</v>
      </c>
      <c r="S20" s="37" t="str">
        <f t="shared" si="1"/>
        <v>#VALUE!</v>
      </c>
      <c r="T20" s="37"/>
      <c r="U20" s="37"/>
      <c r="V20" s="37"/>
      <c r="W20" s="37"/>
      <c r="X20" s="37"/>
      <c r="Y20" s="37"/>
      <c r="Z20" s="37"/>
      <c r="AA20" s="37"/>
      <c r="AB20" s="37"/>
    </row>
    <row r="21">
      <c r="A21" s="39"/>
      <c r="B21" s="32" t="s">
        <v>2170</v>
      </c>
      <c r="C21" s="32" t="s">
        <v>2179</v>
      </c>
      <c r="D21" s="33" t="s">
        <v>2196</v>
      </c>
      <c r="E21" s="34" t="s">
        <v>2178</v>
      </c>
      <c r="F21" s="34" t="s">
        <v>2178</v>
      </c>
      <c r="G21" s="34" t="s">
        <v>2194</v>
      </c>
      <c r="H21" s="34" t="s">
        <v>2150</v>
      </c>
      <c r="I21" s="34" t="s">
        <v>2197</v>
      </c>
      <c r="J21" s="35" t="s">
        <v>2089</v>
      </c>
      <c r="K21" s="35" t="s">
        <v>2089</v>
      </c>
      <c r="L21" s="35" t="s">
        <v>2089</v>
      </c>
      <c r="M21" s="35" t="s">
        <v>2089</v>
      </c>
      <c r="N21" s="35" t="s">
        <v>2089</v>
      </c>
      <c r="O21" s="34" t="s">
        <v>2198</v>
      </c>
      <c r="P21" s="28"/>
      <c r="Q21" s="34" t="s">
        <v>2199</v>
      </c>
      <c r="R21" s="36">
        <v>-0.24</v>
      </c>
      <c r="S21" s="37" t="str">
        <f t="shared" si="1"/>
        <v>#VALUE!</v>
      </c>
      <c r="T21" s="37"/>
      <c r="U21" s="37"/>
      <c r="V21" s="37"/>
      <c r="W21" s="37"/>
      <c r="X21" s="37"/>
      <c r="Y21" s="37"/>
      <c r="Z21" s="37"/>
      <c r="AA21" s="37"/>
      <c r="AB21" s="37"/>
    </row>
    <row r="22">
      <c r="A22" s="39"/>
      <c r="B22" s="32" t="s">
        <v>2170</v>
      </c>
      <c r="C22" s="32" t="s">
        <v>2179</v>
      </c>
      <c r="D22" s="33" t="s">
        <v>2200</v>
      </c>
      <c r="E22" s="34" t="s">
        <v>2201</v>
      </c>
      <c r="F22" s="34" t="s">
        <v>2202</v>
      </c>
      <c r="G22" s="34" t="s">
        <v>2203</v>
      </c>
      <c r="H22" s="34" t="s">
        <v>2137</v>
      </c>
      <c r="I22" s="34" t="s">
        <v>2204</v>
      </c>
      <c r="J22" s="35" t="s">
        <v>2089</v>
      </c>
      <c r="K22" s="35" t="s">
        <v>2089</v>
      </c>
      <c r="L22" s="35" t="s">
        <v>2089</v>
      </c>
      <c r="M22" s="35" t="s">
        <v>2089</v>
      </c>
      <c r="N22" s="35" t="s">
        <v>2089</v>
      </c>
      <c r="O22" s="34" t="s">
        <v>2205</v>
      </c>
      <c r="P22" s="28"/>
      <c r="Q22" s="34" t="s">
        <v>2206</v>
      </c>
      <c r="R22" s="36">
        <v>-0.26</v>
      </c>
      <c r="S22" s="37" t="str">
        <f t="shared" si="1"/>
        <v>#VALUE!</v>
      </c>
      <c r="T22" s="37"/>
      <c r="U22" s="37"/>
      <c r="V22" s="37"/>
      <c r="W22" s="37"/>
      <c r="X22" s="37"/>
      <c r="Y22" s="37"/>
      <c r="Z22" s="37"/>
      <c r="AA22" s="37"/>
      <c r="AB22" s="37"/>
    </row>
    <row r="23">
      <c r="A23" s="39"/>
      <c r="B23" s="32" t="s">
        <v>2170</v>
      </c>
      <c r="C23" s="32" t="s">
        <v>2179</v>
      </c>
      <c r="D23" s="33" t="s">
        <v>2207</v>
      </c>
      <c r="E23" s="34" t="s">
        <v>2161</v>
      </c>
      <c r="F23" s="34" t="s">
        <v>2208</v>
      </c>
      <c r="G23" s="34" t="s">
        <v>2209</v>
      </c>
      <c r="H23" s="34" t="s">
        <v>2103</v>
      </c>
      <c r="I23" s="34" t="s">
        <v>2210</v>
      </c>
      <c r="J23" s="35" t="s">
        <v>2089</v>
      </c>
      <c r="K23" s="35" t="s">
        <v>2089</v>
      </c>
      <c r="L23" s="35" t="s">
        <v>2089</v>
      </c>
      <c r="M23" s="35" t="s">
        <v>2089</v>
      </c>
      <c r="N23" s="35" t="s">
        <v>2089</v>
      </c>
      <c r="O23" s="34" t="s">
        <v>2211</v>
      </c>
      <c r="P23" s="28"/>
      <c r="Q23" s="34" t="s">
        <v>2212</v>
      </c>
      <c r="R23" s="36">
        <v>-0.02</v>
      </c>
      <c r="S23" s="37" t="str">
        <f t="shared" si="1"/>
        <v>#VALUE!</v>
      </c>
      <c r="T23" s="37"/>
      <c r="U23" s="37"/>
      <c r="V23" s="37"/>
      <c r="W23" s="37"/>
      <c r="X23" s="37"/>
      <c r="Y23" s="37"/>
      <c r="Z23" s="37"/>
      <c r="AA23" s="37"/>
      <c r="AB23" s="37"/>
    </row>
    <row r="24">
      <c r="A24" s="39"/>
      <c r="B24" s="32" t="s">
        <v>2170</v>
      </c>
      <c r="C24" s="32" t="s">
        <v>2179</v>
      </c>
      <c r="D24" s="33" t="s">
        <v>2213</v>
      </c>
      <c r="E24" s="34" t="s">
        <v>2214</v>
      </c>
      <c r="F24" s="34" t="s">
        <v>2215</v>
      </c>
      <c r="G24" s="34" t="s">
        <v>2193</v>
      </c>
      <c r="H24" s="34" t="s">
        <v>2143</v>
      </c>
      <c r="I24" s="34" t="s">
        <v>2216</v>
      </c>
      <c r="J24" s="35" t="s">
        <v>2089</v>
      </c>
      <c r="K24" s="35" t="s">
        <v>2089</v>
      </c>
      <c r="L24" s="35" t="s">
        <v>2089</v>
      </c>
      <c r="M24" s="35" t="s">
        <v>2089</v>
      </c>
      <c r="N24" s="35" t="s">
        <v>2089</v>
      </c>
      <c r="O24" s="34" t="s">
        <v>2217</v>
      </c>
      <c r="P24" s="28"/>
      <c r="Q24" s="34" t="s">
        <v>2218</v>
      </c>
      <c r="R24" s="36">
        <v>0.01</v>
      </c>
      <c r="S24" s="37" t="str">
        <f t="shared" si="1"/>
        <v>#VALUE!</v>
      </c>
      <c r="T24" s="37"/>
      <c r="U24" s="37"/>
      <c r="V24" s="37"/>
      <c r="W24" s="37"/>
      <c r="X24" s="37"/>
      <c r="Y24" s="37"/>
      <c r="Z24" s="37"/>
      <c r="AA24" s="37"/>
      <c r="AB24" s="37"/>
    </row>
    <row r="25">
      <c r="A25" s="39"/>
      <c r="B25" s="32" t="s">
        <v>2170</v>
      </c>
      <c r="C25" s="32" t="s">
        <v>2179</v>
      </c>
      <c r="D25" s="33" t="s">
        <v>2219</v>
      </c>
      <c r="E25" s="34" t="s">
        <v>2138</v>
      </c>
      <c r="F25" s="34" t="s">
        <v>2220</v>
      </c>
      <c r="G25" s="34" t="s">
        <v>2221</v>
      </c>
      <c r="H25" s="34" t="s">
        <v>2126</v>
      </c>
      <c r="I25" s="34" t="s">
        <v>2211</v>
      </c>
      <c r="J25" s="35" t="s">
        <v>2089</v>
      </c>
      <c r="K25" s="35" t="s">
        <v>2089</v>
      </c>
      <c r="L25" s="35" t="s">
        <v>2089</v>
      </c>
      <c r="M25" s="35" t="s">
        <v>2089</v>
      </c>
      <c r="N25" s="35" t="s">
        <v>2089</v>
      </c>
      <c r="O25" s="34" t="s">
        <v>2203</v>
      </c>
      <c r="P25" s="28"/>
      <c r="Q25" s="34" t="s">
        <v>2222</v>
      </c>
      <c r="R25" s="36">
        <v>-0.06</v>
      </c>
      <c r="S25" s="37" t="str">
        <f t="shared" si="1"/>
        <v>#VALUE!</v>
      </c>
      <c r="T25" s="37"/>
      <c r="U25" s="37"/>
      <c r="V25" s="37"/>
      <c r="W25" s="37"/>
      <c r="X25" s="37"/>
      <c r="Y25" s="37"/>
      <c r="Z25" s="37"/>
      <c r="AA25" s="37"/>
      <c r="AB25" s="37"/>
    </row>
    <row r="26">
      <c r="A26" s="39"/>
      <c r="B26" s="32" t="s">
        <v>2170</v>
      </c>
      <c r="C26" s="32" t="s">
        <v>2179</v>
      </c>
      <c r="D26" s="33" t="s">
        <v>2223</v>
      </c>
      <c r="E26" s="34" t="s">
        <v>2193</v>
      </c>
      <c r="F26" s="34" t="s">
        <v>2224</v>
      </c>
      <c r="G26" s="34" t="s">
        <v>2090</v>
      </c>
      <c r="H26" s="34" t="s">
        <v>2217</v>
      </c>
      <c r="I26" s="34" t="s">
        <v>2125</v>
      </c>
      <c r="J26" s="35" t="s">
        <v>2089</v>
      </c>
      <c r="K26" s="35" t="s">
        <v>2089</v>
      </c>
      <c r="L26" s="35" t="s">
        <v>2089</v>
      </c>
      <c r="M26" s="35" t="s">
        <v>2089</v>
      </c>
      <c r="N26" s="35" t="s">
        <v>2089</v>
      </c>
      <c r="O26" s="34" t="s">
        <v>2205</v>
      </c>
      <c r="P26" s="28"/>
      <c r="Q26" s="34" t="s">
        <v>2206</v>
      </c>
      <c r="R26" s="36">
        <v>-0.22</v>
      </c>
      <c r="S26" s="37" t="str">
        <f t="shared" si="1"/>
        <v>#VALUE!</v>
      </c>
      <c r="T26" s="37"/>
      <c r="U26" s="37"/>
      <c r="V26" s="37"/>
      <c r="W26" s="37"/>
      <c r="X26" s="37"/>
      <c r="Y26" s="37"/>
      <c r="Z26" s="37"/>
      <c r="AA26" s="37"/>
      <c r="AB26" s="37"/>
    </row>
    <row r="27">
      <c r="A27" s="39"/>
      <c r="B27" s="32" t="s">
        <v>2170</v>
      </c>
      <c r="C27" s="32" t="s">
        <v>2179</v>
      </c>
      <c r="D27" s="33" t="s">
        <v>2225</v>
      </c>
      <c r="E27" s="34" t="s">
        <v>2226</v>
      </c>
      <c r="F27" s="34" t="s">
        <v>2227</v>
      </c>
      <c r="G27" s="34" t="s">
        <v>2162</v>
      </c>
      <c r="H27" s="34" t="s">
        <v>2214</v>
      </c>
      <c r="I27" s="34" t="s">
        <v>2205</v>
      </c>
      <c r="J27" s="35" t="s">
        <v>2089</v>
      </c>
      <c r="K27" s="35" t="s">
        <v>2089</v>
      </c>
      <c r="L27" s="35" t="s">
        <v>2089</v>
      </c>
      <c r="M27" s="35" t="s">
        <v>2089</v>
      </c>
      <c r="N27" s="35" t="s">
        <v>2089</v>
      </c>
      <c r="O27" s="34" t="s">
        <v>2118</v>
      </c>
      <c r="P27" s="28"/>
      <c r="Q27" s="34" t="s">
        <v>2228</v>
      </c>
      <c r="R27" s="36">
        <v>0.04</v>
      </c>
      <c r="S27" s="37" t="str">
        <f t="shared" si="1"/>
        <v>#VALUE!</v>
      </c>
      <c r="T27" s="37"/>
      <c r="U27" s="37"/>
      <c r="V27" s="37"/>
      <c r="W27" s="37"/>
      <c r="X27" s="37"/>
      <c r="Y27" s="37"/>
      <c r="Z27" s="37"/>
      <c r="AA27" s="37"/>
      <c r="AB27" s="37"/>
    </row>
    <row r="28">
      <c r="A28" s="39"/>
      <c r="B28" s="32" t="s">
        <v>2170</v>
      </c>
      <c r="C28" s="32" t="s">
        <v>2179</v>
      </c>
      <c r="D28" s="33" t="s">
        <v>2229</v>
      </c>
      <c r="E28" s="34" t="s">
        <v>2214</v>
      </c>
      <c r="F28" s="34" t="s">
        <v>2111</v>
      </c>
      <c r="G28" s="34" t="s">
        <v>2117</v>
      </c>
      <c r="H28" s="34" t="s">
        <v>2214</v>
      </c>
      <c r="I28" s="34" t="s">
        <v>2230</v>
      </c>
      <c r="J28" s="35" t="s">
        <v>2089</v>
      </c>
      <c r="K28" s="35" t="s">
        <v>2089</v>
      </c>
      <c r="L28" s="35" t="s">
        <v>2089</v>
      </c>
      <c r="M28" s="35" t="s">
        <v>2089</v>
      </c>
      <c r="N28" s="35" t="s">
        <v>2089</v>
      </c>
      <c r="O28" s="35" t="s">
        <v>2089</v>
      </c>
      <c r="P28" s="28"/>
      <c r="Q28" s="35" t="s">
        <v>2231</v>
      </c>
      <c r="R28" s="36">
        <v>0.0</v>
      </c>
      <c r="S28" s="37" t="str">
        <f t="shared" si="1"/>
        <v>#VALUE!</v>
      </c>
      <c r="T28" s="37"/>
      <c r="U28" s="37"/>
      <c r="V28" s="37"/>
      <c r="W28" s="37"/>
      <c r="X28" s="37"/>
      <c r="Y28" s="37"/>
      <c r="Z28" s="37"/>
      <c r="AA28" s="37"/>
      <c r="AB28" s="37"/>
    </row>
    <row r="29">
      <c r="A29" s="39"/>
      <c r="B29" s="32" t="s">
        <v>2170</v>
      </c>
      <c r="C29" s="32" t="s">
        <v>2232</v>
      </c>
      <c r="D29" s="33" t="s">
        <v>2233</v>
      </c>
      <c r="E29" s="34" t="s">
        <v>2234</v>
      </c>
      <c r="F29" s="34" t="s">
        <v>2235</v>
      </c>
      <c r="G29" s="34" t="s">
        <v>2236</v>
      </c>
      <c r="H29" s="34" t="s">
        <v>2237</v>
      </c>
      <c r="I29" s="34" t="s">
        <v>2238</v>
      </c>
      <c r="J29" s="35" t="s">
        <v>2089</v>
      </c>
      <c r="K29" s="35" t="s">
        <v>2089</v>
      </c>
      <c r="L29" s="35" t="s">
        <v>2089</v>
      </c>
      <c r="M29" s="35" t="s">
        <v>2089</v>
      </c>
      <c r="N29" s="35" t="s">
        <v>2089</v>
      </c>
      <c r="O29" s="34" t="s">
        <v>2239</v>
      </c>
      <c r="P29" s="28"/>
      <c r="Q29" s="34" t="s">
        <v>2240</v>
      </c>
      <c r="R29" s="36">
        <v>0.57</v>
      </c>
      <c r="S29" s="37" t="str">
        <f t="shared" si="1"/>
        <v>#VALUE!</v>
      </c>
      <c r="T29" s="37"/>
      <c r="U29" s="37"/>
      <c r="V29" s="37"/>
      <c r="W29" s="37"/>
      <c r="X29" s="37"/>
      <c r="Y29" s="37"/>
      <c r="Z29" s="37"/>
      <c r="AA29" s="37"/>
      <c r="AB29" s="37"/>
    </row>
    <row r="30">
      <c r="A30" s="39"/>
      <c r="B30" s="32" t="s">
        <v>2170</v>
      </c>
      <c r="C30" s="32" t="s">
        <v>2232</v>
      </c>
      <c r="D30" s="33" t="s">
        <v>2241</v>
      </c>
      <c r="E30" s="34" t="s">
        <v>2091</v>
      </c>
      <c r="F30" s="34" t="s">
        <v>2154</v>
      </c>
      <c r="G30" s="34" t="s">
        <v>2178</v>
      </c>
      <c r="H30" s="34" t="s">
        <v>2166</v>
      </c>
      <c r="I30" s="34" t="s">
        <v>2125</v>
      </c>
      <c r="J30" s="35" t="s">
        <v>2089</v>
      </c>
      <c r="K30" s="35" t="s">
        <v>2089</v>
      </c>
      <c r="L30" s="35" t="s">
        <v>2089</v>
      </c>
      <c r="M30" s="35" t="s">
        <v>2089</v>
      </c>
      <c r="N30" s="35" t="s">
        <v>2089</v>
      </c>
      <c r="O30" s="34" t="s">
        <v>2105</v>
      </c>
      <c r="P30" s="28"/>
      <c r="Q30" s="34" t="s">
        <v>2242</v>
      </c>
      <c r="R30" s="36">
        <v>-0.19</v>
      </c>
      <c r="S30" s="37" t="str">
        <f t="shared" si="1"/>
        <v>#VALUE!</v>
      </c>
      <c r="T30" s="37"/>
      <c r="U30" s="37"/>
      <c r="V30" s="37"/>
      <c r="W30" s="37"/>
      <c r="X30" s="37"/>
      <c r="Y30" s="37"/>
      <c r="Z30" s="37"/>
      <c r="AA30" s="37"/>
      <c r="AB30" s="37"/>
    </row>
    <row r="31">
      <c r="A31" s="39"/>
      <c r="B31" s="32" t="s">
        <v>2170</v>
      </c>
      <c r="C31" s="32" t="s">
        <v>2232</v>
      </c>
      <c r="D31" s="33" t="s">
        <v>2243</v>
      </c>
      <c r="E31" s="34" t="s">
        <v>2143</v>
      </c>
      <c r="F31" s="34" t="s">
        <v>2244</v>
      </c>
      <c r="G31" s="34" t="s">
        <v>2126</v>
      </c>
      <c r="H31" s="34" t="s">
        <v>2110</v>
      </c>
      <c r="I31" s="34" t="s">
        <v>2245</v>
      </c>
      <c r="J31" s="35" t="s">
        <v>2089</v>
      </c>
      <c r="K31" s="35" t="s">
        <v>2089</v>
      </c>
      <c r="L31" s="35" t="s">
        <v>2089</v>
      </c>
      <c r="M31" s="35" t="s">
        <v>2089</v>
      </c>
      <c r="N31" s="35" t="s">
        <v>2089</v>
      </c>
      <c r="O31" s="34" t="s">
        <v>2246</v>
      </c>
      <c r="P31" s="28"/>
      <c r="Q31" s="34" t="s">
        <v>2247</v>
      </c>
      <c r="R31" s="36">
        <v>0.1</v>
      </c>
      <c r="S31" s="37" t="str">
        <f t="shared" si="1"/>
        <v>#VALUE!</v>
      </c>
      <c r="T31" s="37"/>
      <c r="U31" s="37"/>
      <c r="V31" s="37"/>
      <c r="W31" s="37"/>
      <c r="X31" s="37"/>
      <c r="Y31" s="37"/>
      <c r="Z31" s="37"/>
      <c r="AA31" s="37"/>
      <c r="AB31" s="37"/>
    </row>
    <row r="32">
      <c r="A32" s="39"/>
      <c r="B32" s="32" t="s">
        <v>2170</v>
      </c>
      <c r="C32" s="32" t="s">
        <v>2232</v>
      </c>
      <c r="D32" s="33" t="s">
        <v>2248</v>
      </c>
      <c r="E32" s="34" t="s">
        <v>2249</v>
      </c>
      <c r="F32" s="34" t="s">
        <v>2250</v>
      </c>
      <c r="G32" s="34" t="s">
        <v>2138</v>
      </c>
      <c r="H32" s="34" t="s">
        <v>2251</v>
      </c>
      <c r="I32" s="34" t="s">
        <v>2183</v>
      </c>
      <c r="J32" s="35" t="s">
        <v>2089</v>
      </c>
      <c r="K32" s="35" t="s">
        <v>2089</v>
      </c>
      <c r="L32" s="35" t="s">
        <v>2089</v>
      </c>
      <c r="M32" s="35" t="s">
        <v>2089</v>
      </c>
      <c r="N32" s="35" t="s">
        <v>2089</v>
      </c>
      <c r="O32" s="34" t="s">
        <v>2201</v>
      </c>
      <c r="P32" s="28"/>
      <c r="Q32" s="34" t="s">
        <v>2252</v>
      </c>
      <c r="R32" s="36">
        <v>0.3</v>
      </c>
      <c r="S32" s="37" t="str">
        <f t="shared" si="1"/>
        <v>#VALUE!</v>
      </c>
      <c r="T32" s="37"/>
      <c r="U32" s="37"/>
      <c r="V32" s="37"/>
      <c r="W32" s="37"/>
      <c r="X32" s="37"/>
      <c r="Y32" s="37"/>
      <c r="Z32" s="37"/>
      <c r="AA32" s="37"/>
      <c r="AB32" s="37"/>
    </row>
    <row r="33">
      <c r="A33" s="39"/>
      <c r="B33" s="32" t="s">
        <v>2170</v>
      </c>
      <c r="C33" s="32" t="s">
        <v>2232</v>
      </c>
      <c r="D33" s="33" t="s">
        <v>2253</v>
      </c>
      <c r="E33" s="34" t="s">
        <v>2187</v>
      </c>
      <c r="F33" s="34" t="s">
        <v>2173</v>
      </c>
      <c r="G33" s="34" t="s">
        <v>2189</v>
      </c>
      <c r="H33" s="34" t="s">
        <v>2104</v>
      </c>
      <c r="I33" s="34" t="s">
        <v>2197</v>
      </c>
      <c r="J33" s="35" t="s">
        <v>2089</v>
      </c>
      <c r="K33" s="35" t="s">
        <v>2089</v>
      </c>
      <c r="L33" s="35" t="s">
        <v>2089</v>
      </c>
      <c r="M33" s="35" t="s">
        <v>2089</v>
      </c>
      <c r="N33" s="35" t="s">
        <v>2089</v>
      </c>
      <c r="O33" s="34" t="s">
        <v>2204</v>
      </c>
      <c r="P33" s="28"/>
      <c r="Q33" s="34" t="s">
        <v>2254</v>
      </c>
      <c r="R33" s="36">
        <v>-0.08</v>
      </c>
      <c r="S33" s="37" t="str">
        <f t="shared" si="1"/>
        <v>#VALUE!</v>
      </c>
      <c r="T33" s="37"/>
      <c r="U33" s="37"/>
      <c r="V33" s="37"/>
      <c r="W33" s="37"/>
      <c r="X33" s="37"/>
      <c r="Y33" s="37"/>
      <c r="Z33" s="37"/>
      <c r="AA33" s="37"/>
      <c r="AB33" s="37"/>
    </row>
    <row r="34">
      <c r="A34" s="39"/>
      <c r="B34" s="32" t="s">
        <v>2170</v>
      </c>
      <c r="C34" s="32" t="s">
        <v>2232</v>
      </c>
      <c r="D34" s="33" t="s">
        <v>2255</v>
      </c>
      <c r="E34" s="34" t="s">
        <v>2256</v>
      </c>
      <c r="F34" s="34" t="s">
        <v>2257</v>
      </c>
      <c r="G34" s="34" t="s">
        <v>2165</v>
      </c>
      <c r="H34" s="34" t="s">
        <v>2094</v>
      </c>
      <c r="I34" s="34" t="s">
        <v>2258</v>
      </c>
      <c r="J34" s="35" t="s">
        <v>2089</v>
      </c>
      <c r="K34" s="35" t="s">
        <v>2089</v>
      </c>
      <c r="L34" s="35" t="s">
        <v>2089</v>
      </c>
      <c r="M34" s="35" t="s">
        <v>2089</v>
      </c>
      <c r="N34" s="35" t="s">
        <v>2089</v>
      </c>
      <c r="O34" s="34" t="s">
        <v>2117</v>
      </c>
      <c r="P34" s="28"/>
      <c r="Q34" s="34" t="s">
        <v>2132</v>
      </c>
      <c r="R34" s="36">
        <v>0.27</v>
      </c>
      <c r="S34" s="37" t="str">
        <f t="shared" si="1"/>
        <v>#VALUE!</v>
      </c>
      <c r="T34" s="37"/>
      <c r="U34" s="37"/>
      <c r="V34" s="37"/>
      <c r="W34" s="37"/>
      <c r="X34" s="37"/>
      <c r="Y34" s="37"/>
      <c r="Z34" s="37"/>
      <c r="AA34" s="37"/>
      <c r="AB34" s="37"/>
    </row>
    <row r="35">
      <c r="A35" s="39"/>
      <c r="B35" s="32" t="s">
        <v>2170</v>
      </c>
      <c r="C35" s="32" t="s">
        <v>2232</v>
      </c>
      <c r="D35" s="33" t="s">
        <v>2259</v>
      </c>
      <c r="E35" s="34" t="s">
        <v>2187</v>
      </c>
      <c r="F35" s="34" t="s">
        <v>2260</v>
      </c>
      <c r="G35" s="34" t="s">
        <v>2189</v>
      </c>
      <c r="H35" s="34" t="s">
        <v>2116</v>
      </c>
      <c r="I35" s="34" t="s">
        <v>2261</v>
      </c>
      <c r="J35" s="35" t="s">
        <v>2089</v>
      </c>
      <c r="K35" s="35" t="s">
        <v>2089</v>
      </c>
      <c r="L35" s="35" t="s">
        <v>2089</v>
      </c>
      <c r="M35" s="35" t="s">
        <v>2089</v>
      </c>
      <c r="N35" s="35" t="s">
        <v>2089</v>
      </c>
      <c r="O35" s="34" t="s">
        <v>2105</v>
      </c>
      <c r="P35" s="28"/>
      <c r="Q35" s="34" t="s">
        <v>2262</v>
      </c>
      <c r="R35" s="36">
        <v>-0.04</v>
      </c>
      <c r="S35" s="37" t="str">
        <f t="shared" si="1"/>
        <v>#VALUE!</v>
      </c>
      <c r="T35" s="37"/>
      <c r="U35" s="37"/>
      <c r="V35" s="37"/>
      <c r="W35" s="37"/>
      <c r="X35" s="37"/>
      <c r="Y35" s="37"/>
      <c r="Z35" s="37"/>
      <c r="AA35" s="37"/>
      <c r="AB35" s="37"/>
    </row>
    <row r="36">
      <c r="A36" s="39"/>
      <c r="B36" s="32" t="s">
        <v>2170</v>
      </c>
      <c r="C36" s="32" t="s">
        <v>2232</v>
      </c>
      <c r="D36" s="33" t="s">
        <v>2263</v>
      </c>
      <c r="E36" s="34" t="s">
        <v>2264</v>
      </c>
      <c r="F36" s="34" t="s">
        <v>2265</v>
      </c>
      <c r="G36" s="34" t="s">
        <v>2087</v>
      </c>
      <c r="H36" s="34" t="s">
        <v>2266</v>
      </c>
      <c r="I36" s="34" t="s">
        <v>2267</v>
      </c>
      <c r="J36" s="35" t="s">
        <v>2089</v>
      </c>
      <c r="K36" s="35" t="s">
        <v>2089</v>
      </c>
      <c r="L36" s="35" t="s">
        <v>2089</v>
      </c>
      <c r="M36" s="35" t="s">
        <v>2089</v>
      </c>
      <c r="N36" s="35" t="s">
        <v>2089</v>
      </c>
      <c r="O36" s="34" t="s">
        <v>2221</v>
      </c>
      <c r="P36" s="28"/>
      <c r="Q36" s="34" t="s">
        <v>2268</v>
      </c>
      <c r="R36" s="36">
        <v>0.1</v>
      </c>
      <c r="S36" s="37" t="str">
        <f t="shared" si="1"/>
        <v>#VALUE!</v>
      </c>
      <c r="T36" s="37"/>
      <c r="U36" s="37"/>
      <c r="V36" s="37"/>
      <c r="W36" s="37"/>
      <c r="X36" s="37"/>
      <c r="Y36" s="37"/>
      <c r="Z36" s="37"/>
      <c r="AA36" s="37"/>
      <c r="AB36" s="37"/>
    </row>
    <row r="37">
      <c r="A37" s="39"/>
      <c r="B37" s="32" t="s">
        <v>2170</v>
      </c>
      <c r="C37" s="32" t="s">
        <v>2232</v>
      </c>
      <c r="D37" s="33" t="s">
        <v>2269</v>
      </c>
      <c r="E37" s="34" t="s">
        <v>2144</v>
      </c>
      <c r="F37" s="34" t="s">
        <v>2270</v>
      </c>
      <c r="G37" s="34" t="s">
        <v>2271</v>
      </c>
      <c r="H37" s="34" t="s">
        <v>2119</v>
      </c>
      <c r="I37" s="34" t="s">
        <v>2183</v>
      </c>
      <c r="J37" s="35" t="s">
        <v>2089</v>
      </c>
      <c r="K37" s="35" t="s">
        <v>2089</v>
      </c>
      <c r="L37" s="35" t="s">
        <v>2089</v>
      </c>
      <c r="M37" s="35" t="s">
        <v>2089</v>
      </c>
      <c r="N37" s="35" t="s">
        <v>2089</v>
      </c>
      <c r="O37" s="34" t="s">
        <v>2146</v>
      </c>
      <c r="P37" s="28"/>
      <c r="Q37" s="34" t="s">
        <v>2272</v>
      </c>
      <c r="R37" s="36">
        <v>-0.09</v>
      </c>
      <c r="S37" s="37" t="str">
        <f t="shared" si="1"/>
        <v>#VALUE!</v>
      </c>
      <c r="T37" s="37"/>
      <c r="U37" s="37"/>
      <c r="V37" s="37"/>
      <c r="W37" s="37"/>
      <c r="X37" s="37"/>
      <c r="Y37" s="37"/>
      <c r="Z37" s="37"/>
      <c r="AA37" s="37"/>
      <c r="AB37" s="37"/>
    </row>
    <row r="38">
      <c r="A38" s="39"/>
      <c r="B38" s="32" t="s">
        <v>2170</v>
      </c>
      <c r="C38" s="32" t="s">
        <v>2232</v>
      </c>
      <c r="D38" s="33" t="s">
        <v>2273</v>
      </c>
      <c r="E38" s="34" t="s">
        <v>2249</v>
      </c>
      <c r="F38" s="34" t="s">
        <v>2141</v>
      </c>
      <c r="G38" s="34" t="s">
        <v>2138</v>
      </c>
      <c r="H38" s="34" t="s">
        <v>2161</v>
      </c>
      <c r="I38" s="34" t="s">
        <v>2184</v>
      </c>
      <c r="J38" s="35" t="s">
        <v>2089</v>
      </c>
      <c r="K38" s="35" t="s">
        <v>2089</v>
      </c>
      <c r="L38" s="35" t="s">
        <v>2089</v>
      </c>
      <c r="M38" s="35" t="s">
        <v>2089</v>
      </c>
      <c r="N38" s="35" t="s">
        <v>2089</v>
      </c>
      <c r="O38" s="34" t="s">
        <v>2201</v>
      </c>
      <c r="P38" s="28"/>
      <c r="Q38" s="34" t="s">
        <v>2151</v>
      </c>
      <c r="R38" s="36">
        <v>0.18</v>
      </c>
      <c r="S38" s="37" t="str">
        <f t="shared" si="1"/>
        <v>#VALUE!</v>
      </c>
      <c r="T38" s="37"/>
      <c r="U38" s="37"/>
      <c r="V38" s="37"/>
      <c r="W38" s="37"/>
      <c r="X38" s="37"/>
      <c r="Y38" s="37"/>
      <c r="Z38" s="37"/>
      <c r="AA38" s="37"/>
      <c r="AB38" s="37"/>
    </row>
    <row r="39">
      <c r="A39" s="39"/>
      <c r="B39" s="32" t="s">
        <v>2170</v>
      </c>
      <c r="C39" s="32" t="s">
        <v>2232</v>
      </c>
      <c r="D39" s="33" t="s">
        <v>2274</v>
      </c>
      <c r="E39" s="34" t="s">
        <v>2275</v>
      </c>
      <c r="F39" s="34" t="s">
        <v>2276</v>
      </c>
      <c r="G39" s="34" t="s">
        <v>2277</v>
      </c>
      <c r="H39" s="34" t="s">
        <v>2278</v>
      </c>
      <c r="I39" s="34" t="s">
        <v>2279</v>
      </c>
      <c r="J39" s="35" t="s">
        <v>2089</v>
      </c>
      <c r="K39" s="35" t="s">
        <v>2089</v>
      </c>
      <c r="L39" s="35" t="s">
        <v>2089</v>
      </c>
      <c r="M39" s="35" t="s">
        <v>2089</v>
      </c>
      <c r="N39" s="35" t="s">
        <v>2089</v>
      </c>
      <c r="O39" s="34" t="s">
        <v>2280</v>
      </c>
      <c r="P39" s="28"/>
      <c r="Q39" s="34" t="s">
        <v>2281</v>
      </c>
      <c r="R39" s="36">
        <v>-0.56</v>
      </c>
      <c r="S39" s="37" t="str">
        <f t="shared" si="1"/>
        <v>#VALUE!</v>
      </c>
      <c r="T39" s="37"/>
      <c r="U39" s="37"/>
      <c r="V39" s="37"/>
      <c r="W39" s="37"/>
      <c r="X39" s="37"/>
      <c r="Y39" s="37"/>
      <c r="Z39" s="37"/>
      <c r="AA39" s="37"/>
      <c r="AB39" s="37"/>
    </row>
    <row r="40">
      <c r="A40" s="40"/>
      <c r="B40" s="32" t="s">
        <v>2282</v>
      </c>
      <c r="C40" s="32" t="s">
        <v>2171</v>
      </c>
      <c r="D40" s="33" t="s">
        <v>2283</v>
      </c>
      <c r="E40" s="34" t="s">
        <v>2284</v>
      </c>
      <c r="F40" s="34" t="s">
        <v>2145</v>
      </c>
      <c r="G40" s="34" t="s">
        <v>2088</v>
      </c>
      <c r="H40" s="34" t="s">
        <v>2112</v>
      </c>
      <c r="I40" s="34" t="s">
        <v>2183</v>
      </c>
      <c r="J40" s="35" t="s">
        <v>2089</v>
      </c>
      <c r="K40" s="35" t="s">
        <v>2089</v>
      </c>
      <c r="L40" s="35" t="s">
        <v>2089</v>
      </c>
      <c r="M40" s="35" t="s">
        <v>2089</v>
      </c>
      <c r="N40" s="35" t="s">
        <v>2089</v>
      </c>
      <c r="O40" s="34" t="s">
        <v>2189</v>
      </c>
      <c r="P40" s="28"/>
      <c r="Q40" s="34" t="s">
        <v>2151</v>
      </c>
      <c r="R40" s="36">
        <v>0.16</v>
      </c>
      <c r="S40" s="37" t="str">
        <f t="shared" si="1"/>
        <v>#VALUE!</v>
      </c>
      <c r="T40" s="37"/>
      <c r="U40" s="37"/>
      <c r="V40" s="37"/>
      <c r="W40" s="37"/>
      <c r="X40" s="37"/>
      <c r="Y40" s="37"/>
      <c r="Z40" s="37"/>
      <c r="AA40" s="37"/>
      <c r="AB40" s="37"/>
    </row>
    <row r="41">
      <c r="A41" s="40"/>
      <c r="B41" s="32" t="s">
        <v>2282</v>
      </c>
      <c r="C41" s="32" t="s">
        <v>2171</v>
      </c>
      <c r="D41" s="33" t="s">
        <v>2285</v>
      </c>
      <c r="E41" s="34" t="s">
        <v>2286</v>
      </c>
      <c r="F41" s="34" t="s">
        <v>2091</v>
      </c>
      <c r="G41" s="34" t="s">
        <v>2187</v>
      </c>
      <c r="H41" s="34" t="s">
        <v>2287</v>
      </c>
      <c r="I41" s="34" t="s">
        <v>2194</v>
      </c>
      <c r="J41" s="35" t="s">
        <v>2089</v>
      </c>
      <c r="K41" s="35" t="s">
        <v>2089</v>
      </c>
      <c r="L41" s="35" t="s">
        <v>2089</v>
      </c>
      <c r="M41" s="35" t="s">
        <v>2089</v>
      </c>
      <c r="N41" s="35" t="s">
        <v>2089</v>
      </c>
      <c r="O41" s="34" t="s">
        <v>2288</v>
      </c>
      <c r="P41" s="28"/>
      <c r="Q41" s="34" t="s">
        <v>2289</v>
      </c>
      <c r="R41" s="36">
        <v>0.29</v>
      </c>
      <c r="S41" s="37" t="str">
        <f t="shared" si="1"/>
        <v>#VALUE!</v>
      </c>
      <c r="T41" s="37"/>
      <c r="U41" s="37"/>
      <c r="V41" s="37"/>
      <c r="W41" s="37"/>
      <c r="X41" s="37"/>
      <c r="Y41" s="37"/>
      <c r="Z41" s="37"/>
      <c r="AA41" s="37"/>
      <c r="AB41" s="37"/>
    </row>
    <row r="42">
      <c r="A42" s="40"/>
      <c r="B42" s="32" t="s">
        <v>2282</v>
      </c>
      <c r="C42" s="32" t="s">
        <v>2171</v>
      </c>
      <c r="D42" s="33" t="s">
        <v>2290</v>
      </c>
      <c r="E42" s="34" t="s">
        <v>2116</v>
      </c>
      <c r="F42" s="34" t="s">
        <v>2227</v>
      </c>
      <c r="G42" s="34" t="s">
        <v>2157</v>
      </c>
      <c r="H42" s="34" t="s">
        <v>2187</v>
      </c>
      <c r="I42" s="34" t="s">
        <v>2291</v>
      </c>
      <c r="J42" s="35" t="s">
        <v>2089</v>
      </c>
      <c r="K42" s="35" t="s">
        <v>2089</v>
      </c>
      <c r="L42" s="35" t="s">
        <v>2089</v>
      </c>
      <c r="M42" s="35" t="s">
        <v>2089</v>
      </c>
      <c r="N42" s="35" t="s">
        <v>2089</v>
      </c>
      <c r="O42" s="34" t="s">
        <v>2184</v>
      </c>
      <c r="P42" s="28"/>
      <c r="Q42" s="34" t="s">
        <v>2185</v>
      </c>
      <c r="R42" s="36">
        <v>0.01</v>
      </c>
      <c r="S42" s="37" t="str">
        <f t="shared" si="1"/>
        <v>#VALUE!</v>
      </c>
      <c r="T42" s="37"/>
      <c r="U42" s="37"/>
      <c r="V42" s="37"/>
      <c r="W42" s="37"/>
      <c r="X42" s="37"/>
      <c r="Y42" s="37"/>
      <c r="Z42" s="37"/>
      <c r="AA42" s="37"/>
      <c r="AB42" s="37"/>
    </row>
    <row r="43">
      <c r="A43" s="40"/>
      <c r="B43" s="32" t="s">
        <v>2282</v>
      </c>
      <c r="C43" s="32" t="s">
        <v>2179</v>
      </c>
      <c r="D43" s="33" t="s">
        <v>2292</v>
      </c>
      <c r="E43" s="34" t="s">
        <v>2086</v>
      </c>
      <c r="F43" s="34" t="s">
        <v>2293</v>
      </c>
      <c r="G43" s="34" t="s">
        <v>2088</v>
      </c>
      <c r="H43" s="34" t="s">
        <v>2294</v>
      </c>
      <c r="I43" s="34" t="s">
        <v>2183</v>
      </c>
      <c r="J43" s="35" t="s">
        <v>2089</v>
      </c>
      <c r="K43" s="35" t="s">
        <v>2089</v>
      </c>
      <c r="L43" s="35" t="s">
        <v>2089</v>
      </c>
      <c r="M43" s="35" t="s">
        <v>2089</v>
      </c>
      <c r="N43" s="35" t="s">
        <v>2089</v>
      </c>
      <c r="O43" s="34" t="s">
        <v>2189</v>
      </c>
      <c r="P43" s="28"/>
      <c r="Q43" s="34" t="s">
        <v>2295</v>
      </c>
      <c r="R43" s="36">
        <v>0.07</v>
      </c>
      <c r="S43" s="37" t="str">
        <f t="shared" si="1"/>
        <v>#VALUE!</v>
      </c>
      <c r="T43" s="37"/>
      <c r="U43" s="37"/>
      <c r="V43" s="37"/>
      <c r="W43" s="37"/>
      <c r="X43" s="37"/>
      <c r="Y43" s="37"/>
      <c r="Z43" s="37"/>
      <c r="AA43" s="37"/>
      <c r="AB43" s="37"/>
    </row>
    <row r="44">
      <c r="A44" s="40"/>
      <c r="B44" s="32" t="s">
        <v>2282</v>
      </c>
      <c r="C44" s="32" t="s">
        <v>2179</v>
      </c>
      <c r="D44" s="33" t="s">
        <v>2296</v>
      </c>
      <c r="E44" s="34" t="s">
        <v>2214</v>
      </c>
      <c r="F44" s="34" t="s">
        <v>2297</v>
      </c>
      <c r="G44" s="34" t="s">
        <v>2117</v>
      </c>
      <c r="H44" s="34" t="s">
        <v>2138</v>
      </c>
      <c r="I44" s="34" t="s">
        <v>2146</v>
      </c>
      <c r="J44" s="35" t="s">
        <v>2089</v>
      </c>
      <c r="K44" s="35" t="s">
        <v>2089</v>
      </c>
      <c r="L44" s="35" t="s">
        <v>2089</v>
      </c>
      <c r="M44" s="35" t="s">
        <v>2089</v>
      </c>
      <c r="N44" s="35" t="s">
        <v>2089</v>
      </c>
      <c r="O44" s="34" t="s">
        <v>2089</v>
      </c>
      <c r="P44" s="28"/>
      <c r="Q44" s="34" t="s">
        <v>2231</v>
      </c>
      <c r="R44" s="36">
        <v>-0.03</v>
      </c>
      <c r="S44" s="37" t="str">
        <f t="shared" si="1"/>
        <v>#VALUE!</v>
      </c>
      <c r="T44" s="37"/>
      <c r="U44" s="37"/>
      <c r="V44" s="37"/>
      <c r="W44" s="37"/>
      <c r="X44" s="37"/>
      <c r="Y44" s="37"/>
      <c r="Z44" s="37"/>
      <c r="AA44" s="37"/>
      <c r="AB44" s="37"/>
    </row>
    <row r="45">
      <c r="A45" s="40"/>
      <c r="B45" s="32" t="s">
        <v>2282</v>
      </c>
      <c r="C45" s="32" t="s">
        <v>2179</v>
      </c>
      <c r="D45" s="33" t="s">
        <v>2298</v>
      </c>
      <c r="E45" s="34" t="s">
        <v>2214</v>
      </c>
      <c r="F45" s="34" t="s">
        <v>2299</v>
      </c>
      <c r="G45" s="34" t="s">
        <v>2117</v>
      </c>
      <c r="H45" s="34" t="s">
        <v>2145</v>
      </c>
      <c r="I45" s="34" t="s">
        <v>2146</v>
      </c>
      <c r="J45" s="35" t="s">
        <v>2089</v>
      </c>
      <c r="K45" s="35" t="s">
        <v>2089</v>
      </c>
      <c r="L45" s="35" t="s">
        <v>2089</v>
      </c>
      <c r="M45" s="35" t="s">
        <v>2089</v>
      </c>
      <c r="N45" s="35" t="s">
        <v>2089</v>
      </c>
      <c r="O45" s="34" t="s">
        <v>2089</v>
      </c>
      <c r="P45" s="28"/>
      <c r="Q45" s="34" t="s">
        <v>2231</v>
      </c>
      <c r="R45" s="36">
        <v>0.01</v>
      </c>
      <c r="S45" s="37" t="str">
        <f t="shared" si="1"/>
        <v>#VALUE!</v>
      </c>
      <c r="T45" s="37"/>
      <c r="U45" s="37"/>
      <c r="V45" s="37"/>
      <c r="W45" s="37"/>
      <c r="X45" s="37"/>
      <c r="Y45" s="37"/>
      <c r="Z45" s="37"/>
      <c r="AA45" s="37"/>
      <c r="AB45" s="37"/>
    </row>
    <row r="46">
      <c r="A46" s="40"/>
      <c r="B46" s="32" t="s">
        <v>2282</v>
      </c>
      <c r="C46" s="32" t="s">
        <v>2179</v>
      </c>
      <c r="D46" s="33" t="s">
        <v>2300</v>
      </c>
      <c r="E46" s="34" t="s">
        <v>2161</v>
      </c>
      <c r="F46" s="34" t="s">
        <v>2301</v>
      </c>
      <c r="G46" s="34" t="s">
        <v>2209</v>
      </c>
      <c r="H46" s="34" t="s">
        <v>2302</v>
      </c>
      <c r="I46" s="34" t="s">
        <v>2194</v>
      </c>
      <c r="J46" s="35" t="s">
        <v>2089</v>
      </c>
      <c r="K46" s="35" t="s">
        <v>2089</v>
      </c>
      <c r="L46" s="35" t="s">
        <v>2089</v>
      </c>
      <c r="M46" s="35" t="s">
        <v>2089</v>
      </c>
      <c r="N46" s="35" t="s">
        <v>2089</v>
      </c>
      <c r="O46" s="34" t="s">
        <v>2303</v>
      </c>
      <c r="P46" s="28"/>
      <c r="Q46" s="34" t="s">
        <v>2262</v>
      </c>
      <c r="R46" s="36">
        <v>-0.08</v>
      </c>
      <c r="S46" s="37" t="str">
        <f t="shared" si="1"/>
        <v>#VALUE!</v>
      </c>
      <c r="T46" s="37"/>
      <c r="U46" s="37"/>
      <c r="V46" s="37"/>
      <c r="W46" s="37"/>
      <c r="X46" s="37"/>
      <c r="Y46" s="37"/>
      <c r="Z46" s="37"/>
      <c r="AA46" s="37"/>
      <c r="AB46" s="37"/>
    </row>
    <row r="47">
      <c r="A47" s="40"/>
      <c r="B47" s="32" t="s">
        <v>2282</v>
      </c>
      <c r="C47" s="32" t="s">
        <v>2179</v>
      </c>
      <c r="D47" s="33" t="s">
        <v>2304</v>
      </c>
      <c r="E47" s="34" t="s">
        <v>2145</v>
      </c>
      <c r="F47" s="34" t="s">
        <v>2220</v>
      </c>
      <c r="G47" s="34" t="s">
        <v>2221</v>
      </c>
      <c r="H47" s="34" t="s">
        <v>2131</v>
      </c>
      <c r="I47" s="34" t="s">
        <v>2204</v>
      </c>
      <c r="J47" s="35" t="s">
        <v>2089</v>
      </c>
      <c r="K47" s="35" t="s">
        <v>2089</v>
      </c>
      <c r="L47" s="35" t="s">
        <v>2089</v>
      </c>
      <c r="M47" s="35" t="s">
        <v>2089</v>
      </c>
      <c r="N47" s="35" t="s">
        <v>2089</v>
      </c>
      <c r="O47" s="34" t="s">
        <v>2303</v>
      </c>
      <c r="P47" s="28"/>
      <c r="Q47" s="34" t="s">
        <v>2212</v>
      </c>
      <c r="R47" s="36">
        <v>-0.08</v>
      </c>
      <c r="S47" s="37" t="str">
        <f t="shared" si="1"/>
        <v>#VALUE!</v>
      </c>
      <c r="T47" s="37"/>
      <c r="U47" s="37"/>
      <c r="V47" s="37"/>
      <c r="W47" s="37"/>
      <c r="X47" s="37"/>
      <c r="Y47" s="37"/>
      <c r="Z47" s="37"/>
      <c r="AA47" s="37"/>
      <c r="AB47" s="37"/>
    </row>
    <row r="48">
      <c r="A48" s="40"/>
      <c r="B48" s="32" t="s">
        <v>2282</v>
      </c>
      <c r="C48" s="32" t="s">
        <v>2179</v>
      </c>
      <c r="D48" s="33" t="s">
        <v>2305</v>
      </c>
      <c r="E48" s="34" t="s">
        <v>2294</v>
      </c>
      <c r="F48" s="34" t="s">
        <v>2306</v>
      </c>
      <c r="G48" s="34" t="s">
        <v>2307</v>
      </c>
      <c r="H48" s="34" t="s">
        <v>2308</v>
      </c>
      <c r="I48" s="34" t="s">
        <v>2216</v>
      </c>
      <c r="J48" s="35" t="s">
        <v>2089</v>
      </c>
      <c r="K48" s="35" t="s">
        <v>2089</v>
      </c>
      <c r="L48" s="35" t="s">
        <v>2089</v>
      </c>
      <c r="M48" s="35" t="s">
        <v>2089</v>
      </c>
      <c r="N48" s="35" t="s">
        <v>2089</v>
      </c>
      <c r="O48" s="34" t="s">
        <v>2309</v>
      </c>
      <c r="P48" s="28"/>
      <c r="Q48" s="34" t="s">
        <v>2310</v>
      </c>
      <c r="R48" s="36">
        <v>0.08</v>
      </c>
      <c r="S48" s="37" t="str">
        <f t="shared" si="1"/>
        <v>#VALUE!</v>
      </c>
      <c r="T48" s="37"/>
      <c r="U48" s="37"/>
      <c r="V48" s="37"/>
      <c r="W48" s="37"/>
      <c r="X48" s="37"/>
      <c r="Y48" s="37"/>
      <c r="Z48" s="37"/>
      <c r="AA48" s="37"/>
      <c r="AB48" s="37"/>
    </row>
    <row r="49">
      <c r="A49" s="40"/>
      <c r="B49" s="32" t="s">
        <v>2282</v>
      </c>
      <c r="C49" s="32" t="s">
        <v>2179</v>
      </c>
      <c r="D49" s="33" t="s">
        <v>2311</v>
      </c>
      <c r="E49" s="34" t="s">
        <v>2116</v>
      </c>
      <c r="F49" s="34" t="s">
        <v>2312</v>
      </c>
      <c r="G49" s="34" t="s">
        <v>2117</v>
      </c>
      <c r="H49" s="34" t="s">
        <v>2143</v>
      </c>
      <c r="I49" s="34" t="s">
        <v>2205</v>
      </c>
      <c r="J49" s="35" t="s">
        <v>2089</v>
      </c>
      <c r="K49" s="35" t="s">
        <v>2089</v>
      </c>
      <c r="L49" s="35" t="s">
        <v>2089</v>
      </c>
      <c r="M49" s="35" t="s">
        <v>2089</v>
      </c>
      <c r="N49" s="35" t="s">
        <v>2089</v>
      </c>
      <c r="O49" s="34" t="s">
        <v>2089</v>
      </c>
      <c r="P49" s="28"/>
      <c r="Q49" s="34" t="s">
        <v>2231</v>
      </c>
      <c r="R49" s="36">
        <v>0.02</v>
      </c>
      <c r="S49" s="37" t="str">
        <f t="shared" si="1"/>
        <v>#VALUE!</v>
      </c>
      <c r="T49" s="37"/>
      <c r="U49" s="37"/>
      <c r="V49" s="37"/>
      <c r="W49" s="37"/>
      <c r="X49" s="37"/>
      <c r="Y49" s="37"/>
      <c r="Z49" s="37"/>
      <c r="AA49" s="37"/>
      <c r="AB49" s="37"/>
    </row>
    <row r="50">
      <c r="A50" s="40"/>
      <c r="B50" s="32" t="s">
        <v>2282</v>
      </c>
      <c r="C50" s="32" t="s">
        <v>2179</v>
      </c>
      <c r="D50" s="33" t="s">
        <v>2313</v>
      </c>
      <c r="E50" s="34" t="s">
        <v>2294</v>
      </c>
      <c r="F50" s="34" t="s">
        <v>2214</v>
      </c>
      <c r="G50" s="34" t="s">
        <v>2302</v>
      </c>
      <c r="H50" s="34" t="s">
        <v>2086</v>
      </c>
      <c r="I50" s="34" t="s">
        <v>2177</v>
      </c>
      <c r="J50" s="35" t="s">
        <v>2089</v>
      </c>
      <c r="K50" s="35" t="s">
        <v>2089</v>
      </c>
      <c r="L50" s="35" t="s">
        <v>2089</v>
      </c>
      <c r="M50" s="35" t="s">
        <v>2089</v>
      </c>
      <c r="N50" s="35" t="s">
        <v>2089</v>
      </c>
      <c r="O50" s="34" t="s">
        <v>2314</v>
      </c>
      <c r="P50" s="28"/>
      <c r="Q50" s="34" t="s">
        <v>2120</v>
      </c>
      <c r="R50" s="36">
        <v>0.07</v>
      </c>
      <c r="S50" s="37" t="str">
        <f t="shared" si="1"/>
        <v>#VALUE!</v>
      </c>
      <c r="T50" s="37"/>
      <c r="U50" s="37"/>
      <c r="V50" s="37"/>
      <c r="W50" s="37"/>
      <c r="X50" s="37"/>
      <c r="Y50" s="37"/>
      <c r="Z50" s="37"/>
      <c r="AA50" s="37"/>
      <c r="AB50" s="37"/>
    </row>
    <row r="51">
      <c r="A51" s="40"/>
      <c r="B51" s="32" t="s">
        <v>2282</v>
      </c>
      <c r="C51" s="32" t="s">
        <v>2179</v>
      </c>
      <c r="D51" s="33" t="s">
        <v>2315</v>
      </c>
      <c r="E51" s="34" t="s">
        <v>2124</v>
      </c>
      <c r="F51" s="34" t="s">
        <v>2187</v>
      </c>
      <c r="G51" s="34" t="s">
        <v>2193</v>
      </c>
      <c r="H51" s="34" t="s">
        <v>2124</v>
      </c>
      <c r="I51" s="34" t="s">
        <v>2230</v>
      </c>
      <c r="J51" s="35" t="s">
        <v>2089</v>
      </c>
      <c r="K51" s="35" t="s">
        <v>2089</v>
      </c>
      <c r="L51" s="35" t="s">
        <v>2089</v>
      </c>
      <c r="M51" s="35" t="s">
        <v>2089</v>
      </c>
      <c r="N51" s="35" t="s">
        <v>2089</v>
      </c>
      <c r="O51" s="34" t="s">
        <v>2156</v>
      </c>
      <c r="P51" s="28"/>
      <c r="Q51" s="34" t="s">
        <v>2316</v>
      </c>
      <c r="R51" s="36">
        <v>-0.05</v>
      </c>
      <c r="S51" s="37" t="str">
        <f t="shared" si="1"/>
        <v>#VALUE!</v>
      </c>
      <c r="T51" s="37"/>
      <c r="U51" s="37"/>
      <c r="V51" s="37"/>
      <c r="W51" s="37"/>
      <c r="X51" s="37"/>
      <c r="Y51" s="37"/>
      <c r="Z51" s="37"/>
      <c r="AA51" s="37"/>
      <c r="AB51" s="37"/>
    </row>
    <row r="52">
      <c r="A52" s="40"/>
      <c r="B52" s="32" t="s">
        <v>2282</v>
      </c>
      <c r="C52" s="32" t="s">
        <v>2179</v>
      </c>
      <c r="D52" s="33" t="s">
        <v>2317</v>
      </c>
      <c r="E52" s="34" t="s">
        <v>2112</v>
      </c>
      <c r="F52" s="34" t="s">
        <v>2293</v>
      </c>
      <c r="G52" s="34" t="s">
        <v>2307</v>
      </c>
      <c r="H52" s="34" t="s">
        <v>2112</v>
      </c>
      <c r="I52" s="34" t="s">
        <v>2230</v>
      </c>
      <c r="J52" s="35" t="s">
        <v>2089</v>
      </c>
      <c r="K52" s="35" t="s">
        <v>2089</v>
      </c>
      <c r="L52" s="35" t="s">
        <v>2089</v>
      </c>
      <c r="M52" s="35" t="s">
        <v>2089</v>
      </c>
      <c r="N52" s="35" t="s">
        <v>2089</v>
      </c>
      <c r="O52" s="34" t="s">
        <v>2309</v>
      </c>
      <c r="P52" s="28"/>
      <c r="Q52" s="34" t="s">
        <v>2318</v>
      </c>
      <c r="R52" s="36">
        <v>0.01</v>
      </c>
      <c r="S52" s="37" t="str">
        <f t="shared" si="1"/>
        <v>#VALUE!</v>
      </c>
      <c r="T52" s="37"/>
      <c r="U52" s="37"/>
      <c r="V52" s="37"/>
      <c r="W52" s="37"/>
      <c r="X52" s="37"/>
      <c r="Y52" s="37"/>
      <c r="Z52" s="37"/>
      <c r="AA52" s="37"/>
      <c r="AB52" s="37"/>
    </row>
    <row r="53">
      <c r="A53" s="40"/>
      <c r="B53" s="32" t="s">
        <v>2282</v>
      </c>
      <c r="C53" s="32" t="s">
        <v>2179</v>
      </c>
      <c r="D53" s="33" t="s">
        <v>2319</v>
      </c>
      <c r="E53" s="34" t="s">
        <v>2145</v>
      </c>
      <c r="F53" s="34" t="s">
        <v>2201</v>
      </c>
      <c r="G53" s="34" t="s">
        <v>2209</v>
      </c>
      <c r="H53" s="34" t="s">
        <v>2145</v>
      </c>
      <c r="I53" s="34" t="s">
        <v>2230</v>
      </c>
      <c r="J53" s="35" t="s">
        <v>2089</v>
      </c>
      <c r="K53" s="35" t="s">
        <v>2089</v>
      </c>
      <c r="L53" s="35" t="s">
        <v>2089</v>
      </c>
      <c r="M53" s="35" t="s">
        <v>2089</v>
      </c>
      <c r="N53" s="35" t="s">
        <v>2089</v>
      </c>
      <c r="O53" s="34" t="s">
        <v>2303</v>
      </c>
      <c r="P53" s="28"/>
      <c r="Q53" s="34" t="s">
        <v>2320</v>
      </c>
      <c r="R53" s="36"/>
      <c r="S53" s="37"/>
      <c r="T53" s="37"/>
      <c r="U53" s="37"/>
      <c r="V53" s="37"/>
      <c r="W53" s="37"/>
      <c r="X53" s="37"/>
      <c r="Y53" s="37"/>
      <c r="Z53" s="37"/>
      <c r="AA53" s="37"/>
      <c r="AB53" s="37"/>
    </row>
    <row r="54">
      <c r="A54" s="41"/>
      <c r="B54" s="32" t="s">
        <v>2321</v>
      </c>
      <c r="C54" s="32" t="s">
        <v>2179</v>
      </c>
      <c r="D54" s="33" t="s">
        <v>2322</v>
      </c>
      <c r="E54" s="34" t="s">
        <v>2264</v>
      </c>
      <c r="F54" s="34" t="s">
        <v>2323</v>
      </c>
      <c r="G54" s="34" t="s">
        <v>2087</v>
      </c>
      <c r="H54" s="34" t="s">
        <v>2087</v>
      </c>
      <c r="I54" s="35" t="s">
        <v>2089</v>
      </c>
      <c r="J54" s="35" t="s">
        <v>2089</v>
      </c>
      <c r="K54" s="35" t="s">
        <v>2089</v>
      </c>
      <c r="L54" s="35" t="s">
        <v>2089</v>
      </c>
      <c r="M54" s="35" t="s">
        <v>2089</v>
      </c>
      <c r="N54" s="35" t="s">
        <v>2089</v>
      </c>
      <c r="O54" s="34" t="s">
        <v>2221</v>
      </c>
      <c r="P54" s="28"/>
      <c r="Q54" s="34" t="s">
        <v>2167</v>
      </c>
      <c r="R54" s="36">
        <v>-0.27</v>
      </c>
      <c r="S54" s="37" t="str">
        <f t="shared" ref="S54:S64" si="2">E54-H54</f>
        <v>#VALUE!</v>
      </c>
      <c r="T54" s="37"/>
      <c r="U54" s="37"/>
      <c r="V54" s="37"/>
      <c r="W54" s="37"/>
      <c r="X54" s="37"/>
      <c r="Y54" s="37"/>
      <c r="Z54" s="37"/>
      <c r="AA54" s="37"/>
      <c r="AB54" s="37"/>
    </row>
    <row r="55">
      <c r="A55" s="41"/>
      <c r="B55" s="32" t="s">
        <v>2321</v>
      </c>
      <c r="C55" s="32" t="s">
        <v>2179</v>
      </c>
      <c r="D55" s="33" t="s">
        <v>2324</v>
      </c>
      <c r="E55" s="34" t="s">
        <v>2226</v>
      </c>
      <c r="F55" s="34" t="s">
        <v>2215</v>
      </c>
      <c r="G55" s="34" t="s">
        <v>2201</v>
      </c>
      <c r="H55" s="34" t="s">
        <v>2201</v>
      </c>
      <c r="I55" s="35" t="s">
        <v>2089</v>
      </c>
      <c r="J55" s="35" t="s">
        <v>2089</v>
      </c>
      <c r="K55" s="35" t="s">
        <v>2089</v>
      </c>
      <c r="L55" s="35" t="s">
        <v>2089</v>
      </c>
      <c r="M55" s="35" t="s">
        <v>2089</v>
      </c>
      <c r="N55" s="35" t="s">
        <v>2089</v>
      </c>
      <c r="O55" s="34" t="s">
        <v>2118</v>
      </c>
      <c r="P55" s="28"/>
      <c r="Q55" s="34" t="s">
        <v>2325</v>
      </c>
      <c r="R55" s="36">
        <v>0.08</v>
      </c>
      <c r="S55" s="37" t="str">
        <f t="shared" si="2"/>
        <v>#VALUE!</v>
      </c>
      <c r="T55" s="37"/>
      <c r="U55" s="37"/>
      <c r="V55" s="37"/>
      <c r="W55" s="37"/>
      <c r="X55" s="37"/>
      <c r="Y55" s="37"/>
      <c r="Z55" s="37"/>
      <c r="AA55" s="37"/>
      <c r="AB55" s="37"/>
    </row>
    <row r="56">
      <c r="A56" s="41"/>
      <c r="B56" s="32" t="s">
        <v>2321</v>
      </c>
      <c r="C56" s="32" t="s">
        <v>2179</v>
      </c>
      <c r="D56" s="33" t="s">
        <v>2326</v>
      </c>
      <c r="E56" s="34" t="s">
        <v>2294</v>
      </c>
      <c r="F56" s="34" t="s">
        <v>2327</v>
      </c>
      <c r="G56" s="34" t="s">
        <v>2302</v>
      </c>
      <c r="H56" s="34" t="s">
        <v>2302</v>
      </c>
      <c r="I56" s="35" t="s">
        <v>2089</v>
      </c>
      <c r="J56" s="35" t="s">
        <v>2089</v>
      </c>
      <c r="K56" s="35" t="s">
        <v>2089</v>
      </c>
      <c r="L56" s="35" t="s">
        <v>2089</v>
      </c>
      <c r="M56" s="35" t="s">
        <v>2089</v>
      </c>
      <c r="N56" s="35" t="s">
        <v>2089</v>
      </c>
      <c r="O56" s="34" t="s">
        <v>2314</v>
      </c>
      <c r="P56" s="28"/>
      <c r="Q56" s="34" t="s">
        <v>2310</v>
      </c>
      <c r="R56" s="36">
        <v>-0.03</v>
      </c>
      <c r="S56" s="37" t="str">
        <f t="shared" si="2"/>
        <v>#VALUE!</v>
      </c>
      <c r="T56" s="37"/>
      <c r="U56" s="37"/>
      <c r="V56" s="37"/>
      <c r="W56" s="37"/>
      <c r="X56" s="37"/>
      <c r="Y56" s="37"/>
      <c r="Z56" s="37"/>
      <c r="AA56" s="37"/>
      <c r="AB56" s="37"/>
    </row>
    <row r="57">
      <c r="A57" s="41"/>
      <c r="B57" s="32" t="s">
        <v>2321</v>
      </c>
      <c r="C57" s="32" t="s">
        <v>2179</v>
      </c>
      <c r="D57" s="33" t="s">
        <v>2328</v>
      </c>
      <c r="E57" s="34" t="s">
        <v>2291</v>
      </c>
      <c r="F57" s="34" t="s">
        <v>2270</v>
      </c>
      <c r="G57" s="34" t="s">
        <v>2329</v>
      </c>
      <c r="H57" s="34" t="s">
        <v>2329</v>
      </c>
      <c r="I57" s="35" t="s">
        <v>2089</v>
      </c>
      <c r="J57" s="35" t="s">
        <v>2089</v>
      </c>
      <c r="K57" s="35" t="s">
        <v>2089</v>
      </c>
      <c r="L57" s="35" t="s">
        <v>2089</v>
      </c>
      <c r="M57" s="35" t="s">
        <v>2089</v>
      </c>
      <c r="N57" s="35" t="s">
        <v>2089</v>
      </c>
      <c r="O57" s="34" t="s">
        <v>2330</v>
      </c>
      <c r="P57" s="28"/>
      <c r="Q57" s="34" t="s">
        <v>2331</v>
      </c>
      <c r="R57" s="36">
        <v>0.04</v>
      </c>
      <c r="S57" s="37" t="str">
        <f t="shared" si="2"/>
        <v>#VALUE!</v>
      </c>
      <c r="T57" s="37"/>
      <c r="U57" s="37"/>
      <c r="V57" s="37"/>
      <c r="W57" s="37"/>
      <c r="X57" s="37"/>
      <c r="Y57" s="37"/>
      <c r="Z57" s="37"/>
      <c r="AA57" s="37"/>
      <c r="AB57" s="37"/>
    </row>
    <row r="58">
      <c r="A58" s="41"/>
      <c r="B58" s="32" t="s">
        <v>2321</v>
      </c>
      <c r="C58" s="32" t="s">
        <v>2179</v>
      </c>
      <c r="D58" s="33" t="s">
        <v>2332</v>
      </c>
      <c r="E58" s="34" t="s">
        <v>2086</v>
      </c>
      <c r="F58" s="34" t="s">
        <v>2333</v>
      </c>
      <c r="G58" s="34" t="s">
        <v>2088</v>
      </c>
      <c r="H58" s="34" t="s">
        <v>2088</v>
      </c>
      <c r="I58" s="35" t="s">
        <v>2089</v>
      </c>
      <c r="J58" s="35" t="s">
        <v>2089</v>
      </c>
      <c r="K58" s="35" t="s">
        <v>2089</v>
      </c>
      <c r="L58" s="35" t="s">
        <v>2089</v>
      </c>
      <c r="M58" s="35" t="s">
        <v>2089</v>
      </c>
      <c r="N58" s="35" t="s">
        <v>2089</v>
      </c>
      <c r="O58" s="34" t="s">
        <v>2189</v>
      </c>
      <c r="P58" s="28"/>
      <c r="Q58" s="34" t="s">
        <v>2295</v>
      </c>
      <c r="R58" s="36">
        <v>-0.46</v>
      </c>
      <c r="S58" s="37" t="str">
        <f t="shared" si="2"/>
        <v>#VALUE!</v>
      </c>
      <c r="T58" s="37"/>
      <c r="U58" s="37"/>
      <c r="V58" s="37"/>
      <c r="W58" s="37"/>
      <c r="X58" s="37"/>
      <c r="Y58" s="37"/>
      <c r="Z58" s="37"/>
      <c r="AA58" s="37"/>
      <c r="AB58" s="37"/>
    </row>
    <row r="59">
      <c r="A59" s="41"/>
      <c r="B59" s="32" t="s">
        <v>2321</v>
      </c>
      <c r="C59" s="32" t="s">
        <v>2179</v>
      </c>
      <c r="D59" s="33" t="s">
        <v>2334</v>
      </c>
      <c r="E59" s="34" t="s">
        <v>2287</v>
      </c>
      <c r="F59" s="34" t="s">
        <v>2136</v>
      </c>
      <c r="G59" s="34" t="s">
        <v>2131</v>
      </c>
      <c r="H59" s="34" t="s">
        <v>2131</v>
      </c>
      <c r="I59" s="35" t="s">
        <v>2089</v>
      </c>
      <c r="J59" s="35" t="s">
        <v>2089</v>
      </c>
      <c r="K59" s="35" t="s">
        <v>2089</v>
      </c>
      <c r="L59" s="35" t="s">
        <v>2089</v>
      </c>
      <c r="M59" s="35" t="s">
        <v>2089</v>
      </c>
      <c r="N59" s="35" t="s">
        <v>2089</v>
      </c>
      <c r="O59" s="34" t="s">
        <v>2137</v>
      </c>
      <c r="P59" s="28"/>
      <c r="Q59" s="34" t="s">
        <v>2295</v>
      </c>
      <c r="R59" s="36">
        <v>0.08</v>
      </c>
      <c r="S59" s="37" t="str">
        <f t="shared" si="2"/>
        <v>#VALUE!</v>
      </c>
      <c r="T59" s="37"/>
      <c r="U59" s="37"/>
      <c r="V59" s="37"/>
      <c r="W59" s="37"/>
      <c r="X59" s="37"/>
      <c r="Y59" s="37"/>
      <c r="Z59" s="37"/>
      <c r="AA59" s="37"/>
      <c r="AB59" s="37"/>
    </row>
    <row r="60">
      <c r="A60" s="41"/>
      <c r="B60" s="32" t="s">
        <v>2321</v>
      </c>
      <c r="C60" s="32" t="s">
        <v>2179</v>
      </c>
      <c r="D60" s="33" t="s">
        <v>2335</v>
      </c>
      <c r="E60" s="34" t="s">
        <v>2102</v>
      </c>
      <c r="F60" s="34" t="s">
        <v>2336</v>
      </c>
      <c r="G60" s="34" t="s">
        <v>2144</v>
      </c>
      <c r="H60" s="34" t="s">
        <v>2144</v>
      </c>
      <c r="I60" s="35" t="s">
        <v>2089</v>
      </c>
      <c r="J60" s="35" t="s">
        <v>2089</v>
      </c>
      <c r="K60" s="35" t="s">
        <v>2089</v>
      </c>
      <c r="L60" s="35" t="s">
        <v>2089</v>
      </c>
      <c r="M60" s="35" t="s">
        <v>2089</v>
      </c>
      <c r="N60" s="35" t="s">
        <v>2089</v>
      </c>
      <c r="O60" s="34" t="s">
        <v>2111</v>
      </c>
      <c r="P60" s="28"/>
      <c r="Q60" s="34" t="s">
        <v>2310</v>
      </c>
      <c r="R60" s="36">
        <v>0.06</v>
      </c>
      <c r="S60" s="37" t="str">
        <f t="shared" si="2"/>
        <v>#VALUE!</v>
      </c>
      <c r="T60" s="37"/>
      <c r="U60" s="37"/>
      <c r="V60" s="37"/>
      <c r="W60" s="37"/>
      <c r="X60" s="37"/>
      <c r="Y60" s="37"/>
      <c r="Z60" s="37"/>
      <c r="AA60" s="37"/>
      <c r="AB60" s="37"/>
    </row>
    <row r="61">
      <c r="A61" s="41"/>
      <c r="B61" s="32" t="s">
        <v>2321</v>
      </c>
      <c r="C61" s="32" t="s">
        <v>2179</v>
      </c>
      <c r="D61" s="33" t="s">
        <v>2337</v>
      </c>
      <c r="E61" s="34" t="s">
        <v>2308</v>
      </c>
      <c r="F61" s="34" t="s">
        <v>2136</v>
      </c>
      <c r="G61" s="34" t="s">
        <v>2338</v>
      </c>
      <c r="H61" s="34" t="s">
        <v>2338</v>
      </c>
      <c r="I61" s="35" t="s">
        <v>2089</v>
      </c>
      <c r="J61" s="35" t="s">
        <v>2089</v>
      </c>
      <c r="K61" s="35" t="s">
        <v>2089</v>
      </c>
      <c r="L61" s="35" t="s">
        <v>2089</v>
      </c>
      <c r="M61" s="35" t="s">
        <v>2089</v>
      </c>
      <c r="N61" s="35" t="s">
        <v>2089</v>
      </c>
      <c r="O61" s="34" t="s">
        <v>2209</v>
      </c>
      <c r="P61" s="28"/>
      <c r="Q61" s="34" t="s">
        <v>2339</v>
      </c>
      <c r="R61" s="36">
        <v>0.05</v>
      </c>
      <c r="S61" s="37" t="str">
        <f t="shared" si="2"/>
        <v>#VALUE!</v>
      </c>
      <c r="T61" s="37"/>
      <c r="U61" s="37"/>
      <c r="V61" s="37"/>
      <c r="W61" s="37"/>
      <c r="X61" s="37"/>
      <c r="Y61" s="37"/>
      <c r="Z61" s="37"/>
      <c r="AA61" s="37"/>
      <c r="AB61" s="37"/>
    </row>
    <row r="62">
      <c r="A62" s="42"/>
      <c r="B62" s="32" t="s">
        <v>2340</v>
      </c>
      <c r="C62" s="32" t="s">
        <v>2232</v>
      </c>
      <c r="D62" s="33" t="s">
        <v>2341</v>
      </c>
      <c r="E62" s="34" t="s">
        <v>2342</v>
      </c>
      <c r="F62" s="34" t="s">
        <v>2343</v>
      </c>
      <c r="G62" s="34" t="s">
        <v>2226</v>
      </c>
      <c r="H62" s="34" t="s">
        <v>2342</v>
      </c>
      <c r="I62" s="34" t="s">
        <v>2230</v>
      </c>
      <c r="J62" s="35" t="s">
        <v>2089</v>
      </c>
      <c r="K62" s="35" t="s">
        <v>2089</v>
      </c>
      <c r="L62" s="35" t="s">
        <v>2089</v>
      </c>
      <c r="M62" s="35" t="s">
        <v>2089</v>
      </c>
      <c r="N62" s="35" t="s">
        <v>2089</v>
      </c>
      <c r="O62" s="34" t="s">
        <v>2126</v>
      </c>
      <c r="P62" s="28"/>
      <c r="Q62" s="34" t="s">
        <v>2339</v>
      </c>
      <c r="R62" s="36">
        <v>0.21</v>
      </c>
      <c r="S62" s="37" t="str">
        <f t="shared" si="2"/>
        <v>#VALUE!</v>
      </c>
      <c r="T62" s="37"/>
      <c r="U62" s="37"/>
      <c r="V62" s="37"/>
      <c r="W62" s="37"/>
      <c r="X62" s="37"/>
      <c r="Y62" s="37"/>
      <c r="Z62" s="37"/>
      <c r="AA62" s="37"/>
      <c r="AB62" s="37"/>
    </row>
    <row r="63">
      <c r="A63" s="42"/>
      <c r="B63" s="32" t="s">
        <v>2340</v>
      </c>
      <c r="C63" s="32" t="s">
        <v>2232</v>
      </c>
      <c r="D63" s="33" t="s">
        <v>2344</v>
      </c>
      <c r="E63" s="34" t="s">
        <v>2286</v>
      </c>
      <c r="F63" s="34" t="s">
        <v>2327</v>
      </c>
      <c r="G63" s="34" t="s">
        <v>2103</v>
      </c>
      <c r="H63" s="34" t="s">
        <v>2345</v>
      </c>
      <c r="I63" s="34" t="s">
        <v>2329</v>
      </c>
      <c r="J63" s="35" t="s">
        <v>2089</v>
      </c>
      <c r="K63" s="35" t="s">
        <v>2089</v>
      </c>
      <c r="L63" s="35" t="s">
        <v>2089</v>
      </c>
      <c r="M63" s="35" t="s">
        <v>2089</v>
      </c>
      <c r="N63" s="35" t="s">
        <v>2089</v>
      </c>
      <c r="O63" s="34" t="s">
        <v>2155</v>
      </c>
      <c r="P63" s="28"/>
      <c r="Q63" s="34" t="s">
        <v>2346</v>
      </c>
      <c r="R63" s="36">
        <v>0.21</v>
      </c>
      <c r="S63" s="37" t="str">
        <f t="shared" si="2"/>
        <v>#VALUE!</v>
      </c>
      <c r="T63" s="37"/>
      <c r="U63" s="37"/>
      <c r="V63" s="37"/>
      <c r="W63" s="37"/>
      <c r="X63" s="37"/>
      <c r="Y63" s="37"/>
      <c r="Z63" s="37"/>
      <c r="AA63" s="37"/>
      <c r="AB63" s="37"/>
    </row>
    <row r="64">
      <c r="A64" s="42"/>
      <c r="B64" s="32" t="s">
        <v>2340</v>
      </c>
      <c r="C64" s="32" t="s">
        <v>2347</v>
      </c>
      <c r="D64" s="33" t="s">
        <v>2348</v>
      </c>
      <c r="E64" s="34" t="s">
        <v>2130</v>
      </c>
      <c r="F64" s="34" t="s">
        <v>2141</v>
      </c>
      <c r="G64" s="34" t="s">
        <v>2119</v>
      </c>
      <c r="H64" s="34" t="s">
        <v>2308</v>
      </c>
      <c r="I64" s="34" t="s">
        <v>2349</v>
      </c>
      <c r="J64" s="35" t="s">
        <v>2089</v>
      </c>
      <c r="K64" s="35" t="s">
        <v>2089</v>
      </c>
      <c r="L64" s="35" t="s">
        <v>2089</v>
      </c>
      <c r="M64" s="35" t="s">
        <v>2089</v>
      </c>
      <c r="N64" s="35" t="s">
        <v>2089</v>
      </c>
      <c r="O64" s="34" t="s">
        <v>2150</v>
      </c>
      <c r="P64" s="28"/>
      <c r="Q64" s="34" t="s">
        <v>2295</v>
      </c>
      <c r="R64" s="36">
        <v>0.1</v>
      </c>
      <c r="S64" s="37" t="str">
        <f t="shared" si="2"/>
        <v>#VALUE!</v>
      </c>
      <c r="T64" s="37"/>
      <c r="U64" s="37"/>
      <c r="V64" s="37"/>
      <c r="W64" s="37"/>
      <c r="X64" s="37"/>
      <c r="Y64" s="37"/>
      <c r="Z64" s="37"/>
      <c r="AA64" s="37"/>
      <c r="AB64" s="37"/>
    </row>
    <row r="65">
      <c r="A65" s="42"/>
      <c r="B65" s="32" t="s">
        <v>2340</v>
      </c>
      <c r="C65" s="32" t="s">
        <v>2347</v>
      </c>
      <c r="D65" s="33" t="s">
        <v>2350</v>
      </c>
      <c r="E65" s="34" t="s">
        <v>2130</v>
      </c>
      <c r="F65" s="34" t="s">
        <v>2287</v>
      </c>
      <c r="G65" s="34" t="s">
        <v>2119</v>
      </c>
      <c r="H65" s="34" t="s">
        <v>2308</v>
      </c>
      <c r="I65" s="34" t="s">
        <v>2349</v>
      </c>
      <c r="J65" s="35" t="s">
        <v>2089</v>
      </c>
      <c r="K65" s="35" t="s">
        <v>2089</v>
      </c>
      <c r="L65" s="35" t="s">
        <v>2089</v>
      </c>
      <c r="M65" s="35" t="s">
        <v>2089</v>
      </c>
      <c r="N65" s="35" t="s">
        <v>2089</v>
      </c>
      <c r="O65" s="34" t="s">
        <v>2150</v>
      </c>
      <c r="P65" s="28"/>
      <c r="Q65" s="34" t="s">
        <v>2351</v>
      </c>
      <c r="R65" s="36"/>
      <c r="S65" s="43">
        <v>0.026</v>
      </c>
      <c r="T65" s="37"/>
      <c r="U65" s="37"/>
      <c r="V65" s="37"/>
      <c r="W65" s="37"/>
      <c r="X65" s="37"/>
      <c r="Y65" s="37"/>
      <c r="Z65" s="37"/>
      <c r="AA65" s="37"/>
      <c r="AB65" s="37"/>
    </row>
    <row r="66">
      <c r="A66" s="42"/>
      <c r="B66" s="32" t="s">
        <v>2340</v>
      </c>
      <c r="C66" s="32" t="s">
        <v>2347</v>
      </c>
      <c r="D66" s="33" t="s">
        <v>2352</v>
      </c>
      <c r="E66" s="34" t="s">
        <v>2214</v>
      </c>
      <c r="F66" s="34" t="s">
        <v>2353</v>
      </c>
      <c r="G66" s="34" t="s">
        <v>2117</v>
      </c>
      <c r="H66" s="34" t="s">
        <v>2160</v>
      </c>
      <c r="I66" s="34" t="s">
        <v>2354</v>
      </c>
      <c r="J66" s="35" t="s">
        <v>2089</v>
      </c>
      <c r="K66" s="35" t="s">
        <v>2089</v>
      </c>
      <c r="L66" s="35" t="s">
        <v>2089</v>
      </c>
      <c r="M66" s="35" t="s">
        <v>2089</v>
      </c>
      <c r="N66" s="35" t="s">
        <v>2089</v>
      </c>
      <c r="O66" s="34" t="s">
        <v>2089</v>
      </c>
      <c r="P66" s="28"/>
      <c r="Q66" s="34" t="s">
        <v>2231</v>
      </c>
      <c r="R66" s="36"/>
      <c r="S66" s="43"/>
      <c r="T66" s="37"/>
      <c r="U66" s="37"/>
      <c r="V66" s="37"/>
      <c r="W66" s="37"/>
      <c r="X66" s="37"/>
      <c r="Y66" s="37"/>
      <c r="Z66" s="37"/>
      <c r="AA66" s="37"/>
      <c r="AB66" s="37"/>
    </row>
    <row r="67">
      <c r="A67" s="42"/>
      <c r="B67" s="32" t="s">
        <v>2340</v>
      </c>
      <c r="C67" s="32" t="s">
        <v>2347</v>
      </c>
      <c r="D67" s="33" t="s">
        <v>2355</v>
      </c>
      <c r="E67" s="34" t="s">
        <v>2226</v>
      </c>
      <c r="F67" s="34" t="s">
        <v>2307</v>
      </c>
      <c r="G67" s="34" t="s">
        <v>2201</v>
      </c>
      <c r="H67" s="34" t="s">
        <v>2214</v>
      </c>
      <c r="I67" s="34" t="s">
        <v>2177</v>
      </c>
      <c r="J67" s="35" t="s">
        <v>2089</v>
      </c>
      <c r="K67" s="35" t="s">
        <v>2089</v>
      </c>
      <c r="L67" s="35" t="s">
        <v>2089</v>
      </c>
      <c r="M67" s="35" t="s">
        <v>2089</v>
      </c>
      <c r="N67" s="35" t="s">
        <v>2089</v>
      </c>
      <c r="O67" s="34" t="s">
        <v>2156</v>
      </c>
      <c r="P67" s="28"/>
      <c r="Q67" s="34" t="s">
        <v>2356</v>
      </c>
      <c r="R67" s="36"/>
      <c r="S67" s="43"/>
      <c r="T67" s="37"/>
      <c r="U67" s="37"/>
      <c r="V67" s="37"/>
      <c r="W67" s="37"/>
      <c r="X67" s="37"/>
      <c r="Y67" s="37"/>
      <c r="Z67" s="37"/>
      <c r="AA67" s="37"/>
      <c r="AB67" s="37"/>
    </row>
    <row r="68">
      <c r="A68" s="42"/>
      <c r="B68" s="32" t="s">
        <v>2340</v>
      </c>
      <c r="C68" s="32" t="s">
        <v>2357</v>
      </c>
      <c r="D68" s="33" t="s">
        <v>2358</v>
      </c>
      <c r="E68" s="34" t="s">
        <v>2287</v>
      </c>
      <c r="F68" s="34" t="s">
        <v>2160</v>
      </c>
      <c r="G68" s="34" t="s">
        <v>2131</v>
      </c>
      <c r="H68" s="34" t="s">
        <v>2134</v>
      </c>
      <c r="I68" s="34" t="s">
        <v>2330</v>
      </c>
      <c r="J68" s="35" t="s">
        <v>2089</v>
      </c>
      <c r="K68" s="35" t="s">
        <v>2089</v>
      </c>
      <c r="L68" s="35" t="s">
        <v>2089</v>
      </c>
      <c r="M68" s="35" t="s">
        <v>2089</v>
      </c>
      <c r="N68" s="35" t="s">
        <v>2089</v>
      </c>
      <c r="O68" s="34" t="s">
        <v>2137</v>
      </c>
      <c r="P68" s="28"/>
      <c r="Q68" s="34" t="s">
        <v>2310</v>
      </c>
      <c r="R68" s="36">
        <v>0.03</v>
      </c>
      <c r="S68" s="37" t="str">
        <f t="shared" ref="S68:S149" si="3">E68-H68</f>
        <v>#VALUE!</v>
      </c>
      <c r="T68" s="37"/>
      <c r="U68" s="37"/>
      <c r="V68" s="37"/>
      <c r="W68" s="37"/>
      <c r="X68" s="37"/>
      <c r="Y68" s="37"/>
      <c r="Z68" s="37"/>
      <c r="AA68" s="37"/>
      <c r="AB68" s="37"/>
    </row>
    <row r="69">
      <c r="A69" s="42"/>
      <c r="B69" s="32" t="s">
        <v>2340</v>
      </c>
      <c r="C69" s="32" t="s">
        <v>2357</v>
      </c>
      <c r="D69" s="33" t="s">
        <v>2359</v>
      </c>
      <c r="E69" s="34" t="s">
        <v>2143</v>
      </c>
      <c r="F69" s="34" t="s">
        <v>2094</v>
      </c>
      <c r="G69" s="34" t="s">
        <v>2126</v>
      </c>
      <c r="H69" s="34" t="s">
        <v>2134</v>
      </c>
      <c r="I69" s="34" t="s">
        <v>2360</v>
      </c>
      <c r="J69" s="35" t="s">
        <v>2089</v>
      </c>
      <c r="K69" s="35" t="s">
        <v>2089</v>
      </c>
      <c r="L69" s="35" t="s">
        <v>2089</v>
      </c>
      <c r="M69" s="35" t="s">
        <v>2089</v>
      </c>
      <c r="N69" s="35" t="s">
        <v>2089</v>
      </c>
      <c r="O69" s="34" t="s">
        <v>2246</v>
      </c>
      <c r="P69" s="28"/>
      <c r="Q69" s="34" t="s">
        <v>2247</v>
      </c>
      <c r="R69" s="36">
        <v>0.08</v>
      </c>
      <c r="S69" s="37" t="str">
        <f t="shared" si="3"/>
        <v>#VALUE!</v>
      </c>
      <c r="T69" s="37"/>
      <c r="U69" s="37"/>
      <c r="V69" s="37"/>
      <c r="W69" s="37"/>
      <c r="X69" s="37"/>
      <c r="Y69" s="37"/>
      <c r="Z69" s="37"/>
      <c r="AA69" s="37"/>
      <c r="AB69" s="37"/>
    </row>
    <row r="70">
      <c r="A70" s="44"/>
      <c r="B70" s="32" t="s">
        <v>2361</v>
      </c>
      <c r="C70" s="32" t="s">
        <v>2362</v>
      </c>
      <c r="D70" s="33" t="s">
        <v>2361</v>
      </c>
      <c r="E70" s="34" t="s">
        <v>2363</v>
      </c>
      <c r="F70" s="34" t="s">
        <v>2364</v>
      </c>
      <c r="G70" s="34" t="s">
        <v>2294</v>
      </c>
      <c r="H70" s="34" t="s">
        <v>2124</v>
      </c>
      <c r="I70" s="34" t="s">
        <v>2230</v>
      </c>
      <c r="J70" s="35" t="s">
        <v>2089</v>
      </c>
      <c r="K70" s="34" t="s">
        <v>2103</v>
      </c>
      <c r="L70" s="35" t="s">
        <v>2089</v>
      </c>
      <c r="M70" s="35" t="s">
        <v>2089</v>
      </c>
      <c r="N70" s="35" t="s">
        <v>2089</v>
      </c>
      <c r="O70" s="34" t="s">
        <v>2087</v>
      </c>
      <c r="P70" s="28"/>
      <c r="Q70" s="34" t="s">
        <v>2092</v>
      </c>
      <c r="R70" s="36">
        <v>-0.04</v>
      </c>
      <c r="S70" s="37" t="str">
        <f t="shared" si="3"/>
        <v>#VALUE!</v>
      </c>
      <c r="T70" s="37"/>
      <c r="U70" s="37"/>
      <c r="V70" s="37"/>
      <c r="W70" s="37"/>
      <c r="X70" s="37"/>
      <c r="Y70" s="37"/>
      <c r="Z70" s="37"/>
      <c r="AA70" s="37"/>
      <c r="AB70" s="37"/>
    </row>
    <row r="71">
      <c r="A71" s="44"/>
      <c r="B71" s="32" t="s">
        <v>2361</v>
      </c>
      <c r="C71" s="32" t="s">
        <v>2365</v>
      </c>
      <c r="D71" s="33" t="s">
        <v>2366</v>
      </c>
      <c r="E71" s="34" t="s">
        <v>2154</v>
      </c>
      <c r="F71" s="34" t="s">
        <v>2367</v>
      </c>
      <c r="G71" s="34" t="s">
        <v>2166</v>
      </c>
      <c r="H71" s="34" t="s">
        <v>2154</v>
      </c>
      <c r="I71" s="34" t="s">
        <v>2230</v>
      </c>
      <c r="J71" s="35" t="s">
        <v>2089</v>
      </c>
      <c r="K71" s="35" t="s">
        <v>2089</v>
      </c>
      <c r="L71" s="35" t="s">
        <v>2089</v>
      </c>
      <c r="M71" s="35" t="s">
        <v>2089</v>
      </c>
      <c r="N71" s="35" t="s">
        <v>2089</v>
      </c>
      <c r="O71" s="34" t="s">
        <v>2125</v>
      </c>
      <c r="P71" s="28"/>
      <c r="Q71" s="34" t="s">
        <v>2325</v>
      </c>
      <c r="R71" s="36">
        <v>-0.06</v>
      </c>
      <c r="S71" s="37" t="str">
        <f t="shared" si="3"/>
        <v>#VALUE!</v>
      </c>
      <c r="T71" s="37"/>
      <c r="U71" s="37"/>
      <c r="V71" s="37"/>
      <c r="W71" s="37"/>
      <c r="X71" s="37"/>
      <c r="Y71" s="37"/>
      <c r="Z71" s="37"/>
      <c r="AA71" s="37"/>
      <c r="AB71" s="37"/>
    </row>
    <row r="72">
      <c r="A72" s="44"/>
      <c r="B72" s="32" t="s">
        <v>2361</v>
      </c>
      <c r="C72" s="32" t="s">
        <v>2365</v>
      </c>
      <c r="D72" s="33" t="s">
        <v>2368</v>
      </c>
      <c r="E72" s="34" t="s">
        <v>2308</v>
      </c>
      <c r="F72" s="34" t="s">
        <v>2369</v>
      </c>
      <c r="G72" s="34" t="s">
        <v>2104</v>
      </c>
      <c r="H72" s="34" t="s">
        <v>2308</v>
      </c>
      <c r="I72" s="34" t="s">
        <v>2230</v>
      </c>
      <c r="J72" s="35" t="s">
        <v>2089</v>
      </c>
      <c r="K72" s="35" t="s">
        <v>2089</v>
      </c>
      <c r="L72" s="35" t="s">
        <v>2089</v>
      </c>
      <c r="M72" s="35" t="s">
        <v>2089</v>
      </c>
      <c r="N72" s="35" t="s">
        <v>2089</v>
      </c>
      <c r="O72" s="34" t="s">
        <v>2178</v>
      </c>
      <c r="P72" s="28"/>
      <c r="Q72" s="34" t="s">
        <v>2370</v>
      </c>
      <c r="R72" s="36">
        <v>0.07</v>
      </c>
      <c r="S72" s="37" t="str">
        <f t="shared" si="3"/>
        <v>#VALUE!</v>
      </c>
      <c r="T72" s="37"/>
      <c r="U72" s="37"/>
      <c r="V72" s="37"/>
      <c r="W72" s="37"/>
      <c r="X72" s="37"/>
      <c r="Y72" s="37"/>
      <c r="Z72" s="37"/>
      <c r="AA72" s="37"/>
      <c r="AB72" s="37"/>
    </row>
    <row r="73">
      <c r="A73" s="44"/>
      <c r="B73" s="32" t="s">
        <v>2361</v>
      </c>
      <c r="C73" s="32" t="s">
        <v>2365</v>
      </c>
      <c r="D73" s="33" t="s">
        <v>2371</v>
      </c>
      <c r="E73" s="34" t="s">
        <v>2294</v>
      </c>
      <c r="F73" s="34" t="s">
        <v>2372</v>
      </c>
      <c r="G73" s="34" t="s">
        <v>2302</v>
      </c>
      <c r="H73" s="34" t="s">
        <v>2294</v>
      </c>
      <c r="I73" s="34" t="s">
        <v>2230</v>
      </c>
      <c r="J73" s="35" t="s">
        <v>2089</v>
      </c>
      <c r="K73" s="35" t="s">
        <v>2089</v>
      </c>
      <c r="L73" s="35" t="s">
        <v>2089</v>
      </c>
      <c r="M73" s="35" t="s">
        <v>2089</v>
      </c>
      <c r="N73" s="35" t="s">
        <v>2089</v>
      </c>
      <c r="O73" s="34" t="s">
        <v>2309</v>
      </c>
      <c r="P73" s="28"/>
      <c r="Q73" s="34" t="s">
        <v>2373</v>
      </c>
      <c r="R73" s="36">
        <v>0.0</v>
      </c>
      <c r="S73" s="37" t="str">
        <f t="shared" si="3"/>
        <v>#VALUE!</v>
      </c>
      <c r="T73" s="37"/>
      <c r="U73" s="37"/>
      <c r="V73" s="37"/>
      <c r="W73" s="37"/>
      <c r="X73" s="37"/>
      <c r="Y73" s="37"/>
      <c r="Z73" s="37"/>
      <c r="AA73" s="37"/>
      <c r="AB73" s="37"/>
    </row>
    <row r="74">
      <c r="A74" s="44"/>
      <c r="B74" s="32" t="s">
        <v>2361</v>
      </c>
      <c r="C74" s="32" t="s">
        <v>2365</v>
      </c>
      <c r="D74" s="33" t="s">
        <v>2374</v>
      </c>
      <c r="E74" s="34" t="s">
        <v>2284</v>
      </c>
      <c r="F74" s="34" t="s">
        <v>2375</v>
      </c>
      <c r="G74" s="34" t="s">
        <v>2088</v>
      </c>
      <c r="H74" s="34" t="s">
        <v>2284</v>
      </c>
      <c r="I74" s="34" t="s">
        <v>2230</v>
      </c>
      <c r="J74" s="35" t="s">
        <v>2089</v>
      </c>
      <c r="K74" s="35" t="s">
        <v>2089</v>
      </c>
      <c r="L74" s="35" t="s">
        <v>2089</v>
      </c>
      <c r="M74" s="35" t="s">
        <v>2089</v>
      </c>
      <c r="N74" s="35" t="s">
        <v>2089</v>
      </c>
      <c r="O74" s="34" t="s">
        <v>2111</v>
      </c>
      <c r="P74" s="28"/>
      <c r="Q74" s="34" t="s">
        <v>2247</v>
      </c>
      <c r="R74" s="36">
        <v>0.21</v>
      </c>
      <c r="S74" s="37" t="str">
        <f t="shared" si="3"/>
        <v>#VALUE!</v>
      </c>
      <c r="T74" s="37"/>
      <c r="U74" s="37"/>
      <c r="V74" s="37"/>
      <c r="W74" s="37"/>
      <c r="X74" s="37"/>
      <c r="Y74" s="37"/>
      <c r="Z74" s="37"/>
      <c r="AA74" s="37"/>
      <c r="AB74" s="37"/>
    </row>
    <row r="75">
      <c r="A75" s="44"/>
      <c r="B75" s="32" t="s">
        <v>2361</v>
      </c>
      <c r="C75" s="32" t="s">
        <v>2365</v>
      </c>
      <c r="D75" s="33" t="s">
        <v>2376</v>
      </c>
      <c r="E75" s="34" t="s">
        <v>2119</v>
      </c>
      <c r="F75" s="34" t="s">
        <v>2377</v>
      </c>
      <c r="G75" s="34" t="s">
        <v>2217</v>
      </c>
      <c r="H75" s="34" t="s">
        <v>2119</v>
      </c>
      <c r="I75" s="34" t="s">
        <v>2230</v>
      </c>
      <c r="J75" s="35" t="s">
        <v>2089</v>
      </c>
      <c r="K75" s="35" t="s">
        <v>2089</v>
      </c>
      <c r="L75" s="35" t="s">
        <v>2089</v>
      </c>
      <c r="M75" s="35" t="s">
        <v>2089</v>
      </c>
      <c r="N75" s="35" t="s">
        <v>2089</v>
      </c>
      <c r="O75" s="34" t="s">
        <v>2197</v>
      </c>
      <c r="P75" s="28"/>
      <c r="Q75" s="34" t="s">
        <v>2212</v>
      </c>
      <c r="R75" s="36">
        <v>-0.02</v>
      </c>
      <c r="S75" s="37" t="str">
        <f t="shared" si="3"/>
        <v>#VALUE!</v>
      </c>
      <c r="T75" s="37"/>
      <c r="U75" s="37"/>
      <c r="V75" s="37"/>
      <c r="W75" s="37"/>
      <c r="X75" s="37"/>
      <c r="Y75" s="37"/>
      <c r="Z75" s="37"/>
      <c r="AA75" s="37"/>
      <c r="AB75" s="37"/>
    </row>
    <row r="76">
      <c r="A76" s="44"/>
      <c r="B76" s="32" t="s">
        <v>2361</v>
      </c>
      <c r="C76" s="32" t="s">
        <v>2378</v>
      </c>
      <c r="D76" s="33" t="s">
        <v>2379</v>
      </c>
      <c r="E76" s="34" t="s">
        <v>2091</v>
      </c>
      <c r="F76" s="34" t="s">
        <v>2380</v>
      </c>
      <c r="G76" s="34" t="s">
        <v>2178</v>
      </c>
      <c r="H76" s="34" t="s">
        <v>2091</v>
      </c>
      <c r="I76" s="34" t="s">
        <v>2230</v>
      </c>
      <c r="J76" s="35" t="s">
        <v>2089</v>
      </c>
      <c r="K76" s="35" t="s">
        <v>2089</v>
      </c>
      <c r="L76" s="35" t="s">
        <v>2089</v>
      </c>
      <c r="M76" s="35" t="s">
        <v>2089</v>
      </c>
      <c r="N76" s="35" t="s">
        <v>2089</v>
      </c>
      <c r="O76" s="34" t="s">
        <v>2211</v>
      </c>
      <c r="P76" s="28"/>
      <c r="Q76" s="34" t="s">
        <v>2316</v>
      </c>
      <c r="R76" s="36">
        <v>0.04</v>
      </c>
      <c r="S76" s="37" t="str">
        <f t="shared" si="3"/>
        <v>#VALUE!</v>
      </c>
      <c r="T76" s="37"/>
      <c r="U76" s="37"/>
      <c r="V76" s="37"/>
      <c r="W76" s="37"/>
      <c r="X76" s="37"/>
      <c r="Y76" s="37"/>
      <c r="Z76" s="37"/>
      <c r="AA76" s="37"/>
      <c r="AB76" s="37"/>
    </row>
    <row r="77">
      <c r="A77" s="44"/>
      <c r="B77" s="32" t="s">
        <v>2361</v>
      </c>
      <c r="C77" s="32" t="s">
        <v>2378</v>
      </c>
      <c r="D77" s="33" t="s">
        <v>2381</v>
      </c>
      <c r="E77" s="34" t="s">
        <v>2165</v>
      </c>
      <c r="F77" s="34" t="s">
        <v>2382</v>
      </c>
      <c r="G77" s="34" t="s">
        <v>2288</v>
      </c>
      <c r="H77" s="34" t="s">
        <v>2165</v>
      </c>
      <c r="I77" s="34" t="s">
        <v>2230</v>
      </c>
      <c r="J77" s="35" t="s">
        <v>2089</v>
      </c>
      <c r="K77" s="35" t="s">
        <v>2089</v>
      </c>
      <c r="L77" s="35" t="s">
        <v>2089</v>
      </c>
      <c r="M77" s="35" t="s">
        <v>2089</v>
      </c>
      <c r="N77" s="35" t="s">
        <v>2089</v>
      </c>
      <c r="O77" s="34" t="s">
        <v>2125</v>
      </c>
      <c r="P77" s="28"/>
      <c r="Q77" s="34" t="s">
        <v>2325</v>
      </c>
      <c r="R77" s="36">
        <v>0.02</v>
      </c>
      <c r="S77" s="37" t="str">
        <f t="shared" si="3"/>
        <v>#VALUE!</v>
      </c>
      <c r="T77" s="37"/>
      <c r="U77" s="37"/>
      <c r="V77" s="37"/>
      <c r="W77" s="37"/>
      <c r="X77" s="37"/>
      <c r="Y77" s="37"/>
      <c r="Z77" s="37"/>
      <c r="AA77" s="37"/>
      <c r="AB77" s="37"/>
    </row>
    <row r="78">
      <c r="A78" s="44"/>
      <c r="B78" s="32" t="s">
        <v>2361</v>
      </c>
      <c r="C78" s="32" t="s">
        <v>2378</v>
      </c>
      <c r="D78" s="33" t="s">
        <v>2383</v>
      </c>
      <c r="E78" s="34" t="s">
        <v>2145</v>
      </c>
      <c r="F78" s="34" t="s">
        <v>2384</v>
      </c>
      <c r="G78" s="34" t="s">
        <v>2209</v>
      </c>
      <c r="H78" s="34" t="s">
        <v>2145</v>
      </c>
      <c r="I78" s="34" t="s">
        <v>2230</v>
      </c>
      <c r="J78" s="35" t="s">
        <v>2089</v>
      </c>
      <c r="K78" s="35" t="s">
        <v>2089</v>
      </c>
      <c r="L78" s="35" t="s">
        <v>2089</v>
      </c>
      <c r="M78" s="35" t="s">
        <v>2089</v>
      </c>
      <c r="N78" s="35" t="s">
        <v>2089</v>
      </c>
      <c r="O78" s="34" t="s">
        <v>2303</v>
      </c>
      <c r="P78" s="28"/>
      <c r="Q78" s="34" t="s">
        <v>2325</v>
      </c>
      <c r="R78" s="36">
        <v>0.04</v>
      </c>
      <c r="S78" s="37" t="str">
        <f t="shared" si="3"/>
        <v>#VALUE!</v>
      </c>
      <c r="T78" s="37"/>
      <c r="U78" s="37"/>
      <c r="V78" s="37"/>
      <c r="W78" s="37"/>
      <c r="X78" s="37"/>
      <c r="Y78" s="37"/>
      <c r="Z78" s="37"/>
      <c r="AA78" s="37"/>
      <c r="AB78" s="37"/>
    </row>
    <row r="79">
      <c r="A79" s="44"/>
      <c r="B79" s="32" t="s">
        <v>2361</v>
      </c>
      <c r="C79" s="32" t="s">
        <v>2378</v>
      </c>
      <c r="D79" s="33" t="s">
        <v>2385</v>
      </c>
      <c r="E79" s="34" t="s">
        <v>2214</v>
      </c>
      <c r="F79" s="34" t="s">
        <v>2386</v>
      </c>
      <c r="G79" s="34" t="s">
        <v>2117</v>
      </c>
      <c r="H79" s="34" t="s">
        <v>2214</v>
      </c>
      <c r="I79" s="34" t="s">
        <v>2230</v>
      </c>
      <c r="J79" s="35" t="s">
        <v>2089</v>
      </c>
      <c r="K79" s="35" t="s">
        <v>2089</v>
      </c>
      <c r="L79" s="35" t="s">
        <v>2089</v>
      </c>
      <c r="M79" s="35" t="s">
        <v>2089</v>
      </c>
      <c r="N79" s="35" t="s">
        <v>2089</v>
      </c>
      <c r="O79" s="34" t="s">
        <v>2089</v>
      </c>
      <c r="P79" s="28"/>
      <c r="Q79" s="34" t="s">
        <v>2231</v>
      </c>
      <c r="R79" s="36">
        <v>-0.07</v>
      </c>
      <c r="S79" s="37" t="str">
        <f t="shared" si="3"/>
        <v>#VALUE!</v>
      </c>
      <c r="T79" s="37"/>
      <c r="U79" s="37"/>
      <c r="V79" s="37"/>
      <c r="W79" s="37"/>
      <c r="X79" s="37"/>
      <c r="Y79" s="37"/>
      <c r="Z79" s="37"/>
      <c r="AA79" s="37"/>
      <c r="AB79" s="37"/>
    </row>
    <row r="80">
      <c r="A80" s="44"/>
      <c r="B80" s="32" t="s">
        <v>2361</v>
      </c>
      <c r="C80" s="32" t="s">
        <v>2387</v>
      </c>
      <c r="D80" s="33" t="s">
        <v>2388</v>
      </c>
      <c r="E80" s="34" t="s">
        <v>2286</v>
      </c>
      <c r="F80" s="34" t="s">
        <v>2389</v>
      </c>
      <c r="G80" s="34" t="s">
        <v>2187</v>
      </c>
      <c r="H80" s="34" t="s">
        <v>2286</v>
      </c>
      <c r="I80" s="34" t="s">
        <v>2230</v>
      </c>
      <c r="J80" s="35" t="s">
        <v>2089</v>
      </c>
      <c r="K80" s="35" t="s">
        <v>2089</v>
      </c>
      <c r="L80" s="35" t="s">
        <v>2089</v>
      </c>
      <c r="M80" s="35" t="s">
        <v>2089</v>
      </c>
      <c r="N80" s="35" t="s">
        <v>2089</v>
      </c>
      <c r="O80" s="34" t="s">
        <v>2288</v>
      </c>
      <c r="P80" s="28"/>
      <c r="Q80" s="34" t="s">
        <v>2370</v>
      </c>
      <c r="R80" s="36">
        <v>-0.05</v>
      </c>
      <c r="S80" s="37" t="str">
        <f t="shared" si="3"/>
        <v>#VALUE!</v>
      </c>
      <c r="T80" s="37"/>
      <c r="U80" s="37"/>
      <c r="V80" s="37"/>
      <c r="W80" s="37"/>
      <c r="X80" s="37"/>
      <c r="Y80" s="37"/>
      <c r="Z80" s="37"/>
      <c r="AA80" s="37"/>
      <c r="AB80" s="37"/>
    </row>
    <row r="81">
      <c r="A81" s="44"/>
      <c r="B81" s="32" t="s">
        <v>2361</v>
      </c>
      <c r="C81" s="32" t="s">
        <v>2387</v>
      </c>
      <c r="D81" s="33" t="s">
        <v>2390</v>
      </c>
      <c r="E81" s="34" t="s">
        <v>2122</v>
      </c>
      <c r="F81" s="34" t="s">
        <v>2391</v>
      </c>
      <c r="G81" s="34" t="s">
        <v>2226</v>
      </c>
      <c r="H81" s="34" t="s">
        <v>2122</v>
      </c>
      <c r="I81" s="34" t="s">
        <v>2230</v>
      </c>
      <c r="J81" s="35" t="s">
        <v>2089</v>
      </c>
      <c r="K81" s="35" t="s">
        <v>2089</v>
      </c>
      <c r="L81" s="35" t="s">
        <v>2089</v>
      </c>
      <c r="M81" s="35" t="s">
        <v>2089</v>
      </c>
      <c r="N81" s="35" t="s">
        <v>2089</v>
      </c>
      <c r="O81" s="34" t="s">
        <v>2126</v>
      </c>
      <c r="P81" s="28"/>
      <c r="Q81" s="34" t="s">
        <v>2310</v>
      </c>
      <c r="R81" s="36">
        <v>-0.02</v>
      </c>
      <c r="S81" s="37" t="str">
        <f t="shared" si="3"/>
        <v>#VALUE!</v>
      </c>
      <c r="T81" s="37"/>
      <c r="U81" s="37"/>
      <c r="V81" s="37"/>
      <c r="W81" s="37"/>
      <c r="X81" s="37"/>
      <c r="Y81" s="37"/>
      <c r="Z81" s="37"/>
      <c r="AA81" s="37"/>
      <c r="AB81" s="37"/>
    </row>
    <row r="82">
      <c r="A82" s="44"/>
      <c r="B82" s="32" t="s">
        <v>2361</v>
      </c>
      <c r="C82" s="32" t="s">
        <v>2387</v>
      </c>
      <c r="D82" s="33" t="s">
        <v>2392</v>
      </c>
      <c r="E82" s="34" t="s">
        <v>2284</v>
      </c>
      <c r="F82" s="34" t="s">
        <v>2393</v>
      </c>
      <c r="G82" s="34" t="s">
        <v>2088</v>
      </c>
      <c r="H82" s="34" t="s">
        <v>2284</v>
      </c>
      <c r="I82" s="34" t="s">
        <v>2230</v>
      </c>
      <c r="J82" s="35" t="s">
        <v>2089</v>
      </c>
      <c r="K82" s="35" t="s">
        <v>2089</v>
      </c>
      <c r="L82" s="35" t="s">
        <v>2089</v>
      </c>
      <c r="M82" s="35" t="s">
        <v>2089</v>
      </c>
      <c r="N82" s="35" t="s">
        <v>2089</v>
      </c>
      <c r="O82" s="34" t="s">
        <v>2189</v>
      </c>
      <c r="P82" s="28"/>
      <c r="Q82" s="34" t="s">
        <v>2247</v>
      </c>
      <c r="R82" s="36">
        <v>-0.02</v>
      </c>
      <c r="S82" s="37" t="str">
        <f t="shared" si="3"/>
        <v>#VALUE!</v>
      </c>
      <c r="T82" s="37"/>
      <c r="U82" s="37"/>
      <c r="V82" s="37"/>
      <c r="W82" s="37"/>
      <c r="X82" s="37"/>
      <c r="Y82" s="37"/>
      <c r="Z82" s="37"/>
      <c r="AA82" s="37"/>
      <c r="AB82" s="37"/>
    </row>
    <row r="83">
      <c r="A83" s="44"/>
      <c r="B83" s="32" t="s">
        <v>2361</v>
      </c>
      <c r="C83" s="32" t="s">
        <v>2387</v>
      </c>
      <c r="D83" s="33" t="s">
        <v>2394</v>
      </c>
      <c r="E83" s="34" t="s">
        <v>2187</v>
      </c>
      <c r="F83" s="34" t="s">
        <v>2395</v>
      </c>
      <c r="G83" s="34" t="s">
        <v>2189</v>
      </c>
      <c r="H83" s="34" t="s">
        <v>2187</v>
      </c>
      <c r="I83" s="34" t="s">
        <v>2230</v>
      </c>
      <c r="J83" s="35" t="s">
        <v>2089</v>
      </c>
      <c r="K83" s="35" t="s">
        <v>2089</v>
      </c>
      <c r="L83" s="35" t="s">
        <v>2089</v>
      </c>
      <c r="M83" s="35" t="s">
        <v>2089</v>
      </c>
      <c r="N83" s="35" t="s">
        <v>2089</v>
      </c>
      <c r="O83" s="34" t="s">
        <v>2105</v>
      </c>
      <c r="P83" s="28"/>
      <c r="Q83" s="34" t="s">
        <v>2325</v>
      </c>
      <c r="R83" s="36">
        <v>0.0</v>
      </c>
      <c r="S83" s="37" t="str">
        <f t="shared" si="3"/>
        <v>#VALUE!</v>
      </c>
      <c r="T83" s="37"/>
      <c r="U83" s="37"/>
      <c r="V83" s="37"/>
      <c r="W83" s="37"/>
      <c r="X83" s="37"/>
      <c r="Y83" s="37"/>
      <c r="Z83" s="37"/>
      <c r="AA83" s="37"/>
      <c r="AB83" s="37"/>
    </row>
    <row r="84">
      <c r="A84" s="44"/>
      <c r="B84" s="32" t="s">
        <v>2361</v>
      </c>
      <c r="C84" s="32" t="s">
        <v>2387</v>
      </c>
      <c r="D84" s="33" t="s">
        <v>2396</v>
      </c>
      <c r="E84" s="34" t="s">
        <v>2116</v>
      </c>
      <c r="F84" s="34" t="s">
        <v>2397</v>
      </c>
      <c r="G84" s="34" t="s">
        <v>2157</v>
      </c>
      <c r="H84" s="34" t="s">
        <v>2116</v>
      </c>
      <c r="I84" s="34" t="s">
        <v>2230</v>
      </c>
      <c r="J84" s="35" t="s">
        <v>2089</v>
      </c>
      <c r="K84" s="35" t="s">
        <v>2089</v>
      </c>
      <c r="L84" s="35" t="s">
        <v>2089</v>
      </c>
      <c r="M84" s="35" t="s">
        <v>2089</v>
      </c>
      <c r="N84" s="35" t="s">
        <v>2089</v>
      </c>
      <c r="O84" s="34" t="s">
        <v>2184</v>
      </c>
      <c r="P84" s="28"/>
      <c r="Q84" s="34" t="s">
        <v>2231</v>
      </c>
      <c r="R84" s="36">
        <v>0.04</v>
      </c>
      <c r="S84" s="37" t="str">
        <f t="shared" si="3"/>
        <v>#VALUE!</v>
      </c>
      <c r="T84" s="37"/>
      <c r="U84" s="37"/>
      <c r="V84" s="37"/>
      <c r="W84" s="37"/>
      <c r="X84" s="37"/>
      <c r="Y84" s="37"/>
      <c r="Z84" s="37"/>
      <c r="AA84" s="37"/>
      <c r="AB84" s="37"/>
    </row>
    <row r="85">
      <c r="A85" s="44"/>
      <c r="B85" s="32" t="s">
        <v>2361</v>
      </c>
      <c r="C85" s="32" t="s">
        <v>2398</v>
      </c>
      <c r="D85" s="33" t="s">
        <v>2399</v>
      </c>
      <c r="E85" s="34" t="s">
        <v>2130</v>
      </c>
      <c r="F85" s="34" t="s">
        <v>2400</v>
      </c>
      <c r="G85" s="34" t="s">
        <v>2119</v>
      </c>
      <c r="H85" s="34" t="s">
        <v>2130</v>
      </c>
      <c r="I85" s="34" t="s">
        <v>2230</v>
      </c>
      <c r="J85" s="35" t="s">
        <v>2089</v>
      </c>
      <c r="K85" s="35" t="s">
        <v>2089</v>
      </c>
      <c r="L85" s="35" t="s">
        <v>2089</v>
      </c>
      <c r="M85" s="35" t="s">
        <v>2089</v>
      </c>
      <c r="N85" s="35" t="s">
        <v>2089</v>
      </c>
      <c r="O85" s="34" t="s">
        <v>2150</v>
      </c>
      <c r="P85" s="28"/>
      <c r="Q85" s="34" t="s">
        <v>2373</v>
      </c>
      <c r="R85" s="36">
        <v>0.06</v>
      </c>
      <c r="S85" s="37" t="str">
        <f t="shared" si="3"/>
        <v>#VALUE!</v>
      </c>
      <c r="T85" s="37"/>
      <c r="U85" s="37"/>
      <c r="V85" s="37"/>
      <c r="W85" s="37"/>
      <c r="X85" s="37"/>
      <c r="Y85" s="37"/>
      <c r="Z85" s="37"/>
      <c r="AA85" s="37"/>
      <c r="AB85" s="37"/>
    </row>
    <row r="86">
      <c r="A86" s="44"/>
      <c r="B86" s="32" t="s">
        <v>2361</v>
      </c>
      <c r="C86" s="32" t="s">
        <v>2398</v>
      </c>
      <c r="D86" s="33" t="s">
        <v>2401</v>
      </c>
      <c r="E86" s="34" t="s">
        <v>2226</v>
      </c>
      <c r="F86" s="34" t="s">
        <v>2402</v>
      </c>
      <c r="G86" s="34" t="s">
        <v>2201</v>
      </c>
      <c r="H86" s="34" t="s">
        <v>2226</v>
      </c>
      <c r="I86" s="34" t="s">
        <v>2230</v>
      </c>
      <c r="J86" s="35" t="s">
        <v>2089</v>
      </c>
      <c r="K86" s="35" t="s">
        <v>2089</v>
      </c>
      <c r="L86" s="35" t="s">
        <v>2089</v>
      </c>
      <c r="M86" s="35" t="s">
        <v>2089</v>
      </c>
      <c r="N86" s="35" t="s">
        <v>2089</v>
      </c>
      <c r="O86" s="34" t="s">
        <v>2156</v>
      </c>
      <c r="P86" s="28"/>
      <c r="Q86" s="34" t="s">
        <v>2325</v>
      </c>
      <c r="R86" s="36">
        <v>0.03</v>
      </c>
      <c r="S86" s="37" t="str">
        <f t="shared" si="3"/>
        <v>#VALUE!</v>
      </c>
      <c r="T86" s="37"/>
      <c r="U86" s="37"/>
      <c r="V86" s="37"/>
      <c r="W86" s="37"/>
      <c r="X86" s="37"/>
      <c r="Y86" s="37"/>
      <c r="Z86" s="37"/>
      <c r="AA86" s="37"/>
      <c r="AB86" s="37"/>
    </row>
    <row r="87">
      <c r="A87" s="44"/>
      <c r="B87" s="32" t="s">
        <v>2361</v>
      </c>
      <c r="C87" s="32" t="s">
        <v>2403</v>
      </c>
      <c r="D87" s="33" t="s">
        <v>2404</v>
      </c>
      <c r="E87" s="34" t="s">
        <v>2091</v>
      </c>
      <c r="F87" s="34" t="s">
        <v>2405</v>
      </c>
      <c r="G87" s="34" t="s">
        <v>2189</v>
      </c>
      <c r="H87" s="34" t="s">
        <v>2091</v>
      </c>
      <c r="I87" s="34" t="s">
        <v>2230</v>
      </c>
      <c r="J87" s="35" t="s">
        <v>2089</v>
      </c>
      <c r="K87" s="35" t="s">
        <v>2089</v>
      </c>
      <c r="L87" s="35" t="s">
        <v>2089</v>
      </c>
      <c r="M87" s="35" t="s">
        <v>2089</v>
      </c>
      <c r="N87" s="35" t="s">
        <v>2089</v>
      </c>
      <c r="O87" s="34" t="s">
        <v>2105</v>
      </c>
      <c r="P87" s="28"/>
      <c r="Q87" s="34" t="s">
        <v>2222</v>
      </c>
      <c r="R87" s="36">
        <v>-0.02</v>
      </c>
      <c r="S87" s="37" t="str">
        <f t="shared" si="3"/>
        <v>#VALUE!</v>
      </c>
      <c r="T87" s="37"/>
      <c r="U87" s="37"/>
      <c r="V87" s="37"/>
      <c r="W87" s="37"/>
      <c r="X87" s="37"/>
      <c r="Y87" s="37"/>
      <c r="Z87" s="37"/>
      <c r="AA87" s="37"/>
      <c r="AB87" s="37"/>
    </row>
    <row r="88">
      <c r="A88" s="44"/>
      <c r="B88" s="32" t="s">
        <v>2361</v>
      </c>
      <c r="C88" s="32" t="s">
        <v>2403</v>
      </c>
      <c r="D88" s="33" t="s">
        <v>2406</v>
      </c>
      <c r="E88" s="34" t="s">
        <v>2161</v>
      </c>
      <c r="F88" s="34" t="s">
        <v>2407</v>
      </c>
      <c r="G88" s="34" t="s">
        <v>2209</v>
      </c>
      <c r="H88" s="34" t="s">
        <v>2161</v>
      </c>
      <c r="I88" s="34" t="s">
        <v>2230</v>
      </c>
      <c r="J88" s="35" t="s">
        <v>2089</v>
      </c>
      <c r="K88" s="35" t="s">
        <v>2089</v>
      </c>
      <c r="L88" s="35" t="s">
        <v>2089</v>
      </c>
      <c r="M88" s="35" t="s">
        <v>2089</v>
      </c>
      <c r="N88" s="35" t="s">
        <v>2089</v>
      </c>
      <c r="O88" s="34" t="s">
        <v>2211</v>
      </c>
      <c r="P88" s="28"/>
      <c r="Q88" s="34" t="s">
        <v>2228</v>
      </c>
      <c r="R88" s="36">
        <v>-0.01</v>
      </c>
      <c r="S88" s="37" t="str">
        <f t="shared" si="3"/>
        <v>#VALUE!</v>
      </c>
      <c r="T88" s="37"/>
      <c r="U88" s="37"/>
      <c r="V88" s="37"/>
      <c r="W88" s="37"/>
      <c r="X88" s="37"/>
      <c r="Y88" s="37"/>
      <c r="Z88" s="37"/>
      <c r="AA88" s="37"/>
      <c r="AB88" s="37"/>
    </row>
    <row r="89">
      <c r="A89" s="44"/>
      <c r="B89" s="32" t="s">
        <v>2361</v>
      </c>
      <c r="C89" s="32" t="s">
        <v>2408</v>
      </c>
      <c r="D89" s="33" t="s">
        <v>2409</v>
      </c>
      <c r="E89" s="34" t="s">
        <v>2214</v>
      </c>
      <c r="F89" s="34" t="s">
        <v>2410</v>
      </c>
      <c r="G89" s="34" t="s">
        <v>2117</v>
      </c>
      <c r="H89" s="34" t="s">
        <v>2214</v>
      </c>
      <c r="I89" s="34" t="s">
        <v>2230</v>
      </c>
      <c r="J89" s="35" t="s">
        <v>2089</v>
      </c>
      <c r="K89" s="35" t="s">
        <v>2089</v>
      </c>
      <c r="L89" s="35" t="s">
        <v>2089</v>
      </c>
      <c r="M89" s="35" t="s">
        <v>2089</v>
      </c>
      <c r="N89" s="35" t="s">
        <v>2089</v>
      </c>
      <c r="O89" s="34" t="s">
        <v>2089</v>
      </c>
      <c r="P89" s="28"/>
      <c r="Q89" s="34" t="s">
        <v>2231</v>
      </c>
      <c r="R89" s="36">
        <v>0.02</v>
      </c>
      <c r="S89" s="37" t="str">
        <f t="shared" si="3"/>
        <v>#VALUE!</v>
      </c>
      <c r="T89" s="37"/>
      <c r="U89" s="37"/>
      <c r="V89" s="37"/>
      <c r="W89" s="37"/>
      <c r="X89" s="37"/>
      <c r="Y89" s="37"/>
      <c r="Z89" s="37"/>
      <c r="AA89" s="37"/>
      <c r="AB89" s="37"/>
    </row>
    <row r="90">
      <c r="A90" s="44"/>
      <c r="B90" s="32" t="s">
        <v>2361</v>
      </c>
      <c r="C90" s="32" t="s">
        <v>2408</v>
      </c>
      <c r="D90" s="33" t="s">
        <v>2411</v>
      </c>
      <c r="E90" s="34" t="s">
        <v>2226</v>
      </c>
      <c r="F90" s="34" t="s">
        <v>2412</v>
      </c>
      <c r="G90" s="34" t="s">
        <v>2201</v>
      </c>
      <c r="H90" s="34" t="s">
        <v>2226</v>
      </c>
      <c r="I90" s="34" t="s">
        <v>2230</v>
      </c>
      <c r="J90" s="35" t="s">
        <v>2089</v>
      </c>
      <c r="K90" s="35" t="s">
        <v>2089</v>
      </c>
      <c r="L90" s="35" t="s">
        <v>2089</v>
      </c>
      <c r="M90" s="35" t="s">
        <v>2089</v>
      </c>
      <c r="N90" s="35" t="s">
        <v>2089</v>
      </c>
      <c r="O90" s="34" t="s">
        <v>2118</v>
      </c>
      <c r="P90" s="28"/>
      <c r="Q90" s="34" t="s">
        <v>2218</v>
      </c>
      <c r="R90" s="36">
        <v>-0.02</v>
      </c>
      <c r="S90" s="37" t="str">
        <f t="shared" si="3"/>
        <v>#VALUE!</v>
      </c>
      <c r="T90" s="37"/>
      <c r="U90" s="37"/>
      <c r="V90" s="37"/>
      <c r="W90" s="37"/>
      <c r="X90" s="37"/>
      <c r="Y90" s="37"/>
      <c r="Z90" s="37"/>
      <c r="AA90" s="37"/>
      <c r="AB90" s="37"/>
    </row>
    <row r="91">
      <c r="A91" s="44"/>
      <c r="B91" s="32" t="s">
        <v>2361</v>
      </c>
      <c r="C91" s="32" t="s">
        <v>2408</v>
      </c>
      <c r="D91" s="33" t="s">
        <v>2413</v>
      </c>
      <c r="E91" s="34" t="s">
        <v>2086</v>
      </c>
      <c r="F91" s="34" t="s">
        <v>2414</v>
      </c>
      <c r="G91" s="34" t="s">
        <v>2104</v>
      </c>
      <c r="H91" s="34" t="s">
        <v>2086</v>
      </c>
      <c r="I91" s="34" t="s">
        <v>2230</v>
      </c>
      <c r="J91" s="35" t="s">
        <v>2089</v>
      </c>
      <c r="K91" s="35" t="s">
        <v>2089</v>
      </c>
      <c r="L91" s="35" t="s">
        <v>2089</v>
      </c>
      <c r="M91" s="35" t="s">
        <v>2089</v>
      </c>
      <c r="N91" s="35" t="s">
        <v>2089</v>
      </c>
      <c r="O91" s="34" t="s">
        <v>2178</v>
      </c>
      <c r="P91" s="28"/>
      <c r="Q91" s="34" t="s">
        <v>2247</v>
      </c>
      <c r="R91" s="36">
        <v>-0.06</v>
      </c>
      <c r="S91" s="37" t="str">
        <f t="shared" si="3"/>
        <v>#VALUE!</v>
      </c>
      <c r="T91" s="37"/>
      <c r="U91" s="37"/>
      <c r="V91" s="37"/>
      <c r="W91" s="37"/>
      <c r="X91" s="37"/>
      <c r="Y91" s="37"/>
      <c r="Z91" s="37"/>
      <c r="AA91" s="37"/>
      <c r="AB91" s="37"/>
    </row>
    <row r="92">
      <c r="A92" s="45"/>
      <c r="B92" s="46" t="s">
        <v>2415</v>
      </c>
      <c r="C92" s="46" t="s">
        <v>2171</v>
      </c>
      <c r="D92" s="47" t="s">
        <v>2416</v>
      </c>
      <c r="E92" s="48" t="s">
        <v>2086</v>
      </c>
      <c r="F92" s="34" t="s">
        <v>2417</v>
      </c>
      <c r="G92" s="34" t="s">
        <v>2112</v>
      </c>
      <c r="H92" s="34" t="s">
        <v>2117</v>
      </c>
      <c r="I92" s="34" t="s">
        <v>2104</v>
      </c>
      <c r="J92" s="35" t="s">
        <v>2089</v>
      </c>
      <c r="K92" s="35" t="s">
        <v>2089</v>
      </c>
      <c r="L92" s="35" t="s">
        <v>2089</v>
      </c>
      <c r="M92" s="35" t="s">
        <v>2089</v>
      </c>
      <c r="N92" s="35" t="s">
        <v>2089</v>
      </c>
      <c r="O92" s="34" t="s">
        <v>2104</v>
      </c>
      <c r="P92" s="28"/>
      <c r="Q92" s="34" t="s">
        <v>2252</v>
      </c>
      <c r="R92" s="36">
        <v>-0.03</v>
      </c>
      <c r="S92" s="37" t="str">
        <f t="shared" si="3"/>
        <v>#VALUE!</v>
      </c>
      <c r="T92" s="37"/>
      <c r="U92" s="37"/>
      <c r="V92" s="37"/>
      <c r="W92" s="37"/>
      <c r="X92" s="37"/>
      <c r="Y92" s="37"/>
      <c r="Z92" s="37"/>
      <c r="AA92" s="37"/>
      <c r="AB92" s="37"/>
    </row>
    <row r="93">
      <c r="A93" s="45"/>
      <c r="B93" s="46" t="s">
        <v>2415</v>
      </c>
      <c r="C93" s="46" t="s">
        <v>2171</v>
      </c>
      <c r="D93" s="47" t="s">
        <v>2418</v>
      </c>
      <c r="E93" s="48" t="s">
        <v>2419</v>
      </c>
      <c r="F93" s="34" t="s">
        <v>2149</v>
      </c>
      <c r="G93" s="34" t="s">
        <v>2160</v>
      </c>
      <c r="H93" s="34" t="s">
        <v>2119</v>
      </c>
      <c r="I93" s="34" t="s">
        <v>2145</v>
      </c>
      <c r="J93" s="35" t="s">
        <v>2089</v>
      </c>
      <c r="K93" s="35" t="s">
        <v>2089</v>
      </c>
      <c r="L93" s="35" t="s">
        <v>2089</v>
      </c>
      <c r="M93" s="35" t="s">
        <v>2089</v>
      </c>
      <c r="N93" s="35" t="s">
        <v>2089</v>
      </c>
      <c r="O93" s="34" t="s">
        <v>2097</v>
      </c>
      <c r="P93" s="28"/>
      <c r="Q93" s="34" t="s">
        <v>2252</v>
      </c>
      <c r="R93" s="36">
        <v>-0.01</v>
      </c>
      <c r="S93" s="37" t="str">
        <f t="shared" si="3"/>
        <v>#VALUE!</v>
      </c>
      <c r="T93" s="37"/>
      <c r="U93" s="37"/>
      <c r="V93" s="37"/>
      <c r="W93" s="37"/>
      <c r="X93" s="37"/>
      <c r="Y93" s="37"/>
      <c r="Z93" s="37"/>
      <c r="AA93" s="37"/>
      <c r="AB93" s="37"/>
    </row>
    <row r="94">
      <c r="A94" s="45"/>
      <c r="B94" s="46" t="s">
        <v>2415</v>
      </c>
      <c r="C94" s="46" t="s">
        <v>2171</v>
      </c>
      <c r="D94" s="47" t="s">
        <v>2420</v>
      </c>
      <c r="E94" s="48" t="s">
        <v>2094</v>
      </c>
      <c r="F94" s="34" t="s">
        <v>2421</v>
      </c>
      <c r="G94" s="34" t="s">
        <v>2096</v>
      </c>
      <c r="H94" s="34" t="s">
        <v>2087</v>
      </c>
      <c r="I94" s="34" t="s">
        <v>2088</v>
      </c>
      <c r="J94" s="35" t="s">
        <v>2089</v>
      </c>
      <c r="K94" s="35" t="s">
        <v>2089</v>
      </c>
      <c r="L94" s="35" t="s">
        <v>2089</v>
      </c>
      <c r="M94" s="35" t="s">
        <v>2089</v>
      </c>
      <c r="N94" s="35" t="s">
        <v>2089</v>
      </c>
      <c r="O94" s="34" t="s">
        <v>2097</v>
      </c>
      <c r="P94" s="28"/>
      <c r="Q94" s="34" t="s">
        <v>2422</v>
      </c>
      <c r="R94" s="36">
        <v>-0.01</v>
      </c>
      <c r="S94" s="37" t="str">
        <f t="shared" si="3"/>
        <v>#VALUE!</v>
      </c>
      <c r="T94" s="37"/>
      <c r="U94" s="37"/>
      <c r="V94" s="37"/>
      <c r="W94" s="37"/>
      <c r="X94" s="37"/>
      <c r="Y94" s="37"/>
      <c r="Z94" s="37"/>
      <c r="AA94" s="37"/>
      <c r="AB94" s="37"/>
    </row>
    <row r="95">
      <c r="A95" s="45"/>
      <c r="B95" s="46" t="s">
        <v>2415</v>
      </c>
      <c r="C95" s="46" t="s">
        <v>2171</v>
      </c>
      <c r="D95" s="47" t="s">
        <v>2423</v>
      </c>
      <c r="E95" s="48" t="s">
        <v>2236</v>
      </c>
      <c r="F95" s="34" t="s">
        <v>2101</v>
      </c>
      <c r="G95" s="34" t="s">
        <v>2249</v>
      </c>
      <c r="H95" s="34" t="s">
        <v>2103</v>
      </c>
      <c r="I95" s="34" t="s">
        <v>2104</v>
      </c>
      <c r="J95" s="35" t="s">
        <v>2089</v>
      </c>
      <c r="K95" s="35" t="s">
        <v>2089</v>
      </c>
      <c r="L95" s="35" t="s">
        <v>2089</v>
      </c>
      <c r="M95" s="35" t="s">
        <v>2089</v>
      </c>
      <c r="N95" s="35" t="s">
        <v>2089</v>
      </c>
      <c r="O95" s="34" t="s">
        <v>2226</v>
      </c>
      <c r="P95" s="28"/>
      <c r="Q95" s="34" t="s">
        <v>2422</v>
      </c>
      <c r="R95" s="36">
        <v>0.03</v>
      </c>
      <c r="S95" s="37" t="str">
        <f t="shared" si="3"/>
        <v>#VALUE!</v>
      </c>
      <c r="T95" s="37"/>
      <c r="U95" s="37"/>
      <c r="V95" s="37"/>
      <c r="W95" s="37"/>
      <c r="X95" s="37"/>
      <c r="Y95" s="37"/>
      <c r="Z95" s="37"/>
      <c r="AA95" s="37"/>
      <c r="AB95" s="37"/>
    </row>
    <row r="96">
      <c r="A96" s="45"/>
      <c r="B96" s="46" t="s">
        <v>2415</v>
      </c>
      <c r="C96" s="46" t="s">
        <v>2171</v>
      </c>
      <c r="D96" s="47" t="s">
        <v>2424</v>
      </c>
      <c r="E96" s="48" t="s">
        <v>2294</v>
      </c>
      <c r="F96" s="34" t="s">
        <v>2425</v>
      </c>
      <c r="G96" s="34" t="s">
        <v>2287</v>
      </c>
      <c r="H96" s="34" t="s">
        <v>2117</v>
      </c>
      <c r="I96" s="34" t="s">
        <v>2088</v>
      </c>
      <c r="J96" s="35" t="s">
        <v>2089</v>
      </c>
      <c r="K96" s="35" t="s">
        <v>2089</v>
      </c>
      <c r="L96" s="35" t="s">
        <v>2089</v>
      </c>
      <c r="M96" s="35" t="s">
        <v>2089</v>
      </c>
      <c r="N96" s="35" t="s">
        <v>2089</v>
      </c>
      <c r="O96" s="34" t="s">
        <v>2088</v>
      </c>
      <c r="P96" s="28"/>
      <c r="Q96" s="34" t="s">
        <v>2339</v>
      </c>
      <c r="R96" s="36"/>
      <c r="S96" s="37" t="str">
        <f t="shared" si="3"/>
        <v>#VALUE!</v>
      </c>
      <c r="T96" s="37"/>
      <c r="U96" s="37"/>
      <c r="V96" s="37"/>
      <c r="W96" s="37"/>
      <c r="X96" s="37"/>
      <c r="Y96" s="37"/>
      <c r="Z96" s="37"/>
      <c r="AA96" s="37"/>
      <c r="AB96" s="37"/>
    </row>
    <row r="97">
      <c r="A97" s="45"/>
      <c r="B97" s="46" t="s">
        <v>2415</v>
      </c>
      <c r="C97" s="46" t="s">
        <v>2171</v>
      </c>
      <c r="D97" s="47" t="s">
        <v>2426</v>
      </c>
      <c r="E97" s="48" t="s">
        <v>2227</v>
      </c>
      <c r="F97" s="34" t="s">
        <v>2427</v>
      </c>
      <c r="G97" s="34" t="s">
        <v>2284</v>
      </c>
      <c r="H97" s="34" t="s">
        <v>2131</v>
      </c>
      <c r="I97" s="34" t="s">
        <v>2104</v>
      </c>
      <c r="J97" s="35" t="s">
        <v>2089</v>
      </c>
      <c r="K97" s="35" t="s">
        <v>2089</v>
      </c>
      <c r="L97" s="35" t="s">
        <v>2089</v>
      </c>
      <c r="M97" s="35" t="s">
        <v>2089</v>
      </c>
      <c r="N97" s="35" t="s">
        <v>2089</v>
      </c>
      <c r="O97" s="34" t="s">
        <v>2187</v>
      </c>
      <c r="P97" s="28"/>
      <c r="Q97" s="34" t="s">
        <v>2339</v>
      </c>
      <c r="R97" s="36"/>
      <c r="S97" s="37" t="str">
        <f t="shared" si="3"/>
        <v>#VALUE!</v>
      </c>
      <c r="T97" s="37"/>
      <c r="U97" s="37"/>
      <c r="V97" s="37"/>
      <c r="W97" s="37"/>
      <c r="X97" s="37"/>
      <c r="Y97" s="37"/>
      <c r="Z97" s="37"/>
      <c r="AA97" s="37"/>
      <c r="AB97" s="37"/>
    </row>
    <row r="98">
      <c r="A98" s="45"/>
      <c r="B98" s="46" t="s">
        <v>2415</v>
      </c>
      <c r="C98" s="46" t="s">
        <v>2171</v>
      </c>
      <c r="D98" s="47" t="s">
        <v>2232</v>
      </c>
      <c r="E98" s="48" t="s">
        <v>2227</v>
      </c>
      <c r="F98" s="34" t="s">
        <v>2428</v>
      </c>
      <c r="G98" s="34" t="s">
        <v>2153</v>
      </c>
      <c r="H98" s="34" t="s">
        <v>2144</v>
      </c>
      <c r="I98" s="34" t="s">
        <v>2145</v>
      </c>
      <c r="J98" s="35" t="s">
        <v>2089</v>
      </c>
      <c r="K98" s="35" t="s">
        <v>2089</v>
      </c>
      <c r="L98" s="35" t="s">
        <v>2089</v>
      </c>
      <c r="M98" s="35" t="s">
        <v>2089</v>
      </c>
      <c r="N98" s="35" t="s">
        <v>2089</v>
      </c>
      <c r="O98" s="34" t="s">
        <v>2116</v>
      </c>
      <c r="P98" s="28"/>
      <c r="Q98" s="34" t="s">
        <v>2139</v>
      </c>
      <c r="R98" s="36"/>
      <c r="S98" s="37" t="str">
        <f t="shared" si="3"/>
        <v>#VALUE!</v>
      </c>
      <c r="T98" s="37"/>
      <c r="U98" s="37"/>
      <c r="V98" s="37"/>
      <c r="W98" s="37"/>
      <c r="X98" s="37"/>
      <c r="Y98" s="37"/>
      <c r="Z98" s="37"/>
      <c r="AA98" s="37"/>
      <c r="AB98" s="37"/>
    </row>
    <row r="99">
      <c r="A99" s="45"/>
      <c r="B99" s="46" t="s">
        <v>2415</v>
      </c>
      <c r="C99" s="46" t="s">
        <v>2171</v>
      </c>
      <c r="D99" s="47" t="s">
        <v>2429</v>
      </c>
      <c r="E99" s="48" t="s">
        <v>2430</v>
      </c>
      <c r="F99" s="34" t="s">
        <v>2431</v>
      </c>
      <c r="G99" s="34" t="s">
        <v>2249</v>
      </c>
      <c r="H99" s="34" t="s">
        <v>2103</v>
      </c>
      <c r="I99" s="34" t="s">
        <v>2104</v>
      </c>
      <c r="J99" s="35" t="s">
        <v>2089</v>
      </c>
      <c r="K99" s="35" t="s">
        <v>2089</v>
      </c>
      <c r="L99" s="35" t="s">
        <v>2089</v>
      </c>
      <c r="M99" s="35" t="s">
        <v>2089</v>
      </c>
      <c r="N99" s="35" t="s">
        <v>2089</v>
      </c>
      <c r="O99" s="34" t="s">
        <v>2124</v>
      </c>
      <c r="P99" s="28"/>
      <c r="Q99" s="34" t="s">
        <v>2422</v>
      </c>
      <c r="R99" s="36"/>
      <c r="S99" s="37" t="str">
        <f t="shared" si="3"/>
        <v>#VALUE!</v>
      </c>
      <c r="T99" s="37"/>
      <c r="U99" s="37"/>
      <c r="V99" s="37"/>
      <c r="W99" s="37"/>
      <c r="X99" s="37"/>
      <c r="Y99" s="37"/>
      <c r="Z99" s="37"/>
      <c r="AA99" s="37"/>
      <c r="AB99" s="37"/>
    </row>
    <row r="100">
      <c r="A100" s="45"/>
      <c r="B100" s="46" t="s">
        <v>2415</v>
      </c>
      <c r="C100" s="46" t="s">
        <v>2171</v>
      </c>
      <c r="D100" s="47" t="s">
        <v>2432</v>
      </c>
      <c r="E100" s="48" t="s">
        <v>2084</v>
      </c>
      <c r="F100" s="34" t="s">
        <v>2433</v>
      </c>
      <c r="G100" s="34" t="s">
        <v>2256</v>
      </c>
      <c r="H100" s="34" t="s">
        <v>2087</v>
      </c>
      <c r="I100" s="34" t="s">
        <v>2087</v>
      </c>
      <c r="J100" s="35" t="s">
        <v>2089</v>
      </c>
      <c r="K100" s="35" t="s">
        <v>2089</v>
      </c>
      <c r="L100" s="35" t="s">
        <v>2089</v>
      </c>
      <c r="M100" s="35" t="s">
        <v>2089</v>
      </c>
      <c r="N100" s="35" t="s">
        <v>2089</v>
      </c>
      <c r="O100" s="34" t="s">
        <v>2214</v>
      </c>
      <c r="P100" s="28"/>
      <c r="Q100" s="34" t="s">
        <v>2098</v>
      </c>
      <c r="R100" s="36"/>
      <c r="S100" s="37" t="str">
        <f t="shared" si="3"/>
        <v>#VALUE!</v>
      </c>
      <c r="T100" s="37"/>
      <c r="U100" s="37"/>
      <c r="V100" s="37"/>
      <c r="W100" s="37"/>
      <c r="X100" s="37"/>
      <c r="Y100" s="37"/>
      <c r="Z100" s="37"/>
      <c r="AA100" s="37"/>
      <c r="AB100" s="37"/>
    </row>
    <row r="101">
      <c r="A101" s="45"/>
      <c r="B101" s="46" t="s">
        <v>2415</v>
      </c>
      <c r="C101" s="46" t="s">
        <v>2179</v>
      </c>
      <c r="D101" s="47" t="s">
        <v>2434</v>
      </c>
      <c r="E101" s="48" t="s">
        <v>2227</v>
      </c>
      <c r="F101" s="34" t="s">
        <v>2435</v>
      </c>
      <c r="G101" s="34" t="s">
        <v>2096</v>
      </c>
      <c r="H101" s="34" t="s">
        <v>2145</v>
      </c>
      <c r="I101" s="34" t="s">
        <v>2126</v>
      </c>
      <c r="J101" s="35" t="s">
        <v>2089</v>
      </c>
      <c r="K101" s="35" t="s">
        <v>2089</v>
      </c>
      <c r="L101" s="35" t="s">
        <v>2089</v>
      </c>
      <c r="M101" s="35" t="s">
        <v>2089</v>
      </c>
      <c r="N101" s="35" t="s">
        <v>2089</v>
      </c>
      <c r="O101" s="34" t="s">
        <v>2154</v>
      </c>
      <c r="P101" s="28"/>
      <c r="Q101" s="34" t="s">
        <v>2106</v>
      </c>
      <c r="R101" s="36"/>
      <c r="S101" s="37" t="str">
        <f t="shared" si="3"/>
        <v>#VALUE!</v>
      </c>
      <c r="T101" s="37"/>
      <c r="U101" s="37"/>
      <c r="V101" s="37"/>
      <c r="W101" s="37"/>
      <c r="X101" s="37"/>
      <c r="Y101" s="37"/>
      <c r="Z101" s="37"/>
      <c r="AA101" s="37"/>
      <c r="AB101" s="37"/>
    </row>
    <row r="102">
      <c r="A102" s="45"/>
      <c r="B102" s="46" t="s">
        <v>2415</v>
      </c>
      <c r="C102" s="46" t="s">
        <v>2179</v>
      </c>
      <c r="D102" s="47" t="s">
        <v>2436</v>
      </c>
      <c r="E102" s="48" t="s">
        <v>2333</v>
      </c>
      <c r="F102" s="34" t="s">
        <v>2400</v>
      </c>
      <c r="G102" s="34" t="s">
        <v>2192</v>
      </c>
      <c r="H102" s="34" t="s">
        <v>2112</v>
      </c>
      <c r="I102" s="34" t="s">
        <v>2226</v>
      </c>
      <c r="J102" s="35" t="s">
        <v>2089</v>
      </c>
      <c r="K102" s="35" t="s">
        <v>2089</v>
      </c>
      <c r="L102" s="35" t="s">
        <v>2089</v>
      </c>
      <c r="M102" s="35" t="s">
        <v>2089</v>
      </c>
      <c r="N102" s="35" t="s">
        <v>2089</v>
      </c>
      <c r="O102" s="34" t="s">
        <v>2173</v>
      </c>
      <c r="P102" s="28"/>
      <c r="Q102" s="34" t="s">
        <v>2437</v>
      </c>
      <c r="R102" s="36"/>
      <c r="S102" s="37" t="str">
        <f t="shared" si="3"/>
        <v>#VALUE!</v>
      </c>
      <c r="T102" s="37"/>
      <c r="U102" s="37"/>
      <c r="V102" s="37"/>
      <c r="W102" s="37"/>
      <c r="X102" s="37"/>
      <c r="Y102" s="37"/>
      <c r="Z102" s="37"/>
      <c r="AA102" s="37"/>
      <c r="AB102" s="37"/>
    </row>
    <row r="103">
      <c r="A103" s="45"/>
      <c r="B103" s="46" t="s">
        <v>2415</v>
      </c>
      <c r="C103" s="46" t="s">
        <v>2179</v>
      </c>
      <c r="D103" s="47" t="s">
        <v>2438</v>
      </c>
      <c r="E103" s="48" t="s">
        <v>2136</v>
      </c>
      <c r="F103" s="34" t="s">
        <v>2439</v>
      </c>
      <c r="G103" s="34" t="s">
        <v>2154</v>
      </c>
      <c r="H103" s="34" t="s">
        <v>2157</v>
      </c>
      <c r="I103" s="34" t="s">
        <v>2117</v>
      </c>
      <c r="J103" s="35" t="s">
        <v>2089</v>
      </c>
      <c r="K103" s="35" t="s">
        <v>2089</v>
      </c>
      <c r="L103" s="35" t="s">
        <v>2089</v>
      </c>
      <c r="M103" s="35" t="s">
        <v>2089</v>
      </c>
      <c r="N103" s="35" t="s">
        <v>2089</v>
      </c>
      <c r="O103" s="34" t="s">
        <v>2157</v>
      </c>
      <c r="P103" s="28"/>
      <c r="Q103" s="34" t="s">
        <v>2351</v>
      </c>
      <c r="R103" s="36"/>
      <c r="S103" s="37" t="str">
        <f t="shared" si="3"/>
        <v>#VALUE!</v>
      </c>
      <c r="T103" s="37"/>
      <c r="U103" s="37"/>
      <c r="V103" s="37"/>
      <c r="W103" s="37"/>
      <c r="X103" s="37"/>
      <c r="Y103" s="37"/>
      <c r="Z103" s="37"/>
      <c r="AA103" s="37"/>
      <c r="AB103" s="37"/>
    </row>
    <row r="104">
      <c r="A104" s="45"/>
      <c r="B104" s="46" t="s">
        <v>2415</v>
      </c>
      <c r="C104" s="46" t="s">
        <v>2179</v>
      </c>
      <c r="D104" s="47" t="s">
        <v>2440</v>
      </c>
      <c r="E104" s="48" t="s">
        <v>2084</v>
      </c>
      <c r="F104" s="34" t="s">
        <v>2441</v>
      </c>
      <c r="G104" s="34" t="s">
        <v>2286</v>
      </c>
      <c r="H104" s="34" t="s">
        <v>2104</v>
      </c>
      <c r="I104" s="34" t="s">
        <v>2088</v>
      </c>
      <c r="J104" s="35" t="s">
        <v>2089</v>
      </c>
      <c r="K104" s="35" t="s">
        <v>2089</v>
      </c>
      <c r="L104" s="35" t="s">
        <v>2089</v>
      </c>
      <c r="M104" s="35" t="s">
        <v>2089</v>
      </c>
      <c r="N104" s="35" t="s">
        <v>2089</v>
      </c>
      <c r="O104" s="34" t="s">
        <v>2165</v>
      </c>
      <c r="P104" s="28"/>
      <c r="Q104" s="34" t="s">
        <v>2252</v>
      </c>
      <c r="R104" s="36"/>
      <c r="S104" s="37" t="str">
        <f t="shared" si="3"/>
        <v>#VALUE!</v>
      </c>
      <c r="T104" s="37"/>
      <c r="U104" s="37"/>
      <c r="V104" s="37"/>
      <c r="W104" s="37"/>
      <c r="X104" s="37"/>
      <c r="Y104" s="37"/>
      <c r="Z104" s="37"/>
      <c r="AA104" s="37"/>
      <c r="AB104" s="37"/>
    </row>
    <row r="105">
      <c r="A105" s="45"/>
      <c r="B105" s="46" t="s">
        <v>2415</v>
      </c>
      <c r="C105" s="46" t="s">
        <v>2179</v>
      </c>
      <c r="D105" s="47" t="s">
        <v>2442</v>
      </c>
      <c r="E105" s="48" t="s">
        <v>2443</v>
      </c>
      <c r="F105" s="34" t="s">
        <v>2435</v>
      </c>
      <c r="G105" s="34" t="s">
        <v>2345</v>
      </c>
      <c r="H105" s="34" t="s">
        <v>2302</v>
      </c>
      <c r="I105" s="34" t="s">
        <v>2124</v>
      </c>
      <c r="J105" s="35" t="s">
        <v>2089</v>
      </c>
      <c r="K105" s="35" t="s">
        <v>2089</v>
      </c>
      <c r="L105" s="35" t="s">
        <v>2089</v>
      </c>
      <c r="M105" s="35" t="s">
        <v>2089</v>
      </c>
      <c r="N105" s="35" t="s">
        <v>2089</v>
      </c>
      <c r="O105" s="34" t="s">
        <v>2294</v>
      </c>
      <c r="P105" s="28"/>
      <c r="Q105" s="34" t="s">
        <v>2098</v>
      </c>
      <c r="R105" s="36"/>
      <c r="S105" s="37" t="str">
        <f t="shared" si="3"/>
        <v>#VALUE!</v>
      </c>
      <c r="T105" s="37"/>
      <c r="U105" s="37"/>
      <c r="V105" s="37"/>
      <c r="W105" s="37"/>
      <c r="X105" s="37"/>
      <c r="Y105" s="37"/>
      <c r="Z105" s="37"/>
      <c r="AA105" s="37"/>
      <c r="AB105" s="37"/>
    </row>
    <row r="106">
      <c r="A106" s="45"/>
      <c r="B106" s="46" t="s">
        <v>2415</v>
      </c>
      <c r="C106" s="46" t="s">
        <v>2179</v>
      </c>
      <c r="D106" s="47" t="s">
        <v>2444</v>
      </c>
      <c r="E106" s="48" t="s">
        <v>2234</v>
      </c>
      <c r="F106" s="34" t="s">
        <v>2445</v>
      </c>
      <c r="G106" s="34" t="s">
        <v>2446</v>
      </c>
      <c r="H106" s="34" t="s">
        <v>2130</v>
      </c>
      <c r="I106" s="34" t="s">
        <v>2116</v>
      </c>
      <c r="J106" s="35" t="s">
        <v>2089</v>
      </c>
      <c r="K106" s="35" t="s">
        <v>2089</v>
      </c>
      <c r="L106" s="35" t="s">
        <v>2089</v>
      </c>
      <c r="M106" s="35" t="s">
        <v>2089</v>
      </c>
      <c r="N106" s="35" t="s">
        <v>2089</v>
      </c>
      <c r="O106" s="34" t="s">
        <v>2128</v>
      </c>
      <c r="P106" s="28"/>
      <c r="Q106" s="34" t="s">
        <v>2447</v>
      </c>
      <c r="R106" s="36"/>
      <c r="S106" s="37" t="str">
        <f t="shared" si="3"/>
        <v>#VALUE!</v>
      </c>
      <c r="T106" s="37"/>
      <c r="U106" s="37"/>
      <c r="V106" s="37"/>
      <c r="W106" s="37"/>
      <c r="X106" s="37"/>
      <c r="Y106" s="37"/>
      <c r="Z106" s="37"/>
      <c r="AA106" s="37"/>
      <c r="AB106" s="37"/>
    </row>
    <row r="107">
      <c r="A107" s="45"/>
      <c r="B107" s="46" t="s">
        <v>2415</v>
      </c>
      <c r="C107" s="46" t="s">
        <v>2179</v>
      </c>
      <c r="D107" s="47" t="s">
        <v>2448</v>
      </c>
      <c r="E107" s="48" t="s">
        <v>2188</v>
      </c>
      <c r="F107" s="34" t="s">
        <v>2449</v>
      </c>
      <c r="G107" s="34" t="s">
        <v>2342</v>
      </c>
      <c r="H107" s="34" t="s">
        <v>2087</v>
      </c>
      <c r="I107" s="34" t="s">
        <v>2091</v>
      </c>
      <c r="J107" s="35" t="s">
        <v>2089</v>
      </c>
      <c r="K107" s="35" t="s">
        <v>2089</v>
      </c>
      <c r="L107" s="35" t="s">
        <v>2089</v>
      </c>
      <c r="M107" s="35" t="s">
        <v>2089</v>
      </c>
      <c r="N107" s="35" t="s">
        <v>2089</v>
      </c>
      <c r="O107" s="34" t="s">
        <v>2181</v>
      </c>
      <c r="P107" s="28"/>
      <c r="Q107" s="34" t="s">
        <v>2139</v>
      </c>
      <c r="R107" s="36"/>
      <c r="S107" s="37" t="str">
        <f t="shared" si="3"/>
        <v>#VALUE!</v>
      </c>
      <c r="T107" s="37"/>
      <c r="U107" s="37"/>
      <c r="V107" s="37"/>
      <c r="W107" s="37"/>
      <c r="X107" s="37"/>
      <c r="Y107" s="37"/>
      <c r="Z107" s="37"/>
      <c r="AA107" s="37"/>
      <c r="AB107" s="37"/>
    </row>
    <row r="108">
      <c r="A108" s="45"/>
      <c r="B108" s="46" t="s">
        <v>2415</v>
      </c>
      <c r="C108" s="46" t="s">
        <v>2179</v>
      </c>
      <c r="D108" s="47" t="s">
        <v>2450</v>
      </c>
      <c r="E108" s="48" t="s">
        <v>2173</v>
      </c>
      <c r="F108" s="34" t="s">
        <v>2451</v>
      </c>
      <c r="G108" s="34" t="s">
        <v>2086</v>
      </c>
      <c r="H108" s="34" t="s">
        <v>2119</v>
      </c>
      <c r="I108" s="34" t="s">
        <v>2104</v>
      </c>
      <c r="J108" s="35" t="s">
        <v>2089</v>
      </c>
      <c r="K108" s="35" t="s">
        <v>2089</v>
      </c>
      <c r="L108" s="35" t="s">
        <v>2089</v>
      </c>
      <c r="M108" s="35" t="s">
        <v>2089</v>
      </c>
      <c r="N108" s="35" t="s">
        <v>2089</v>
      </c>
      <c r="O108" s="34" t="s">
        <v>2187</v>
      </c>
      <c r="P108" s="28"/>
      <c r="Q108" s="34" t="s">
        <v>2120</v>
      </c>
      <c r="R108" s="36"/>
      <c r="S108" s="37" t="str">
        <f t="shared" si="3"/>
        <v>#VALUE!</v>
      </c>
      <c r="T108" s="37"/>
      <c r="U108" s="37"/>
      <c r="V108" s="37"/>
      <c r="W108" s="37"/>
      <c r="X108" s="37"/>
      <c r="Y108" s="37"/>
      <c r="Z108" s="37"/>
      <c r="AA108" s="37"/>
      <c r="AB108" s="37"/>
    </row>
    <row r="109">
      <c r="A109" s="45"/>
      <c r="B109" s="46" t="s">
        <v>2415</v>
      </c>
      <c r="C109" s="46" t="s">
        <v>2179</v>
      </c>
      <c r="D109" s="47" t="s">
        <v>2452</v>
      </c>
      <c r="E109" s="48" t="s">
        <v>2299</v>
      </c>
      <c r="F109" s="34" t="s">
        <v>2453</v>
      </c>
      <c r="G109" s="34" t="s">
        <v>2345</v>
      </c>
      <c r="H109" s="34" t="s">
        <v>2124</v>
      </c>
      <c r="I109" s="34" t="s">
        <v>2144</v>
      </c>
      <c r="J109" s="35" t="s">
        <v>2089</v>
      </c>
      <c r="K109" s="35" t="s">
        <v>2089</v>
      </c>
      <c r="L109" s="35" t="s">
        <v>2089</v>
      </c>
      <c r="M109" s="35" t="s">
        <v>2089</v>
      </c>
      <c r="N109" s="35" t="s">
        <v>2089</v>
      </c>
      <c r="O109" s="34" t="s">
        <v>2294</v>
      </c>
      <c r="P109" s="28"/>
      <c r="Q109" s="34" t="s">
        <v>2139</v>
      </c>
      <c r="R109" s="36"/>
      <c r="S109" s="37" t="str">
        <f t="shared" si="3"/>
        <v>#VALUE!</v>
      </c>
      <c r="T109" s="37"/>
      <c r="U109" s="37"/>
      <c r="V109" s="37"/>
      <c r="W109" s="37"/>
      <c r="X109" s="37"/>
      <c r="Y109" s="37"/>
      <c r="Z109" s="37"/>
      <c r="AA109" s="37"/>
      <c r="AB109" s="37"/>
    </row>
    <row r="110">
      <c r="A110" s="45"/>
      <c r="B110" s="46" t="s">
        <v>2415</v>
      </c>
      <c r="C110" s="46" t="s">
        <v>2179</v>
      </c>
      <c r="D110" s="47" t="s">
        <v>2454</v>
      </c>
      <c r="E110" s="48" t="s">
        <v>2144</v>
      </c>
      <c r="F110" s="34" t="s">
        <v>2367</v>
      </c>
      <c r="G110" s="34" t="s">
        <v>2104</v>
      </c>
      <c r="H110" s="34" t="s">
        <v>2161</v>
      </c>
      <c r="I110" s="34" t="s">
        <v>2090</v>
      </c>
      <c r="J110" s="35" t="s">
        <v>2089</v>
      </c>
      <c r="K110" s="35" t="s">
        <v>2089</v>
      </c>
      <c r="L110" s="35" t="s">
        <v>2089</v>
      </c>
      <c r="M110" s="35" t="s">
        <v>2089</v>
      </c>
      <c r="N110" s="35" t="s">
        <v>2089</v>
      </c>
      <c r="O110" s="34" t="s">
        <v>2189</v>
      </c>
      <c r="P110" s="28"/>
      <c r="Q110" s="34" t="s">
        <v>2370</v>
      </c>
      <c r="R110" s="36"/>
      <c r="S110" s="37" t="str">
        <f t="shared" si="3"/>
        <v>#VALUE!</v>
      </c>
      <c r="T110" s="37"/>
      <c r="U110" s="37"/>
      <c r="V110" s="37"/>
      <c r="W110" s="37"/>
      <c r="X110" s="37"/>
      <c r="Y110" s="37"/>
      <c r="Z110" s="37"/>
      <c r="AA110" s="37"/>
      <c r="AB110" s="37"/>
    </row>
    <row r="111">
      <c r="A111" s="45"/>
      <c r="B111" s="46" t="s">
        <v>2415</v>
      </c>
      <c r="C111" s="46" t="s">
        <v>2179</v>
      </c>
      <c r="D111" s="47" t="s">
        <v>2455</v>
      </c>
      <c r="E111" s="48" t="s">
        <v>2419</v>
      </c>
      <c r="F111" s="34" t="s">
        <v>2456</v>
      </c>
      <c r="G111" s="34" t="s">
        <v>2266</v>
      </c>
      <c r="H111" s="34" t="s">
        <v>2287</v>
      </c>
      <c r="I111" s="34" t="s">
        <v>2157</v>
      </c>
      <c r="J111" s="35" t="s">
        <v>2089</v>
      </c>
      <c r="K111" s="35" t="s">
        <v>2089</v>
      </c>
      <c r="L111" s="35" t="s">
        <v>2089</v>
      </c>
      <c r="M111" s="35" t="s">
        <v>2089</v>
      </c>
      <c r="N111" s="35" t="s">
        <v>2089</v>
      </c>
      <c r="O111" s="34" t="s">
        <v>2287</v>
      </c>
      <c r="P111" s="28"/>
      <c r="Q111" s="34" t="s">
        <v>2092</v>
      </c>
      <c r="R111" s="36"/>
      <c r="S111" s="37" t="str">
        <f t="shared" si="3"/>
        <v>#VALUE!</v>
      </c>
      <c r="T111" s="37"/>
      <c r="U111" s="37"/>
      <c r="V111" s="37"/>
      <c r="W111" s="37"/>
      <c r="X111" s="37"/>
      <c r="Y111" s="37"/>
      <c r="Z111" s="37"/>
      <c r="AA111" s="37"/>
      <c r="AB111" s="37"/>
    </row>
    <row r="112">
      <c r="A112" s="45"/>
      <c r="B112" s="46" t="s">
        <v>2415</v>
      </c>
      <c r="C112" s="46" t="s">
        <v>2179</v>
      </c>
      <c r="D112" s="47" t="s">
        <v>2457</v>
      </c>
      <c r="E112" s="48" t="s">
        <v>2301</v>
      </c>
      <c r="F112" s="34" t="s">
        <v>2135</v>
      </c>
      <c r="G112" s="34" t="s">
        <v>2102</v>
      </c>
      <c r="H112" s="34" t="s">
        <v>2119</v>
      </c>
      <c r="I112" s="34" t="s">
        <v>2144</v>
      </c>
      <c r="J112" s="35" t="s">
        <v>2089</v>
      </c>
      <c r="K112" s="35" t="s">
        <v>2089</v>
      </c>
      <c r="L112" s="35" t="s">
        <v>2089</v>
      </c>
      <c r="M112" s="35" t="s">
        <v>2089</v>
      </c>
      <c r="N112" s="35" t="s">
        <v>2089</v>
      </c>
      <c r="O112" s="34" t="s">
        <v>2103</v>
      </c>
      <c r="P112" s="28"/>
      <c r="Q112" s="34" t="s">
        <v>2339</v>
      </c>
      <c r="R112" s="36"/>
      <c r="S112" s="37" t="str">
        <f t="shared" si="3"/>
        <v>#VALUE!</v>
      </c>
      <c r="T112" s="37"/>
      <c r="U112" s="37"/>
      <c r="V112" s="37"/>
      <c r="W112" s="37"/>
      <c r="X112" s="37"/>
      <c r="Y112" s="37"/>
      <c r="Z112" s="37"/>
      <c r="AA112" s="37"/>
      <c r="AB112" s="37"/>
    </row>
    <row r="113">
      <c r="A113" s="45"/>
      <c r="B113" s="46" t="s">
        <v>2415</v>
      </c>
      <c r="C113" s="46" t="s">
        <v>2179</v>
      </c>
      <c r="D113" s="47" t="s">
        <v>2458</v>
      </c>
      <c r="E113" s="48" t="s">
        <v>2143</v>
      </c>
      <c r="F113" s="34" t="s">
        <v>2428</v>
      </c>
      <c r="G113" s="34" t="s">
        <v>2181</v>
      </c>
      <c r="H113" s="34" t="s">
        <v>2459</v>
      </c>
      <c r="I113" s="34" t="s">
        <v>2119</v>
      </c>
      <c r="J113" s="35" t="s">
        <v>2089</v>
      </c>
      <c r="K113" s="35" t="s">
        <v>2089</v>
      </c>
      <c r="L113" s="35" t="s">
        <v>2089</v>
      </c>
      <c r="M113" s="35" t="s">
        <v>2089</v>
      </c>
      <c r="N113" s="35" t="s">
        <v>2089</v>
      </c>
      <c r="O113" s="34" t="s">
        <v>2302</v>
      </c>
      <c r="P113" s="28"/>
      <c r="Q113" s="34" t="s">
        <v>2147</v>
      </c>
      <c r="R113" s="36"/>
      <c r="S113" s="37" t="str">
        <f t="shared" si="3"/>
        <v>#VALUE!</v>
      </c>
      <c r="T113" s="37"/>
      <c r="U113" s="37"/>
      <c r="V113" s="37"/>
      <c r="W113" s="37"/>
      <c r="X113" s="37"/>
      <c r="Y113" s="37"/>
      <c r="Z113" s="37"/>
      <c r="AA113" s="37"/>
      <c r="AB113" s="37"/>
    </row>
    <row r="114">
      <c r="A114" s="45"/>
      <c r="B114" s="46" t="s">
        <v>2415</v>
      </c>
      <c r="C114" s="46" t="s">
        <v>2179</v>
      </c>
      <c r="D114" s="47" t="s">
        <v>2460</v>
      </c>
      <c r="E114" s="48" t="s">
        <v>2161</v>
      </c>
      <c r="F114" s="34" t="s">
        <v>2461</v>
      </c>
      <c r="G114" s="34" t="s">
        <v>2157</v>
      </c>
      <c r="H114" s="34" t="s">
        <v>2126</v>
      </c>
      <c r="I114" s="34" t="s">
        <v>2156</v>
      </c>
      <c r="J114" s="35" t="s">
        <v>2089</v>
      </c>
      <c r="K114" s="35" t="s">
        <v>2089</v>
      </c>
      <c r="L114" s="35" t="s">
        <v>2089</v>
      </c>
      <c r="M114" s="35" t="s">
        <v>2089</v>
      </c>
      <c r="N114" s="35" t="s">
        <v>2089</v>
      </c>
      <c r="O114" s="34" t="s">
        <v>2184</v>
      </c>
      <c r="P114" s="28"/>
      <c r="Q114" s="34" t="s">
        <v>2231</v>
      </c>
      <c r="R114" s="36"/>
      <c r="S114" s="37" t="str">
        <f t="shared" si="3"/>
        <v>#VALUE!</v>
      </c>
      <c r="T114" s="37"/>
      <c r="U114" s="37"/>
      <c r="V114" s="37"/>
      <c r="W114" s="37"/>
      <c r="X114" s="37"/>
      <c r="Y114" s="37"/>
      <c r="Z114" s="37"/>
      <c r="AA114" s="37"/>
      <c r="AB114" s="37"/>
    </row>
    <row r="115">
      <c r="A115" s="45"/>
      <c r="B115" s="46" t="s">
        <v>2415</v>
      </c>
      <c r="C115" s="46" t="s">
        <v>2179</v>
      </c>
      <c r="D115" s="47" t="s">
        <v>2462</v>
      </c>
      <c r="E115" s="48" t="s">
        <v>2463</v>
      </c>
      <c r="F115" s="34" t="s">
        <v>2464</v>
      </c>
      <c r="G115" s="34" t="s">
        <v>2250</v>
      </c>
      <c r="H115" s="34" t="s">
        <v>2096</v>
      </c>
      <c r="I115" s="34" t="s">
        <v>2338</v>
      </c>
      <c r="J115" s="35" t="s">
        <v>2089</v>
      </c>
      <c r="K115" s="35" t="s">
        <v>2089</v>
      </c>
      <c r="L115" s="35" t="s">
        <v>2089</v>
      </c>
      <c r="M115" s="35" t="s">
        <v>2089</v>
      </c>
      <c r="N115" s="35" t="s">
        <v>2089</v>
      </c>
      <c r="O115" s="34" t="s">
        <v>2141</v>
      </c>
      <c r="P115" s="28"/>
      <c r="Q115" s="34" t="s">
        <v>2151</v>
      </c>
      <c r="R115" s="36"/>
      <c r="S115" s="37" t="str">
        <f t="shared" si="3"/>
        <v>#VALUE!</v>
      </c>
      <c r="T115" s="37"/>
      <c r="U115" s="37"/>
      <c r="V115" s="37"/>
      <c r="W115" s="37"/>
      <c r="X115" s="37"/>
      <c r="Y115" s="37"/>
      <c r="Z115" s="37"/>
      <c r="AA115" s="37"/>
      <c r="AB115" s="37"/>
    </row>
    <row r="116">
      <c r="A116" s="45"/>
      <c r="B116" s="46" t="s">
        <v>2415</v>
      </c>
      <c r="C116" s="46" t="s">
        <v>2179</v>
      </c>
      <c r="D116" s="47" t="s">
        <v>2465</v>
      </c>
      <c r="E116" s="48" t="s">
        <v>2130</v>
      </c>
      <c r="F116" s="34" t="s">
        <v>2466</v>
      </c>
      <c r="G116" s="34" t="s">
        <v>2091</v>
      </c>
      <c r="H116" s="34" t="s">
        <v>2124</v>
      </c>
      <c r="I116" s="34" t="s">
        <v>2303</v>
      </c>
      <c r="J116" s="35" t="s">
        <v>2089</v>
      </c>
      <c r="K116" s="35" t="s">
        <v>2089</v>
      </c>
      <c r="L116" s="35" t="s">
        <v>2089</v>
      </c>
      <c r="M116" s="35" t="s">
        <v>2089</v>
      </c>
      <c r="N116" s="35" t="s">
        <v>2089</v>
      </c>
      <c r="O116" s="34" t="s">
        <v>2166</v>
      </c>
      <c r="P116" s="28"/>
      <c r="Q116" s="34" t="s">
        <v>2295</v>
      </c>
      <c r="R116" s="36"/>
      <c r="S116" s="37" t="str">
        <f t="shared" si="3"/>
        <v>#VALUE!</v>
      </c>
      <c r="T116" s="37"/>
      <c r="U116" s="37"/>
      <c r="V116" s="37"/>
      <c r="W116" s="37"/>
      <c r="X116" s="37"/>
      <c r="Y116" s="37"/>
      <c r="Z116" s="37"/>
      <c r="AA116" s="37"/>
      <c r="AB116" s="37"/>
    </row>
    <row r="117">
      <c r="A117" s="45"/>
      <c r="B117" s="46" t="s">
        <v>2415</v>
      </c>
      <c r="C117" s="46" t="s">
        <v>2179</v>
      </c>
      <c r="D117" s="47" t="s">
        <v>2467</v>
      </c>
      <c r="E117" s="48" t="s">
        <v>2468</v>
      </c>
      <c r="F117" s="34" t="s">
        <v>2469</v>
      </c>
      <c r="G117" s="34" t="s">
        <v>2266</v>
      </c>
      <c r="H117" s="34" t="s">
        <v>2154</v>
      </c>
      <c r="I117" s="34" t="s">
        <v>2088</v>
      </c>
      <c r="J117" s="35" t="s">
        <v>2089</v>
      </c>
      <c r="K117" s="35" t="s">
        <v>2089</v>
      </c>
      <c r="L117" s="35" t="s">
        <v>2089</v>
      </c>
      <c r="M117" s="35" t="s">
        <v>2089</v>
      </c>
      <c r="N117" s="35" t="s">
        <v>2089</v>
      </c>
      <c r="O117" s="34" t="s">
        <v>2287</v>
      </c>
      <c r="P117" s="28"/>
      <c r="Q117" s="34" t="s">
        <v>2252</v>
      </c>
      <c r="R117" s="36"/>
      <c r="S117" s="37" t="str">
        <f t="shared" si="3"/>
        <v>#VALUE!</v>
      </c>
      <c r="T117" s="37"/>
      <c r="U117" s="37"/>
      <c r="V117" s="37"/>
      <c r="W117" s="37"/>
      <c r="X117" s="37"/>
      <c r="Y117" s="37"/>
      <c r="Z117" s="37"/>
      <c r="AA117" s="37"/>
      <c r="AB117" s="37"/>
    </row>
    <row r="118">
      <c r="A118" s="45"/>
      <c r="B118" s="46" t="s">
        <v>2415</v>
      </c>
      <c r="C118" s="46" t="s">
        <v>2179</v>
      </c>
      <c r="D118" s="47" t="s">
        <v>2470</v>
      </c>
      <c r="E118" s="48" t="s">
        <v>2471</v>
      </c>
      <c r="F118" s="34" t="s">
        <v>2472</v>
      </c>
      <c r="G118" s="34" t="s">
        <v>2110</v>
      </c>
      <c r="H118" s="34" t="s">
        <v>2226</v>
      </c>
      <c r="I118" s="34" t="s">
        <v>2144</v>
      </c>
      <c r="J118" s="35" t="s">
        <v>2089</v>
      </c>
      <c r="K118" s="35" t="s">
        <v>2089</v>
      </c>
      <c r="L118" s="35" t="s">
        <v>2089</v>
      </c>
      <c r="M118" s="35" t="s">
        <v>2089</v>
      </c>
      <c r="N118" s="35" t="s">
        <v>2089</v>
      </c>
      <c r="O118" s="34" t="s">
        <v>2112</v>
      </c>
      <c r="P118" s="28"/>
      <c r="Q118" s="34" t="s">
        <v>2139</v>
      </c>
      <c r="R118" s="36"/>
      <c r="S118" s="37" t="str">
        <f t="shared" si="3"/>
        <v>#VALUE!</v>
      </c>
      <c r="T118" s="37"/>
      <c r="U118" s="37"/>
      <c r="V118" s="37"/>
      <c r="W118" s="37"/>
      <c r="X118" s="37"/>
      <c r="Y118" s="37"/>
      <c r="Z118" s="37"/>
      <c r="AA118" s="37"/>
      <c r="AB118" s="37"/>
    </row>
    <row r="119">
      <c r="A119" s="45"/>
      <c r="B119" s="46" t="s">
        <v>2415</v>
      </c>
      <c r="C119" s="46" t="s">
        <v>2179</v>
      </c>
      <c r="D119" s="47" t="s">
        <v>2473</v>
      </c>
      <c r="E119" s="48" t="s">
        <v>2474</v>
      </c>
      <c r="F119" s="34" t="s">
        <v>2475</v>
      </c>
      <c r="G119" s="34" t="s">
        <v>2084</v>
      </c>
      <c r="H119" s="34" t="s">
        <v>2104</v>
      </c>
      <c r="I119" s="34" t="s">
        <v>2130</v>
      </c>
      <c r="J119" s="35" t="s">
        <v>2089</v>
      </c>
      <c r="K119" s="35" t="s">
        <v>2089</v>
      </c>
      <c r="L119" s="35" t="s">
        <v>2089</v>
      </c>
      <c r="M119" s="35" t="s">
        <v>2089</v>
      </c>
      <c r="N119" s="35" t="s">
        <v>2089</v>
      </c>
      <c r="O119" s="34" t="s">
        <v>2251</v>
      </c>
      <c r="P119" s="28"/>
      <c r="Q119" s="34" t="s">
        <v>2151</v>
      </c>
      <c r="R119" s="36"/>
      <c r="S119" s="37" t="str">
        <f t="shared" si="3"/>
        <v>#VALUE!</v>
      </c>
      <c r="T119" s="37"/>
      <c r="U119" s="37"/>
      <c r="V119" s="37"/>
      <c r="W119" s="37"/>
      <c r="X119" s="37"/>
      <c r="Y119" s="37"/>
      <c r="Z119" s="37"/>
      <c r="AA119" s="37"/>
      <c r="AB119" s="37"/>
    </row>
    <row r="120">
      <c r="A120" s="45"/>
      <c r="B120" s="46" t="s">
        <v>2415</v>
      </c>
      <c r="C120" s="46" t="s">
        <v>2179</v>
      </c>
      <c r="D120" s="47" t="s">
        <v>2476</v>
      </c>
      <c r="E120" s="48" t="s">
        <v>2188</v>
      </c>
      <c r="F120" s="34" t="s">
        <v>2095</v>
      </c>
      <c r="G120" s="34" t="s">
        <v>2477</v>
      </c>
      <c r="H120" s="34" t="s">
        <v>2087</v>
      </c>
      <c r="I120" s="34" t="s">
        <v>2187</v>
      </c>
      <c r="J120" s="35" t="s">
        <v>2089</v>
      </c>
      <c r="K120" s="35" t="s">
        <v>2089</v>
      </c>
      <c r="L120" s="35" t="s">
        <v>2089</v>
      </c>
      <c r="M120" s="35" t="s">
        <v>2089</v>
      </c>
      <c r="N120" s="35" t="s">
        <v>2089</v>
      </c>
      <c r="O120" s="34" t="s">
        <v>2181</v>
      </c>
      <c r="P120" s="28"/>
      <c r="Q120" s="34" t="s">
        <v>2478</v>
      </c>
      <c r="R120" s="36"/>
      <c r="S120" s="37" t="str">
        <f t="shared" si="3"/>
        <v>#VALUE!</v>
      </c>
      <c r="T120" s="37"/>
      <c r="U120" s="37"/>
      <c r="V120" s="37"/>
      <c r="W120" s="37"/>
      <c r="X120" s="37"/>
      <c r="Y120" s="37"/>
      <c r="Z120" s="37"/>
      <c r="AA120" s="37"/>
      <c r="AB120" s="37"/>
    </row>
    <row r="121">
      <c r="A121" s="45"/>
      <c r="B121" s="46" t="s">
        <v>2415</v>
      </c>
      <c r="C121" s="46" t="s">
        <v>2179</v>
      </c>
      <c r="D121" s="47" t="s">
        <v>2479</v>
      </c>
      <c r="E121" s="48" t="s">
        <v>2145</v>
      </c>
      <c r="F121" s="34" t="s">
        <v>2123</v>
      </c>
      <c r="G121" s="34" t="s">
        <v>2124</v>
      </c>
      <c r="H121" s="34" t="s">
        <v>2155</v>
      </c>
      <c r="I121" s="34" t="s">
        <v>2104</v>
      </c>
      <c r="J121" s="35" t="s">
        <v>2089</v>
      </c>
      <c r="K121" s="35" t="s">
        <v>2089</v>
      </c>
      <c r="L121" s="35" t="s">
        <v>2089</v>
      </c>
      <c r="M121" s="35" t="s">
        <v>2089</v>
      </c>
      <c r="N121" s="35" t="s">
        <v>2089</v>
      </c>
      <c r="O121" s="34" t="s">
        <v>2126</v>
      </c>
      <c r="P121" s="28"/>
      <c r="Q121" s="34" t="s">
        <v>2120</v>
      </c>
      <c r="R121" s="36"/>
      <c r="S121" s="37" t="str">
        <f t="shared" si="3"/>
        <v>#VALUE!</v>
      </c>
      <c r="T121" s="37"/>
      <c r="U121" s="37"/>
      <c r="V121" s="37"/>
      <c r="W121" s="37"/>
      <c r="X121" s="37"/>
      <c r="Y121" s="37"/>
      <c r="Z121" s="37"/>
      <c r="AA121" s="37"/>
      <c r="AB121" s="37"/>
    </row>
    <row r="122">
      <c r="A122" s="45"/>
      <c r="B122" s="46" t="s">
        <v>2415</v>
      </c>
      <c r="C122" s="46" t="s">
        <v>2179</v>
      </c>
      <c r="D122" s="47" t="s">
        <v>2480</v>
      </c>
      <c r="E122" s="48" t="s">
        <v>2084</v>
      </c>
      <c r="F122" s="34" t="s">
        <v>2439</v>
      </c>
      <c r="G122" s="34" t="s">
        <v>2116</v>
      </c>
      <c r="H122" s="34" t="s">
        <v>2166</v>
      </c>
      <c r="I122" s="34" t="s">
        <v>2104</v>
      </c>
      <c r="J122" s="35" t="s">
        <v>2089</v>
      </c>
      <c r="K122" s="35" t="s">
        <v>2089</v>
      </c>
      <c r="L122" s="35" t="s">
        <v>2089</v>
      </c>
      <c r="M122" s="35" t="s">
        <v>2089</v>
      </c>
      <c r="N122" s="35" t="s">
        <v>2089</v>
      </c>
      <c r="O122" s="34" t="s">
        <v>2307</v>
      </c>
      <c r="P122" s="28"/>
      <c r="Q122" s="34" t="s">
        <v>2346</v>
      </c>
      <c r="R122" s="36"/>
      <c r="S122" s="37" t="str">
        <f t="shared" si="3"/>
        <v>#VALUE!</v>
      </c>
      <c r="T122" s="37"/>
      <c r="U122" s="37"/>
      <c r="V122" s="37"/>
      <c r="W122" s="37"/>
      <c r="X122" s="37"/>
      <c r="Y122" s="37"/>
      <c r="Z122" s="37"/>
      <c r="AA122" s="37"/>
      <c r="AB122" s="37"/>
    </row>
    <row r="123">
      <c r="A123" s="45"/>
      <c r="B123" s="46" t="s">
        <v>2415</v>
      </c>
      <c r="C123" s="46" t="s">
        <v>2179</v>
      </c>
      <c r="D123" s="47" t="s">
        <v>2481</v>
      </c>
      <c r="E123" s="48" t="s">
        <v>2443</v>
      </c>
      <c r="F123" s="34" t="s">
        <v>2482</v>
      </c>
      <c r="G123" s="34" t="s">
        <v>2251</v>
      </c>
      <c r="H123" s="34" t="s">
        <v>2145</v>
      </c>
      <c r="I123" s="34" t="s">
        <v>2126</v>
      </c>
      <c r="J123" s="35" t="s">
        <v>2089</v>
      </c>
      <c r="K123" s="35" t="s">
        <v>2089</v>
      </c>
      <c r="L123" s="35" t="s">
        <v>2089</v>
      </c>
      <c r="M123" s="35" t="s">
        <v>2089</v>
      </c>
      <c r="N123" s="35" t="s">
        <v>2089</v>
      </c>
      <c r="O123" s="34" t="s">
        <v>2154</v>
      </c>
      <c r="P123" s="28"/>
      <c r="Q123" s="34" t="s">
        <v>2098</v>
      </c>
      <c r="R123" s="36"/>
      <c r="S123" s="37" t="str">
        <f t="shared" si="3"/>
        <v>#VALUE!</v>
      </c>
      <c r="T123" s="37"/>
      <c r="U123" s="37"/>
      <c r="V123" s="37"/>
      <c r="W123" s="37"/>
      <c r="X123" s="37"/>
      <c r="Y123" s="37"/>
      <c r="Z123" s="37"/>
      <c r="AA123" s="37"/>
      <c r="AB123" s="37"/>
    </row>
    <row r="124">
      <c r="A124" s="45"/>
      <c r="B124" s="46" t="s">
        <v>2415</v>
      </c>
      <c r="C124" s="46" t="s">
        <v>2232</v>
      </c>
      <c r="D124" s="47" t="s">
        <v>2483</v>
      </c>
      <c r="E124" s="48" t="s">
        <v>2312</v>
      </c>
      <c r="F124" s="34" t="s">
        <v>2484</v>
      </c>
      <c r="G124" s="34" t="s">
        <v>2220</v>
      </c>
      <c r="H124" s="34" t="s">
        <v>2244</v>
      </c>
      <c r="I124" s="34" t="s">
        <v>2161</v>
      </c>
      <c r="J124" s="35" t="s">
        <v>2089</v>
      </c>
      <c r="K124" s="35" t="s">
        <v>2089</v>
      </c>
      <c r="L124" s="35" t="s">
        <v>2089</v>
      </c>
      <c r="M124" s="35" t="s">
        <v>2089</v>
      </c>
      <c r="N124" s="35" t="s">
        <v>2089</v>
      </c>
      <c r="O124" s="34" t="s">
        <v>2250</v>
      </c>
      <c r="P124" s="28"/>
      <c r="Q124" s="34" t="s">
        <v>2139</v>
      </c>
      <c r="R124" s="36"/>
      <c r="S124" s="37" t="str">
        <f t="shared" si="3"/>
        <v>#VALUE!</v>
      </c>
      <c r="T124" s="37"/>
      <c r="U124" s="37"/>
      <c r="V124" s="37"/>
      <c r="W124" s="37"/>
      <c r="X124" s="37"/>
      <c r="Y124" s="37"/>
      <c r="Z124" s="37"/>
      <c r="AA124" s="37"/>
      <c r="AB124" s="37"/>
    </row>
    <row r="125">
      <c r="A125" s="45"/>
      <c r="B125" s="46" t="s">
        <v>2415</v>
      </c>
      <c r="C125" s="46" t="s">
        <v>2232</v>
      </c>
      <c r="D125" s="47" t="s">
        <v>2485</v>
      </c>
      <c r="E125" s="48" t="s">
        <v>2327</v>
      </c>
      <c r="F125" s="34" t="s">
        <v>2469</v>
      </c>
      <c r="G125" s="34" t="s">
        <v>2345</v>
      </c>
      <c r="H125" s="34" t="s">
        <v>2138</v>
      </c>
      <c r="I125" s="34" t="s">
        <v>2103</v>
      </c>
      <c r="J125" s="35" t="s">
        <v>2089</v>
      </c>
      <c r="K125" s="35" t="s">
        <v>2089</v>
      </c>
      <c r="L125" s="35" t="s">
        <v>2089</v>
      </c>
      <c r="M125" s="35" t="s">
        <v>2089</v>
      </c>
      <c r="N125" s="35" t="s">
        <v>2089</v>
      </c>
      <c r="O125" s="34" t="s">
        <v>2294</v>
      </c>
      <c r="P125" s="28"/>
      <c r="Q125" s="34" t="s">
        <v>2092</v>
      </c>
      <c r="R125" s="36"/>
      <c r="S125" s="37" t="str">
        <f t="shared" si="3"/>
        <v>#VALUE!</v>
      </c>
      <c r="T125" s="37"/>
      <c r="U125" s="37"/>
      <c r="V125" s="37"/>
      <c r="W125" s="37"/>
      <c r="X125" s="37"/>
      <c r="Y125" s="37"/>
      <c r="Z125" s="37"/>
      <c r="AA125" s="37"/>
      <c r="AB125" s="37"/>
    </row>
    <row r="126">
      <c r="A126" s="45"/>
      <c r="B126" s="46" t="s">
        <v>2415</v>
      </c>
      <c r="C126" s="46" t="s">
        <v>2232</v>
      </c>
      <c r="D126" s="47" t="s">
        <v>2486</v>
      </c>
      <c r="E126" s="48" t="s">
        <v>2192</v>
      </c>
      <c r="F126" s="34" t="s">
        <v>2369</v>
      </c>
      <c r="G126" s="34" t="s">
        <v>2284</v>
      </c>
      <c r="H126" s="34" t="s">
        <v>2131</v>
      </c>
      <c r="I126" s="34" t="s">
        <v>2104</v>
      </c>
      <c r="J126" s="35" t="s">
        <v>2089</v>
      </c>
      <c r="K126" s="35" t="s">
        <v>2089</v>
      </c>
      <c r="L126" s="35" t="s">
        <v>2089</v>
      </c>
      <c r="M126" s="35" t="s">
        <v>2089</v>
      </c>
      <c r="N126" s="35" t="s">
        <v>2089</v>
      </c>
      <c r="O126" s="34" t="s">
        <v>2187</v>
      </c>
      <c r="P126" s="28"/>
      <c r="Q126" s="34" t="s">
        <v>2346</v>
      </c>
      <c r="R126" s="36"/>
      <c r="S126" s="37" t="str">
        <f t="shared" si="3"/>
        <v>#VALUE!</v>
      </c>
      <c r="T126" s="37"/>
      <c r="U126" s="37"/>
      <c r="V126" s="37"/>
      <c r="W126" s="37"/>
      <c r="X126" s="37"/>
      <c r="Y126" s="37"/>
      <c r="Z126" s="37"/>
      <c r="AA126" s="37"/>
      <c r="AB126" s="37"/>
    </row>
    <row r="127">
      <c r="A127" s="45"/>
      <c r="B127" s="46" t="s">
        <v>2415</v>
      </c>
      <c r="C127" s="46" t="s">
        <v>2232</v>
      </c>
      <c r="D127" s="47" t="s">
        <v>2487</v>
      </c>
      <c r="E127" s="48" t="s">
        <v>2488</v>
      </c>
      <c r="F127" s="34" t="s">
        <v>2489</v>
      </c>
      <c r="G127" s="34" t="s">
        <v>2490</v>
      </c>
      <c r="H127" s="34" t="s">
        <v>2188</v>
      </c>
      <c r="I127" s="34" t="s">
        <v>2160</v>
      </c>
      <c r="J127" s="35" t="s">
        <v>2089</v>
      </c>
      <c r="K127" s="35" t="s">
        <v>2089</v>
      </c>
      <c r="L127" s="35" t="s">
        <v>2089</v>
      </c>
      <c r="M127" s="35" t="s">
        <v>2089</v>
      </c>
      <c r="N127" s="35" t="s">
        <v>2089</v>
      </c>
      <c r="O127" s="34" t="s">
        <v>2463</v>
      </c>
      <c r="P127" s="28"/>
      <c r="Q127" s="34" t="s">
        <v>2491</v>
      </c>
      <c r="R127" s="36"/>
      <c r="S127" s="37" t="str">
        <f t="shared" si="3"/>
        <v>#VALUE!</v>
      </c>
      <c r="T127" s="37"/>
      <c r="U127" s="37"/>
      <c r="V127" s="37"/>
      <c r="W127" s="37"/>
      <c r="X127" s="37"/>
      <c r="Y127" s="37"/>
      <c r="Z127" s="37"/>
      <c r="AA127" s="37"/>
      <c r="AB127" s="37"/>
    </row>
    <row r="128">
      <c r="A128" s="45"/>
      <c r="B128" s="46" t="s">
        <v>2415</v>
      </c>
      <c r="C128" s="46" t="s">
        <v>2232</v>
      </c>
      <c r="D128" s="47" t="s">
        <v>2492</v>
      </c>
      <c r="E128" s="48" t="s">
        <v>2493</v>
      </c>
      <c r="F128" s="34" t="s">
        <v>2382</v>
      </c>
      <c r="G128" s="34" t="s">
        <v>2224</v>
      </c>
      <c r="H128" s="34" t="s">
        <v>2249</v>
      </c>
      <c r="I128" s="34" t="s">
        <v>2138</v>
      </c>
      <c r="J128" s="35" t="s">
        <v>2089</v>
      </c>
      <c r="K128" s="35" t="s">
        <v>2089</v>
      </c>
      <c r="L128" s="35" t="s">
        <v>2089</v>
      </c>
      <c r="M128" s="35" t="s">
        <v>2089</v>
      </c>
      <c r="N128" s="35" t="s">
        <v>2089</v>
      </c>
      <c r="O128" s="34" t="s">
        <v>2430</v>
      </c>
      <c r="P128" s="28"/>
      <c r="Q128" s="34" t="s">
        <v>2494</v>
      </c>
      <c r="R128" s="36"/>
      <c r="S128" s="37" t="str">
        <f t="shared" si="3"/>
        <v>#VALUE!</v>
      </c>
      <c r="T128" s="37"/>
      <c r="U128" s="37"/>
      <c r="V128" s="37"/>
      <c r="W128" s="37"/>
      <c r="X128" s="37"/>
      <c r="Y128" s="37"/>
      <c r="Z128" s="37"/>
      <c r="AA128" s="37"/>
      <c r="AB128" s="37"/>
    </row>
    <row r="129">
      <c r="A129" s="45"/>
      <c r="B129" s="46" t="s">
        <v>2415</v>
      </c>
      <c r="C129" s="46" t="s">
        <v>2232</v>
      </c>
      <c r="D129" s="47" t="s">
        <v>2495</v>
      </c>
      <c r="E129" s="48" t="s">
        <v>2463</v>
      </c>
      <c r="F129" s="34" t="s">
        <v>2496</v>
      </c>
      <c r="G129" s="34" t="s">
        <v>2128</v>
      </c>
      <c r="H129" s="34" t="s">
        <v>2161</v>
      </c>
      <c r="I129" s="34" t="s">
        <v>2138</v>
      </c>
      <c r="J129" s="35" t="s">
        <v>2089</v>
      </c>
      <c r="K129" s="35" t="s">
        <v>2089</v>
      </c>
      <c r="L129" s="35" t="s">
        <v>2089</v>
      </c>
      <c r="M129" s="35" t="s">
        <v>2089</v>
      </c>
      <c r="N129" s="35" t="s">
        <v>2089</v>
      </c>
      <c r="O129" s="34" t="s">
        <v>2086</v>
      </c>
      <c r="P129" s="28"/>
      <c r="Q129" s="34" t="s">
        <v>2120</v>
      </c>
      <c r="R129" s="36"/>
      <c r="S129" s="37" t="str">
        <f t="shared" si="3"/>
        <v>#VALUE!</v>
      </c>
      <c r="T129" s="37"/>
      <c r="U129" s="37"/>
      <c r="V129" s="37"/>
      <c r="W129" s="37"/>
      <c r="X129" s="37"/>
      <c r="Y129" s="37"/>
      <c r="Z129" s="37"/>
      <c r="AA129" s="37"/>
      <c r="AB129" s="37"/>
    </row>
    <row r="130">
      <c r="A130" s="45"/>
      <c r="B130" s="46" t="s">
        <v>2415</v>
      </c>
      <c r="C130" s="46" t="s">
        <v>2232</v>
      </c>
      <c r="D130" s="47" t="s">
        <v>2497</v>
      </c>
      <c r="E130" s="48" t="s">
        <v>2498</v>
      </c>
      <c r="F130" s="34" t="s">
        <v>2499</v>
      </c>
      <c r="G130" s="34" t="s">
        <v>2244</v>
      </c>
      <c r="H130" s="34" t="s">
        <v>2187</v>
      </c>
      <c r="I130" s="34" t="s">
        <v>2097</v>
      </c>
      <c r="J130" s="35" t="s">
        <v>2089</v>
      </c>
      <c r="K130" s="35" t="s">
        <v>2089</v>
      </c>
      <c r="L130" s="35" t="s">
        <v>2089</v>
      </c>
      <c r="M130" s="35" t="s">
        <v>2089</v>
      </c>
      <c r="N130" s="35" t="s">
        <v>2089</v>
      </c>
      <c r="O130" s="34" t="s">
        <v>2308</v>
      </c>
      <c r="P130" s="28"/>
      <c r="Q130" s="34" t="s">
        <v>2500</v>
      </c>
      <c r="R130" s="36"/>
      <c r="S130" s="37" t="str">
        <f t="shared" si="3"/>
        <v>#VALUE!</v>
      </c>
      <c r="T130" s="37"/>
      <c r="U130" s="37"/>
      <c r="V130" s="37"/>
      <c r="W130" s="37"/>
      <c r="X130" s="37"/>
      <c r="Y130" s="37"/>
      <c r="Z130" s="37"/>
      <c r="AA130" s="37"/>
      <c r="AB130" s="37"/>
    </row>
    <row r="131">
      <c r="A131" s="45"/>
      <c r="B131" s="46" t="s">
        <v>2415</v>
      </c>
      <c r="C131" s="46" t="s">
        <v>2232</v>
      </c>
      <c r="D131" s="47" t="s">
        <v>2501</v>
      </c>
      <c r="E131" s="48" t="s">
        <v>2154</v>
      </c>
      <c r="F131" s="34" t="s">
        <v>2502</v>
      </c>
      <c r="G131" s="34" t="s">
        <v>2116</v>
      </c>
      <c r="H131" s="34" t="s">
        <v>2221</v>
      </c>
      <c r="I131" s="34" t="s">
        <v>2187</v>
      </c>
      <c r="J131" s="35" t="s">
        <v>2089</v>
      </c>
      <c r="K131" s="35" t="s">
        <v>2089</v>
      </c>
      <c r="L131" s="35" t="s">
        <v>2089</v>
      </c>
      <c r="M131" s="35" t="s">
        <v>2089</v>
      </c>
      <c r="N131" s="35" t="s">
        <v>2089</v>
      </c>
      <c r="O131" s="34" t="s">
        <v>2307</v>
      </c>
      <c r="P131" s="28"/>
      <c r="Q131" s="34" t="s">
        <v>2351</v>
      </c>
      <c r="R131" s="36"/>
      <c r="S131" s="37" t="str">
        <f t="shared" si="3"/>
        <v>#VALUE!</v>
      </c>
      <c r="T131" s="37"/>
      <c r="U131" s="37"/>
      <c r="V131" s="37"/>
      <c r="W131" s="37"/>
      <c r="X131" s="37"/>
      <c r="Y131" s="37"/>
      <c r="Z131" s="37"/>
      <c r="AA131" s="37"/>
      <c r="AB131" s="37"/>
    </row>
    <row r="132">
      <c r="A132" s="45"/>
      <c r="B132" s="46" t="s">
        <v>2415</v>
      </c>
      <c r="C132" s="46" t="s">
        <v>2232</v>
      </c>
      <c r="D132" s="47" t="s">
        <v>2503</v>
      </c>
      <c r="E132" s="48" t="s">
        <v>2490</v>
      </c>
      <c r="F132" s="34" t="s">
        <v>2504</v>
      </c>
      <c r="G132" s="34" t="s">
        <v>2299</v>
      </c>
      <c r="H132" s="34" t="s">
        <v>2286</v>
      </c>
      <c r="I132" s="34" t="s">
        <v>2181</v>
      </c>
      <c r="J132" s="35" t="s">
        <v>2089</v>
      </c>
      <c r="K132" s="35" t="s">
        <v>2089</v>
      </c>
      <c r="L132" s="35" t="s">
        <v>2089</v>
      </c>
      <c r="M132" s="35" t="s">
        <v>2089</v>
      </c>
      <c r="N132" s="35" t="s">
        <v>2089</v>
      </c>
      <c r="O132" s="34" t="s">
        <v>2419</v>
      </c>
      <c r="P132" s="28"/>
      <c r="Q132" s="34" t="s">
        <v>2151</v>
      </c>
      <c r="R132" s="36"/>
      <c r="S132" s="37" t="str">
        <f t="shared" si="3"/>
        <v>#VALUE!</v>
      </c>
      <c r="T132" s="37"/>
      <c r="U132" s="37"/>
      <c r="V132" s="37"/>
      <c r="W132" s="37"/>
      <c r="X132" s="37"/>
      <c r="Y132" s="37"/>
      <c r="Z132" s="37"/>
      <c r="AA132" s="37"/>
      <c r="AB132" s="37"/>
    </row>
    <row r="133">
      <c r="A133" s="45"/>
      <c r="B133" s="46" t="s">
        <v>2415</v>
      </c>
      <c r="C133" s="46" t="s">
        <v>2232</v>
      </c>
      <c r="D133" s="47" t="s">
        <v>2505</v>
      </c>
      <c r="E133" s="48" t="s">
        <v>2153</v>
      </c>
      <c r="F133" s="34" t="s">
        <v>2506</v>
      </c>
      <c r="G133" s="34" t="s">
        <v>2112</v>
      </c>
      <c r="H133" s="34" t="s">
        <v>2288</v>
      </c>
      <c r="I133" s="34" t="s">
        <v>2161</v>
      </c>
      <c r="J133" s="35" t="s">
        <v>2089</v>
      </c>
      <c r="K133" s="35" t="s">
        <v>2089</v>
      </c>
      <c r="L133" s="35" t="s">
        <v>2089</v>
      </c>
      <c r="M133" s="35" t="s">
        <v>2089</v>
      </c>
      <c r="N133" s="35" t="s">
        <v>2089</v>
      </c>
      <c r="O133" s="34" t="s">
        <v>2338</v>
      </c>
      <c r="P133" s="28"/>
      <c r="Q133" s="34" t="s">
        <v>2507</v>
      </c>
      <c r="R133" s="36"/>
      <c r="S133" s="37" t="str">
        <f t="shared" si="3"/>
        <v>#VALUE!</v>
      </c>
      <c r="T133" s="37"/>
      <c r="U133" s="37"/>
      <c r="V133" s="37"/>
      <c r="W133" s="37"/>
      <c r="X133" s="37"/>
      <c r="Y133" s="37"/>
      <c r="Z133" s="37"/>
      <c r="AA133" s="37"/>
      <c r="AB133" s="37"/>
    </row>
    <row r="134">
      <c r="A134" s="45"/>
      <c r="B134" s="46" t="s">
        <v>2415</v>
      </c>
      <c r="C134" s="46" t="s">
        <v>2232</v>
      </c>
      <c r="D134" s="47" t="s">
        <v>2508</v>
      </c>
      <c r="E134" s="48" t="s">
        <v>2509</v>
      </c>
      <c r="F134" s="34" t="s">
        <v>2472</v>
      </c>
      <c r="G134" s="34" t="s">
        <v>2244</v>
      </c>
      <c r="H134" s="34" t="s">
        <v>2226</v>
      </c>
      <c r="I134" s="34" t="s">
        <v>2103</v>
      </c>
      <c r="J134" s="35" t="s">
        <v>2089</v>
      </c>
      <c r="K134" s="35" t="s">
        <v>2089</v>
      </c>
      <c r="L134" s="35" t="s">
        <v>2089</v>
      </c>
      <c r="M134" s="35" t="s">
        <v>2089</v>
      </c>
      <c r="N134" s="35" t="s">
        <v>2089</v>
      </c>
      <c r="O134" s="34" t="s">
        <v>2308</v>
      </c>
      <c r="P134" s="28"/>
      <c r="Q134" s="34" t="s">
        <v>2422</v>
      </c>
      <c r="R134" s="36"/>
      <c r="S134" s="37" t="str">
        <f t="shared" si="3"/>
        <v>#VALUE!</v>
      </c>
      <c r="T134" s="37"/>
      <c r="U134" s="37"/>
      <c r="V134" s="37"/>
      <c r="W134" s="37"/>
      <c r="X134" s="37"/>
      <c r="Y134" s="37"/>
      <c r="Z134" s="37"/>
      <c r="AA134" s="37"/>
      <c r="AB134" s="37"/>
    </row>
    <row r="135">
      <c r="A135" s="45"/>
      <c r="B135" s="46" t="s">
        <v>2415</v>
      </c>
      <c r="C135" s="46" t="s">
        <v>2232</v>
      </c>
      <c r="D135" s="47" t="s">
        <v>2510</v>
      </c>
      <c r="E135" s="48" t="s">
        <v>2301</v>
      </c>
      <c r="F135" s="34" t="s">
        <v>2400</v>
      </c>
      <c r="G135" s="34" t="s">
        <v>2244</v>
      </c>
      <c r="H135" s="34" t="s">
        <v>2161</v>
      </c>
      <c r="I135" s="34" t="s">
        <v>2154</v>
      </c>
      <c r="J135" s="35" t="s">
        <v>2089</v>
      </c>
      <c r="K135" s="35" t="s">
        <v>2089</v>
      </c>
      <c r="L135" s="35" t="s">
        <v>2089</v>
      </c>
      <c r="M135" s="35" t="s">
        <v>2089</v>
      </c>
      <c r="N135" s="35" t="s">
        <v>2089</v>
      </c>
      <c r="O135" s="34" t="s">
        <v>2308</v>
      </c>
      <c r="P135" s="28"/>
      <c r="Q135" s="34" t="s">
        <v>2092</v>
      </c>
      <c r="R135" s="36"/>
      <c r="S135" s="37" t="str">
        <f t="shared" si="3"/>
        <v>#VALUE!</v>
      </c>
      <c r="T135" s="37"/>
      <c r="U135" s="37"/>
      <c r="V135" s="37"/>
      <c r="W135" s="37"/>
      <c r="X135" s="37"/>
      <c r="Y135" s="37"/>
      <c r="Z135" s="37"/>
      <c r="AA135" s="37"/>
      <c r="AB135" s="37"/>
    </row>
    <row r="136">
      <c r="A136" s="45"/>
      <c r="B136" s="46" t="s">
        <v>2415</v>
      </c>
      <c r="C136" s="46" t="s">
        <v>2232</v>
      </c>
      <c r="D136" s="47" t="s">
        <v>2511</v>
      </c>
      <c r="E136" s="48" t="s">
        <v>2353</v>
      </c>
      <c r="F136" s="34" t="s">
        <v>2512</v>
      </c>
      <c r="G136" s="34" t="s">
        <v>2301</v>
      </c>
      <c r="H136" s="34" t="s">
        <v>2214</v>
      </c>
      <c r="I136" s="34" t="s">
        <v>2086</v>
      </c>
      <c r="J136" s="35" t="s">
        <v>2089</v>
      </c>
      <c r="K136" s="35" t="s">
        <v>2089</v>
      </c>
      <c r="L136" s="35" t="s">
        <v>2089</v>
      </c>
      <c r="M136" s="35" t="s">
        <v>2089</v>
      </c>
      <c r="N136" s="35" t="s">
        <v>2089</v>
      </c>
      <c r="O136" s="34" t="s">
        <v>2084</v>
      </c>
      <c r="P136" s="28"/>
      <c r="Q136" s="34" t="s">
        <v>2098</v>
      </c>
      <c r="R136" s="36"/>
      <c r="S136" s="37" t="str">
        <f t="shared" si="3"/>
        <v>#VALUE!</v>
      </c>
      <c r="T136" s="37"/>
      <c r="U136" s="37"/>
      <c r="V136" s="37"/>
      <c r="W136" s="37"/>
      <c r="X136" s="37"/>
      <c r="Y136" s="37"/>
      <c r="Z136" s="37"/>
      <c r="AA136" s="37"/>
      <c r="AB136" s="37"/>
    </row>
    <row r="137">
      <c r="A137" s="45"/>
      <c r="B137" s="46" t="s">
        <v>2415</v>
      </c>
      <c r="C137" s="46" t="s">
        <v>2232</v>
      </c>
      <c r="D137" s="47" t="s">
        <v>2513</v>
      </c>
      <c r="E137" s="48" t="s">
        <v>2514</v>
      </c>
      <c r="F137" s="34" t="s">
        <v>2515</v>
      </c>
      <c r="G137" s="34" t="s">
        <v>2264</v>
      </c>
      <c r="H137" s="34" t="s">
        <v>2338</v>
      </c>
      <c r="I137" s="34" t="s">
        <v>2307</v>
      </c>
      <c r="J137" s="35" t="s">
        <v>2089</v>
      </c>
      <c r="K137" s="35" t="s">
        <v>2089</v>
      </c>
      <c r="L137" s="35" t="s">
        <v>2089</v>
      </c>
      <c r="M137" s="35" t="s">
        <v>2089</v>
      </c>
      <c r="N137" s="35" t="s">
        <v>2089</v>
      </c>
      <c r="O137" s="34" t="s">
        <v>2145</v>
      </c>
      <c r="P137" s="28"/>
      <c r="Q137" s="34" t="s">
        <v>2507</v>
      </c>
      <c r="R137" s="36"/>
      <c r="S137" s="37" t="str">
        <f t="shared" si="3"/>
        <v>#VALUE!</v>
      </c>
      <c r="T137" s="37"/>
      <c r="U137" s="37"/>
      <c r="V137" s="37"/>
      <c r="W137" s="37"/>
      <c r="X137" s="37"/>
      <c r="Y137" s="37"/>
      <c r="Z137" s="37"/>
      <c r="AA137" s="37"/>
      <c r="AB137" s="37"/>
    </row>
    <row r="138">
      <c r="A138" s="45"/>
      <c r="B138" s="46" t="s">
        <v>2415</v>
      </c>
      <c r="C138" s="46" t="s">
        <v>2232</v>
      </c>
      <c r="D138" s="47" t="s">
        <v>2516</v>
      </c>
      <c r="E138" s="48" t="s">
        <v>2446</v>
      </c>
      <c r="F138" s="34" t="s">
        <v>2517</v>
      </c>
      <c r="G138" s="34" t="s">
        <v>2266</v>
      </c>
      <c r="H138" s="34" t="s">
        <v>2287</v>
      </c>
      <c r="I138" s="34" t="s">
        <v>2157</v>
      </c>
      <c r="J138" s="35" t="s">
        <v>2089</v>
      </c>
      <c r="K138" s="35" t="s">
        <v>2089</v>
      </c>
      <c r="L138" s="35" t="s">
        <v>2089</v>
      </c>
      <c r="M138" s="35" t="s">
        <v>2089</v>
      </c>
      <c r="N138" s="35" t="s">
        <v>2089</v>
      </c>
      <c r="O138" s="34" t="s">
        <v>2130</v>
      </c>
      <c r="P138" s="28"/>
      <c r="Q138" s="34" t="s">
        <v>2507</v>
      </c>
      <c r="R138" s="36"/>
      <c r="S138" s="37" t="str">
        <f t="shared" si="3"/>
        <v>#VALUE!</v>
      </c>
      <c r="T138" s="37"/>
      <c r="U138" s="37"/>
      <c r="V138" s="37"/>
      <c r="W138" s="37"/>
      <c r="X138" s="37"/>
      <c r="Y138" s="37"/>
      <c r="Z138" s="37"/>
      <c r="AA138" s="37"/>
      <c r="AB138" s="37"/>
    </row>
    <row r="139">
      <c r="A139" s="45"/>
      <c r="B139" s="46" t="s">
        <v>2415</v>
      </c>
      <c r="C139" s="46" t="s">
        <v>2232</v>
      </c>
      <c r="D139" s="47" t="s">
        <v>2518</v>
      </c>
      <c r="E139" s="48" t="s">
        <v>2514</v>
      </c>
      <c r="F139" s="34" t="s">
        <v>2461</v>
      </c>
      <c r="G139" s="34" t="s">
        <v>2153</v>
      </c>
      <c r="H139" s="34" t="s">
        <v>2338</v>
      </c>
      <c r="I139" s="34" t="s">
        <v>2187</v>
      </c>
      <c r="J139" s="35" t="s">
        <v>2089</v>
      </c>
      <c r="K139" s="35" t="s">
        <v>2089</v>
      </c>
      <c r="L139" s="35" t="s">
        <v>2089</v>
      </c>
      <c r="M139" s="35" t="s">
        <v>2089</v>
      </c>
      <c r="N139" s="35" t="s">
        <v>2089</v>
      </c>
      <c r="O139" s="34" t="s">
        <v>2116</v>
      </c>
      <c r="P139" s="28"/>
      <c r="Q139" s="34" t="s">
        <v>2500</v>
      </c>
      <c r="R139" s="36"/>
      <c r="S139" s="37" t="str">
        <f t="shared" si="3"/>
        <v>#VALUE!</v>
      </c>
      <c r="T139" s="37"/>
      <c r="U139" s="37"/>
      <c r="V139" s="37"/>
      <c r="W139" s="37"/>
      <c r="X139" s="37"/>
      <c r="Y139" s="37"/>
      <c r="Z139" s="37"/>
      <c r="AA139" s="37"/>
      <c r="AB139" s="37"/>
    </row>
    <row r="140">
      <c r="A140" s="45"/>
      <c r="B140" s="46" t="s">
        <v>2415</v>
      </c>
      <c r="C140" s="46" t="s">
        <v>2232</v>
      </c>
      <c r="D140" s="47" t="s">
        <v>2519</v>
      </c>
      <c r="E140" s="48" t="s">
        <v>2260</v>
      </c>
      <c r="F140" s="34" t="s">
        <v>2520</v>
      </c>
      <c r="G140" s="34" t="s">
        <v>2134</v>
      </c>
      <c r="H140" s="34" t="s">
        <v>2119</v>
      </c>
      <c r="I140" s="34" t="s">
        <v>2286</v>
      </c>
      <c r="J140" s="35" t="s">
        <v>2089</v>
      </c>
      <c r="K140" s="35" t="s">
        <v>2089</v>
      </c>
      <c r="L140" s="35" t="s">
        <v>2089</v>
      </c>
      <c r="M140" s="35" t="s">
        <v>2089</v>
      </c>
      <c r="N140" s="35" t="s">
        <v>2089</v>
      </c>
      <c r="O140" s="34" t="s">
        <v>2249</v>
      </c>
      <c r="P140" s="28"/>
      <c r="Q140" s="34" t="s">
        <v>2139</v>
      </c>
      <c r="R140" s="36"/>
      <c r="S140" s="37" t="str">
        <f t="shared" si="3"/>
        <v>#VALUE!</v>
      </c>
      <c r="T140" s="37"/>
      <c r="U140" s="37"/>
      <c r="V140" s="37"/>
      <c r="W140" s="37"/>
      <c r="X140" s="37"/>
      <c r="Y140" s="37"/>
      <c r="Z140" s="37"/>
      <c r="AA140" s="37"/>
      <c r="AB140" s="37"/>
    </row>
    <row r="141">
      <c r="A141" s="45"/>
      <c r="B141" s="46" t="s">
        <v>2415</v>
      </c>
      <c r="C141" s="46" t="s">
        <v>2232</v>
      </c>
      <c r="D141" s="47" t="s">
        <v>2521</v>
      </c>
      <c r="E141" s="48" t="s">
        <v>2239</v>
      </c>
      <c r="F141" s="34" t="s">
        <v>2522</v>
      </c>
      <c r="G141" s="34" t="s">
        <v>2266</v>
      </c>
      <c r="H141" s="34" t="s">
        <v>2144</v>
      </c>
      <c r="I141" s="34" t="s">
        <v>2097</v>
      </c>
      <c r="J141" s="35" t="s">
        <v>2089</v>
      </c>
      <c r="K141" s="35" t="s">
        <v>2089</v>
      </c>
      <c r="L141" s="35" t="s">
        <v>2089</v>
      </c>
      <c r="M141" s="35" t="s">
        <v>2089</v>
      </c>
      <c r="N141" s="35" t="s">
        <v>2089</v>
      </c>
      <c r="O141" s="34" t="s">
        <v>2130</v>
      </c>
      <c r="P141" s="28"/>
      <c r="Q141" s="34" t="s">
        <v>2106</v>
      </c>
      <c r="R141" s="36"/>
      <c r="S141" s="37" t="str">
        <f t="shared" si="3"/>
        <v>#VALUE!</v>
      </c>
      <c r="T141" s="37"/>
      <c r="U141" s="37"/>
      <c r="V141" s="37"/>
      <c r="W141" s="37"/>
      <c r="X141" s="37"/>
      <c r="Y141" s="37"/>
      <c r="Z141" s="37"/>
      <c r="AA141" s="37"/>
      <c r="AB141" s="37"/>
    </row>
    <row r="142">
      <c r="A142" s="45"/>
      <c r="B142" s="46" t="s">
        <v>2415</v>
      </c>
      <c r="C142" s="46" t="s">
        <v>2232</v>
      </c>
      <c r="D142" s="47" t="s">
        <v>2523</v>
      </c>
      <c r="E142" s="48" t="s">
        <v>2220</v>
      </c>
      <c r="F142" s="34" t="s">
        <v>2524</v>
      </c>
      <c r="G142" s="34" t="s">
        <v>2345</v>
      </c>
      <c r="H142" s="34" t="s">
        <v>2138</v>
      </c>
      <c r="I142" s="34" t="s">
        <v>2103</v>
      </c>
      <c r="J142" s="35" t="s">
        <v>2089</v>
      </c>
      <c r="K142" s="35" t="s">
        <v>2089</v>
      </c>
      <c r="L142" s="35" t="s">
        <v>2089</v>
      </c>
      <c r="M142" s="35" t="s">
        <v>2089</v>
      </c>
      <c r="N142" s="35" t="s">
        <v>2089</v>
      </c>
      <c r="O142" s="34" t="s">
        <v>2112</v>
      </c>
      <c r="P142" s="28"/>
      <c r="Q142" s="34" t="s">
        <v>2500</v>
      </c>
      <c r="R142" s="36"/>
      <c r="S142" s="37" t="str">
        <f t="shared" si="3"/>
        <v>#VALUE!</v>
      </c>
      <c r="T142" s="37"/>
      <c r="U142" s="37"/>
      <c r="V142" s="37"/>
      <c r="W142" s="37"/>
      <c r="X142" s="37"/>
      <c r="Y142" s="37"/>
      <c r="Z142" s="37"/>
      <c r="AA142" s="37"/>
      <c r="AB142" s="37"/>
    </row>
    <row r="143">
      <c r="A143" s="45"/>
      <c r="B143" s="46" t="s">
        <v>2415</v>
      </c>
      <c r="C143" s="46" t="s">
        <v>2232</v>
      </c>
      <c r="D143" s="47" t="s">
        <v>2525</v>
      </c>
      <c r="E143" s="48" t="s">
        <v>2526</v>
      </c>
      <c r="F143" s="34" t="s">
        <v>2527</v>
      </c>
      <c r="G143" s="34" t="s">
        <v>2477</v>
      </c>
      <c r="H143" s="34" t="s">
        <v>2088</v>
      </c>
      <c r="I143" s="34" t="s">
        <v>2145</v>
      </c>
      <c r="J143" s="35" t="s">
        <v>2089</v>
      </c>
      <c r="K143" s="35" t="s">
        <v>2089</v>
      </c>
      <c r="L143" s="35" t="s">
        <v>2089</v>
      </c>
      <c r="M143" s="35" t="s">
        <v>2089</v>
      </c>
      <c r="N143" s="35" t="s">
        <v>2089</v>
      </c>
      <c r="O143" s="34" t="s">
        <v>2181</v>
      </c>
      <c r="P143" s="28"/>
      <c r="Q143" s="34" t="s">
        <v>2158</v>
      </c>
      <c r="R143" s="36"/>
      <c r="S143" s="37" t="str">
        <f t="shared" si="3"/>
        <v>#VALUE!</v>
      </c>
      <c r="T143" s="37"/>
      <c r="U143" s="37"/>
      <c r="V143" s="37"/>
      <c r="W143" s="37"/>
      <c r="X143" s="37"/>
      <c r="Y143" s="37"/>
      <c r="Z143" s="37"/>
      <c r="AA143" s="37"/>
      <c r="AB143" s="37"/>
    </row>
    <row r="144">
      <c r="A144" s="49"/>
      <c r="B144" s="32" t="s">
        <v>2528</v>
      </c>
      <c r="C144" s="32" t="s">
        <v>2529</v>
      </c>
      <c r="D144" s="33" t="s">
        <v>2530</v>
      </c>
      <c r="E144" s="34" t="s">
        <v>2221</v>
      </c>
      <c r="F144" s="34" t="s">
        <v>2531</v>
      </c>
      <c r="G144" s="34" t="s">
        <v>2532</v>
      </c>
      <c r="H144" s="34" t="s">
        <v>2288</v>
      </c>
      <c r="I144" s="34" t="s">
        <v>2205</v>
      </c>
      <c r="J144" s="35" t="s">
        <v>2089</v>
      </c>
      <c r="K144" s="35" t="s">
        <v>2089</v>
      </c>
      <c r="L144" s="35" t="s">
        <v>2089</v>
      </c>
      <c r="M144" s="35" t="s">
        <v>2089</v>
      </c>
      <c r="N144" s="35" t="s">
        <v>2089</v>
      </c>
      <c r="O144" s="34" t="s">
        <v>2533</v>
      </c>
      <c r="P144" s="28"/>
      <c r="Q144" s="34" t="s">
        <v>2262</v>
      </c>
      <c r="R144" s="36"/>
      <c r="S144" s="37" t="str">
        <f t="shared" si="3"/>
        <v>#VALUE!</v>
      </c>
      <c r="T144" s="37"/>
      <c r="U144" s="37"/>
      <c r="V144" s="37"/>
      <c r="W144" s="37"/>
      <c r="X144" s="37"/>
      <c r="Y144" s="37"/>
      <c r="Z144" s="37"/>
      <c r="AA144" s="37"/>
      <c r="AB144" s="37"/>
    </row>
    <row r="145">
      <c r="A145" s="49"/>
      <c r="B145" s="32" t="s">
        <v>2528</v>
      </c>
      <c r="C145" s="32" t="s">
        <v>2534</v>
      </c>
      <c r="D145" s="33" t="s">
        <v>2535</v>
      </c>
      <c r="E145" s="34" t="s">
        <v>2286</v>
      </c>
      <c r="F145" s="34" t="s">
        <v>2536</v>
      </c>
      <c r="G145" s="34" t="s">
        <v>2103</v>
      </c>
      <c r="H145" s="34" t="s">
        <v>2217</v>
      </c>
      <c r="I145" s="34" t="s">
        <v>2091</v>
      </c>
      <c r="J145" s="35" t="s">
        <v>2089</v>
      </c>
      <c r="K145" s="35" t="s">
        <v>2089</v>
      </c>
      <c r="L145" s="35" t="s">
        <v>2089</v>
      </c>
      <c r="M145" s="35" t="s">
        <v>2089</v>
      </c>
      <c r="N145" s="35" t="s">
        <v>2089</v>
      </c>
      <c r="O145" s="34" t="s">
        <v>2155</v>
      </c>
      <c r="P145" s="28"/>
      <c r="Q145" s="34" t="s">
        <v>2295</v>
      </c>
      <c r="R145" s="36"/>
      <c r="S145" s="37" t="str">
        <f t="shared" si="3"/>
        <v>#VALUE!</v>
      </c>
      <c r="T145" s="37"/>
      <c r="U145" s="37"/>
      <c r="V145" s="37"/>
      <c r="W145" s="37"/>
      <c r="X145" s="37"/>
      <c r="Y145" s="37"/>
      <c r="Z145" s="37"/>
      <c r="AA145" s="37"/>
      <c r="AB145" s="37"/>
    </row>
    <row r="146">
      <c r="A146" s="50"/>
      <c r="B146" s="32" t="s">
        <v>2537</v>
      </c>
      <c r="C146" s="32" t="s">
        <v>2082</v>
      </c>
      <c r="D146" s="33" t="s">
        <v>2538</v>
      </c>
      <c r="E146" s="34" t="s">
        <v>2136</v>
      </c>
      <c r="F146" s="34" t="s">
        <v>2128</v>
      </c>
      <c r="G146" s="34" t="s">
        <v>2103</v>
      </c>
      <c r="H146" s="34" t="s">
        <v>2117</v>
      </c>
      <c r="I146" s="34" t="s">
        <v>2089</v>
      </c>
      <c r="J146" s="35" t="s">
        <v>2089</v>
      </c>
      <c r="K146" s="35" t="s">
        <v>2089</v>
      </c>
      <c r="L146" s="35" t="s">
        <v>2089</v>
      </c>
      <c r="M146" s="34" t="s">
        <v>2155</v>
      </c>
      <c r="N146" s="35" t="s">
        <v>2089</v>
      </c>
      <c r="O146" s="34" t="s">
        <v>2155</v>
      </c>
      <c r="P146" s="28"/>
      <c r="Q146" s="34" t="s">
        <v>2106</v>
      </c>
      <c r="R146" s="36"/>
      <c r="S146" s="37" t="str">
        <f t="shared" si="3"/>
        <v>#VALUE!</v>
      </c>
      <c r="T146" s="37"/>
      <c r="U146" s="37"/>
      <c r="V146" s="37"/>
      <c r="W146" s="37"/>
      <c r="X146" s="37"/>
      <c r="Y146" s="37"/>
      <c r="Z146" s="37"/>
      <c r="AA146" s="37"/>
      <c r="AB146" s="37"/>
    </row>
    <row r="147">
      <c r="A147" s="51"/>
      <c r="B147" s="32" t="s">
        <v>2539</v>
      </c>
      <c r="C147" s="32" t="s">
        <v>2540</v>
      </c>
      <c r="D147" s="33" t="s">
        <v>2541</v>
      </c>
      <c r="E147" s="34" t="s">
        <v>2308</v>
      </c>
      <c r="F147" s="34" t="s">
        <v>2482</v>
      </c>
      <c r="G147" s="34" t="s">
        <v>2338</v>
      </c>
      <c r="H147" s="34" t="s">
        <v>2214</v>
      </c>
      <c r="I147" s="34" t="s">
        <v>2291</v>
      </c>
      <c r="J147" s="35" t="s">
        <v>2089</v>
      </c>
      <c r="K147" s="35" t="s">
        <v>2089</v>
      </c>
      <c r="L147" s="35" t="s">
        <v>2089</v>
      </c>
      <c r="M147" s="35" t="s">
        <v>2089</v>
      </c>
      <c r="N147" s="35" t="s">
        <v>2089</v>
      </c>
      <c r="O147" s="34" t="s">
        <v>2178</v>
      </c>
      <c r="P147" s="28"/>
      <c r="Q147" s="34" t="s">
        <v>2310</v>
      </c>
      <c r="R147" s="36"/>
      <c r="S147" s="37" t="str">
        <f t="shared" si="3"/>
        <v>#VALUE!</v>
      </c>
      <c r="T147" s="37"/>
      <c r="U147" s="37"/>
      <c r="V147" s="37"/>
      <c r="W147" s="37"/>
      <c r="X147" s="37"/>
      <c r="Y147" s="37"/>
      <c r="Z147" s="37"/>
      <c r="AA147" s="37"/>
      <c r="AB147" s="37"/>
    </row>
    <row r="148">
      <c r="A148" s="51"/>
      <c r="B148" s="32" t="s">
        <v>2539</v>
      </c>
      <c r="C148" s="32" t="s">
        <v>2540</v>
      </c>
      <c r="D148" s="33" t="s">
        <v>2542</v>
      </c>
      <c r="E148" s="34" t="s">
        <v>2308</v>
      </c>
      <c r="F148" s="34" t="s">
        <v>2543</v>
      </c>
      <c r="G148" s="34" t="s">
        <v>2338</v>
      </c>
      <c r="H148" s="34" t="s">
        <v>2097</v>
      </c>
      <c r="I148" s="34" t="s">
        <v>2105</v>
      </c>
      <c r="J148" s="35" t="s">
        <v>2089</v>
      </c>
      <c r="K148" s="35" t="s">
        <v>2089</v>
      </c>
      <c r="L148" s="35" t="s">
        <v>2089</v>
      </c>
      <c r="M148" s="35" t="s">
        <v>2089</v>
      </c>
      <c r="N148" s="35" t="s">
        <v>2089</v>
      </c>
      <c r="O148" s="34" t="s">
        <v>2209</v>
      </c>
      <c r="P148" s="28"/>
      <c r="Q148" s="34" t="s">
        <v>2310</v>
      </c>
      <c r="R148" s="36">
        <v>-0.07</v>
      </c>
      <c r="S148" s="37" t="str">
        <f t="shared" si="3"/>
        <v>#VALUE!</v>
      </c>
      <c r="T148" s="37"/>
      <c r="U148" s="37"/>
      <c r="V148" s="37"/>
      <c r="W148" s="37"/>
      <c r="X148" s="37"/>
      <c r="Y148" s="37"/>
      <c r="Z148" s="37"/>
      <c r="AA148" s="37"/>
      <c r="AB148" s="37"/>
    </row>
    <row r="149">
      <c r="A149" s="51"/>
      <c r="B149" s="32" t="s">
        <v>2539</v>
      </c>
      <c r="C149" s="32" t="s">
        <v>2544</v>
      </c>
      <c r="D149" s="33" t="s">
        <v>2545</v>
      </c>
      <c r="E149" s="34" t="s">
        <v>2468</v>
      </c>
      <c r="F149" s="34" t="s">
        <v>2546</v>
      </c>
      <c r="G149" s="34" t="s">
        <v>2141</v>
      </c>
      <c r="H149" s="34" t="s">
        <v>2128</v>
      </c>
      <c r="I149" s="34" t="s">
        <v>2156</v>
      </c>
      <c r="J149" s="35" t="s">
        <v>2089</v>
      </c>
      <c r="K149" s="35" t="s">
        <v>2089</v>
      </c>
      <c r="L149" s="35" t="s">
        <v>2089</v>
      </c>
      <c r="M149" s="35" t="s">
        <v>2089</v>
      </c>
      <c r="N149" s="35" t="s">
        <v>2089</v>
      </c>
      <c r="O149" s="34" t="s">
        <v>2294</v>
      </c>
      <c r="P149" s="28"/>
      <c r="Q149" s="34" t="s">
        <v>2252</v>
      </c>
      <c r="R149" s="36">
        <v>0.08</v>
      </c>
      <c r="S149" s="37" t="str">
        <f t="shared" si="3"/>
        <v>#VALUE!</v>
      </c>
      <c r="T149" s="37"/>
      <c r="U149" s="37"/>
      <c r="V149" s="37"/>
      <c r="W149" s="37"/>
      <c r="X149" s="37"/>
      <c r="Y149" s="37"/>
      <c r="Z149" s="37"/>
      <c r="AA149" s="37"/>
      <c r="AB149" s="37"/>
    </row>
    <row r="150">
      <c r="A150" s="52"/>
      <c r="B150" s="53" t="s">
        <v>2547</v>
      </c>
      <c r="C150" s="28"/>
      <c r="D150" s="54" t="s">
        <v>2548</v>
      </c>
      <c r="E150" s="55" t="s">
        <v>2549</v>
      </c>
      <c r="F150" s="55" t="s">
        <v>2550</v>
      </c>
      <c r="G150" s="28"/>
      <c r="H150" s="56"/>
      <c r="I150" s="56"/>
      <c r="J150" s="56"/>
      <c r="K150" s="56"/>
      <c r="L150" s="56"/>
      <c r="M150" s="56"/>
      <c r="N150" s="56"/>
      <c r="O150" s="56"/>
      <c r="P150" s="28"/>
      <c r="Q150" s="56"/>
      <c r="R150" s="53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</row>
    <row r="151">
      <c r="A151" s="58"/>
      <c r="B151" s="53" t="s">
        <v>2551</v>
      </c>
      <c r="C151" s="28"/>
      <c r="D151" s="54" t="s">
        <v>2552</v>
      </c>
      <c r="E151" s="55" t="s">
        <v>2474</v>
      </c>
      <c r="F151" s="55" t="s">
        <v>2553</v>
      </c>
      <c r="G151" s="28"/>
      <c r="H151" s="56"/>
      <c r="I151" s="56"/>
      <c r="J151" s="56"/>
      <c r="K151" s="56"/>
      <c r="L151" s="56"/>
      <c r="M151" s="56"/>
      <c r="N151" s="56"/>
      <c r="O151" s="56"/>
      <c r="P151" s="28"/>
      <c r="Q151" s="56"/>
      <c r="R151" s="53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</row>
    <row r="152">
      <c r="A152" s="58"/>
      <c r="B152" s="53" t="s">
        <v>2340</v>
      </c>
      <c r="C152" s="53"/>
      <c r="D152" s="54" t="s">
        <v>2554</v>
      </c>
      <c r="E152" s="55" t="s">
        <v>2266</v>
      </c>
      <c r="F152" s="55" t="s">
        <v>2141</v>
      </c>
      <c r="G152" s="28"/>
      <c r="H152" s="56"/>
      <c r="I152" s="56"/>
      <c r="J152" s="56"/>
      <c r="K152" s="56"/>
      <c r="L152" s="56"/>
      <c r="M152" s="56"/>
      <c r="N152" s="56"/>
      <c r="O152" s="56"/>
      <c r="P152" s="28"/>
      <c r="Q152" s="56"/>
      <c r="R152" s="53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</row>
    <row r="153">
      <c r="A153" s="59"/>
      <c r="B153" s="53"/>
      <c r="C153" s="53"/>
      <c r="D153" s="54"/>
      <c r="E153" s="60"/>
      <c r="F153" s="56"/>
      <c r="G153" s="60"/>
      <c r="H153" s="56"/>
      <c r="I153" s="56"/>
      <c r="J153" s="56"/>
      <c r="K153" s="56"/>
      <c r="L153" s="56"/>
      <c r="M153" s="56"/>
      <c r="N153" s="56"/>
      <c r="O153" s="56"/>
      <c r="P153" s="28"/>
      <c r="Q153" s="56"/>
      <c r="R153" s="53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</row>
    <row r="154">
      <c r="A154" s="61"/>
      <c r="B154" s="61"/>
      <c r="C154" s="61"/>
      <c r="D154" s="61"/>
      <c r="E154" s="62"/>
      <c r="F154" s="56"/>
      <c r="G154" s="62"/>
      <c r="H154" s="63"/>
      <c r="I154" s="63"/>
      <c r="J154" s="63"/>
      <c r="K154" s="63"/>
      <c r="L154" s="63"/>
      <c r="M154" s="63"/>
      <c r="N154" s="63"/>
      <c r="O154" s="63"/>
      <c r="P154" s="28"/>
      <c r="Q154" s="63"/>
      <c r="R154" s="59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</row>
    <row r="155">
      <c r="A155" s="61"/>
      <c r="B155" s="61"/>
      <c r="C155" s="61"/>
      <c r="D155" s="61"/>
      <c r="E155" s="62"/>
      <c r="F155" s="64"/>
      <c r="G155" s="62"/>
      <c r="H155" s="64"/>
      <c r="I155" s="64"/>
      <c r="J155" s="64"/>
      <c r="K155" s="64"/>
      <c r="L155" s="64"/>
      <c r="M155" s="64"/>
      <c r="N155" s="64"/>
      <c r="O155" s="64"/>
      <c r="P155" s="28"/>
      <c r="Q155" s="64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</row>
    <row r="156">
      <c r="A156" s="61"/>
      <c r="B156" s="61"/>
      <c r="C156" s="61"/>
      <c r="D156" s="61"/>
      <c r="E156" s="62"/>
      <c r="F156" s="65"/>
      <c r="G156" s="62"/>
      <c r="H156" s="65"/>
      <c r="I156" s="65"/>
      <c r="J156" s="65"/>
      <c r="K156" s="65"/>
      <c r="L156" s="65"/>
      <c r="M156" s="65"/>
      <c r="N156" s="65"/>
      <c r="O156" s="65"/>
      <c r="P156" s="28"/>
      <c r="Q156" s="65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</row>
    <row r="157">
      <c r="A157" s="65"/>
      <c r="B157" s="66"/>
      <c r="C157" s="66"/>
      <c r="D157" s="67"/>
      <c r="E157" s="68"/>
      <c r="F157" s="65"/>
      <c r="G157" s="68"/>
      <c r="H157" s="65"/>
      <c r="I157" s="65"/>
      <c r="J157" s="65"/>
      <c r="K157" s="65"/>
      <c r="L157" s="65"/>
      <c r="M157" s="65"/>
      <c r="N157" s="65"/>
      <c r="O157" s="65"/>
      <c r="P157" s="28"/>
      <c r="Q157" s="65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</row>
    <row r="158">
      <c r="A158" s="57"/>
      <c r="B158" s="65"/>
      <c r="C158" s="66"/>
      <c r="D158" s="69"/>
      <c r="E158" s="68"/>
      <c r="F158" s="65"/>
      <c r="G158" s="68"/>
      <c r="H158" s="65"/>
      <c r="I158" s="65"/>
      <c r="J158" s="65"/>
      <c r="K158" s="65"/>
      <c r="L158" s="65"/>
      <c r="M158" s="65"/>
      <c r="N158" s="65"/>
      <c r="O158" s="65"/>
      <c r="P158" s="28"/>
      <c r="Q158" s="65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</row>
    <row r="159">
      <c r="A159" s="57"/>
      <c r="B159" s="65"/>
      <c r="C159" s="66"/>
      <c r="D159" s="69"/>
      <c r="E159" s="68"/>
      <c r="F159" s="65"/>
      <c r="G159" s="68"/>
      <c r="H159" s="65"/>
      <c r="I159" s="65"/>
      <c r="J159" s="65"/>
      <c r="K159" s="65"/>
      <c r="L159" s="65"/>
      <c r="M159" s="65"/>
      <c r="N159" s="65"/>
      <c r="O159" s="65"/>
      <c r="P159" s="28"/>
      <c r="Q159" s="65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</row>
    <row r="160">
      <c r="A160" s="57"/>
      <c r="B160" s="57"/>
      <c r="C160" s="57"/>
      <c r="D160" s="70"/>
      <c r="E160" s="71"/>
      <c r="F160" s="57"/>
      <c r="G160" s="71"/>
      <c r="H160" s="57"/>
      <c r="I160" s="57"/>
      <c r="J160" s="57"/>
      <c r="K160" s="57"/>
      <c r="L160" s="57"/>
      <c r="M160" s="57"/>
      <c r="N160" s="57"/>
      <c r="O160" s="57"/>
      <c r="P160" s="28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</row>
    <row r="161">
      <c r="A161" s="57"/>
      <c r="B161" s="57"/>
      <c r="C161" s="57"/>
      <c r="D161" s="70"/>
      <c r="E161" s="71"/>
      <c r="F161" s="57"/>
      <c r="G161" s="71"/>
      <c r="H161" s="57"/>
      <c r="I161" s="57"/>
      <c r="J161" s="57"/>
      <c r="K161" s="57"/>
      <c r="L161" s="57"/>
      <c r="M161" s="57"/>
      <c r="N161" s="57"/>
      <c r="O161" s="57"/>
      <c r="P161" s="28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</row>
    <row r="162">
      <c r="A162" s="57"/>
      <c r="B162" s="57"/>
      <c r="C162" s="57"/>
      <c r="D162" s="70"/>
      <c r="E162" s="71"/>
      <c r="F162" s="57"/>
      <c r="G162" s="71"/>
      <c r="H162" s="57"/>
      <c r="I162" s="57"/>
      <c r="J162" s="57"/>
      <c r="K162" s="57"/>
      <c r="L162" s="57"/>
      <c r="M162" s="57"/>
      <c r="N162" s="57"/>
      <c r="O162" s="57"/>
      <c r="P162" s="28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</row>
    <row r="163">
      <c r="A163" s="57"/>
      <c r="B163" s="57"/>
      <c r="C163" s="57"/>
      <c r="D163" s="70"/>
      <c r="E163" s="71"/>
      <c r="F163" s="57"/>
      <c r="G163" s="71"/>
      <c r="H163" s="57"/>
      <c r="I163" s="57"/>
      <c r="J163" s="57"/>
      <c r="K163" s="57"/>
      <c r="L163" s="57"/>
      <c r="M163" s="57"/>
      <c r="N163" s="57"/>
      <c r="O163" s="57"/>
      <c r="P163" s="28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</row>
    <row r="164">
      <c r="A164" s="57"/>
      <c r="B164" s="57"/>
      <c r="C164" s="57"/>
      <c r="D164" s="70"/>
      <c r="E164" s="71"/>
      <c r="F164" s="57"/>
      <c r="G164" s="71"/>
      <c r="H164" s="57"/>
      <c r="I164" s="57"/>
      <c r="J164" s="57"/>
      <c r="K164" s="57"/>
      <c r="L164" s="57"/>
      <c r="M164" s="57"/>
      <c r="N164" s="57"/>
      <c r="O164" s="57"/>
      <c r="P164" s="28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</row>
    <row r="165">
      <c r="A165" s="57"/>
      <c r="B165" s="57"/>
      <c r="C165" s="57"/>
      <c r="D165" s="70"/>
      <c r="E165" s="71"/>
      <c r="F165" s="57"/>
      <c r="G165" s="71"/>
      <c r="H165" s="57"/>
      <c r="I165" s="57"/>
      <c r="J165" s="57"/>
      <c r="K165" s="57"/>
      <c r="L165" s="57"/>
      <c r="M165" s="57"/>
      <c r="N165" s="57"/>
      <c r="O165" s="57"/>
      <c r="P165" s="28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</row>
    <row r="166">
      <c r="A166" s="57"/>
      <c r="B166" s="57"/>
      <c r="C166" s="57"/>
      <c r="D166" s="70"/>
      <c r="E166" s="71"/>
      <c r="F166" s="57"/>
      <c r="G166" s="71"/>
      <c r="H166" s="57"/>
      <c r="I166" s="57"/>
      <c r="J166" s="57"/>
      <c r="K166" s="57"/>
      <c r="L166" s="57"/>
      <c r="M166" s="57"/>
      <c r="N166" s="57"/>
      <c r="O166" s="57"/>
      <c r="P166" s="28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</row>
    <row r="167">
      <c r="A167" s="57"/>
      <c r="B167" s="57"/>
      <c r="C167" s="57"/>
      <c r="D167" s="70"/>
      <c r="E167" s="71"/>
      <c r="F167" s="57"/>
      <c r="G167" s="71"/>
      <c r="H167" s="57"/>
      <c r="I167" s="57"/>
      <c r="J167" s="57"/>
      <c r="K167" s="57"/>
      <c r="L167" s="57"/>
      <c r="M167" s="57"/>
      <c r="N167" s="57"/>
      <c r="O167" s="57"/>
      <c r="P167" s="28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</row>
    <row r="168">
      <c r="A168" s="57"/>
      <c r="B168" s="57"/>
      <c r="C168" s="57"/>
      <c r="D168" s="70"/>
      <c r="E168" s="71"/>
      <c r="F168" s="57"/>
      <c r="G168" s="71"/>
      <c r="H168" s="57"/>
      <c r="I168" s="57"/>
      <c r="J168" s="57"/>
      <c r="K168" s="57"/>
      <c r="L168" s="57"/>
      <c r="M168" s="57"/>
      <c r="N168" s="57"/>
      <c r="O168" s="57"/>
      <c r="P168" s="28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</row>
    <row r="169">
      <c r="A169" s="57"/>
      <c r="B169" s="57"/>
      <c r="C169" s="57"/>
      <c r="D169" s="70"/>
      <c r="E169" s="71"/>
      <c r="F169" s="57"/>
      <c r="G169" s="71"/>
      <c r="H169" s="57"/>
      <c r="I169" s="57"/>
      <c r="J169" s="57"/>
      <c r="K169" s="57"/>
      <c r="L169" s="57"/>
      <c r="M169" s="57"/>
      <c r="N169" s="57"/>
      <c r="O169" s="57"/>
      <c r="P169" s="28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</row>
    <row r="170">
      <c r="A170" s="57"/>
      <c r="B170" s="57"/>
      <c r="C170" s="57"/>
      <c r="D170" s="70"/>
      <c r="E170" s="71"/>
      <c r="F170" s="57"/>
      <c r="G170" s="71"/>
      <c r="H170" s="57"/>
      <c r="I170" s="57"/>
      <c r="J170" s="57"/>
      <c r="K170" s="57"/>
      <c r="L170" s="57"/>
      <c r="M170" s="57"/>
      <c r="N170" s="57"/>
      <c r="O170" s="57"/>
      <c r="P170" s="28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</row>
    <row r="171">
      <c r="A171" s="57"/>
      <c r="B171" s="57"/>
      <c r="C171" s="57"/>
      <c r="D171" s="70"/>
      <c r="E171" s="71"/>
      <c r="F171" s="57"/>
      <c r="G171" s="71"/>
      <c r="H171" s="57"/>
      <c r="I171" s="57"/>
      <c r="J171" s="57"/>
      <c r="K171" s="57"/>
      <c r="L171" s="57"/>
      <c r="M171" s="57"/>
      <c r="N171" s="57"/>
      <c r="O171" s="57"/>
      <c r="P171" s="28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</row>
    <row r="172">
      <c r="A172" s="57"/>
      <c r="B172" s="57"/>
      <c r="C172" s="57"/>
      <c r="D172" s="70"/>
      <c r="E172" s="71"/>
      <c r="F172" s="57"/>
      <c r="G172" s="71"/>
      <c r="H172" s="57"/>
      <c r="I172" s="57"/>
      <c r="J172" s="57"/>
      <c r="K172" s="57"/>
      <c r="L172" s="57"/>
      <c r="M172" s="57"/>
      <c r="N172" s="57"/>
      <c r="O172" s="57"/>
      <c r="P172" s="28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</row>
    <row r="173">
      <c r="A173" s="57"/>
      <c r="B173" s="57"/>
      <c r="C173" s="57"/>
      <c r="D173" s="70"/>
      <c r="E173" s="71"/>
      <c r="F173" s="57"/>
      <c r="G173" s="71"/>
      <c r="H173" s="57"/>
      <c r="I173" s="57"/>
      <c r="J173" s="57"/>
      <c r="K173" s="57"/>
      <c r="L173" s="57"/>
      <c r="M173" s="57"/>
      <c r="N173" s="57"/>
      <c r="O173" s="57"/>
      <c r="P173" s="28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</row>
    <row r="174">
      <c r="A174" s="57"/>
      <c r="B174" s="57"/>
      <c r="C174" s="57"/>
      <c r="D174" s="70"/>
      <c r="E174" s="71"/>
      <c r="F174" s="57"/>
      <c r="G174" s="71"/>
      <c r="H174" s="57"/>
      <c r="I174" s="57"/>
      <c r="J174" s="57"/>
      <c r="K174" s="57"/>
      <c r="L174" s="57"/>
      <c r="M174" s="57"/>
      <c r="N174" s="57"/>
      <c r="O174" s="57"/>
      <c r="P174" s="28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</row>
    <row r="175">
      <c r="A175" s="57"/>
      <c r="B175" s="57"/>
      <c r="C175" s="57"/>
      <c r="D175" s="70"/>
      <c r="E175" s="71"/>
      <c r="F175" s="57"/>
      <c r="G175" s="71"/>
      <c r="H175" s="57"/>
      <c r="I175" s="57"/>
      <c r="J175" s="57"/>
      <c r="K175" s="57"/>
      <c r="L175" s="57"/>
      <c r="M175" s="57"/>
      <c r="N175" s="57"/>
      <c r="O175" s="57"/>
      <c r="P175" s="28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</row>
    <row r="176">
      <c r="A176" s="57"/>
      <c r="B176" s="57"/>
      <c r="C176" s="57"/>
      <c r="D176" s="70"/>
      <c r="E176" s="71"/>
      <c r="F176" s="57"/>
      <c r="G176" s="71"/>
      <c r="H176" s="57"/>
      <c r="I176" s="57"/>
      <c r="J176" s="57"/>
      <c r="K176" s="57"/>
      <c r="L176" s="57"/>
      <c r="M176" s="57"/>
      <c r="N176" s="57"/>
      <c r="O176" s="57"/>
      <c r="P176" s="28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</row>
    <row r="177">
      <c r="A177" s="57"/>
      <c r="B177" s="57"/>
      <c r="C177" s="57"/>
      <c r="D177" s="70"/>
      <c r="E177" s="71"/>
      <c r="F177" s="57"/>
      <c r="G177" s="71"/>
      <c r="H177" s="57"/>
      <c r="I177" s="57"/>
      <c r="J177" s="57"/>
      <c r="K177" s="57"/>
      <c r="L177" s="57"/>
      <c r="M177" s="57"/>
      <c r="N177" s="57"/>
      <c r="O177" s="57"/>
      <c r="P177" s="28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</row>
    <row r="178">
      <c r="A178" s="57"/>
      <c r="B178" s="57"/>
      <c r="C178" s="57"/>
      <c r="D178" s="70"/>
      <c r="E178" s="71"/>
      <c r="F178" s="57"/>
      <c r="G178" s="71"/>
      <c r="H178" s="57"/>
      <c r="I178" s="57"/>
      <c r="J178" s="57"/>
      <c r="K178" s="57"/>
      <c r="L178" s="57"/>
      <c r="M178" s="57"/>
      <c r="N178" s="57"/>
      <c r="O178" s="57"/>
      <c r="P178" s="28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</row>
    <row r="179">
      <c r="A179" s="57"/>
      <c r="B179" s="57"/>
      <c r="C179" s="57"/>
      <c r="D179" s="70"/>
      <c r="E179" s="71"/>
      <c r="F179" s="57"/>
      <c r="G179" s="71"/>
      <c r="H179" s="57"/>
      <c r="I179" s="57"/>
      <c r="J179" s="57"/>
      <c r="K179" s="57"/>
      <c r="L179" s="57"/>
      <c r="M179" s="57"/>
      <c r="N179" s="57"/>
      <c r="O179" s="57"/>
      <c r="P179" s="28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</row>
    <row r="180">
      <c r="A180" s="57"/>
      <c r="B180" s="57"/>
      <c r="C180" s="57"/>
      <c r="D180" s="70"/>
      <c r="E180" s="71"/>
      <c r="F180" s="57"/>
      <c r="G180" s="71"/>
      <c r="H180" s="57"/>
      <c r="I180" s="57"/>
      <c r="J180" s="57"/>
      <c r="K180" s="57"/>
      <c r="L180" s="57"/>
      <c r="M180" s="57"/>
      <c r="N180" s="57"/>
      <c r="O180" s="57"/>
      <c r="P180" s="28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</row>
    <row r="181">
      <c r="A181" s="57"/>
      <c r="B181" s="57"/>
      <c r="C181" s="57"/>
      <c r="D181" s="70"/>
      <c r="E181" s="71"/>
      <c r="F181" s="57"/>
      <c r="G181" s="71"/>
      <c r="H181" s="57"/>
      <c r="I181" s="57"/>
      <c r="J181" s="57"/>
      <c r="K181" s="57"/>
      <c r="L181" s="57"/>
      <c r="M181" s="57"/>
      <c r="N181" s="57"/>
      <c r="O181" s="57"/>
      <c r="P181" s="28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</row>
    <row r="182">
      <c r="A182" s="57"/>
      <c r="B182" s="57"/>
      <c r="C182" s="57"/>
      <c r="D182" s="70"/>
      <c r="E182" s="71"/>
      <c r="F182" s="57"/>
      <c r="G182" s="71"/>
      <c r="H182" s="57"/>
      <c r="I182" s="57"/>
      <c r="J182" s="57"/>
      <c r="K182" s="57"/>
      <c r="L182" s="57"/>
      <c r="M182" s="57"/>
      <c r="N182" s="57"/>
      <c r="O182" s="57"/>
      <c r="P182" s="28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</row>
    <row r="183">
      <c r="A183" s="57"/>
      <c r="B183" s="57"/>
      <c r="C183" s="57"/>
      <c r="D183" s="70"/>
      <c r="E183" s="71"/>
      <c r="F183" s="57"/>
      <c r="G183" s="71"/>
      <c r="H183" s="57"/>
      <c r="I183" s="57"/>
      <c r="J183" s="57"/>
      <c r="K183" s="57"/>
      <c r="L183" s="57"/>
      <c r="M183" s="57"/>
      <c r="N183" s="57"/>
      <c r="O183" s="57"/>
      <c r="P183" s="28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</row>
    <row r="184">
      <c r="A184" s="57"/>
      <c r="B184" s="57"/>
      <c r="C184" s="57"/>
      <c r="D184" s="70"/>
      <c r="E184" s="71"/>
      <c r="F184" s="57"/>
      <c r="G184" s="71"/>
      <c r="H184" s="57"/>
      <c r="I184" s="57"/>
      <c r="J184" s="57"/>
      <c r="K184" s="57"/>
      <c r="L184" s="57"/>
      <c r="M184" s="57"/>
      <c r="N184" s="57"/>
      <c r="O184" s="57"/>
      <c r="P184" s="28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</row>
    <row r="185">
      <c r="A185" s="57"/>
      <c r="B185" s="57"/>
      <c r="C185" s="57"/>
      <c r="D185" s="70"/>
      <c r="E185" s="71"/>
      <c r="F185" s="57"/>
      <c r="G185" s="71"/>
      <c r="H185" s="57"/>
      <c r="I185" s="57"/>
      <c r="J185" s="57"/>
      <c r="K185" s="57"/>
      <c r="L185" s="57"/>
      <c r="M185" s="57"/>
      <c r="N185" s="57"/>
      <c r="O185" s="57"/>
      <c r="P185" s="28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</row>
    <row r="186">
      <c r="A186" s="57"/>
      <c r="B186" s="61"/>
      <c r="C186" s="61"/>
      <c r="D186" s="61"/>
      <c r="E186" s="62"/>
      <c r="F186" s="57"/>
      <c r="G186" s="62"/>
      <c r="H186" s="57"/>
      <c r="I186" s="57"/>
      <c r="J186" s="57"/>
      <c r="K186" s="57"/>
      <c r="L186" s="57"/>
      <c r="M186" s="57"/>
      <c r="N186" s="57"/>
      <c r="O186" s="57"/>
      <c r="P186" s="28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</row>
    <row r="187">
      <c r="A187" s="57"/>
      <c r="B187" s="61"/>
      <c r="C187" s="61"/>
      <c r="D187" s="61"/>
      <c r="E187" s="62"/>
      <c r="F187" s="57"/>
      <c r="G187" s="62"/>
      <c r="H187" s="57"/>
      <c r="I187" s="57"/>
      <c r="J187" s="57"/>
      <c r="K187" s="57"/>
      <c r="L187" s="57"/>
      <c r="M187" s="57"/>
      <c r="N187" s="57"/>
      <c r="O187" s="57"/>
      <c r="P187" s="28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</row>
    <row r="188">
      <c r="A188" s="57"/>
      <c r="B188" s="61"/>
      <c r="C188" s="61"/>
      <c r="D188" s="61"/>
      <c r="E188" s="62"/>
      <c r="F188" s="57"/>
      <c r="G188" s="62"/>
      <c r="H188" s="57"/>
      <c r="I188" s="57"/>
      <c r="J188" s="57"/>
      <c r="K188" s="57"/>
      <c r="L188" s="57"/>
      <c r="M188" s="57"/>
      <c r="N188" s="57"/>
      <c r="O188" s="57"/>
      <c r="P188" s="28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</row>
    <row r="189">
      <c r="A189" s="57"/>
      <c r="B189" s="57"/>
      <c r="C189" s="57"/>
      <c r="D189" s="70"/>
      <c r="E189" s="71"/>
      <c r="F189" s="57"/>
      <c r="G189" s="71"/>
      <c r="H189" s="57"/>
      <c r="I189" s="57"/>
      <c r="J189" s="57"/>
      <c r="K189" s="57"/>
      <c r="L189" s="57"/>
      <c r="M189" s="57"/>
      <c r="N189" s="57"/>
      <c r="O189" s="57"/>
      <c r="P189" s="28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</row>
    <row r="190">
      <c r="A190" s="57"/>
      <c r="B190" s="57"/>
      <c r="C190" s="57"/>
      <c r="D190" s="70"/>
      <c r="E190" s="71"/>
      <c r="F190" s="57"/>
      <c r="G190" s="71"/>
      <c r="H190" s="57"/>
      <c r="I190" s="57"/>
      <c r="J190" s="57"/>
      <c r="K190" s="57"/>
      <c r="L190" s="57"/>
      <c r="M190" s="57"/>
      <c r="N190" s="57"/>
      <c r="O190" s="57"/>
      <c r="P190" s="28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</row>
    <row r="191">
      <c r="A191" s="57"/>
      <c r="B191" s="57"/>
      <c r="C191" s="57"/>
      <c r="D191" s="70"/>
      <c r="E191" s="71"/>
      <c r="F191" s="57"/>
      <c r="G191" s="71"/>
      <c r="H191" s="57"/>
      <c r="I191" s="57"/>
      <c r="J191" s="57"/>
      <c r="K191" s="57"/>
      <c r="L191" s="57"/>
      <c r="M191" s="57"/>
      <c r="N191" s="57"/>
      <c r="O191" s="57"/>
      <c r="P191" s="28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</row>
    <row r="192">
      <c r="A192" s="57"/>
      <c r="B192" s="57"/>
      <c r="C192" s="57"/>
      <c r="D192" s="70"/>
      <c r="E192" s="71"/>
      <c r="F192" s="57"/>
      <c r="G192" s="71"/>
      <c r="H192" s="57"/>
      <c r="I192" s="57"/>
      <c r="J192" s="57"/>
      <c r="K192" s="57"/>
      <c r="L192" s="57"/>
      <c r="M192" s="57"/>
      <c r="N192" s="57"/>
      <c r="O192" s="57"/>
      <c r="P192" s="28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</row>
    <row r="193">
      <c r="A193" s="57"/>
      <c r="B193" s="57"/>
      <c r="C193" s="57"/>
      <c r="D193" s="70"/>
      <c r="E193" s="71"/>
      <c r="F193" s="57"/>
      <c r="G193" s="71"/>
      <c r="H193" s="57"/>
      <c r="I193" s="57"/>
      <c r="J193" s="57"/>
      <c r="K193" s="57"/>
      <c r="L193" s="57"/>
      <c r="M193" s="57"/>
      <c r="N193" s="57"/>
      <c r="O193" s="57"/>
      <c r="P193" s="28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</row>
    <row r="194">
      <c r="A194" s="57"/>
      <c r="B194" s="57"/>
      <c r="C194" s="57"/>
      <c r="D194" s="70"/>
      <c r="E194" s="71"/>
      <c r="F194" s="57"/>
      <c r="G194" s="71"/>
      <c r="H194" s="57"/>
      <c r="I194" s="57"/>
      <c r="J194" s="57"/>
      <c r="K194" s="57"/>
      <c r="L194" s="57"/>
      <c r="M194" s="57"/>
      <c r="N194" s="57"/>
      <c r="O194" s="57"/>
      <c r="P194" s="28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</row>
    <row r="195">
      <c r="A195" s="57"/>
      <c r="B195" s="57"/>
      <c r="C195" s="57"/>
      <c r="D195" s="70"/>
      <c r="E195" s="71"/>
      <c r="F195" s="57"/>
      <c r="G195" s="71"/>
      <c r="H195" s="57"/>
      <c r="I195" s="57"/>
      <c r="J195" s="57"/>
      <c r="K195" s="57"/>
      <c r="L195" s="57"/>
      <c r="M195" s="57"/>
      <c r="N195" s="57"/>
      <c r="O195" s="57"/>
      <c r="P195" s="28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</row>
    <row r="196">
      <c r="A196" s="57"/>
      <c r="B196" s="57"/>
      <c r="C196" s="57"/>
      <c r="D196" s="70"/>
      <c r="E196" s="71"/>
      <c r="F196" s="57"/>
      <c r="G196" s="71"/>
      <c r="H196" s="57"/>
      <c r="I196" s="57"/>
      <c r="J196" s="57"/>
      <c r="K196" s="57"/>
      <c r="L196" s="57"/>
      <c r="M196" s="57"/>
      <c r="N196" s="57"/>
      <c r="O196" s="57"/>
      <c r="P196" s="28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</row>
    <row r="197">
      <c r="A197" s="57"/>
      <c r="B197" s="57"/>
      <c r="C197" s="57"/>
      <c r="D197" s="70"/>
      <c r="E197" s="71"/>
      <c r="F197" s="57"/>
      <c r="G197" s="71"/>
      <c r="H197" s="57"/>
      <c r="I197" s="57"/>
      <c r="J197" s="57"/>
      <c r="K197" s="57"/>
      <c r="L197" s="57"/>
      <c r="M197" s="57"/>
      <c r="N197" s="57"/>
      <c r="O197" s="57"/>
      <c r="P197" s="28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</row>
    <row r="198">
      <c r="A198" s="57"/>
      <c r="B198" s="57"/>
      <c r="C198" s="57"/>
      <c r="D198" s="70"/>
      <c r="E198" s="71"/>
      <c r="F198" s="57"/>
      <c r="G198" s="71"/>
      <c r="H198" s="57"/>
      <c r="I198" s="57"/>
      <c r="J198" s="57"/>
      <c r="K198" s="57"/>
      <c r="L198" s="57"/>
      <c r="M198" s="57"/>
      <c r="N198" s="57"/>
      <c r="O198" s="57"/>
      <c r="P198" s="28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</row>
    <row r="199">
      <c r="A199" s="57"/>
      <c r="B199" s="57"/>
      <c r="C199" s="57"/>
      <c r="D199" s="70"/>
      <c r="E199" s="71"/>
      <c r="F199" s="57"/>
      <c r="G199" s="71"/>
      <c r="H199" s="57"/>
      <c r="I199" s="57"/>
      <c r="J199" s="57"/>
      <c r="K199" s="57"/>
      <c r="L199" s="57"/>
      <c r="M199" s="57"/>
      <c r="N199" s="57"/>
      <c r="O199" s="57"/>
      <c r="P199" s="28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</row>
    <row r="200">
      <c r="A200" s="57"/>
      <c r="B200" s="57"/>
      <c r="C200" s="57"/>
      <c r="D200" s="70"/>
      <c r="E200" s="71"/>
      <c r="F200" s="57"/>
      <c r="G200" s="71"/>
      <c r="H200" s="57"/>
      <c r="I200" s="57"/>
      <c r="J200" s="57"/>
      <c r="K200" s="57"/>
      <c r="L200" s="57"/>
      <c r="M200" s="57"/>
      <c r="N200" s="57"/>
      <c r="O200" s="57"/>
      <c r="P200" s="28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</row>
    <row r="201">
      <c r="A201" s="57"/>
      <c r="B201" s="57"/>
      <c r="C201" s="57"/>
      <c r="D201" s="70"/>
      <c r="E201" s="71"/>
      <c r="F201" s="57"/>
      <c r="G201" s="71"/>
      <c r="H201" s="57"/>
      <c r="I201" s="57"/>
      <c r="J201" s="57"/>
      <c r="K201" s="57"/>
      <c r="L201" s="57"/>
      <c r="M201" s="57"/>
      <c r="N201" s="57"/>
      <c r="O201" s="57"/>
      <c r="P201" s="28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</row>
    <row r="202">
      <c r="A202" s="57"/>
      <c r="B202" s="57"/>
      <c r="C202" s="57"/>
      <c r="D202" s="70"/>
      <c r="E202" s="71"/>
      <c r="F202" s="57"/>
      <c r="G202" s="71"/>
      <c r="H202" s="57"/>
      <c r="I202" s="57"/>
      <c r="J202" s="57"/>
      <c r="K202" s="57"/>
      <c r="L202" s="57"/>
      <c r="M202" s="57"/>
      <c r="N202" s="57"/>
      <c r="O202" s="57"/>
      <c r="P202" s="28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</row>
    <row r="203">
      <c r="A203" s="57"/>
      <c r="B203" s="57"/>
      <c r="C203" s="57"/>
      <c r="D203" s="70"/>
      <c r="E203" s="71"/>
      <c r="F203" s="57"/>
      <c r="G203" s="71"/>
      <c r="H203" s="57"/>
      <c r="I203" s="57"/>
      <c r="J203" s="57"/>
      <c r="K203" s="57"/>
      <c r="L203" s="57"/>
      <c r="M203" s="57"/>
      <c r="N203" s="57"/>
      <c r="O203" s="57"/>
      <c r="P203" s="28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</row>
    <row r="204">
      <c r="A204" s="57"/>
      <c r="B204" s="57"/>
      <c r="C204" s="57"/>
      <c r="D204" s="70"/>
      <c r="E204" s="71"/>
      <c r="F204" s="57"/>
      <c r="G204" s="71"/>
      <c r="H204" s="57"/>
      <c r="I204" s="57"/>
      <c r="J204" s="57"/>
      <c r="K204" s="57"/>
      <c r="L204" s="57"/>
      <c r="M204" s="57"/>
      <c r="N204" s="57"/>
      <c r="O204" s="57"/>
      <c r="P204" s="28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</row>
    <row r="205">
      <c r="A205" s="57"/>
      <c r="B205" s="57"/>
      <c r="C205" s="57"/>
      <c r="D205" s="70"/>
      <c r="E205" s="71"/>
      <c r="F205" s="57"/>
      <c r="G205" s="71"/>
      <c r="H205" s="57"/>
      <c r="I205" s="57"/>
      <c r="J205" s="57"/>
      <c r="K205" s="57"/>
      <c r="L205" s="57"/>
      <c r="M205" s="57"/>
      <c r="N205" s="57"/>
      <c r="O205" s="57"/>
      <c r="P205" s="28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</row>
    <row r="206">
      <c r="A206" s="57"/>
      <c r="B206" s="57"/>
      <c r="C206" s="57"/>
      <c r="D206" s="70"/>
      <c r="E206" s="71"/>
      <c r="F206" s="57"/>
      <c r="G206" s="71"/>
      <c r="H206" s="57"/>
      <c r="I206" s="57"/>
      <c r="J206" s="57"/>
      <c r="K206" s="57"/>
      <c r="L206" s="57"/>
      <c r="M206" s="57"/>
      <c r="N206" s="57"/>
      <c r="O206" s="57"/>
      <c r="P206" s="28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</row>
    <row r="207">
      <c r="A207" s="57"/>
      <c r="B207" s="57"/>
      <c r="C207" s="57"/>
      <c r="D207" s="70"/>
      <c r="E207" s="71"/>
      <c r="F207" s="57"/>
      <c r="G207" s="71"/>
      <c r="H207" s="57"/>
      <c r="I207" s="57"/>
      <c r="J207" s="57"/>
      <c r="K207" s="57"/>
      <c r="L207" s="57"/>
      <c r="M207" s="57"/>
      <c r="N207" s="57"/>
      <c r="O207" s="57"/>
      <c r="P207" s="28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</row>
    <row r="208">
      <c r="A208" s="57"/>
      <c r="B208" s="57"/>
      <c r="C208" s="57"/>
      <c r="D208" s="70"/>
      <c r="E208" s="71"/>
      <c r="F208" s="57"/>
      <c r="G208" s="71"/>
      <c r="H208" s="57"/>
      <c r="I208" s="57"/>
      <c r="J208" s="57"/>
      <c r="K208" s="57"/>
      <c r="L208" s="57"/>
      <c r="M208" s="57"/>
      <c r="N208" s="57"/>
      <c r="O208" s="57"/>
      <c r="P208" s="28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</row>
    <row r="209">
      <c r="A209" s="57"/>
      <c r="B209" s="57"/>
      <c r="C209" s="57"/>
      <c r="D209" s="70"/>
      <c r="E209" s="71"/>
      <c r="F209" s="57"/>
      <c r="G209" s="71"/>
      <c r="H209" s="57"/>
      <c r="I209" s="57"/>
      <c r="J209" s="57"/>
      <c r="K209" s="57"/>
      <c r="L209" s="57"/>
      <c r="M209" s="57"/>
      <c r="N209" s="57"/>
      <c r="O209" s="57"/>
      <c r="P209" s="28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</row>
    <row r="210">
      <c r="A210" s="57"/>
      <c r="B210" s="57"/>
      <c r="C210" s="57"/>
      <c r="D210" s="70"/>
      <c r="E210" s="71"/>
      <c r="F210" s="57"/>
      <c r="G210" s="71"/>
      <c r="H210" s="57"/>
      <c r="I210" s="57"/>
      <c r="J210" s="57"/>
      <c r="K210" s="57"/>
      <c r="L210" s="57"/>
      <c r="M210" s="57"/>
      <c r="N210" s="57"/>
      <c r="O210" s="57"/>
      <c r="P210" s="28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</row>
    <row r="211">
      <c r="A211" s="57"/>
      <c r="B211" s="57"/>
      <c r="C211" s="57"/>
      <c r="D211" s="70"/>
      <c r="E211" s="71"/>
      <c r="F211" s="57"/>
      <c r="G211" s="71"/>
      <c r="H211" s="57"/>
      <c r="I211" s="57"/>
      <c r="J211" s="57"/>
      <c r="K211" s="57"/>
      <c r="L211" s="57"/>
      <c r="M211" s="57"/>
      <c r="N211" s="57"/>
      <c r="O211" s="57"/>
      <c r="P211" s="28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</row>
    <row r="212">
      <c r="A212" s="57"/>
      <c r="B212" s="57"/>
      <c r="C212" s="57"/>
      <c r="D212" s="70"/>
      <c r="E212" s="71"/>
      <c r="F212" s="57"/>
      <c r="G212" s="71"/>
      <c r="H212" s="57"/>
      <c r="I212" s="57"/>
      <c r="J212" s="57"/>
      <c r="K212" s="57"/>
      <c r="L212" s="57"/>
      <c r="M212" s="57"/>
      <c r="N212" s="57"/>
      <c r="O212" s="57"/>
      <c r="P212" s="28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</row>
    <row r="213">
      <c r="A213" s="57"/>
      <c r="B213" s="57"/>
      <c r="C213" s="57"/>
      <c r="D213" s="70"/>
      <c r="E213" s="71"/>
      <c r="F213" s="57"/>
      <c r="G213" s="71"/>
      <c r="H213" s="57"/>
      <c r="I213" s="57"/>
      <c r="J213" s="57"/>
      <c r="K213" s="57"/>
      <c r="L213" s="57"/>
      <c r="M213" s="57"/>
      <c r="N213" s="57"/>
      <c r="O213" s="57"/>
      <c r="P213" s="28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</row>
    <row r="214">
      <c r="A214" s="57"/>
      <c r="B214" s="57"/>
      <c r="C214" s="57"/>
      <c r="D214" s="70"/>
      <c r="E214" s="71"/>
      <c r="F214" s="57"/>
      <c r="G214" s="71"/>
      <c r="H214" s="57"/>
      <c r="I214" s="57"/>
      <c r="J214" s="57"/>
      <c r="K214" s="57"/>
      <c r="L214" s="57"/>
      <c r="M214" s="57"/>
      <c r="N214" s="57"/>
      <c r="O214" s="57"/>
      <c r="P214" s="28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</row>
    <row r="215">
      <c r="A215" s="57"/>
      <c r="B215" s="57"/>
      <c r="C215" s="57"/>
      <c r="D215" s="70"/>
      <c r="E215" s="71"/>
      <c r="F215" s="57"/>
      <c r="G215" s="71"/>
      <c r="H215" s="57"/>
      <c r="I215" s="57"/>
      <c r="J215" s="57"/>
      <c r="K215" s="57"/>
      <c r="L215" s="57"/>
      <c r="M215" s="57"/>
      <c r="N215" s="57"/>
      <c r="O215" s="57"/>
      <c r="P215" s="28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</row>
    <row r="216">
      <c r="A216" s="57"/>
      <c r="B216" s="57"/>
      <c r="C216" s="57"/>
      <c r="D216" s="70"/>
      <c r="E216" s="71"/>
      <c r="F216" s="57"/>
      <c r="G216" s="71"/>
      <c r="H216" s="57"/>
      <c r="I216" s="57"/>
      <c r="J216" s="57"/>
      <c r="K216" s="57"/>
      <c r="L216" s="57"/>
      <c r="M216" s="57"/>
      <c r="N216" s="57"/>
      <c r="O216" s="57"/>
      <c r="P216" s="28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</row>
    <row r="217">
      <c r="A217" s="57"/>
      <c r="B217" s="57"/>
      <c r="C217" s="57"/>
      <c r="D217" s="70"/>
      <c r="E217" s="71"/>
      <c r="F217" s="57"/>
      <c r="G217" s="71"/>
      <c r="H217" s="57"/>
      <c r="I217" s="57"/>
      <c r="J217" s="57"/>
      <c r="K217" s="57"/>
      <c r="L217" s="57"/>
      <c r="M217" s="57"/>
      <c r="N217" s="57"/>
      <c r="O217" s="57"/>
      <c r="P217" s="28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</row>
    <row r="218">
      <c r="A218" s="57"/>
      <c r="B218" s="57"/>
      <c r="C218" s="57"/>
      <c r="D218" s="70"/>
      <c r="E218" s="71"/>
      <c r="F218" s="57"/>
      <c r="G218" s="71"/>
      <c r="H218" s="57"/>
      <c r="I218" s="57"/>
      <c r="J218" s="57"/>
      <c r="K218" s="57"/>
      <c r="L218" s="57"/>
      <c r="M218" s="57"/>
      <c r="N218" s="57"/>
      <c r="O218" s="57"/>
      <c r="P218" s="28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</row>
    <row r="219">
      <c r="A219" s="57"/>
      <c r="B219" s="57"/>
      <c r="C219" s="57"/>
      <c r="D219" s="70"/>
      <c r="E219" s="71"/>
      <c r="F219" s="57"/>
      <c r="G219" s="71"/>
      <c r="H219" s="57"/>
      <c r="I219" s="57"/>
      <c r="J219" s="57"/>
      <c r="K219" s="57"/>
      <c r="L219" s="57"/>
      <c r="M219" s="57"/>
      <c r="N219" s="57"/>
      <c r="O219" s="57"/>
      <c r="P219" s="28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</row>
    <row r="220">
      <c r="A220" s="57"/>
      <c r="B220" s="57"/>
      <c r="C220" s="57"/>
      <c r="D220" s="70"/>
      <c r="E220" s="71"/>
      <c r="F220" s="57"/>
      <c r="G220" s="71"/>
      <c r="H220" s="57"/>
      <c r="I220" s="57"/>
      <c r="J220" s="57"/>
      <c r="K220" s="57"/>
      <c r="L220" s="57"/>
      <c r="M220" s="57"/>
      <c r="N220" s="57"/>
      <c r="O220" s="57"/>
      <c r="P220" s="28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</row>
    <row r="221">
      <c r="A221" s="57"/>
      <c r="B221" s="57"/>
      <c r="C221" s="57"/>
      <c r="D221" s="70"/>
      <c r="E221" s="71"/>
      <c r="F221" s="57"/>
      <c r="G221" s="71"/>
      <c r="H221" s="57"/>
      <c r="I221" s="57"/>
      <c r="J221" s="57"/>
      <c r="K221" s="57"/>
      <c r="L221" s="57"/>
      <c r="M221" s="57"/>
      <c r="N221" s="57"/>
      <c r="O221" s="57"/>
      <c r="P221" s="28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</row>
    <row r="222">
      <c r="A222" s="57"/>
      <c r="B222" s="57"/>
      <c r="C222" s="57"/>
      <c r="D222" s="70"/>
      <c r="E222" s="71"/>
      <c r="F222" s="57"/>
      <c r="G222" s="71"/>
      <c r="H222" s="57"/>
      <c r="I222" s="57"/>
      <c r="J222" s="57"/>
      <c r="K222" s="57"/>
      <c r="L222" s="57"/>
      <c r="M222" s="57"/>
      <c r="N222" s="57"/>
      <c r="O222" s="57"/>
      <c r="P222" s="28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</row>
    <row r="223">
      <c r="A223" s="57"/>
      <c r="B223" s="57"/>
      <c r="C223" s="57"/>
      <c r="D223" s="70"/>
      <c r="E223" s="71"/>
      <c r="F223" s="57"/>
      <c r="G223" s="71"/>
      <c r="H223" s="57"/>
      <c r="I223" s="57"/>
      <c r="J223" s="57"/>
      <c r="K223" s="57"/>
      <c r="L223" s="57"/>
      <c r="M223" s="57"/>
      <c r="N223" s="57"/>
      <c r="O223" s="57"/>
      <c r="P223" s="28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</row>
    <row r="224">
      <c r="A224" s="57"/>
      <c r="B224" s="57"/>
      <c r="C224" s="57"/>
      <c r="D224" s="70"/>
      <c r="E224" s="71"/>
      <c r="F224" s="57"/>
      <c r="G224" s="71"/>
      <c r="H224" s="57"/>
      <c r="I224" s="57"/>
      <c r="J224" s="57"/>
      <c r="K224" s="57"/>
      <c r="L224" s="57"/>
      <c r="M224" s="57"/>
      <c r="N224" s="57"/>
      <c r="O224" s="57"/>
      <c r="P224" s="28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</row>
    <row r="225">
      <c r="A225" s="57"/>
      <c r="B225" s="57"/>
      <c r="C225" s="57"/>
      <c r="D225" s="70"/>
      <c r="E225" s="71"/>
      <c r="F225" s="57"/>
      <c r="G225" s="71"/>
      <c r="H225" s="57"/>
      <c r="I225" s="57"/>
      <c r="J225" s="57"/>
      <c r="K225" s="57"/>
      <c r="L225" s="57"/>
      <c r="M225" s="57"/>
      <c r="N225" s="57"/>
      <c r="O225" s="57"/>
      <c r="P225" s="28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</row>
    <row r="226">
      <c r="A226" s="57"/>
      <c r="B226" s="57"/>
      <c r="C226" s="57"/>
      <c r="D226" s="70"/>
      <c r="E226" s="71"/>
      <c r="F226" s="57"/>
      <c r="G226" s="71"/>
      <c r="H226" s="57"/>
      <c r="I226" s="57"/>
      <c r="J226" s="57"/>
      <c r="K226" s="57"/>
      <c r="L226" s="57"/>
      <c r="M226" s="57"/>
      <c r="N226" s="57"/>
      <c r="O226" s="57"/>
      <c r="P226" s="28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</row>
    <row r="227">
      <c r="A227" s="57"/>
      <c r="B227" s="57"/>
      <c r="C227" s="57"/>
      <c r="D227" s="70"/>
      <c r="E227" s="71"/>
      <c r="F227" s="57"/>
      <c r="G227" s="71"/>
      <c r="H227" s="57"/>
      <c r="I227" s="57"/>
      <c r="J227" s="57"/>
      <c r="K227" s="57"/>
      <c r="L227" s="57"/>
      <c r="M227" s="57"/>
      <c r="N227" s="57"/>
      <c r="O227" s="57"/>
      <c r="P227" s="28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</row>
    <row r="228">
      <c r="A228" s="57"/>
      <c r="B228" s="57"/>
      <c r="C228" s="57"/>
      <c r="D228" s="70"/>
      <c r="E228" s="71"/>
      <c r="F228" s="57"/>
      <c r="G228" s="71"/>
      <c r="H228" s="57"/>
      <c r="I228" s="57"/>
      <c r="J228" s="57"/>
      <c r="K228" s="57"/>
      <c r="L228" s="57"/>
      <c r="M228" s="57"/>
      <c r="N228" s="57"/>
      <c r="O228" s="57"/>
      <c r="P228" s="28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</row>
    <row r="229">
      <c r="A229" s="57"/>
      <c r="B229" s="57"/>
      <c r="C229" s="57"/>
      <c r="D229" s="70"/>
      <c r="E229" s="71"/>
      <c r="F229" s="57"/>
      <c r="G229" s="71"/>
      <c r="H229" s="57"/>
      <c r="I229" s="57"/>
      <c r="J229" s="57"/>
      <c r="K229" s="57"/>
      <c r="L229" s="57"/>
      <c r="M229" s="57"/>
      <c r="N229" s="57"/>
      <c r="O229" s="57"/>
      <c r="P229" s="28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</row>
    <row r="230">
      <c r="A230" s="57"/>
      <c r="B230" s="57"/>
      <c r="C230" s="57"/>
      <c r="D230" s="70"/>
      <c r="E230" s="71"/>
      <c r="F230" s="57"/>
      <c r="G230" s="71"/>
      <c r="H230" s="57"/>
      <c r="I230" s="57"/>
      <c r="J230" s="57"/>
      <c r="K230" s="57"/>
      <c r="L230" s="57"/>
      <c r="M230" s="57"/>
      <c r="N230" s="57"/>
      <c r="O230" s="57"/>
      <c r="P230" s="28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</row>
    <row r="231">
      <c r="A231" s="57"/>
      <c r="B231" s="57"/>
      <c r="C231" s="57"/>
      <c r="D231" s="70"/>
      <c r="E231" s="71"/>
      <c r="F231" s="57"/>
      <c r="G231" s="71"/>
      <c r="H231" s="57"/>
      <c r="I231" s="57"/>
      <c r="J231" s="57"/>
      <c r="K231" s="57"/>
      <c r="L231" s="57"/>
      <c r="M231" s="57"/>
      <c r="N231" s="57"/>
      <c r="O231" s="57"/>
      <c r="P231" s="28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</row>
    <row r="232">
      <c r="A232" s="57"/>
      <c r="B232" s="57"/>
      <c r="C232" s="57"/>
      <c r="D232" s="70"/>
      <c r="E232" s="71"/>
      <c r="F232" s="57"/>
      <c r="G232" s="71"/>
      <c r="H232" s="57"/>
      <c r="I232" s="57"/>
      <c r="J232" s="57"/>
      <c r="K232" s="57"/>
      <c r="L232" s="57"/>
      <c r="M232" s="57"/>
      <c r="N232" s="57"/>
      <c r="O232" s="57"/>
      <c r="P232" s="28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</row>
    <row r="233">
      <c r="A233" s="57"/>
      <c r="B233" s="57"/>
      <c r="C233" s="57"/>
      <c r="D233" s="70"/>
      <c r="E233" s="71"/>
      <c r="F233" s="57"/>
      <c r="G233" s="71"/>
      <c r="H233" s="57"/>
      <c r="I233" s="57"/>
      <c r="J233" s="57"/>
      <c r="K233" s="57"/>
      <c r="L233" s="57"/>
      <c r="M233" s="57"/>
      <c r="N233" s="57"/>
      <c r="O233" s="57"/>
      <c r="P233" s="28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</row>
    <row r="234">
      <c r="A234" s="57"/>
      <c r="B234" s="57"/>
      <c r="C234" s="57"/>
      <c r="D234" s="70"/>
      <c r="E234" s="71"/>
      <c r="F234" s="57"/>
      <c r="G234" s="71"/>
      <c r="H234" s="57"/>
      <c r="I234" s="57"/>
      <c r="J234" s="57"/>
      <c r="K234" s="57"/>
      <c r="L234" s="57"/>
      <c r="M234" s="57"/>
      <c r="N234" s="57"/>
      <c r="O234" s="57"/>
      <c r="P234" s="28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</row>
    <row r="235">
      <c r="A235" s="57"/>
      <c r="B235" s="57"/>
      <c r="C235" s="57"/>
      <c r="D235" s="70"/>
      <c r="E235" s="71"/>
      <c r="F235" s="57"/>
      <c r="G235" s="71"/>
      <c r="H235" s="57"/>
      <c r="I235" s="57"/>
      <c r="J235" s="57"/>
      <c r="K235" s="57"/>
      <c r="L235" s="57"/>
      <c r="M235" s="57"/>
      <c r="N235" s="57"/>
      <c r="O235" s="57"/>
      <c r="P235" s="28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</row>
    <row r="236">
      <c r="A236" s="57"/>
      <c r="B236" s="57"/>
      <c r="C236" s="57"/>
      <c r="D236" s="70"/>
      <c r="E236" s="71"/>
      <c r="F236" s="57"/>
      <c r="G236" s="71"/>
      <c r="H236" s="57"/>
      <c r="I236" s="57"/>
      <c r="J236" s="57"/>
      <c r="K236" s="57"/>
      <c r="L236" s="57"/>
      <c r="M236" s="57"/>
      <c r="N236" s="57"/>
      <c r="O236" s="57"/>
      <c r="P236" s="28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</row>
    <row r="237">
      <c r="A237" s="57"/>
      <c r="B237" s="57"/>
      <c r="C237" s="57"/>
      <c r="D237" s="70"/>
      <c r="E237" s="71"/>
      <c r="F237" s="57"/>
      <c r="G237" s="71"/>
      <c r="H237" s="57"/>
      <c r="I237" s="57"/>
      <c r="J237" s="57"/>
      <c r="K237" s="57"/>
      <c r="L237" s="57"/>
      <c r="M237" s="57"/>
      <c r="N237" s="57"/>
      <c r="O237" s="57"/>
      <c r="P237" s="28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</row>
    <row r="238">
      <c r="A238" s="57"/>
      <c r="B238" s="57"/>
      <c r="C238" s="57"/>
      <c r="D238" s="70"/>
      <c r="E238" s="71"/>
      <c r="F238" s="57"/>
      <c r="G238" s="71"/>
      <c r="H238" s="57"/>
      <c r="I238" s="57"/>
      <c r="J238" s="57"/>
      <c r="K238" s="57"/>
      <c r="L238" s="57"/>
      <c r="M238" s="57"/>
      <c r="N238" s="57"/>
      <c r="O238" s="57"/>
      <c r="P238" s="28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</row>
    <row r="239">
      <c r="A239" s="57"/>
      <c r="B239" s="57"/>
      <c r="C239" s="57"/>
      <c r="D239" s="70"/>
      <c r="E239" s="71"/>
      <c r="F239" s="57"/>
      <c r="G239" s="71"/>
      <c r="H239" s="57"/>
      <c r="I239" s="57"/>
      <c r="J239" s="57"/>
      <c r="K239" s="57"/>
      <c r="L239" s="57"/>
      <c r="M239" s="57"/>
      <c r="N239" s="57"/>
      <c r="O239" s="57"/>
      <c r="P239" s="28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</row>
    <row r="240">
      <c r="A240" s="57"/>
      <c r="B240" s="57"/>
      <c r="C240" s="57"/>
      <c r="D240" s="70"/>
      <c r="E240" s="71"/>
      <c r="F240" s="57"/>
      <c r="G240" s="71"/>
      <c r="H240" s="57"/>
      <c r="I240" s="57"/>
      <c r="J240" s="57"/>
      <c r="K240" s="57"/>
      <c r="L240" s="57"/>
      <c r="M240" s="57"/>
      <c r="N240" s="57"/>
      <c r="O240" s="57"/>
      <c r="P240" s="28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</row>
    <row r="241">
      <c r="A241" s="57"/>
      <c r="B241" s="57"/>
      <c r="C241" s="57"/>
      <c r="D241" s="70"/>
      <c r="E241" s="71"/>
      <c r="F241" s="57"/>
      <c r="G241" s="71"/>
      <c r="H241" s="57"/>
      <c r="I241" s="57"/>
      <c r="J241" s="57"/>
      <c r="K241" s="57"/>
      <c r="L241" s="57"/>
      <c r="M241" s="57"/>
      <c r="N241" s="57"/>
      <c r="O241" s="57"/>
      <c r="P241" s="28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</row>
    <row r="242">
      <c r="A242" s="57"/>
      <c r="B242" s="57"/>
      <c r="C242" s="57"/>
      <c r="D242" s="70"/>
      <c r="E242" s="71"/>
      <c r="F242" s="57"/>
      <c r="G242" s="71"/>
      <c r="H242" s="57"/>
      <c r="I242" s="57"/>
      <c r="J242" s="57"/>
      <c r="K242" s="57"/>
      <c r="L242" s="57"/>
      <c r="M242" s="57"/>
      <c r="N242" s="57"/>
      <c r="O242" s="57"/>
      <c r="P242" s="28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</row>
    <row r="243">
      <c r="A243" s="57"/>
      <c r="B243" s="57"/>
      <c r="C243" s="57"/>
      <c r="D243" s="70"/>
      <c r="E243" s="71"/>
      <c r="F243" s="57"/>
      <c r="G243" s="71"/>
      <c r="H243" s="57"/>
      <c r="I243" s="57"/>
      <c r="J243" s="57"/>
      <c r="K243" s="57"/>
      <c r="L243" s="57"/>
      <c r="M243" s="57"/>
      <c r="N243" s="57"/>
      <c r="O243" s="57"/>
      <c r="P243" s="28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</row>
    <row r="244">
      <c r="A244" s="57"/>
      <c r="B244" s="57"/>
      <c r="C244" s="57"/>
      <c r="D244" s="70"/>
      <c r="E244" s="71"/>
      <c r="F244" s="57"/>
      <c r="G244" s="71"/>
      <c r="H244" s="57"/>
      <c r="I244" s="57"/>
      <c r="J244" s="57"/>
      <c r="K244" s="57"/>
      <c r="L244" s="57"/>
      <c r="M244" s="57"/>
      <c r="N244" s="57"/>
      <c r="O244" s="57"/>
      <c r="P244" s="28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</row>
    <row r="245">
      <c r="A245" s="57"/>
      <c r="B245" s="57"/>
      <c r="C245" s="57"/>
      <c r="D245" s="70"/>
      <c r="E245" s="71"/>
      <c r="F245" s="57"/>
      <c r="G245" s="71"/>
      <c r="H245" s="57"/>
      <c r="I245" s="57"/>
      <c r="J245" s="57"/>
      <c r="K245" s="57"/>
      <c r="L245" s="57"/>
      <c r="M245" s="57"/>
      <c r="N245" s="57"/>
      <c r="O245" s="57"/>
      <c r="P245" s="28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</row>
    <row r="246">
      <c r="A246" s="57"/>
      <c r="B246" s="57"/>
      <c r="C246" s="57"/>
      <c r="D246" s="70"/>
      <c r="E246" s="71"/>
      <c r="F246" s="57"/>
      <c r="G246" s="71"/>
      <c r="H246" s="57"/>
      <c r="I246" s="57"/>
      <c r="J246" s="57"/>
      <c r="K246" s="57"/>
      <c r="L246" s="57"/>
      <c r="M246" s="57"/>
      <c r="N246" s="57"/>
      <c r="O246" s="57"/>
      <c r="P246" s="28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</row>
    <row r="247">
      <c r="A247" s="57"/>
      <c r="B247" s="57"/>
      <c r="C247" s="57"/>
      <c r="D247" s="70"/>
      <c r="E247" s="71"/>
      <c r="F247" s="57"/>
      <c r="G247" s="71"/>
      <c r="H247" s="57"/>
      <c r="I247" s="57"/>
      <c r="J247" s="57"/>
      <c r="K247" s="57"/>
      <c r="L247" s="57"/>
      <c r="M247" s="57"/>
      <c r="N247" s="57"/>
      <c r="O247" s="57"/>
      <c r="P247" s="28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</row>
    <row r="248">
      <c r="A248" s="57"/>
      <c r="B248" s="57"/>
      <c r="C248" s="57"/>
      <c r="D248" s="70"/>
      <c r="E248" s="71"/>
      <c r="F248" s="57"/>
      <c r="G248" s="71"/>
      <c r="H248" s="57"/>
      <c r="I248" s="57"/>
      <c r="J248" s="57"/>
      <c r="K248" s="57"/>
      <c r="L248" s="57"/>
      <c r="M248" s="57"/>
      <c r="N248" s="57"/>
      <c r="O248" s="57"/>
      <c r="P248" s="28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</row>
    <row r="249">
      <c r="A249" s="57"/>
      <c r="B249" s="57"/>
      <c r="C249" s="57"/>
      <c r="D249" s="70"/>
      <c r="E249" s="71"/>
      <c r="F249" s="57"/>
      <c r="G249" s="71"/>
      <c r="H249" s="57"/>
      <c r="I249" s="57"/>
      <c r="J249" s="57"/>
      <c r="K249" s="57"/>
      <c r="L249" s="57"/>
      <c r="M249" s="57"/>
      <c r="N249" s="57"/>
      <c r="O249" s="57"/>
      <c r="P249" s="28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</row>
    <row r="250">
      <c r="A250" s="57"/>
      <c r="B250" s="57"/>
      <c r="C250" s="57"/>
      <c r="D250" s="70"/>
      <c r="E250" s="71"/>
      <c r="F250" s="57"/>
      <c r="G250" s="71"/>
      <c r="H250" s="57"/>
      <c r="I250" s="57"/>
      <c r="J250" s="57"/>
      <c r="K250" s="57"/>
      <c r="L250" s="57"/>
      <c r="M250" s="57"/>
      <c r="N250" s="57"/>
      <c r="O250" s="57"/>
      <c r="P250" s="28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</row>
    <row r="251">
      <c r="A251" s="57"/>
      <c r="B251" s="57"/>
      <c r="C251" s="57"/>
      <c r="D251" s="70"/>
      <c r="E251" s="71"/>
      <c r="F251" s="57"/>
      <c r="G251" s="71"/>
      <c r="H251" s="57"/>
      <c r="I251" s="57"/>
      <c r="J251" s="57"/>
      <c r="K251" s="57"/>
      <c r="L251" s="57"/>
      <c r="M251" s="57"/>
      <c r="N251" s="57"/>
      <c r="O251" s="57"/>
      <c r="P251" s="28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</row>
    <row r="252">
      <c r="A252" s="57"/>
      <c r="B252" s="57"/>
      <c r="C252" s="57"/>
      <c r="D252" s="70"/>
      <c r="E252" s="71"/>
      <c r="F252" s="57"/>
      <c r="G252" s="71"/>
      <c r="H252" s="57"/>
      <c r="I252" s="57"/>
      <c r="J252" s="57"/>
      <c r="K252" s="57"/>
      <c r="L252" s="57"/>
      <c r="M252" s="57"/>
      <c r="N252" s="57"/>
      <c r="O252" s="57"/>
      <c r="P252" s="28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</row>
    <row r="253">
      <c r="A253" s="57"/>
      <c r="B253" s="57"/>
      <c r="C253" s="57"/>
      <c r="D253" s="70"/>
      <c r="E253" s="71"/>
      <c r="F253" s="57"/>
      <c r="G253" s="71"/>
      <c r="H253" s="57"/>
      <c r="I253" s="57"/>
      <c r="J253" s="57"/>
      <c r="K253" s="57"/>
      <c r="L253" s="57"/>
      <c r="M253" s="57"/>
      <c r="N253" s="57"/>
      <c r="O253" s="57"/>
      <c r="P253" s="28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</row>
    <row r="254">
      <c r="A254" s="57"/>
      <c r="B254" s="57"/>
      <c r="C254" s="57"/>
      <c r="D254" s="70"/>
      <c r="E254" s="71"/>
      <c r="F254" s="57"/>
      <c r="G254" s="71"/>
      <c r="H254" s="57"/>
      <c r="I254" s="57"/>
      <c r="J254" s="57"/>
      <c r="K254" s="57"/>
      <c r="L254" s="57"/>
      <c r="M254" s="57"/>
      <c r="N254" s="57"/>
      <c r="O254" s="57"/>
      <c r="P254" s="28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</row>
    <row r="255">
      <c r="A255" s="57"/>
      <c r="B255" s="57"/>
      <c r="C255" s="57"/>
      <c r="D255" s="70"/>
      <c r="E255" s="71"/>
      <c r="F255" s="57"/>
      <c r="G255" s="71"/>
      <c r="H255" s="57"/>
      <c r="I255" s="57"/>
      <c r="J255" s="57"/>
      <c r="K255" s="57"/>
      <c r="L255" s="57"/>
      <c r="M255" s="57"/>
      <c r="N255" s="57"/>
      <c r="O255" s="57"/>
      <c r="P255" s="28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</row>
    <row r="256">
      <c r="A256" s="57"/>
      <c r="B256" s="57"/>
      <c r="C256" s="57"/>
      <c r="D256" s="70"/>
      <c r="E256" s="71"/>
      <c r="F256" s="57"/>
      <c r="G256" s="71"/>
      <c r="H256" s="57"/>
      <c r="I256" s="57"/>
      <c r="J256" s="57"/>
      <c r="K256" s="57"/>
      <c r="L256" s="57"/>
      <c r="M256" s="57"/>
      <c r="N256" s="57"/>
      <c r="O256" s="57"/>
      <c r="P256" s="28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</row>
    <row r="257">
      <c r="A257" s="57"/>
      <c r="B257" s="57"/>
      <c r="C257" s="57"/>
      <c r="D257" s="70"/>
      <c r="E257" s="71"/>
      <c r="F257" s="57"/>
      <c r="G257" s="71"/>
      <c r="H257" s="57"/>
      <c r="I257" s="57"/>
      <c r="J257" s="57"/>
      <c r="K257" s="57"/>
      <c r="L257" s="57"/>
      <c r="M257" s="57"/>
      <c r="N257" s="57"/>
      <c r="O257" s="57"/>
      <c r="P257" s="28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</row>
    <row r="258">
      <c r="A258" s="57"/>
      <c r="B258" s="57"/>
      <c r="C258" s="57"/>
      <c r="D258" s="70"/>
      <c r="E258" s="71"/>
      <c r="F258" s="57"/>
      <c r="G258" s="71"/>
      <c r="H258" s="57"/>
      <c r="I258" s="57"/>
      <c r="J258" s="57"/>
      <c r="K258" s="57"/>
      <c r="L258" s="57"/>
      <c r="M258" s="57"/>
      <c r="N258" s="57"/>
      <c r="O258" s="57"/>
      <c r="P258" s="28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</row>
    <row r="259">
      <c r="A259" s="57"/>
      <c r="B259" s="57"/>
      <c r="C259" s="57"/>
      <c r="D259" s="70"/>
      <c r="E259" s="71"/>
      <c r="F259" s="57"/>
      <c r="G259" s="71"/>
      <c r="H259" s="57"/>
      <c r="I259" s="57"/>
      <c r="J259" s="57"/>
      <c r="K259" s="57"/>
      <c r="L259" s="57"/>
      <c r="M259" s="57"/>
      <c r="N259" s="57"/>
      <c r="O259" s="57"/>
      <c r="P259" s="28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</row>
    <row r="260">
      <c r="A260" s="57"/>
      <c r="B260" s="57"/>
      <c r="C260" s="57"/>
      <c r="D260" s="70"/>
      <c r="E260" s="71"/>
      <c r="F260" s="57"/>
      <c r="G260" s="71"/>
      <c r="H260" s="57"/>
      <c r="I260" s="57"/>
      <c r="J260" s="57"/>
      <c r="K260" s="57"/>
      <c r="L260" s="57"/>
      <c r="M260" s="57"/>
      <c r="N260" s="57"/>
      <c r="O260" s="57"/>
      <c r="P260" s="28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</row>
    <row r="261">
      <c r="A261" s="57"/>
      <c r="B261" s="57"/>
      <c r="C261" s="57"/>
      <c r="D261" s="70"/>
      <c r="E261" s="71"/>
      <c r="F261" s="57"/>
      <c r="G261" s="71"/>
      <c r="H261" s="57"/>
      <c r="I261" s="57"/>
      <c r="J261" s="57"/>
      <c r="K261" s="57"/>
      <c r="L261" s="57"/>
      <c r="M261" s="57"/>
      <c r="N261" s="57"/>
      <c r="O261" s="57"/>
      <c r="P261" s="28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</row>
    <row r="262">
      <c r="A262" s="57"/>
      <c r="B262" s="57"/>
      <c r="C262" s="57"/>
      <c r="D262" s="70"/>
      <c r="E262" s="71"/>
      <c r="F262" s="57"/>
      <c r="G262" s="71"/>
      <c r="H262" s="57"/>
      <c r="I262" s="57"/>
      <c r="J262" s="57"/>
      <c r="K262" s="57"/>
      <c r="L262" s="57"/>
      <c r="M262" s="57"/>
      <c r="N262" s="57"/>
      <c r="O262" s="57"/>
      <c r="P262" s="28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</row>
    <row r="263">
      <c r="A263" s="57"/>
      <c r="B263" s="57"/>
      <c r="C263" s="57"/>
      <c r="D263" s="70"/>
      <c r="E263" s="71"/>
      <c r="F263" s="57"/>
      <c r="G263" s="71"/>
      <c r="H263" s="57"/>
      <c r="I263" s="57"/>
      <c r="J263" s="57"/>
      <c r="K263" s="57"/>
      <c r="L263" s="57"/>
      <c r="M263" s="57"/>
      <c r="N263" s="57"/>
      <c r="O263" s="57"/>
      <c r="P263" s="28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</row>
    <row r="264">
      <c r="A264" s="57"/>
      <c r="B264" s="57"/>
      <c r="C264" s="57"/>
      <c r="D264" s="70"/>
      <c r="E264" s="71"/>
      <c r="F264" s="57"/>
      <c r="G264" s="71"/>
      <c r="H264" s="57"/>
      <c r="I264" s="57"/>
      <c r="J264" s="57"/>
      <c r="K264" s="57"/>
      <c r="L264" s="57"/>
      <c r="M264" s="57"/>
      <c r="N264" s="57"/>
      <c r="O264" s="57"/>
      <c r="P264" s="28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</row>
    <row r="265">
      <c r="A265" s="57"/>
      <c r="B265" s="57"/>
      <c r="C265" s="57"/>
      <c r="D265" s="70"/>
      <c r="E265" s="71"/>
      <c r="F265" s="57"/>
      <c r="G265" s="71"/>
      <c r="H265" s="57"/>
      <c r="I265" s="57"/>
      <c r="J265" s="57"/>
      <c r="K265" s="57"/>
      <c r="L265" s="57"/>
      <c r="M265" s="57"/>
      <c r="N265" s="57"/>
      <c r="O265" s="57"/>
      <c r="P265" s="28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</row>
    <row r="266">
      <c r="A266" s="57"/>
      <c r="B266" s="57"/>
      <c r="C266" s="57"/>
      <c r="D266" s="70"/>
      <c r="E266" s="71"/>
      <c r="F266" s="57"/>
      <c r="G266" s="71"/>
      <c r="H266" s="57"/>
      <c r="I266" s="57"/>
      <c r="J266" s="57"/>
      <c r="K266" s="57"/>
      <c r="L266" s="57"/>
      <c r="M266" s="57"/>
      <c r="N266" s="57"/>
      <c r="O266" s="57"/>
      <c r="P266" s="28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</row>
    <row r="267">
      <c r="A267" s="57"/>
      <c r="B267" s="57"/>
      <c r="C267" s="57"/>
      <c r="D267" s="70"/>
      <c r="E267" s="71"/>
      <c r="F267" s="57"/>
      <c r="G267" s="71"/>
      <c r="H267" s="57"/>
      <c r="I267" s="57"/>
      <c r="J267" s="57"/>
      <c r="K267" s="57"/>
      <c r="L267" s="57"/>
      <c r="M267" s="57"/>
      <c r="N267" s="57"/>
      <c r="O267" s="57"/>
      <c r="P267" s="28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</row>
    <row r="268">
      <c r="A268" s="57"/>
      <c r="B268" s="57"/>
      <c r="C268" s="57"/>
      <c r="D268" s="70"/>
      <c r="E268" s="71"/>
      <c r="F268" s="57"/>
      <c r="G268" s="71"/>
      <c r="H268" s="57"/>
      <c r="I268" s="57"/>
      <c r="J268" s="57"/>
      <c r="K268" s="57"/>
      <c r="L268" s="57"/>
      <c r="M268" s="57"/>
      <c r="N268" s="57"/>
      <c r="O268" s="57"/>
      <c r="P268" s="28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</row>
    <row r="269">
      <c r="A269" s="57"/>
      <c r="B269" s="57"/>
      <c r="C269" s="57"/>
      <c r="D269" s="70"/>
      <c r="E269" s="71"/>
      <c r="F269" s="57"/>
      <c r="G269" s="71"/>
      <c r="H269" s="57"/>
      <c r="I269" s="57"/>
      <c r="J269" s="57"/>
      <c r="K269" s="57"/>
      <c r="L269" s="57"/>
      <c r="M269" s="57"/>
      <c r="N269" s="57"/>
      <c r="O269" s="57"/>
      <c r="P269" s="28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</row>
    <row r="270">
      <c r="A270" s="57"/>
      <c r="B270" s="57"/>
      <c r="C270" s="57"/>
      <c r="D270" s="70"/>
      <c r="E270" s="71"/>
      <c r="F270" s="57"/>
      <c r="G270" s="71"/>
      <c r="H270" s="57"/>
      <c r="I270" s="57"/>
      <c r="J270" s="57"/>
      <c r="K270" s="57"/>
      <c r="L270" s="57"/>
      <c r="M270" s="57"/>
      <c r="N270" s="57"/>
      <c r="O270" s="57"/>
      <c r="P270" s="28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</row>
    <row r="271">
      <c r="A271" s="57"/>
      <c r="B271" s="57"/>
      <c r="C271" s="57"/>
      <c r="D271" s="70"/>
      <c r="E271" s="71"/>
      <c r="F271" s="57"/>
      <c r="G271" s="71"/>
      <c r="H271" s="57"/>
      <c r="I271" s="57"/>
      <c r="J271" s="57"/>
      <c r="K271" s="57"/>
      <c r="L271" s="57"/>
      <c r="M271" s="57"/>
      <c r="N271" s="57"/>
      <c r="O271" s="57"/>
      <c r="P271" s="28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</row>
    <row r="272">
      <c r="A272" s="57"/>
      <c r="B272" s="57"/>
      <c r="C272" s="57"/>
      <c r="D272" s="70"/>
      <c r="E272" s="71"/>
      <c r="F272" s="57"/>
      <c r="G272" s="71"/>
      <c r="H272" s="57"/>
      <c r="I272" s="57"/>
      <c r="J272" s="57"/>
      <c r="K272" s="57"/>
      <c r="L272" s="57"/>
      <c r="M272" s="57"/>
      <c r="N272" s="57"/>
      <c r="O272" s="57"/>
      <c r="P272" s="28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</row>
    <row r="273">
      <c r="A273" s="57"/>
      <c r="B273" s="57"/>
      <c r="C273" s="57"/>
      <c r="D273" s="70"/>
      <c r="E273" s="71"/>
      <c r="F273" s="57"/>
      <c r="G273" s="71"/>
      <c r="H273" s="57"/>
      <c r="I273" s="57"/>
      <c r="J273" s="57"/>
      <c r="K273" s="57"/>
      <c r="L273" s="57"/>
      <c r="M273" s="57"/>
      <c r="N273" s="57"/>
      <c r="O273" s="57"/>
      <c r="P273" s="28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</row>
    <row r="274">
      <c r="A274" s="57"/>
      <c r="B274" s="57"/>
      <c r="C274" s="57"/>
      <c r="D274" s="70"/>
      <c r="E274" s="71"/>
      <c r="F274" s="57"/>
      <c r="G274" s="71"/>
      <c r="H274" s="57"/>
      <c r="I274" s="57"/>
      <c r="J274" s="57"/>
      <c r="K274" s="57"/>
      <c r="L274" s="57"/>
      <c r="M274" s="57"/>
      <c r="N274" s="57"/>
      <c r="O274" s="57"/>
      <c r="P274" s="28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</row>
    <row r="275">
      <c r="A275" s="57"/>
      <c r="B275" s="57"/>
      <c r="C275" s="57"/>
      <c r="D275" s="70"/>
      <c r="E275" s="71"/>
      <c r="F275" s="57"/>
      <c r="G275" s="71"/>
      <c r="H275" s="57"/>
      <c r="I275" s="57"/>
      <c r="J275" s="57"/>
      <c r="K275" s="57"/>
      <c r="L275" s="57"/>
      <c r="M275" s="57"/>
      <c r="N275" s="57"/>
      <c r="O275" s="57"/>
      <c r="P275" s="28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</row>
    <row r="276">
      <c r="A276" s="57"/>
      <c r="B276" s="57"/>
      <c r="C276" s="57"/>
      <c r="D276" s="70"/>
      <c r="E276" s="71"/>
      <c r="F276" s="57"/>
      <c r="G276" s="71"/>
      <c r="H276" s="57"/>
      <c r="I276" s="57"/>
      <c r="J276" s="57"/>
      <c r="K276" s="57"/>
      <c r="L276" s="57"/>
      <c r="M276" s="57"/>
      <c r="N276" s="57"/>
      <c r="O276" s="57"/>
      <c r="P276" s="28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</row>
    <row r="277">
      <c r="A277" s="57"/>
      <c r="B277" s="57"/>
      <c r="C277" s="57"/>
      <c r="D277" s="70"/>
      <c r="E277" s="71"/>
      <c r="F277" s="57"/>
      <c r="G277" s="71"/>
      <c r="H277" s="57"/>
      <c r="I277" s="57"/>
      <c r="J277" s="57"/>
      <c r="K277" s="57"/>
      <c r="L277" s="57"/>
      <c r="M277" s="57"/>
      <c r="N277" s="57"/>
      <c r="O277" s="57"/>
      <c r="P277" s="28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</row>
    <row r="278">
      <c r="A278" s="57"/>
      <c r="B278" s="57"/>
      <c r="C278" s="57"/>
      <c r="D278" s="70"/>
      <c r="E278" s="71"/>
      <c r="F278" s="57"/>
      <c r="G278" s="71"/>
      <c r="H278" s="57"/>
      <c r="I278" s="57"/>
      <c r="J278" s="57"/>
      <c r="K278" s="57"/>
      <c r="L278" s="57"/>
      <c r="M278" s="57"/>
      <c r="N278" s="57"/>
      <c r="O278" s="57"/>
      <c r="P278" s="28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</row>
    <row r="279">
      <c r="A279" s="57"/>
      <c r="B279" s="57"/>
      <c r="C279" s="57"/>
      <c r="D279" s="70"/>
      <c r="E279" s="71"/>
      <c r="F279" s="57"/>
      <c r="G279" s="71"/>
      <c r="H279" s="57"/>
      <c r="I279" s="57"/>
      <c r="J279" s="57"/>
      <c r="K279" s="57"/>
      <c r="L279" s="57"/>
      <c r="M279" s="57"/>
      <c r="N279" s="57"/>
      <c r="O279" s="57"/>
      <c r="P279" s="28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</row>
    <row r="280">
      <c r="A280" s="57"/>
      <c r="B280" s="57"/>
      <c r="C280" s="57"/>
      <c r="D280" s="70"/>
      <c r="E280" s="71"/>
      <c r="F280" s="57"/>
      <c r="G280" s="71"/>
      <c r="H280" s="57"/>
      <c r="I280" s="57"/>
      <c r="J280" s="57"/>
      <c r="K280" s="57"/>
      <c r="L280" s="57"/>
      <c r="M280" s="57"/>
      <c r="N280" s="57"/>
      <c r="O280" s="57"/>
      <c r="P280" s="28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</row>
    <row r="281">
      <c r="A281" s="57"/>
      <c r="B281" s="57"/>
      <c r="C281" s="57"/>
      <c r="D281" s="70"/>
      <c r="E281" s="71"/>
      <c r="F281" s="57"/>
      <c r="G281" s="71"/>
      <c r="H281" s="57"/>
      <c r="I281" s="57"/>
      <c r="J281" s="57"/>
      <c r="K281" s="57"/>
      <c r="L281" s="57"/>
      <c r="M281" s="57"/>
      <c r="N281" s="57"/>
      <c r="O281" s="57"/>
      <c r="P281" s="28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</row>
    <row r="282">
      <c r="A282" s="57"/>
      <c r="B282" s="57"/>
      <c r="C282" s="57"/>
      <c r="D282" s="70"/>
      <c r="E282" s="71"/>
      <c r="F282" s="57"/>
      <c r="G282" s="71"/>
      <c r="H282" s="57"/>
      <c r="I282" s="57"/>
      <c r="J282" s="57"/>
      <c r="K282" s="57"/>
      <c r="L282" s="57"/>
      <c r="M282" s="57"/>
      <c r="N282" s="57"/>
      <c r="O282" s="57"/>
      <c r="P282" s="28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</row>
    <row r="283">
      <c r="A283" s="57"/>
      <c r="B283" s="57"/>
      <c r="C283" s="57"/>
      <c r="D283" s="70"/>
      <c r="E283" s="71"/>
      <c r="F283" s="57"/>
      <c r="G283" s="71"/>
      <c r="H283" s="57"/>
      <c r="I283" s="57"/>
      <c r="J283" s="57"/>
      <c r="K283" s="57"/>
      <c r="L283" s="57"/>
      <c r="M283" s="57"/>
      <c r="N283" s="57"/>
      <c r="O283" s="57"/>
      <c r="P283" s="28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</row>
    <row r="284">
      <c r="A284" s="57"/>
      <c r="B284" s="57"/>
      <c r="C284" s="57"/>
      <c r="D284" s="70"/>
      <c r="E284" s="71"/>
      <c r="F284" s="57"/>
      <c r="G284" s="71"/>
      <c r="H284" s="57"/>
      <c r="I284" s="57"/>
      <c r="J284" s="57"/>
      <c r="K284" s="57"/>
      <c r="L284" s="57"/>
      <c r="M284" s="57"/>
      <c r="N284" s="57"/>
      <c r="O284" s="57"/>
      <c r="P284" s="28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</row>
    <row r="285">
      <c r="A285" s="57"/>
      <c r="B285" s="57"/>
      <c r="C285" s="57"/>
      <c r="D285" s="70"/>
      <c r="E285" s="71"/>
      <c r="F285" s="57"/>
      <c r="G285" s="71"/>
      <c r="H285" s="57"/>
      <c r="I285" s="57"/>
      <c r="J285" s="57"/>
      <c r="K285" s="57"/>
      <c r="L285" s="57"/>
      <c r="M285" s="57"/>
      <c r="N285" s="57"/>
      <c r="O285" s="57"/>
      <c r="P285" s="28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</row>
    <row r="286">
      <c r="A286" s="57"/>
      <c r="B286" s="57"/>
      <c r="C286" s="57"/>
      <c r="D286" s="70"/>
      <c r="E286" s="71"/>
      <c r="F286" s="57"/>
      <c r="G286" s="71"/>
      <c r="H286" s="57"/>
      <c r="I286" s="57"/>
      <c r="J286" s="57"/>
      <c r="K286" s="57"/>
      <c r="L286" s="57"/>
      <c r="M286" s="57"/>
      <c r="N286" s="57"/>
      <c r="O286" s="57"/>
      <c r="P286" s="28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</row>
    <row r="287">
      <c r="A287" s="57"/>
      <c r="B287" s="57"/>
      <c r="C287" s="57"/>
      <c r="D287" s="70"/>
      <c r="E287" s="71"/>
      <c r="F287" s="57"/>
      <c r="G287" s="71"/>
      <c r="H287" s="57"/>
      <c r="I287" s="57"/>
      <c r="J287" s="57"/>
      <c r="K287" s="57"/>
      <c r="L287" s="57"/>
      <c r="M287" s="57"/>
      <c r="N287" s="57"/>
      <c r="O287" s="57"/>
      <c r="P287" s="28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</row>
    <row r="288">
      <c r="A288" s="57"/>
      <c r="B288" s="57"/>
      <c r="C288" s="57"/>
      <c r="D288" s="70"/>
      <c r="E288" s="71"/>
      <c r="F288" s="57"/>
      <c r="G288" s="71"/>
      <c r="H288" s="57"/>
      <c r="I288" s="57"/>
      <c r="J288" s="57"/>
      <c r="K288" s="57"/>
      <c r="L288" s="57"/>
      <c r="M288" s="57"/>
      <c r="N288" s="57"/>
      <c r="O288" s="57"/>
      <c r="P288" s="28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</row>
    <row r="289">
      <c r="A289" s="57"/>
      <c r="B289" s="57"/>
      <c r="C289" s="57"/>
      <c r="D289" s="70"/>
      <c r="E289" s="71"/>
      <c r="F289" s="57"/>
      <c r="G289" s="71"/>
      <c r="H289" s="57"/>
      <c r="I289" s="57"/>
      <c r="J289" s="57"/>
      <c r="K289" s="57"/>
      <c r="L289" s="57"/>
      <c r="M289" s="57"/>
      <c r="N289" s="57"/>
      <c r="O289" s="57"/>
      <c r="P289" s="28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</row>
    <row r="290">
      <c r="A290" s="57"/>
      <c r="B290" s="57"/>
      <c r="C290" s="57"/>
      <c r="D290" s="70"/>
      <c r="E290" s="71"/>
      <c r="F290" s="57"/>
      <c r="G290" s="71"/>
      <c r="H290" s="57"/>
      <c r="I290" s="57"/>
      <c r="J290" s="57"/>
      <c r="K290" s="57"/>
      <c r="L290" s="57"/>
      <c r="M290" s="57"/>
      <c r="N290" s="57"/>
      <c r="O290" s="57"/>
      <c r="P290" s="28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</row>
    <row r="291">
      <c r="A291" s="57"/>
      <c r="B291" s="57"/>
      <c r="C291" s="57"/>
      <c r="D291" s="70"/>
      <c r="E291" s="71"/>
      <c r="F291" s="57"/>
      <c r="G291" s="71"/>
      <c r="H291" s="57"/>
      <c r="I291" s="57"/>
      <c r="J291" s="57"/>
      <c r="K291" s="57"/>
      <c r="L291" s="57"/>
      <c r="M291" s="57"/>
      <c r="N291" s="57"/>
      <c r="O291" s="57"/>
      <c r="P291" s="28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</row>
    <row r="292">
      <c r="A292" s="57"/>
      <c r="B292" s="57"/>
      <c r="C292" s="57"/>
      <c r="D292" s="70"/>
      <c r="E292" s="71"/>
      <c r="F292" s="57"/>
      <c r="G292" s="71"/>
      <c r="H292" s="57"/>
      <c r="I292" s="57"/>
      <c r="J292" s="57"/>
      <c r="K292" s="57"/>
      <c r="L292" s="57"/>
      <c r="M292" s="57"/>
      <c r="N292" s="57"/>
      <c r="O292" s="57"/>
      <c r="P292" s="28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</row>
    <row r="293">
      <c r="A293" s="57"/>
      <c r="B293" s="57"/>
      <c r="C293" s="57"/>
      <c r="D293" s="70"/>
      <c r="E293" s="71"/>
      <c r="F293" s="57"/>
      <c r="G293" s="71"/>
      <c r="H293" s="57"/>
      <c r="I293" s="57"/>
      <c r="J293" s="57"/>
      <c r="K293" s="57"/>
      <c r="L293" s="57"/>
      <c r="M293" s="57"/>
      <c r="N293" s="57"/>
      <c r="O293" s="57"/>
      <c r="P293" s="28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</row>
    <row r="294">
      <c r="A294" s="57"/>
      <c r="B294" s="57"/>
      <c r="C294" s="57"/>
      <c r="D294" s="70"/>
      <c r="E294" s="71"/>
      <c r="F294" s="57"/>
      <c r="G294" s="71"/>
      <c r="H294" s="57"/>
      <c r="I294" s="57"/>
      <c r="J294" s="57"/>
      <c r="K294" s="57"/>
      <c r="L294" s="57"/>
      <c r="M294" s="57"/>
      <c r="N294" s="57"/>
      <c r="O294" s="57"/>
      <c r="P294" s="28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</row>
    <row r="295">
      <c r="A295" s="57"/>
      <c r="B295" s="57"/>
      <c r="C295" s="57"/>
      <c r="D295" s="70"/>
      <c r="E295" s="71"/>
      <c r="F295" s="57"/>
      <c r="G295" s="71"/>
      <c r="H295" s="57"/>
      <c r="I295" s="57"/>
      <c r="J295" s="57"/>
      <c r="K295" s="57"/>
      <c r="L295" s="57"/>
      <c r="M295" s="57"/>
      <c r="N295" s="57"/>
      <c r="O295" s="57"/>
      <c r="P295" s="28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</row>
    <row r="296">
      <c r="A296" s="57"/>
      <c r="B296" s="57"/>
      <c r="C296" s="57"/>
      <c r="D296" s="70"/>
      <c r="E296" s="71"/>
      <c r="F296" s="57"/>
      <c r="G296" s="71"/>
      <c r="H296" s="57"/>
      <c r="I296" s="57"/>
      <c r="J296" s="57"/>
      <c r="K296" s="57"/>
      <c r="L296" s="57"/>
      <c r="M296" s="57"/>
      <c r="N296" s="57"/>
      <c r="O296" s="57"/>
      <c r="P296" s="28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</row>
    <row r="297">
      <c r="A297" s="57"/>
      <c r="B297" s="57"/>
      <c r="C297" s="57"/>
      <c r="D297" s="70"/>
      <c r="E297" s="71"/>
      <c r="F297" s="57"/>
      <c r="G297" s="71"/>
      <c r="H297" s="57"/>
      <c r="I297" s="57"/>
      <c r="J297" s="57"/>
      <c r="K297" s="57"/>
      <c r="L297" s="57"/>
      <c r="M297" s="57"/>
      <c r="N297" s="57"/>
      <c r="O297" s="57"/>
      <c r="P297" s="28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</row>
    <row r="298">
      <c r="A298" s="57"/>
      <c r="B298" s="57"/>
      <c r="C298" s="57"/>
      <c r="D298" s="70"/>
      <c r="E298" s="71"/>
      <c r="F298" s="57"/>
      <c r="G298" s="71"/>
      <c r="H298" s="57"/>
      <c r="I298" s="57"/>
      <c r="J298" s="57"/>
      <c r="K298" s="57"/>
      <c r="L298" s="57"/>
      <c r="M298" s="57"/>
      <c r="N298" s="57"/>
      <c r="O298" s="57"/>
      <c r="P298" s="28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</row>
    <row r="299">
      <c r="A299" s="57"/>
      <c r="B299" s="57"/>
      <c r="C299" s="57"/>
      <c r="D299" s="70"/>
      <c r="E299" s="71"/>
      <c r="F299" s="57"/>
      <c r="G299" s="71"/>
      <c r="H299" s="57"/>
      <c r="I299" s="57"/>
      <c r="J299" s="57"/>
      <c r="K299" s="57"/>
      <c r="L299" s="57"/>
      <c r="M299" s="57"/>
      <c r="N299" s="57"/>
      <c r="O299" s="57"/>
      <c r="P299" s="28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</row>
    <row r="300">
      <c r="A300" s="57"/>
      <c r="B300" s="57"/>
      <c r="C300" s="57"/>
      <c r="D300" s="70"/>
      <c r="E300" s="71"/>
      <c r="F300" s="57"/>
      <c r="G300" s="71"/>
      <c r="H300" s="57"/>
      <c r="I300" s="57"/>
      <c r="J300" s="57"/>
      <c r="K300" s="57"/>
      <c r="L300" s="57"/>
      <c r="M300" s="57"/>
      <c r="N300" s="57"/>
      <c r="O300" s="57"/>
      <c r="P300" s="28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</row>
    <row r="301">
      <c r="A301" s="57"/>
      <c r="B301" s="57"/>
      <c r="C301" s="57"/>
      <c r="D301" s="70"/>
      <c r="E301" s="71"/>
      <c r="F301" s="57"/>
      <c r="G301" s="71"/>
      <c r="H301" s="57"/>
      <c r="I301" s="57"/>
      <c r="J301" s="57"/>
      <c r="K301" s="57"/>
      <c r="L301" s="57"/>
      <c r="M301" s="57"/>
      <c r="N301" s="57"/>
      <c r="O301" s="57"/>
      <c r="P301" s="28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</row>
    <row r="302">
      <c r="A302" s="57"/>
      <c r="B302" s="57"/>
      <c r="C302" s="57"/>
      <c r="D302" s="70"/>
      <c r="E302" s="71"/>
      <c r="F302" s="57"/>
      <c r="G302" s="71"/>
      <c r="H302" s="57"/>
      <c r="I302" s="57"/>
      <c r="J302" s="57"/>
      <c r="K302" s="57"/>
      <c r="L302" s="57"/>
      <c r="M302" s="57"/>
      <c r="N302" s="57"/>
      <c r="O302" s="57"/>
      <c r="P302" s="28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</row>
    <row r="303">
      <c r="A303" s="57"/>
      <c r="B303" s="57"/>
      <c r="C303" s="57"/>
      <c r="D303" s="70"/>
      <c r="E303" s="71"/>
      <c r="F303" s="57"/>
      <c r="G303" s="71"/>
      <c r="H303" s="57"/>
      <c r="I303" s="57"/>
      <c r="J303" s="57"/>
      <c r="K303" s="57"/>
      <c r="L303" s="57"/>
      <c r="M303" s="57"/>
      <c r="N303" s="57"/>
      <c r="O303" s="57"/>
      <c r="P303" s="28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</row>
    <row r="304">
      <c r="A304" s="57"/>
      <c r="B304" s="57"/>
      <c r="C304" s="57"/>
      <c r="D304" s="70"/>
      <c r="E304" s="71"/>
      <c r="F304" s="57"/>
      <c r="G304" s="71"/>
      <c r="H304" s="57"/>
      <c r="I304" s="57"/>
      <c r="J304" s="57"/>
      <c r="K304" s="57"/>
      <c r="L304" s="57"/>
      <c r="M304" s="57"/>
      <c r="N304" s="57"/>
      <c r="O304" s="57"/>
      <c r="P304" s="28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</row>
    <row r="305">
      <c r="A305" s="57"/>
      <c r="B305" s="57"/>
      <c r="C305" s="57"/>
      <c r="D305" s="70"/>
      <c r="E305" s="71"/>
      <c r="F305" s="57"/>
      <c r="G305" s="71"/>
      <c r="H305" s="57"/>
      <c r="I305" s="57"/>
      <c r="J305" s="57"/>
      <c r="K305" s="57"/>
      <c r="L305" s="57"/>
      <c r="M305" s="57"/>
      <c r="N305" s="57"/>
      <c r="O305" s="57"/>
      <c r="P305" s="28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</row>
    <row r="306">
      <c r="A306" s="57"/>
      <c r="B306" s="57"/>
      <c r="C306" s="57"/>
      <c r="D306" s="70"/>
      <c r="E306" s="71"/>
      <c r="F306" s="57"/>
      <c r="G306" s="71"/>
      <c r="H306" s="57"/>
      <c r="I306" s="57"/>
      <c r="J306" s="57"/>
      <c r="K306" s="57"/>
      <c r="L306" s="57"/>
      <c r="M306" s="57"/>
      <c r="N306" s="57"/>
      <c r="O306" s="57"/>
      <c r="P306" s="28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</row>
    <row r="307">
      <c r="A307" s="57"/>
      <c r="B307" s="57"/>
      <c r="C307" s="57"/>
      <c r="D307" s="70"/>
      <c r="E307" s="71"/>
      <c r="F307" s="57"/>
      <c r="G307" s="71"/>
      <c r="H307" s="57"/>
      <c r="I307" s="57"/>
      <c r="J307" s="57"/>
      <c r="K307" s="57"/>
      <c r="L307" s="57"/>
      <c r="M307" s="57"/>
      <c r="N307" s="57"/>
      <c r="O307" s="57"/>
      <c r="P307" s="28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</row>
    <row r="308">
      <c r="A308" s="57"/>
      <c r="B308" s="57"/>
      <c r="C308" s="57"/>
      <c r="D308" s="70"/>
      <c r="E308" s="71"/>
      <c r="F308" s="57"/>
      <c r="G308" s="71"/>
      <c r="H308" s="57"/>
      <c r="I308" s="57"/>
      <c r="J308" s="57"/>
      <c r="K308" s="57"/>
      <c r="L308" s="57"/>
      <c r="M308" s="57"/>
      <c r="N308" s="57"/>
      <c r="O308" s="57"/>
      <c r="P308" s="28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</row>
    <row r="309">
      <c r="A309" s="57"/>
      <c r="B309" s="57"/>
      <c r="C309" s="57"/>
      <c r="D309" s="70"/>
      <c r="E309" s="71"/>
      <c r="F309" s="57"/>
      <c r="G309" s="71"/>
      <c r="H309" s="57"/>
      <c r="I309" s="57"/>
      <c r="J309" s="57"/>
      <c r="K309" s="57"/>
      <c r="L309" s="57"/>
      <c r="M309" s="57"/>
      <c r="N309" s="57"/>
      <c r="O309" s="57"/>
      <c r="P309" s="28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</row>
    <row r="310">
      <c r="A310" s="57"/>
      <c r="B310" s="57"/>
      <c r="C310" s="57"/>
      <c r="D310" s="70"/>
      <c r="E310" s="71"/>
      <c r="F310" s="57"/>
      <c r="G310" s="71"/>
      <c r="H310" s="57"/>
      <c r="I310" s="57"/>
      <c r="J310" s="57"/>
      <c r="K310" s="57"/>
      <c r="L310" s="57"/>
      <c r="M310" s="57"/>
      <c r="N310" s="57"/>
      <c r="O310" s="57"/>
      <c r="P310" s="28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</row>
    <row r="311">
      <c r="A311" s="57"/>
      <c r="B311" s="57"/>
      <c r="C311" s="57"/>
      <c r="D311" s="70"/>
      <c r="E311" s="71"/>
      <c r="F311" s="57"/>
      <c r="G311" s="71"/>
      <c r="H311" s="57"/>
      <c r="I311" s="57"/>
      <c r="J311" s="57"/>
      <c r="K311" s="57"/>
      <c r="L311" s="57"/>
      <c r="M311" s="57"/>
      <c r="N311" s="57"/>
      <c r="O311" s="57"/>
      <c r="P311" s="28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</row>
    <row r="312">
      <c r="A312" s="57"/>
      <c r="B312" s="57"/>
      <c r="C312" s="57"/>
      <c r="D312" s="70"/>
      <c r="E312" s="71"/>
      <c r="F312" s="57"/>
      <c r="G312" s="71"/>
      <c r="H312" s="57"/>
      <c r="I312" s="57"/>
      <c r="J312" s="57"/>
      <c r="K312" s="57"/>
      <c r="L312" s="57"/>
      <c r="M312" s="57"/>
      <c r="N312" s="57"/>
      <c r="O312" s="57"/>
      <c r="P312" s="28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</row>
    <row r="313">
      <c r="A313" s="57"/>
      <c r="B313" s="57"/>
      <c r="C313" s="57"/>
      <c r="D313" s="70"/>
      <c r="E313" s="71"/>
      <c r="F313" s="57"/>
      <c r="G313" s="71"/>
      <c r="H313" s="57"/>
      <c r="I313" s="57"/>
      <c r="J313" s="57"/>
      <c r="K313" s="57"/>
      <c r="L313" s="57"/>
      <c r="M313" s="57"/>
      <c r="N313" s="57"/>
      <c r="O313" s="57"/>
      <c r="P313" s="28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</row>
    <row r="314">
      <c r="A314" s="57"/>
      <c r="B314" s="57"/>
      <c r="C314" s="57"/>
      <c r="D314" s="70"/>
      <c r="E314" s="71"/>
      <c r="F314" s="57"/>
      <c r="G314" s="71"/>
      <c r="H314" s="57"/>
      <c r="I314" s="57"/>
      <c r="J314" s="57"/>
      <c r="K314" s="57"/>
      <c r="L314" s="57"/>
      <c r="M314" s="57"/>
      <c r="N314" s="57"/>
      <c r="O314" s="57"/>
      <c r="P314" s="28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</row>
    <row r="315">
      <c r="A315" s="57"/>
      <c r="B315" s="57"/>
      <c r="C315" s="57"/>
      <c r="D315" s="70"/>
      <c r="E315" s="71"/>
      <c r="F315" s="57"/>
      <c r="G315" s="71"/>
      <c r="H315" s="57"/>
      <c r="I315" s="57"/>
      <c r="J315" s="57"/>
      <c r="K315" s="57"/>
      <c r="L315" s="57"/>
      <c r="M315" s="57"/>
      <c r="N315" s="57"/>
      <c r="O315" s="57"/>
      <c r="P315" s="28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</row>
    <row r="316">
      <c r="A316" s="57"/>
      <c r="B316" s="57"/>
      <c r="C316" s="57"/>
      <c r="D316" s="70"/>
      <c r="E316" s="71"/>
      <c r="F316" s="57"/>
      <c r="G316" s="71"/>
      <c r="H316" s="57"/>
      <c r="I316" s="57"/>
      <c r="J316" s="57"/>
      <c r="K316" s="57"/>
      <c r="L316" s="57"/>
      <c r="M316" s="57"/>
      <c r="N316" s="57"/>
      <c r="O316" s="57"/>
      <c r="P316" s="28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</row>
    <row r="317">
      <c r="A317" s="57"/>
      <c r="B317" s="57"/>
      <c r="C317" s="57"/>
      <c r="D317" s="70"/>
      <c r="E317" s="71"/>
      <c r="F317" s="57"/>
      <c r="G317" s="71"/>
      <c r="H317" s="57"/>
      <c r="I317" s="57"/>
      <c r="J317" s="57"/>
      <c r="K317" s="57"/>
      <c r="L317" s="57"/>
      <c r="M317" s="57"/>
      <c r="N317" s="57"/>
      <c r="O317" s="57"/>
      <c r="P317" s="28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</row>
    <row r="318">
      <c r="A318" s="57"/>
      <c r="B318" s="57"/>
      <c r="C318" s="57"/>
      <c r="D318" s="70"/>
      <c r="E318" s="71"/>
      <c r="F318" s="57"/>
      <c r="G318" s="71"/>
      <c r="H318" s="57"/>
      <c r="I318" s="57"/>
      <c r="J318" s="57"/>
      <c r="K318" s="57"/>
      <c r="L318" s="57"/>
      <c r="M318" s="57"/>
      <c r="N318" s="57"/>
      <c r="O318" s="57"/>
      <c r="P318" s="28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</row>
    <row r="319">
      <c r="A319" s="57"/>
      <c r="B319" s="57"/>
      <c r="C319" s="57"/>
      <c r="D319" s="70"/>
      <c r="E319" s="71"/>
      <c r="F319" s="57"/>
      <c r="G319" s="71"/>
      <c r="H319" s="57"/>
      <c r="I319" s="57"/>
      <c r="J319" s="57"/>
      <c r="K319" s="57"/>
      <c r="L319" s="57"/>
      <c r="M319" s="57"/>
      <c r="N319" s="57"/>
      <c r="O319" s="57"/>
      <c r="P319" s="28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</row>
    <row r="320">
      <c r="A320" s="57"/>
      <c r="B320" s="57"/>
      <c r="C320" s="57"/>
      <c r="D320" s="70"/>
      <c r="E320" s="71"/>
      <c r="F320" s="57"/>
      <c r="G320" s="71"/>
      <c r="H320" s="57"/>
      <c r="I320" s="57"/>
      <c r="J320" s="57"/>
      <c r="K320" s="57"/>
      <c r="L320" s="57"/>
      <c r="M320" s="57"/>
      <c r="N320" s="57"/>
      <c r="O320" s="57"/>
      <c r="P320" s="28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</row>
    <row r="321">
      <c r="A321" s="57"/>
      <c r="B321" s="57"/>
      <c r="C321" s="57"/>
      <c r="D321" s="70"/>
      <c r="E321" s="71"/>
      <c r="F321" s="57"/>
      <c r="G321" s="71"/>
      <c r="H321" s="57"/>
      <c r="I321" s="57"/>
      <c r="J321" s="57"/>
      <c r="K321" s="57"/>
      <c r="L321" s="57"/>
      <c r="M321" s="57"/>
      <c r="N321" s="57"/>
      <c r="O321" s="57"/>
      <c r="P321" s="28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</row>
    <row r="322">
      <c r="A322" s="57"/>
      <c r="B322" s="57"/>
      <c r="C322" s="57"/>
      <c r="D322" s="70"/>
      <c r="E322" s="71"/>
      <c r="F322" s="57"/>
      <c r="G322" s="71"/>
      <c r="H322" s="57"/>
      <c r="I322" s="57"/>
      <c r="J322" s="57"/>
      <c r="K322" s="57"/>
      <c r="L322" s="57"/>
      <c r="M322" s="57"/>
      <c r="N322" s="57"/>
      <c r="O322" s="57"/>
      <c r="P322" s="28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</row>
    <row r="323">
      <c r="A323" s="57"/>
      <c r="B323" s="57"/>
      <c r="C323" s="57"/>
      <c r="D323" s="70"/>
      <c r="E323" s="71"/>
      <c r="F323" s="57"/>
      <c r="G323" s="71"/>
      <c r="H323" s="57"/>
      <c r="I323" s="57"/>
      <c r="J323" s="57"/>
      <c r="K323" s="57"/>
      <c r="L323" s="57"/>
      <c r="M323" s="57"/>
      <c r="N323" s="57"/>
      <c r="O323" s="57"/>
      <c r="P323" s="28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</row>
    <row r="324">
      <c r="A324" s="57"/>
      <c r="B324" s="57"/>
      <c r="C324" s="57"/>
      <c r="D324" s="70"/>
      <c r="E324" s="71"/>
      <c r="F324" s="57"/>
      <c r="G324" s="71"/>
      <c r="H324" s="57"/>
      <c r="I324" s="57"/>
      <c r="J324" s="57"/>
      <c r="K324" s="57"/>
      <c r="L324" s="57"/>
      <c r="M324" s="57"/>
      <c r="N324" s="57"/>
      <c r="O324" s="57"/>
      <c r="P324" s="28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</row>
    <row r="325">
      <c r="A325" s="57"/>
      <c r="B325" s="57"/>
      <c r="C325" s="57"/>
      <c r="D325" s="70"/>
      <c r="E325" s="71"/>
      <c r="F325" s="57"/>
      <c r="G325" s="71"/>
      <c r="H325" s="57"/>
      <c r="I325" s="57"/>
      <c r="J325" s="57"/>
      <c r="K325" s="57"/>
      <c r="L325" s="57"/>
      <c r="M325" s="57"/>
      <c r="N325" s="57"/>
      <c r="O325" s="57"/>
      <c r="P325" s="28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</row>
    <row r="326">
      <c r="A326" s="57"/>
      <c r="B326" s="57"/>
      <c r="C326" s="57"/>
      <c r="D326" s="70"/>
      <c r="E326" s="71"/>
      <c r="F326" s="57"/>
      <c r="G326" s="71"/>
      <c r="H326" s="57"/>
      <c r="I326" s="57"/>
      <c r="J326" s="57"/>
      <c r="K326" s="57"/>
      <c r="L326" s="57"/>
      <c r="M326" s="57"/>
      <c r="N326" s="57"/>
      <c r="O326" s="57"/>
      <c r="P326" s="28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</row>
    <row r="327">
      <c r="A327" s="57"/>
      <c r="B327" s="57"/>
      <c r="C327" s="57"/>
      <c r="D327" s="70"/>
      <c r="E327" s="71"/>
      <c r="F327" s="57"/>
      <c r="G327" s="71"/>
      <c r="H327" s="57"/>
      <c r="I327" s="57"/>
      <c r="J327" s="57"/>
      <c r="K327" s="57"/>
      <c r="L327" s="57"/>
      <c r="M327" s="57"/>
      <c r="N327" s="57"/>
      <c r="O327" s="57"/>
      <c r="P327" s="28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</row>
    <row r="328">
      <c r="A328" s="57"/>
      <c r="B328" s="57"/>
      <c r="C328" s="57"/>
      <c r="D328" s="70"/>
      <c r="E328" s="71"/>
      <c r="F328" s="57"/>
      <c r="G328" s="71"/>
      <c r="H328" s="57"/>
      <c r="I328" s="57"/>
      <c r="J328" s="57"/>
      <c r="K328" s="57"/>
      <c r="L328" s="57"/>
      <c r="M328" s="57"/>
      <c r="N328" s="57"/>
      <c r="O328" s="57"/>
      <c r="P328" s="28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</row>
    <row r="329">
      <c r="A329" s="57"/>
      <c r="B329" s="57"/>
      <c r="C329" s="57"/>
      <c r="D329" s="70"/>
      <c r="E329" s="71"/>
      <c r="F329" s="57"/>
      <c r="G329" s="71"/>
      <c r="H329" s="57"/>
      <c r="I329" s="57"/>
      <c r="J329" s="57"/>
      <c r="K329" s="57"/>
      <c r="L329" s="57"/>
      <c r="M329" s="57"/>
      <c r="N329" s="57"/>
      <c r="O329" s="57"/>
      <c r="P329" s="28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</row>
    <row r="330">
      <c r="A330" s="57"/>
      <c r="B330" s="57"/>
      <c r="C330" s="57"/>
      <c r="D330" s="70"/>
      <c r="E330" s="71"/>
      <c r="F330" s="57"/>
      <c r="G330" s="71"/>
      <c r="H330" s="57"/>
      <c r="I330" s="57"/>
      <c r="J330" s="57"/>
      <c r="K330" s="57"/>
      <c r="L330" s="57"/>
      <c r="M330" s="57"/>
      <c r="N330" s="57"/>
      <c r="O330" s="57"/>
      <c r="P330" s="28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</row>
    <row r="331">
      <c r="A331" s="57"/>
      <c r="B331" s="57"/>
      <c r="C331" s="57"/>
      <c r="D331" s="70"/>
      <c r="E331" s="71"/>
      <c r="F331" s="57"/>
      <c r="G331" s="71"/>
      <c r="H331" s="57"/>
      <c r="I331" s="57"/>
      <c r="J331" s="57"/>
      <c r="K331" s="57"/>
      <c r="L331" s="57"/>
      <c r="M331" s="57"/>
      <c r="N331" s="57"/>
      <c r="O331" s="57"/>
      <c r="P331" s="28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</row>
    <row r="332">
      <c r="A332" s="57"/>
      <c r="B332" s="57"/>
      <c r="C332" s="57"/>
      <c r="D332" s="70"/>
      <c r="E332" s="71"/>
      <c r="F332" s="57"/>
      <c r="G332" s="71"/>
      <c r="H332" s="57"/>
      <c r="I332" s="57"/>
      <c r="J332" s="57"/>
      <c r="K332" s="57"/>
      <c r="L332" s="57"/>
      <c r="M332" s="57"/>
      <c r="N332" s="57"/>
      <c r="O332" s="57"/>
      <c r="P332" s="28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</row>
    <row r="333">
      <c r="A333" s="57"/>
      <c r="B333" s="57"/>
      <c r="C333" s="57"/>
      <c r="D333" s="70"/>
      <c r="E333" s="71"/>
      <c r="F333" s="57"/>
      <c r="G333" s="71"/>
      <c r="H333" s="57"/>
      <c r="I333" s="57"/>
      <c r="J333" s="57"/>
      <c r="K333" s="57"/>
      <c r="L333" s="57"/>
      <c r="M333" s="57"/>
      <c r="N333" s="57"/>
      <c r="O333" s="57"/>
      <c r="P333" s="28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</row>
    <row r="334">
      <c r="A334" s="57"/>
      <c r="B334" s="57"/>
      <c r="C334" s="57"/>
      <c r="D334" s="70"/>
      <c r="E334" s="71"/>
      <c r="F334" s="57"/>
      <c r="G334" s="71"/>
      <c r="H334" s="57"/>
      <c r="I334" s="57"/>
      <c r="J334" s="57"/>
      <c r="K334" s="57"/>
      <c r="L334" s="57"/>
      <c r="M334" s="57"/>
      <c r="N334" s="57"/>
      <c r="O334" s="57"/>
      <c r="P334" s="28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</row>
    <row r="335">
      <c r="A335" s="57"/>
      <c r="B335" s="57"/>
      <c r="C335" s="57"/>
      <c r="D335" s="70"/>
      <c r="E335" s="71"/>
      <c r="F335" s="57"/>
      <c r="G335" s="71"/>
      <c r="H335" s="57"/>
      <c r="I335" s="57"/>
      <c r="J335" s="57"/>
      <c r="K335" s="57"/>
      <c r="L335" s="57"/>
      <c r="M335" s="57"/>
      <c r="N335" s="57"/>
      <c r="O335" s="57"/>
      <c r="P335" s="28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</row>
    <row r="336">
      <c r="A336" s="57"/>
      <c r="B336" s="57"/>
      <c r="C336" s="57"/>
      <c r="D336" s="70"/>
      <c r="E336" s="71"/>
      <c r="F336" s="57"/>
      <c r="G336" s="71"/>
      <c r="H336" s="57"/>
      <c r="I336" s="57"/>
      <c r="J336" s="57"/>
      <c r="K336" s="57"/>
      <c r="L336" s="57"/>
      <c r="M336" s="57"/>
      <c r="N336" s="57"/>
      <c r="O336" s="57"/>
      <c r="P336" s="28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</row>
    <row r="337">
      <c r="A337" s="57"/>
      <c r="B337" s="57"/>
      <c r="C337" s="57"/>
      <c r="D337" s="70"/>
      <c r="E337" s="71"/>
      <c r="F337" s="57"/>
      <c r="G337" s="71"/>
      <c r="H337" s="57"/>
      <c r="I337" s="57"/>
      <c r="J337" s="57"/>
      <c r="K337" s="57"/>
      <c r="L337" s="57"/>
      <c r="M337" s="57"/>
      <c r="N337" s="57"/>
      <c r="O337" s="57"/>
      <c r="P337" s="28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</row>
    <row r="338">
      <c r="A338" s="57"/>
      <c r="B338" s="57"/>
      <c r="C338" s="57"/>
      <c r="D338" s="70"/>
      <c r="E338" s="71"/>
      <c r="F338" s="57"/>
      <c r="G338" s="71"/>
      <c r="H338" s="57"/>
      <c r="I338" s="57"/>
      <c r="J338" s="57"/>
      <c r="K338" s="57"/>
      <c r="L338" s="57"/>
      <c r="M338" s="57"/>
      <c r="N338" s="57"/>
      <c r="O338" s="57"/>
      <c r="P338" s="28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</row>
    <row r="339">
      <c r="A339" s="57"/>
      <c r="B339" s="57"/>
      <c r="C339" s="57"/>
      <c r="D339" s="70"/>
      <c r="E339" s="71"/>
      <c r="F339" s="57"/>
      <c r="G339" s="71"/>
      <c r="H339" s="57"/>
      <c r="I339" s="57"/>
      <c r="J339" s="57"/>
      <c r="K339" s="57"/>
      <c r="L339" s="57"/>
      <c r="M339" s="57"/>
      <c r="N339" s="57"/>
      <c r="O339" s="57"/>
      <c r="P339" s="28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</row>
    <row r="340">
      <c r="A340" s="57"/>
      <c r="B340" s="57"/>
      <c r="C340" s="57"/>
      <c r="D340" s="70"/>
      <c r="E340" s="71"/>
      <c r="F340" s="57"/>
      <c r="G340" s="71"/>
      <c r="H340" s="57"/>
      <c r="I340" s="57"/>
      <c r="J340" s="57"/>
      <c r="K340" s="57"/>
      <c r="L340" s="57"/>
      <c r="M340" s="57"/>
      <c r="N340" s="57"/>
      <c r="O340" s="57"/>
      <c r="P340" s="28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</row>
    <row r="341">
      <c r="A341" s="57"/>
      <c r="B341" s="57"/>
      <c r="C341" s="57"/>
      <c r="D341" s="70"/>
      <c r="E341" s="71"/>
      <c r="F341" s="57"/>
      <c r="G341" s="71"/>
      <c r="H341" s="57"/>
      <c r="I341" s="57"/>
      <c r="J341" s="57"/>
      <c r="K341" s="57"/>
      <c r="L341" s="57"/>
      <c r="M341" s="57"/>
      <c r="N341" s="57"/>
      <c r="O341" s="57"/>
      <c r="P341" s="28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</row>
    <row r="342">
      <c r="A342" s="57"/>
      <c r="B342" s="57"/>
      <c r="C342" s="57"/>
      <c r="D342" s="70"/>
      <c r="E342" s="71"/>
      <c r="F342" s="57"/>
      <c r="G342" s="71"/>
      <c r="H342" s="57"/>
      <c r="I342" s="57"/>
      <c r="J342" s="57"/>
      <c r="K342" s="57"/>
      <c r="L342" s="57"/>
      <c r="M342" s="57"/>
      <c r="N342" s="57"/>
      <c r="O342" s="57"/>
      <c r="P342" s="28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</row>
    <row r="343">
      <c r="A343" s="57"/>
      <c r="B343" s="57"/>
      <c r="C343" s="57"/>
      <c r="D343" s="70"/>
      <c r="E343" s="71"/>
      <c r="F343" s="57"/>
      <c r="G343" s="71"/>
      <c r="H343" s="57"/>
      <c r="I343" s="57"/>
      <c r="J343" s="57"/>
      <c r="K343" s="57"/>
      <c r="L343" s="57"/>
      <c r="M343" s="57"/>
      <c r="N343" s="57"/>
      <c r="O343" s="57"/>
      <c r="P343" s="28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</row>
    <row r="344">
      <c r="A344" s="57"/>
      <c r="B344" s="57"/>
      <c r="C344" s="57"/>
      <c r="D344" s="70"/>
      <c r="E344" s="71"/>
      <c r="F344" s="57"/>
      <c r="G344" s="71"/>
      <c r="H344" s="57"/>
      <c r="I344" s="57"/>
      <c r="J344" s="57"/>
      <c r="K344" s="57"/>
      <c r="L344" s="57"/>
      <c r="M344" s="57"/>
      <c r="N344" s="57"/>
      <c r="O344" s="57"/>
      <c r="P344" s="28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</row>
    <row r="345">
      <c r="A345" s="57"/>
      <c r="B345" s="57"/>
      <c r="C345" s="57"/>
      <c r="D345" s="70"/>
      <c r="E345" s="71"/>
      <c r="F345" s="57"/>
      <c r="G345" s="71"/>
      <c r="H345" s="57"/>
      <c r="I345" s="57"/>
      <c r="J345" s="57"/>
      <c r="K345" s="57"/>
      <c r="L345" s="57"/>
      <c r="M345" s="57"/>
      <c r="N345" s="57"/>
      <c r="O345" s="57"/>
      <c r="P345" s="28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</row>
    <row r="346">
      <c r="A346" s="57"/>
      <c r="B346" s="57"/>
      <c r="C346" s="57"/>
      <c r="D346" s="70"/>
      <c r="E346" s="71"/>
      <c r="F346" s="57"/>
      <c r="G346" s="71"/>
      <c r="H346" s="57"/>
      <c r="I346" s="57"/>
      <c r="J346" s="57"/>
      <c r="K346" s="57"/>
      <c r="L346" s="57"/>
      <c r="M346" s="57"/>
      <c r="N346" s="57"/>
      <c r="O346" s="57"/>
      <c r="P346" s="28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</row>
    <row r="347">
      <c r="A347" s="57"/>
      <c r="B347" s="57"/>
      <c r="C347" s="57"/>
      <c r="D347" s="70"/>
      <c r="E347" s="71"/>
      <c r="F347" s="57"/>
      <c r="G347" s="71"/>
      <c r="H347" s="57"/>
      <c r="I347" s="57"/>
      <c r="J347" s="57"/>
      <c r="K347" s="57"/>
      <c r="L347" s="57"/>
      <c r="M347" s="57"/>
      <c r="N347" s="57"/>
      <c r="O347" s="57"/>
      <c r="P347" s="28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</row>
    <row r="348">
      <c r="A348" s="57"/>
      <c r="B348" s="57"/>
      <c r="C348" s="57"/>
      <c r="D348" s="70"/>
      <c r="E348" s="71"/>
      <c r="F348" s="57"/>
      <c r="G348" s="71"/>
      <c r="H348" s="57"/>
      <c r="I348" s="57"/>
      <c r="J348" s="57"/>
      <c r="K348" s="57"/>
      <c r="L348" s="57"/>
      <c r="M348" s="57"/>
      <c r="N348" s="57"/>
      <c r="O348" s="57"/>
      <c r="P348" s="28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</row>
    <row r="349">
      <c r="A349" s="57"/>
      <c r="B349" s="57"/>
      <c r="C349" s="57"/>
      <c r="D349" s="70"/>
      <c r="E349" s="71"/>
      <c r="F349" s="57"/>
      <c r="G349" s="71"/>
      <c r="H349" s="57"/>
      <c r="I349" s="57"/>
      <c r="J349" s="57"/>
      <c r="K349" s="57"/>
      <c r="L349" s="57"/>
      <c r="M349" s="57"/>
      <c r="N349" s="57"/>
      <c r="O349" s="57"/>
      <c r="P349" s="28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</row>
    <row r="350">
      <c r="A350" s="57"/>
      <c r="B350" s="57"/>
      <c r="C350" s="57"/>
      <c r="D350" s="70"/>
      <c r="E350" s="71"/>
      <c r="F350" s="57"/>
      <c r="G350" s="71"/>
      <c r="H350" s="57"/>
      <c r="I350" s="57"/>
      <c r="J350" s="57"/>
      <c r="K350" s="57"/>
      <c r="L350" s="57"/>
      <c r="M350" s="57"/>
      <c r="N350" s="57"/>
      <c r="O350" s="57"/>
      <c r="P350" s="28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</row>
    <row r="351">
      <c r="A351" s="57"/>
      <c r="B351" s="57"/>
      <c r="C351" s="57"/>
      <c r="D351" s="70"/>
      <c r="E351" s="71"/>
      <c r="F351" s="57"/>
      <c r="G351" s="71"/>
      <c r="H351" s="57"/>
      <c r="I351" s="57"/>
      <c r="J351" s="57"/>
      <c r="K351" s="57"/>
      <c r="L351" s="57"/>
      <c r="M351" s="57"/>
      <c r="N351" s="57"/>
      <c r="O351" s="57"/>
      <c r="P351" s="28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</row>
    <row r="352">
      <c r="A352" s="57"/>
      <c r="B352" s="57"/>
      <c r="C352" s="57"/>
      <c r="D352" s="70"/>
      <c r="E352" s="71"/>
      <c r="F352" s="57"/>
      <c r="G352" s="71"/>
      <c r="H352" s="57"/>
      <c r="I352" s="57"/>
      <c r="J352" s="57"/>
      <c r="K352" s="57"/>
      <c r="L352" s="57"/>
      <c r="M352" s="57"/>
      <c r="N352" s="57"/>
      <c r="O352" s="57"/>
      <c r="P352" s="28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</row>
    <row r="353">
      <c r="A353" s="57"/>
      <c r="B353" s="57"/>
      <c r="C353" s="57"/>
      <c r="D353" s="70"/>
      <c r="E353" s="71"/>
      <c r="F353" s="57"/>
      <c r="G353" s="71"/>
      <c r="H353" s="57"/>
      <c r="I353" s="57"/>
      <c r="J353" s="57"/>
      <c r="K353" s="57"/>
      <c r="L353" s="57"/>
      <c r="M353" s="57"/>
      <c r="N353" s="57"/>
      <c r="O353" s="57"/>
      <c r="P353" s="28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</row>
    <row r="354">
      <c r="A354" s="57"/>
      <c r="B354" s="57"/>
      <c r="C354" s="57"/>
      <c r="D354" s="70"/>
      <c r="E354" s="71"/>
      <c r="F354" s="57"/>
      <c r="G354" s="71"/>
      <c r="H354" s="57"/>
      <c r="I354" s="57"/>
      <c r="J354" s="57"/>
      <c r="K354" s="57"/>
      <c r="L354" s="57"/>
      <c r="M354" s="57"/>
      <c r="N354" s="57"/>
      <c r="O354" s="57"/>
      <c r="P354" s="28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</row>
    <row r="355">
      <c r="A355" s="57"/>
      <c r="B355" s="57"/>
      <c r="C355" s="57"/>
      <c r="D355" s="70"/>
      <c r="E355" s="71"/>
      <c r="F355" s="57"/>
      <c r="G355" s="71"/>
      <c r="H355" s="57"/>
      <c r="I355" s="57"/>
      <c r="J355" s="57"/>
      <c r="K355" s="57"/>
      <c r="L355" s="57"/>
      <c r="M355" s="57"/>
      <c r="N355" s="57"/>
      <c r="O355" s="57"/>
      <c r="P355" s="28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</row>
    <row r="356">
      <c r="A356" s="57"/>
      <c r="B356" s="57"/>
      <c r="C356" s="57"/>
      <c r="D356" s="70"/>
      <c r="E356" s="71"/>
      <c r="F356" s="57"/>
      <c r="G356" s="71"/>
      <c r="H356" s="57"/>
      <c r="I356" s="57"/>
      <c r="J356" s="57"/>
      <c r="K356" s="57"/>
      <c r="L356" s="57"/>
      <c r="M356" s="57"/>
      <c r="N356" s="57"/>
      <c r="O356" s="57"/>
      <c r="P356" s="28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</row>
    <row r="357">
      <c r="A357" s="57"/>
      <c r="B357" s="57"/>
      <c r="C357" s="57"/>
      <c r="D357" s="70"/>
      <c r="E357" s="71"/>
      <c r="F357" s="57"/>
      <c r="G357" s="71"/>
      <c r="H357" s="57"/>
      <c r="I357" s="57"/>
      <c r="J357" s="57"/>
      <c r="K357" s="57"/>
      <c r="L357" s="57"/>
      <c r="M357" s="57"/>
      <c r="N357" s="57"/>
      <c r="O357" s="57"/>
      <c r="P357" s="28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</row>
    <row r="358">
      <c r="A358" s="57"/>
      <c r="B358" s="57"/>
      <c r="C358" s="57"/>
      <c r="D358" s="70"/>
      <c r="E358" s="71"/>
      <c r="F358" s="57"/>
      <c r="G358" s="71"/>
      <c r="H358" s="57"/>
      <c r="I358" s="57"/>
      <c r="J358" s="57"/>
      <c r="K358" s="57"/>
      <c r="L358" s="57"/>
      <c r="M358" s="57"/>
      <c r="N358" s="57"/>
      <c r="O358" s="57"/>
      <c r="P358" s="28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</row>
    <row r="359">
      <c r="A359" s="57"/>
      <c r="B359" s="57"/>
      <c r="C359" s="57"/>
      <c r="D359" s="70"/>
      <c r="E359" s="71"/>
      <c r="F359" s="57"/>
      <c r="G359" s="71"/>
      <c r="H359" s="57"/>
      <c r="I359" s="57"/>
      <c r="J359" s="57"/>
      <c r="K359" s="57"/>
      <c r="L359" s="57"/>
      <c r="M359" s="57"/>
      <c r="N359" s="57"/>
      <c r="O359" s="57"/>
      <c r="P359" s="28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</row>
    <row r="360">
      <c r="A360" s="57"/>
      <c r="B360" s="57"/>
      <c r="C360" s="57"/>
      <c r="D360" s="70"/>
      <c r="E360" s="71"/>
      <c r="F360" s="57"/>
      <c r="G360" s="71"/>
      <c r="H360" s="57"/>
      <c r="I360" s="57"/>
      <c r="J360" s="57"/>
      <c r="K360" s="57"/>
      <c r="L360" s="57"/>
      <c r="M360" s="57"/>
      <c r="N360" s="57"/>
      <c r="O360" s="57"/>
      <c r="P360" s="28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</row>
    <row r="361">
      <c r="A361" s="57"/>
      <c r="B361" s="57"/>
      <c r="C361" s="57"/>
      <c r="D361" s="70"/>
      <c r="E361" s="71"/>
      <c r="F361" s="57"/>
      <c r="G361" s="71"/>
      <c r="H361" s="57"/>
      <c r="I361" s="57"/>
      <c r="J361" s="57"/>
      <c r="K361" s="57"/>
      <c r="L361" s="57"/>
      <c r="M361" s="57"/>
      <c r="N361" s="57"/>
      <c r="O361" s="57"/>
      <c r="P361" s="28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</row>
    <row r="362">
      <c r="A362" s="57"/>
      <c r="B362" s="57"/>
      <c r="C362" s="57"/>
      <c r="D362" s="70"/>
      <c r="E362" s="71"/>
      <c r="F362" s="57"/>
      <c r="G362" s="71"/>
      <c r="H362" s="57"/>
      <c r="I362" s="57"/>
      <c r="J362" s="57"/>
      <c r="K362" s="57"/>
      <c r="L362" s="57"/>
      <c r="M362" s="57"/>
      <c r="N362" s="57"/>
      <c r="O362" s="57"/>
      <c r="P362" s="28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</row>
    <row r="363">
      <c r="A363" s="57"/>
      <c r="B363" s="57"/>
      <c r="C363" s="57"/>
      <c r="D363" s="70"/>
      <c r="E363" s="71"/>
      <c r="F363" s="57"/>
      <c r="G363" s="71"/>
      <c r="H363" s="57"/>
      <c r="I363" s="57"/>
      <c r="J363" s="57"/>
      <c r="K363" s="57"/>
      <c r="L363" s="57"/>
      <c r="M363" s="57"/>
      <c r="N363" s="57"/>
      <c r="O363" s="57"/>
      <c r="P363" s="28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</row>
    <row r="364">
      <c r="A364" s="57"/>
      <c r="B364" s="57"/>
      <c r="C364" s="57"/>
      <c r="D364" s="70"/>
      <c r="E364" s="71"/>
      <c r="F364" s="57"/>
      <c r="G364" s="71"/>
      <c r="H364" s="57"/>
      <c r="I364" s="57"/>
      <c r="J364" s="57"/>
      <c r="K364" s="57"/>
      <c r="L364" s="57"/>
      <c r="M364" s="57"/>
      <c r="N364" s="57"/>
      <c r="O364" s="57"/>
      <c r="P364" s="28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</row>
    <row r="365">
      <c r="A365" s="57"/>
      <c r="B365" s="57"/>
      <c r="C365" s="57"/>
      <c r="D365" s="70"/>
      <c r="E365" s="71"/>
      <c r="F365" s="57"/>
      <c r="G365" s="71"/>
      <c r="H365" s="57"/>
      <c r="I365" s="57"/>
      <c r="J365" s="57"/>
      <c r="K365" s="57"/>
      <c r="L365" s="57"/>
      <c r="M365" s="57"/>
      <c r="N365" s="57"/>
      <c r="O365" s="57"/>
      <c r="P365" s="28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</row>
    <row r="366">
      <c r="A366" s="57"/>
      <c r="B366" s="57"/>
      <c r="C366" s="57"/>
      <c r="D366" s="70"/>
      <c r="E366" s="71"/>
      <c r="F366" s="57"/>
      <c r="G366" s="71"/>
      <c r="H366" s="57"/>
      <c r="I366" s="57"/>
      <c r="J366" s="57"/>
      <c r="K366" s="57"/>
      <c r="L366" s="57"/>
      <c r="M366" s="57"/>
      <c r="N366" s="57"/>
      <c r="O366" s="57"/>
      <c r="P366" s="28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</row>
    <row r="367">
      <c r="A367" s="57"/>
      <c r="B367" s="57"/>
      <c r="C367" s="57"/>
      <c r="D367" s="70"/>
      <c r="E367" s="71"/>
      <c r="F367" s="57"/>
      <c r="G367" s="71"/>
      <c r="H367" s="57"/>
      <c r="I367" s="57"/>
      <c r="J367" s="57"/>
      <c r="K367" s="57"/>
      <c r="L367" s="57"/>
      <c r="M367" s="57"/>
      <c r="N367" s="57"/>
      <c r="O367" s="57"/>
      <c r="P367" s="28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</row>
    <row r="368">
      <c r="A368" s="57"/>
      <c r="B368" s="57"/>
      <c r="C368" s="57"/>
      <c r="D368" s="70"/>
      <c r="E368" s="71"/>
      <c r="F368" s="57"/>
      <c r="G368" s="71"/>
      <c r="H368" s="57"/>
      <c r="I368" s="57"/>
      <c r="J368" s="57"/>
      <c r="K368" s="57"/>
      <c r="L368" s="57"/>
      <c r="M368" s="57"/>
      <c r="N368" s="57"/>
      <c r="O368" s="57"/>
      <c r="P368" s="28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</row>
    <row r="369">
      <c r="A369" s="57"/>
      <c r="B369" s="57"/>
      <c r="C369" s="57"/>
      <c r="D369" s="70"/>
      <c r="E369" s="71"/>
      <c r="F369" s="57"/>
      <c r="G369" s="71"/>
      <c r="H369" s="57"/>
      <c r="I369" s="57"/>
      <c r="J369" s="57"/>
      <c r="K369" s="57"/>
      <c r="L369" s="57"/>
      <c r="M369" s="57"/>
      <c r="N369" s="57"/>
      <c r="O369" s="57"/>
      <c r="P369" s="28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</row>
    <row r="370">
      <c r="A370" s="57"/>
      <c r="B370" s="57"/>
      <c r="C370" s="57"/>
      <c r="D370" s="70"/>
      <c r="E370" s="71"/>
      <c r="F370" s="57"/>
      <c r="G370" s="71"/>
      <c r="H370" s="57"/>
      <c r="I370" s="57"/>
      <c r="J370" s="57"/>
      <c r="K370" s="57"/>
      <c r="L370" s="57"/>
      <c r="M370" s="57"/>
      <c r="N370" s="57"/>
      <c r="O370" s="57"/>
      <c r="P370" s="28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</row>
    <row r="371">
      <c r="A371" s="57"/>
      <c r="B371" s="57"/>
      <c r="C371" s="57"/>
      <c r="D371" s="70"/>
      <c r="E371" s="71"/>
      <c r="F371" s="57"/>
      <c r="G371" s="71"/>
      <c r="H371" s="57"/>
      <c r="I371" s="57"/>
      <c r="J371" s="57"/>
      <c r="K371" s="57"/>
      <c r="L371" s="57"/>
      <c r="M371" s="57"/>
      <c r="N371" s="57"/>
      <c r="O371" s="57"/>
      <c r="P371" s="28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</row>
    <row r="372">
      <c r="A372" s="57"/>
      <c r="B372" s="57"/>
      <c r="C372" s="57"/>
      <c r="D372" s="70"/>
      <c r="E372" s="71"/>
      <c r="F372" s="57"/>
      <c r="G372" s="71"/>
      <c r="H372" s="57"/>
      <c r="I372" s="57"/>
      <c r="J372" s="57"/>
      <c r="K372" s="57"/>
      <c r="L372" s="57"/>
      <c r="M372" s="57"/>
      <c r="N372" s="57"/>
      <c r="O372" s="57"/>
      <c r="P372" s="28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</row>
    <row r="373">
      <c r="A373" s="57"/>
      <c r="B373" s="57"/>
      <c r="C373" s="57"/>
      <c r="D373" s="70"/>
      <c r="E373" s="71"/>
      <c r="F373" s="57"/>
      <c r="G373" s="71"/>
      <c r="H373" s="57"/>
      <c r="I373" s="57"/>
      <c r="J373" s="57"/>
      <c r="K373" s="57"/>
      <c r="L373" s="57"/>
      <c r="M373" s="57"/>
      <c r="N373" s="57"/>
      <c r="O373" s="57"/>
      <c r="P373" s="28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</row>
    <row r="374">
      <c r="A374" s="57"/>
      <c r="B374" s="57"/>
      <c r="C374" s="57"/>
      <c r="D374" s="70"/>
      <c r="E374" s="71"/>
      <c r="F374" s="57"/>
      <c r="G374" s="71"/>
      <c r="H374" s="57"/>
      <c r="I374" s="57"/>
      <c r="J374" s="57"/>
      <c r="K374" s="57"/>
      <c r="L374" s="57"/>
      <c r="M374" s="57"/>
      <c r="N374" s="57"/>
      <c r="O374" s="57"/>
      <c r="P374" s="28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</row>
    <row r="375">
      <c r="A375" s="57"/>
      <c r="B375" s="57"/>
      <c r="C375" s="57"/>
      <c r="D375" s="70"/>
      <c r="E375" s="71"/>
      <c r="F375" s="57"/>
      <c r="G375" s="71"/>
      <c r="H375" s="57"/>
      <c r="I375" s="57"/>
      <c r="J375" s="57"/>
      <c r="K375" s="57"/>
      <c r="L375" s="57"/>
      <c r="M375" s="57"/>
      <c r="N375" s="57"/>
      <c r="O375" s="57"/>
      <c r="P375" s="28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</row>
    <row r="376">
      <c r="A376" s="57"/>
      <c r="B376" s="57"/>
      <c r="C376" s="57"/>
      <c r="D376" s="70"/>
      <c r="E376" s="71"/>
      <c r="F376" s="57"/>
      <c r="G376" s="71"/>
      <c r="H376" s="57"/>
      <c r="I376" s="57"/>
      <c r="J376" s="57"/>
      <c r="K376" s="57"/>
      <c r="L376" s="57"/>
      <c r="M376" s="57"/>
      <c r="N376" s="57"/>
      <c r="O376" s="57"/>
      <c r="P376" s="28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</row>
    <row r="377">
      <c r="A377" s="57"/>
      <c r="B377" s="57"/>
      <c r="C377" s="57"/>
      <c r="D377" s="70"/>
      <c r="E377" s="71"/>
      <c r="F377" s="57"/>
      <c r="G377" s="71"/>
      <c r="H377" s="57"/>
      <c r="I377" s="57"/>
      <c r="J377" s="57"/>
      <c r="K377" s="57"/>
      <c r="L377" s="57"/>
      <c r="M377" s="57"/>
      <c r="N377" s="57"/>
      <c r="O377" s="57"/>
      <c r="P377" s="28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</row>
    <row r="378">
      <c r="A378" s="57"/>
      <c r="B378" s="57"/>
      <c r="C378" s="57"/>
      <c r="D378" s="70"/>
      <c r="E378" s="71"/>
      <c r="F378" s="57"/>
      <c r="G378" s="71"/>
      <c r="H378" s="57"/>
      <c r="I378" s="57"/>
      <c r="J378" s="57"/>
      <c r="K378" s="57"/>
      <c r="L378" s="57"/>
      <c r="M378" s="57"/>
      <c r="N378" s="57"/>
      <c r="O378" s="57"/>
      <c r="P378" s="28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</row>
    <row r="379">
      <c r="A379" s="57"/>
      <c r="B379" s="57"/>
      <c r="C379" s="57"/>
      <c r="D379" s="70"/>
      <c r="E379" s="71"/>
      <c r="F379" s="57"/>
      <c r="G379" s="71"/>
      <c r="H379" s="57"/>
      <c r="I379" s="57"/>
      <c r="J379" s="57"/>
      <c r="K379" s="57"/>
      <c r="L379" s="57"/>
      <c r="M379" s="57"/>
      <c r="N379" s="57"/>
      <c r="O379" s="57"/>
      <c r="P379" s="28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</row>
    <row r="380">
      <c r="A380" s="57"/>
      <c r="B380" s="57"/>
      <c r="C380" s="57"/>
      <c r="D380" s="70"/>
      <c r="E380" s="71"/>
      <c r="F380" s="57"/>
      <c r="G380" s="71"/>
      <c r="H380" s="57"/>
      <c r="I380" s="57"/>
      <c r="J380" s="57"/>
      <c r="K380" s="57"/>
      <c r="L380" s="57"/>
      <c r="M380" s="57"/>
      <c r="N380" s="57"/>
      <c r="O380" s="57"/>
      <c r="P380" s="28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</row>
    <row r="381">
      <c r="A381" s="57"/>
      <c r="B381" s="57"/>
      <c r="C381" s="57"/>
      <c r="D381" s="70"/>
      <c r="E381" s="71"/>
      <c r="F381" s="57"/>
      <c r="G381" s="71"/>
      <c r="H381" s="57"/>
      <c r="I381" s="57"/>
      <c r="J381" s="57"/>
      <c r="K381" s="57"/>
      <c r="L381" s="57"/>
      <c r="M381" s="57"/>
      <c r="N381" s="57"/>
      <c r="O381" s="57"/>
      <c r="P381" s="28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</row>
    <row r="382">
      <c r="A382" s="57"/>
      <c r="B382" s="57"/>
      <c r="C382" s="57"/>
      <c r="D382" s="70"/>
      <c r="E382" s="71"/>
      <c r="F382" s="57"/>
      <c r="G382" s="71"/>
      <c r="H382" s="57"/>
      <c r="I382" s="57"/>
      <c r="J382" s="57"/>
      <c r="K382" s="57"/>
      <c r="L382" s="57"/>
      <c r="M382" s="57"/>
      <c r="N382" s="57"/>
      <c r="O382" s="57"/>
      <c r="P382" s="28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</row>
    <row r="383">
      <c r="A383" s="57"/>
      <c r="B383" s="57"/>
      <c r="C383" s="57"/>
      <c r="D383" s="70"/>
      <c r="E383" s="71"/>
      <c r="F383" s="57"/>
      <c r="G383" s="71"/>
      <c r="H383" s="57"/>
      <c r="I383" s="57"/>
      <c r="J383" s="57"/>
      <c r="K383" s="57"/>
      <c r="L383" s="57"/>
      <c r="M383" s="57"/>
      <c r="N383" s="57"/>
      <c r="O383" s="57"/>
      <c r="P383" s="28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</row>
    <row r="384">
      <c r="A384" s="57"/>
      <c r="B384" s="57"/>
      <c r="C384" s="57"/>
      <c r="D384" s="70"/>
      <c r="E384" s="71"/>
      <c r="F384" s="57"/>
      <c r="G384" s="71"/>
      <c r="H384" s="57"/>
      <c r="I384" s="57"/>
      <c r="J384" s="57"/>
      <c r="K384" s="57"/>
      <c r="L384" s="57"/>
      <c r="M384" s="57"/>
      <c r="N384" s="57"/>
      <c r="O384" s="57"/>
      <c r="P384" s="28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</row>
    <row r="385">
      <c r="A385" s="57"/>
      <c r="B385" s="57"/>
      <c r="C385" s="57"/>
      <c r="D385" s="70"/>
      <c r="E385" s="71"/>
      <c r="F385" s="57"/>
      <c r="G385" s="71"/>
      <c r="H385" s="57"/>
      <c r="I385" s="57"/>
      <c r="J385" s="57"/>
      <c r="K385" s="57"/>
      <c r="L385" s="57"/>
      <c r="M385" s="57"/>
      <c r="N385" s="57"/>
      <c r="O385" s="57"/>
      <c r="P385" s="28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</row>
    <row r="386">
      <c r="A386" s="57"/>
      <c r="B386" s="57"/>
      <c r="C386" s="57"/>
      <c r="D386" s="70"/>
      <c r="E386" s="71"/>
      <c r="F386" s="57"/>
      <c r="G386" s="71"/>
      <c r="H386" s="57"/>
      <c r="I386" s="57"/>
      <c r="J386" s="57"/>
      <c r="K386" s="57"/>
      <c r="L386" s="57"/>
      <c r="M386" s="57"/>
      <c r="N386" s="57"/>
      <c r="O386" s="57"/>
      <c r="P386" s="28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</row>
    <row r="387">
      <c r="A387" s="57"/>
      <c r="B387" s="57"/>
      <c r="C387" s="57"/>
      <c r="D387" s="70"/>
      <c r="E387" s="71"/>
      <c r="F387" s="57"/>
      <c r="G387" s="71"/>
      <c r="H387" s="57"/>
      <c r="I387" s="57"/>
      <c r="J387" s="57"/>
      <c r="K387" s="57"/>
      <c r="L387" s="57"/>
      <c r="M387" s="57"/>
      <c r="N387" s="57"/>
      <c r="O387" s="57"/>
      <c r="P387" s="28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</row>
    <row r="388">
      <c r="A388" s="57"/>
      <c r="B388" s="57"/>
      <c r="C388" s="57"/>
      <c r="D388" s="70"/>
      <c r="E388" s="71"/>
      <c r="F388" s="57"/>
      <c r="G388" s="71"/>
      <c r="H388" s="57"/>
      <c r="I388" s="57"/>
      <c r="J388" s="57"/>
      <c r="K388" s="57"/>
      <c r="L388" s="57"/>
      <c r="M388" s="57"/>
      <c r="N388" s="57"/>
      <c r="O388" s="57"/>
      <c r="P388" s="28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</row>
    <row r="389">
      <c r="A389" s="57"/>
      <c r="B389" s="57"/>
      <c r="C389" s="57"/>
      <c r="D389" s="70"/>
      <c r="E389" s="71"/>
      <c r="F389" s="57"/>
      <c r="G389" s="71"/>
      <c r="H389" s="57"/>
      <c r="I389" s="57"/>
      <c r="J389" s="57"/>
      <c r="K389" s="57"/>
      <c r="L389" s="57"/>
      <c r="M389" s="57"/>
      <c r="N389" s="57"/>
      <c r="O389" s="57"/>
      <c r="P389" s="28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</row>
    <row r="390">
      <c r="A390" s="57"/>
      <c r="B390" s="57"/>
      <c r="C390" s="57"/>
      <c r="D390" s="70"/>
      <c r="E390" s="71"/>
      <c r="F390" s="57"/>
      <c r="G390" s="71"/>
      <c r="H390" s="57"/>
      <c r="I390" s="57"/>
      <c r="J390" s="57"/>
      <c r="K390" s="57"/>
      <c r="L390" s="57"/>
      <c r="M390" s="57"/>
      <c r="N390" s="57"/>
      <c r="O390" s="57"/>
      <c r="P390" s="28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</row>
    <row r="391">
      <c r="A391" s="57"/>
      <c r="B391" s="57"/>
      <c r="C391" s="57"/>
      <c r="D391" s="70"/>
      <c r="E391" s="71"/>
      <c r="F391" s="57"/>
      <c r="G391" s="71"/>
      <c r="H391" s="57"/>
      <c r="I391" s="57"/>
      <c r="J391" s="57"/>
      <c r="K391" s="57"/>
      <c r="L391" s="57"/>
      <c r="M391" s="57"/>
      <c r="N391" s="57"/>
      <c r="O391" s="57"/>
      <c r="P391" s="28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</row>
    <row r="392">
      <c r="A392" s="57"/>
      <c r="B392" s="57"/>
      <c r="C392" s="57"/>
      <c r="D392" s="70"/>
      <c r="E392" s="71"/>
      <c r="F392" s="57"/>
      <c r="G392" s="71"/>
      <c r="H392" s="57"/>
      <c r="I392" s="57"/>
      <c r="J392" s="57"/>
      <c r="K392" s="57"/>
      <c r="L392" s="57"/>
      <c r="M392" s="57"/>
      <c r="N392" s="57"/>
      <c r="O392" s="57"/>
      <c r="P392" s="28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</row>
    <row r="393">
      <c r="A393" s="57"/>
      <c r="B393" s="57"/>
      <c r="C393" s="57"/>
      <c r="D393" s="70"/>
      <c r="E393" s="71"/>
      <c r="F393" s="57"/>
      <c r="G393" s="71"/>
      <c r="H393" s="57"/>
      <c r="I393" s="57"/>
      <c r="J393" s="57"/>
      <c r="K393" s="57"/>
      <c r="L393" s="57"/>
      <c r="M393" s="57"/>
      <c r="N393" s="57"/>
      <c r="O393" s="57"/>
      <c r="P393" s="28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</row>
    <row r="394">
      <c r="A394" s="57"/>
      <c r="B394" s="57"/>
      <c r="C394" s="57"/>
      <c r="D394" s="70"/>
      <c r="E394" s="71"/>
      <c r="F394" s="57"/>
      <c r="G394" s="71"/>
      <c r="H394" s="57"/>
      <c r="I394" s="57"/>
      <c r="J394" s="57"/>
      <c r="K394" s="57"/>
      <c r="L394" s="57"/>
      <c r="M394" s="57"/>
      <c r="N394" s="57"/>
      <c r="O394" s="57"/>
      <c r="P394" s="28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</row>
    <row r="395">
      <c r="A395" s="57"/>
      <c r="B395" s="57"/>
      <c r="C395" s="57"/>
      <c r="D395" s="70"/>
      <c r="E395" s="71"/>
      <c r="F395" s="57"/>
      <c r="G395" s="71"/>
      <c r="H395" s="57"/>
      <c r="I395" s="57"/>
      <c r="J395" s="57"/>
      <c r="K395" s="57"/>
      <c r="L395" s="57"/>
      <c r="M395" s="57"/>
      <c r="N395" s="57"/>
      <c r="O395" s="57"/>
      <c r="P395" s="28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</row>
    <row r="396">
      <c r="A396" s="57"/>
      <c r="B396" s="57"/>
      <c r="C396" s="57"/>
      <c r="D396" s="70"/>
      <c r="E396" s="71"/>
      <c r="F396" s="57"/>
      <c r="G396" s="71"/>
      <c r="H396" s="57"/>
      <c r="I396" s="57"/>
      <c r="J396" s="57"/>
      <c r="K396" s="57"/>
      <c r="L396" s="57"/>
      <c r="M396" s="57"/>
      <c r="N396" s="57"/>
      <c r="O396" s="57"/>
      <c r="P396" s="28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</row>
    <row r="397">
      <c r="A397" s="57"/>
      <c r="B397" s="57"/>
      <c r="C397" s="57"/>
      <c r="D397" s="70"/>
      <c r="E397" s="71"/>
      <c r="F397" s="57"/>
      <c r="G397" s="71"/>
      <c r="H397" s="57"/>
      <c r="I397" s="57"/>
      <c r="J397" s="57"/>
      <c r="K397" s="57"/>
      <c r="L397" s="57"/>
      <c r="M397" s="57"/>
      <c r="N397" s="57"/>
      <c r="O397" s="57"/>
      <c r="P397" s="28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</row>
    <row r="398">
      <c r="A398" s="57"/>
      <c r="B398" s="57"/>
      <c r="C398" s="57"/>
      <c r="D398" s="70"/>
      <c r="E398" s="71"/>
      <c r="F398" s="57"/>
      <c r="G398" s="71"/>
      <c r="H398" s="57"/>
      <c r="I398" s="57"/>
      <c r="J398" s="57"/>
      <c r="K398" s="57"/>
      <c r="L398" s="57"/>
      <c r="M398" s="57"/>
      <c r="N398" s="57"/>
      <c r="O398" s="57"/>
      <c r="P398" s="28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</row>
    <row r="399">
      <c r="A399" s="57"/>
      <c r="B399" s="57"/>
      <c r="C399" s="57"/>
      <c r="D399" s="70"/>
      <c r="E399" s="71"/>
      <c r="F399" s="57"/>
      <c r="G399" s="71"/>
      <c r="H399" s="57"/>
      <c r="I399" s="57"/>
      <c r="J399" s="57"/>
      <c r="K399" s="57"/>
      <c r="L399" s="57"/>
      <c r="M399" s="57"/>
      <c r="N399" s="57"/>
      <c r="O399" s="57"/>
      <c r="P399" s="28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</row>
    <row r="400">
      <c r="A400" s="57"/>
      <c r="B400" s="57"/>
      <c r="C400" s="57"/>
      <c r="D400" s="70"/>
      <c r="E400" s="71"/>
      <c r="F400" s="57"/>
      <c r="G400" s="71"/>
      <c r="H400" s="57"/>
      <c r="I400" s="57"/>
      <c r="J400" s="57"/>
      <c r="K400" s="57"/>
      <c r="L400" s="57"/>
      <c r="M400" s="57"/>
      <c r="N400" s="57"/>
      <c r="O400" s="57"/>
      <c r="P400" s="28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</row>
    <row r="401">
      <c r="A401" s="57"/>
      <c r="B401" s="57"/>
      <c r="C401" s="57"/>
      <c r="D401" s="70"/>
      <c r="E401" s="71"/>
      <c r="F401" s="57"/>
      <c r="G401" s="71"/>
      <c r="H401" s="57"/>
      <c r="I401" s="57"/>
      <c r="J401" s="57"/>
      <c r="K401" s="57"/>
      <c r="L401" s="57"/>
      <c r="M401" s="57"/>
      <c r="N401" s="57"/>
      <c r="O401" s="57"/>
      <c r="P401" s="28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</row>
    <row r="402">
      <c r="A402" s="57"/>
      <c r="B402" s="57"/>
      <c r="C402" s="57"/>
      <c r="D402" s="70"/>
      <c r="E402" s="71"/>
      <c r="F402" s="57"/>
      <c r="G402" s="71"/>
      <c r="H402" s="57"/>
      <c r="I402" s="57"/>
      <c r="J402" s="57"/>
      <c r="K402" s="57"/>
      <c r="L402" s="57"/>
      <c r="M402" s="57"/>
      <c r="N402" s="57"/>
      <c r="O402" s="57"/>
      <c r="P402" s="28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</row>
    <row r="403">
      <c r="A403" s="57"/>
      <c r="B403" s="57"/>
      <c r="C403" s="57"/>
      <c r="D403" s="70"/>
      <c r="E403" s="71"/>
      <c r="F403" s="57"/>
      <c r="G403" s="71"/>
      <c r="H403" s="57"/>
      <c r="I403" s="57"/>
      <c r="J403" s="57"/>
      <c r="K403" s="57"/>
      <c r="L403" s="57"/>
      <c r="M403" s="57"/>
      <c r="N403" s="57"/>
      <c r="O403" s="57"/>
      <c r="P403" s="28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</row>
    <row r="404">
      <c r="A404" s="57"/>
      <c r="B404" s="57"/>
      <c r="C404" s="57"/>
      <c r="D404" s="70"/>
      <c r="E404" s="71"/>
      <c r="F404" s="57"/>
      <c r="G404" s="71"/>
      <c r="H404" s="57"/>
      <c r="I404" s="57"/>
      <c r="J404" s="57"/>
      <c r="K404" s="57"/>
      <c r="L404" s="57"/>
      <c r="M404" s="57"/>
      <c r="N404" s="57"/>
      <c r="O404" s="57"/>
      <c r="P404" s="28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</row>
    <row r="405">
      <c r="A405" s="57"/>
      <c r="B405" s="57"/>
      <c r="C405" s="57"/>
      <c r="D405" s="70"/>
      <c r="E405" s="71"/>
      <c r="F405" s="57"/>
      <c r="G405" s="71"/>
      <c r="H405" s="57"/>
      <c r="I405" s="57"/>
      <c r="J405" s="57"/>
      <c r="K405" s="57"/>
      <c r="L405" s="57"/>
      <c r="M405" s="57"/>
      <c r="N405" s="57"/>
      <c r="O405" s="57"/>
      <c r="P405" s="28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</row>
    <row r="406">
      <c r="A406" s="57"/>
      <c r="B406" s="57"/>
      <c r="C406" s="57"/>
      <c r="D406" s="70"/>
      <c r="E406" s="71"/>
      <c r="F406" s="57"/>
      <c r="G406" s="71"/>
      <c r="H406" s="57"/>
      <c r="I406" s="57"/>
      <c r="J406" s="57"/>
      <c r="K406" s="57"/>
      <c r="L406" s="57"/>
      <c r="M406" s="57"/>
      <c r="N406" s="57"/>
      <c r="O406" s="57"/>
      <c r="P406" s="28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</row>
    <row r="407">
      <c r="A407" s="57"/>
      <c r="B407" s="57"/>
      <c r="C407" s="57"/>
      <c r="D407" s="70"/>
      <c r="E407" s="71"/>
      <c r="F407" s="57"/>
      <c r="G407" s="71"/>
      <c r="H407" s="57"/>
      <c r="I407" s="57"/>
      <c r="J407" s="57"/>
      <c r="K407" s="57"/>
      <c r="L407" s="57"/>
      <c r="M407" s="57"/>
      <c r="N407" s="57"/>
      <c r="O407" s="57"/>
      <c r="P407" s="28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</row>
    <row r="408">
      <c r="A408" s="57"/>
      <c r="B408" s="57"/>
      <c r="C408" s="57"/>
      <c r="D408" s="70"/>
      <c r="E408" s="71"/>
      <c r="F408" s="57"/>
      <c r="G408" s="71"/>
      <c r="H408" s="57"/>
      <c r="I408" s="57"/>
      <c r="J408" s="57"/>
      <c r="K408" s="57"/>
      <c r="L408" s="57"/>
      <c r="M408" s="57"/>
      <c r="N408" s="57"/>
      <c r="O408" s="57"/>
      <c r="P408" s="28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</row>
    <row r="409">
      <c r="A409" s="57"/>
      <c r="B409" s="57"/>
      <c r="C409" s="57"/>
      <c r="D409" s="70"/>
      <c r="E409" s="71"/>
      <c r="F409" s="57"/>
      <c r="G409" s="71"/>
      <c r="H409" s="57"/>
      <c r="I409" s="57"/>
      <c r="J409" s="57"/>
      <c r="K409" s="57"/>
      <c r="L409" s="57"/>
      <c r="M409" s="57"/>
      <c r="N409" s="57"/>
      <c r="O409" s="57"/>
      <c r="P409" s="28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</row>
    <row r="410">
      <c r="A410" s="57"/>
      <c r="B410" s="57"/>
      <c r="C410" s="57"/>
      <c r="D410" s="70"/>
      <c r="E410" s="71"/>
      <c r="F410" s="57"/>
      <c r="G410" s="71"/>
      <c r="H410" s="57"/>
      <c r="I410" s="57"/>
      <c r="J410" s="57"/>
      <c r="K410" s="57"/>
      <c r="L410" s="57"/>
      <c r="M410" s="57"/>
      <c r="N410" s="57"/>
      <c r="O410" s="57"/>
      <c r="P410" s="28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</row>
    <row r="411">
      <c r="A411" s="57"/>
      <c r="B411" s="57"/>
      <c r="C411" s="57"/>
      <c r="D411" s="70"/>
      <c r="E411" s="71"/>
      <c r="F411" s="57"/>
      <c r="G411" s="71"/>
      <c r="H411" s="57"/>
      <c r="I411" s="57"/>
      <c r="J411" s="57"/>
      <c r="K411" s="57"/>
      <c r="L411" s="57"/>
      <c r="M411" s="57"/>
      <c r="N411" s="57"/>
      <c r="O411" s="57"/>
      <c r="P411" s="28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</row>
    <row r="412">
      <c r="A412" s="57"/>
      <c r="B412" s="57"/>
      <c r="C412" s="57"/>
      <c r="D412" s="70"/>
      <c r="E412" s="71"/>
      <c r="F412" s="57"/>
      <c r="G412" s="71"/>
      <c r="H412" s="57"/>
      <c r="I412" s="57"/>
      <c r="J412" s="57"/>
      <c r="K412" s="57"/>
      <c r="L412" s="57"/>
      <c r="M412" s="57"/>
      <c r="N412" s="57"/>
      <c r="O412" s="57"/>
      <c r="P412" s="28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</row>
    <row r="413">
      <c r="A413" s="57"/>
      <c r="B413" s="57"/>
      <c r="C413" s="57"/>
      <c r="D413" s="70"/>
      <c r="E413" s="71"/>
      <c r="F413" s="57"/>
      <c r="G413" s="71"/>
      <c r="H413" s="57"/>
      <c r="I413" s="57"/>
      <c r="J413" s="57"/>
      <c r="K413" s="57"/>
      <c r="L413" s="57"/>
      <c r="M413" s="57"/>
      <c r="N413" s="57"/>
      <c r="O413" s="57"/>
      <c r="P413" s="28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</row>
    <row r="414">
      <c r="A414" s="57"/>
      <c r="B414" s="57"/>
      <c r="C414" s="57"/>
      <c r="D414" s="70"/>
      <c r="E414" s="71"/>
      <c r="F414" s="57"/>
      <c r="G414" s="71"/>
      <c r="H414" s="57"/>
      <c r="I414" s="57"/>
      <c r="J414" s="57"/>
      <c r="K414" s="57"/>
      <c r="L414" s="57"/>
      <c r="M414" s="57"/>
      <c r="N414" s="57"/>
      <c r="O414" s="57"/>
      <c r="P414" s="28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</row>
    <row r="415">
      <c r="A415" s="57"/>
      <c r="B415" s="57"/>
      <c r="C415" s="57"/>
      <c r="D415" s="70"/>
      <c r="E415" s="71"/>
      <c r="F415" s="57"/>
      <c r="G415" s="71"/>
      <c r="H415" s="57"/>
      <c r="I415" s="57"/>
      <c r="J415" s="57"/>
      <c r="K415" s="57"/>
      <c r="L415" s="57"/>
      <c r="M415" s="57"/>
      <c r="N415" s="57"/>
      <c r="O415" s="57"/>
      <c r="P415" s="28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</row>
    <row r="416">
      <c r="A416" s="57"/>
      <c r="B416" s="57"/>
      <c r="C416" s="57"/>
      <c r="D416" s="70"/>
      <c r="E416" s="71"/>
      <c r="F416" s="57"/>
      <c r="G416" s="71"/>
      <c r="H416" s="57"/>
      <c r="I416" s="57"/>
      <c r="J416" s="57"/>
      <c r="K416" s="57"/>
      <c r="L416" s="57"/>
      <c r="M416" s="57"/>
      <c r="N416" s="57"/>
      <c r="O416" s="57"/>
      <c r="P416" s="28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</row>
    <row r="417">
      <c r="A417" s="57"/>
      <c r="B417" s="57"/>
      <c r="C417" s="57"/>
      <c r="D417" s="70"/>
      <c r="E417" s="71"/>
      <c r="F417" s="57"/>
      <c r="G417" s="71"/>
      <c r="H417" s="57"/>
      <c r="I417" s="57"/>
      <c r="J417" s="57"/>
      <c r="K417" s="57"/>
      <c r="L417" s="57"/>
      <c r="M417" s="57"/>
      <c r="N417" s="57"/>
      <c r="O417" s="57"/>
      <c r="P417" s="28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</row>
    <row r="418">
      <c r="A418" s="57"/>
      <c r="B418" s="57"/>
      <c r="C418" s="57"/>
      <c r="D418" s="70"/>
      <c r="E418" s="71"/>
      <c r="F418" s="57"/>
      <c r="G418" s="71"/>
      <c r="H418" s="57"/>
      <c r="I418" s="57"/>
      <c r="J418" s="57"/>
      <c r="K418" s="57"/>
      <c r="L418" s="57"/>
      <c r="M418" s="57"/>
      <c r="N418" s="57"/>
      <c r="O418" s="57"/>
      <c r="P418" s="28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</row>
    <row r="419">
      <c r="A419" s="57"/>
      <c r="B419" s="57"/>
      <c r="C419" s="57"/>
      <c r="D419" s="70"/>
      <c r="E419" s="71"/>
      <c r="F419" s="57"/>
      <c r="G419" s="71"/>
      <c r="H419" s="57"/>
      <c r="I419" s="57"/>
      <c r="J419" s="57"/>
      <c r="K419" s="57"/>
      <c r="L419" s="57"/>
      <c r="M419" s="57"/>
      <c r="N419" s="57"/>
      <c r="O419" s="57"/>
      <c r="P419" s="28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</row>
    <row r="420">
      <c r="A420" s="57"/>
      <c r="B420" s="57"/>
      <c r="C420" s="57"/>
      <c r="D420" s="70"/>
      <c r="E420" s="71"/>
      <c r="F420" s="57"/>
      <c r="G420" s="71"/>
      <c r="H420" s="57"/>
      <c r="I420" s="57"/>
      <c r="J420" s="57"/>
      <c r="K420" s="57"/>
      <c r="L420" s="57"/>
      <c r="M420" s="57"/>
      <c r="N420" s="57"/>
      <c r="O420" s="57"/>
      <c r="P420" s="28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</row>
    <row r="421">
      <c r="A421" s="57"/>
      <c r="B421" s="57"/>
      <c r="C421" s="57"/>
      <c r="D421" s="70"/>
      <c r="E421" s="71"/>
      <c r="F421" s="57"/>
      <c r="G421" s="71"/>
      <c r="H421" s="57"/>
      <c r="I421" s="57"/>
      <c r="J421" s="57"/>
      <c r="K421" s="57"/>
      <c r="L421" s="57"/>
      <c r="M421" s="57"/>
      <c r="N421" s="57"/>
      <c r="O421" s="57"/>
      <c r="P421" s="28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</row>
    <row r="422">
      <c r="A422" s="57"/>
      <c r="B422" s="57"/>
      <c r="C422" s="57"/>
      <c r="D422" s="70"/>
      <c r="E422" s="71"/>
      <c r="F422" s="57"/>
      <c r="G422" s="71"/>
      <c r="H422" s="57"/>
      <c r="I422" s="57"/>
      <c r="J422" s="57"/>
      <c r="K422" s="57"/>
      <c r="L422" s="57"/>
      <c r="M422" s="57"/>
      <c r="N422" s="57"/>
      <c r="O422" s="57"/>
      <c r="P422" s="28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</row>
    <row r="423">
      <c r="A423" s="57"/>
      <c r="B423" s="57"/>
      <c r="C423" s="57"/>
      <c r="D423" s="70"/>
      <c r="E423" s="71"/>
      <c r="F423" s="57"/>
      <c r="G423" s="71"/>
      <c r="H423" s="57"/>
      <c r="I423" s="57"/>
      <c r="J423" s="57"/>
      <c r="K423" s="57"/>
      <c r="L423" s="57"/>
      <c r="M423" s="57"/>
      <c r="N423" s="57"/>
      <c r="O423" s="57"/>
      <c r="P423" s="28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</row>
    <row r="424">
      <c r="A424" s="57"/>
      <c r="B424" s="57"/>
      <c r="C424" s="57"/>
      <c r="D424" s="70"/>
      <c r="E424" s="71"/>
      <c r="F424" s="57"/>
      <c r="G424" s="71"/>
      <c r="H424" s="57"/>
      <c r="I424" s="57"/>
      <c r="J424" s="57"/>
      <c r="K424" s="57"/>
      <c r="L424" s="57"/>
      <c r="M424" s="57"/>
      <c r="N424" s="57"/>
      <c r="O424" s="57"/>
      <c r="P424" s="28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</row>
    <row r="425">
      <c r="A425" s="57"/>
      <c r="B425" s="57"/>
      <c r="C425" s="57"/>
      <c r="D425" s="70"/>
      <c r="E425" s="71"/>
      <c r="F425" s="57"/>
      <c r="G425" s="71"/>
      <c r="H425" s="57"/>
      <c r="I425" s="57"/>
      <c r="J425" s="57"/>
      <c r="K425" s="57"/>
      <c r="L425" s="57"/>
      <c r="M425" s="57"/>
      <c r="N425" s="57"/>
      <c r="O425" s="57"/>
      <c r="P425" s="28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</row>
    <row r="426">
      <c r="A426" s="57"/>
      <c r="B426" s="57"/>
      <c r="C426" s="57"/>
      <c r="D426" s="70"/>
      <c r="E426" s="71"/>
      <c r="F426" s="57"/>
      <c r="G426" s="71"/>
      <c r="H426" s="57"/>
      <c r="I426" s="57"/>
      <c r="J426" s="57"/>
      <c r="K426" s="57"/>
      <c r="L426" s="57"/>
      <c r="M426" s="57"/>
      <c r="N426" s="57"/>
      <c r="O426" s="57"/>
      <c r="P426" s="28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</row>
    <row r="427">
      <c r="A427" s="57"/>
      <c r="B427" s="57"/>
      <c r="C427" s="57"/>
      <c r="D427" s="70"/>
      <c r="E427" s="71"/>
      <c r="F427" s="57"/>
      <c r="G427" s="71"/>
      <c r="H427" s="57"/>
      <c r="I427" s="57"/>
      <c r="J427" s="57"/>
      <c r="K427" s="57"/>
      <c r="L427" s="57"/>
      <c r="M427" s="57"/>
      <c r="N427" s="57"/>
      <c r="O427" s="57"/>
      <c r="P427" s="28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</row>
    <row r="428">
      <c r="A428" s="57"/>
      <c r="B428" s="57"/>
      <c r="C428" s="57"/>
      <c r="D428" s="70"/>
      <c r="E428" s="71"/>
      <c r="F428" s="57"/>
      <c r="G428" s="71"/>
      <c r="H428" s="57"/>
      <c r="I428" s="57"/>
      <c r="J428" s="57"/>
      <c r="K428" s="57"/>
      <c r="L428" s="57"/>
      <c r="M428" s="57"/>
      <c r="N428" s="57"/>
      <c r="O428" s="57"/>
      <c r="P428" s="28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</row>
    <row r="429">
      <c r="A429" s="57"/>
      <c r="B429" s="57"/>
      <c r="C429" s="57"/>
      <c r="D429" s="70"/>
      <c r="E429" s="71"/>
      <c r="F429" s="57"/>
      <c r="G429" s="71"/>
      <c r="H429" s="57"/>
      <c r="I429" s="57"/>
      <c r="J429" s="57"/>
      <c r="K429" s="57"/>
      <c r="L429" s="57"/>
      <c r="M429" s="57"/>
      <c r="N429" s="57"/>
      <c r="O429" s="57"/>
      <c r="P429" s="28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</row>
    <row r="430">
      <c r="A430" s="57"/>
      <c r="B430" s="57"/>
      <c r="C430" s="57"/>
      <c r="D430" s="70"/>
      <c r="E430" s="71"/>
      <c r="F430" s="57"/>
      <c r="G430" s="71"/>
      <c r="H430" s="57"/>
      <c r="I430" s="57"/>
      <c r="J430" s="57"/>
      <c r="K430" s="57"/>
      <c r="L430" s="57"/>
      <c r="M430" s="57"/>
      <c r="N430" s="57"/>
      <c r="O430" s="57"/>
      <c r="P430" s="28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</row>
    <row r="431">
      <c r="A431" s="57"/>
      <c r="B431" s="57"/>
      <c r="C431" s="57"/>
      <c r="D431" s="70"/>
      <c r="E431" s="71"/>
      <c r="F431" s="57"/>
      <c r="G431" s="71"/>
      <c r="H431" s="57"/>
      <c r="I431" s="57"/>
      <c r="J431" s="57"/>
      <c r="K431" s="57"/>
      <c r="L431" s="57"/>
      <c r="M431" s="57"/>
      <c r="N431" s="57"/>
      <c r="O431" s="57"/>
      <c r="P431" s="28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</row>
    <row r="432">
      <c r="A432" s="57"/>
      <c r="B432" s="57"/>
      <c r="C432" s="57"/>
      <c r="D432" s="70"/>
      <c r="E432" s="71"/>
      <c r="F432" s="57"/>
      <c r="G432" s="71"/>
      <c r="H432" s="57"/>
      <c r="I432" s="57"/>
      <c r="J432" s="57"/>
      <c r="K432" s="57"/>
      <c r="L432" s="57"/>
      <c r="M432" s="57"/>
      <c r="N432" s="57"/>
      <c r="O432" s="57"/>
      <c r="P432" s="28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</row>
    <row r="433">
      <c r="A433" s="57"/>
      <c r="B433" s="57"/>
      <c r="C433" s="57"/>
      <c r="D433" s="70"/>
      <c r="E433" s="71"/>
      <c r="F433" s="57"/>
      <c r="G433" s="71"/>
      <c r="H433" s="57"/>
      <c r="I433" s="57"/>
      <c r="J433" s="57"/>
      <c r="K433" s="57"/>
      <c r="L433" s="57"/>
      <c r="M433" s="57"/>
      <c r="N433" s="57"/>
      <c r="O433" s="57"/>
      <c r="P433" s="28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</row>
    <row r="434">
      <c r="A434" s="57"/>
      <c r="B434" s="57"/>
      <c r="C434" s="57"/>
      <c r="D434" s="70"/>
      <c r="E434" s="71"/>
      <c r="F434" s="57"/>
      <c r="G434" s="71"/>
      <c r="H434" s="57"/>
      <c r="I434" s="57"/>
      <c r="J434" s="57"/>
      <c r="K434" s="57"/>
      <c r="L434" s="57"/>
      <c r="M434" s="57"/>
      <c r="N434" s="57"/>
      <c r="O434" s="57"/>
      <c r="P434" s="28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</row>
    <row r="435">
      <c r="A435" s="57"/>
      <c r="B435" s="57"/>
      <c r="C435" s="57"/>
      <c r="D435" s="70"/>
      <c r="E435" s="71"/>
      <c r="F435" s="57"/>
      <c r="G435" s="71"/>
      <c r="H435" s="57"/>
      <c r="I435" s="57"/>
      <c r="J435" s="57"/>
      <c r="K435" s="57"/>
      <c r="L435" s="57"/>
      <c r="M435" s="57"/>
      <c r="N435" s="57"/>
      <c r="O435" s="57"/>
      <c r="P435" s="28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</row>
    <row r="436">
      <c r="A436" s="57"/>
      <c r="B436" s="57"/>
      <c r="C436" s="57"/>
      <c r="D436" s="70"/>
      <c r="E436" s="71"/>
      <c r="F436" s="57"/>
      <c r="G436" s="71"/>
      <c r="H436" s="57"/>
      <c r="I436" s="57"/>
      <c r="J436" s="57"/>
      <c r="K436" s="57"/>
      <c r="L436" s="57"/>
      <c r="M436" s="57"/>
      <c r="N436" s="57"/>
      <c r="O436" s="57"/>
      <c r="P436" s="28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</row>
    <row r="437">
      <c r="A437" s="57"/>
      <c r="B437" s="57"/>
      <c r="C437" s="57"/>
      <c r="D437" s="70"/>
      <c r="E437" s="71"/>
      <c r="F437" s="57"/>
      <c r="G437" s="71"/>
      <c r="H437" s="57"/>
      <c r="I437" s="57"/>
      <c r="J437" s="57"/>
      <c r="K437" s="57"/>
      <c r="L437" s="57"/>
      <c r="M437" s="57"/>
      <c r="N437" s="57"/>
      <c r="O437" s="57"/>
      <c r="P437" s="28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</row>
    <row r="438">
      <c r="A438" s="57"/>
      <c r="B438" s="57"/>
      <c r="C438" s="57"/>
      <c r="D438" s="70"/>
      <c r="E438" s="71"/>
      <c r="F438" s="57"/>
      <c r="G438" s="71"/>
      <c r="H438" s="57"/>
      <c r="I438" s="57"/>
      <c r="J438" s="57"/>
      <c r="K438" s="57"/>
      <c r="L438" s="57"/>
      <c r="M438" s="57"/>
      <c r="N438" s="57"/>
      <c r="O438" s="57"/>
      <c r="P438" s="28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</row>
    <row r="439">
      <c r="A439" s="57"/>
      <c r="B439" s="57"/>
      <c r="C439" s="57"/>
      <c r="D439" s="70"/>
      <c r="E439" s="71"/>
      <c r="F439" s="57"/>
      <c r="G439" s="71"/>
      <c r="H439" s="57"/>
      <c r="I439" s="57"/>
      <c r="J439" s="57"/>
      <c r="K439" s="57"/>
      <c r="L439" s="57"/>
      <c r="M439" s="57"/>
      <c r="N439" s="57"/>
      <c r="O439" s="57"/>
      <c r="P439" s="28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</row>
    <row r="440">
      <c r="A440" s="57"/>
      <c r="B440" s="57"/>
      <c r="C440" s="57"/>
      <c r="D440" s="70"/>
      <c r="E440" s="71"/>
      <c r="F440" s="57"/>
      <c r="G440" s="71"/>
      <c r="H440" s="57"/>
      <c r="I440" s="57"/>
      <c r="J440" s="57"/>
      <c r="K440" s="57"/>
      <c r="L440" s="57"/>
      <c r="M440" s="57"/>
      <c r="N440" s="57"/>
      <c r="O440" s="57"/>
      <c r="P440" s="28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</row>
    <row r="441">
      <c r="A441" s="57"/>
      <c r="B441" s="57"/>
      <c r="C441" s="57"/>
      <c r="D441" s="70"/>
      <c r="E441" s="71"/>
      <c r="F441" s="57"/>
      <c r="G441" s="71"/>
      <c r="H441" s="57"/>
      <c r="I441" s="57"/>
      <c r="J441" s="57"/>
      <c r="K441" s="57"/>
      <c r="L441" s="57"/>
      <c r="M441" s="57"/>
      <c r="N441" s="57"/>
      <c r="O441" s="57"/>
      <c r="P441" s="28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</row>
    <row r="442">
      <c r="A442" s="57"/>
      <c r="B442" s="57"/>
      <c r="C442" s="57"/>
      <c r="D442" s="70"/>
      <c r="E442" s="71"/>
      <c r="F442" s="57"/>
      <c r="G442" s="71"/>
      <c r="H442" s="57"/>
      <c r="I442" s="57"/>
      <c r="J442" s="57"/>
      <c r="K442" s="57"/>
      <c r="L442" s="57"/>
      <c r="M442" s="57"/>
      <c r="N442" s="57"/>
      <c r="O442" s="57"/>
      <c r="P442" s="28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</row>
    <row r="443">
      <c r="A443" s="57"/>
      <c r="B443" s="57"/>
      <c r="C443" s="57"/>
      <c r="D443" s="70"/>
      <c r="E443" s="71"/>
      <c r="F443" s="57"/>
      <c r="G443" s="71"/>
      <c r="H443" s="57"/>
      <c r="I443" s="57"/>
      <c r="J443" s="57"/>
      <c r="K443" s="57"/>
      <c r="L443" s="57"/>
      <c r="M443" s="57"/>
      <c r="N443" s="57"/>
      <c r="O443" s="57"/>
      <c r="P443" s="28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</row>
    <row r="444">
      <c r="A444" s="57"/>
      <c r="B444" s="57"/>
      <c r="C444" s="57"/>
      <c r="D444" s="70"/>
      <c r="E444" s="71"/>
      <c r="F444" s="57"/>
      <c r="G444" s="71"/>
      <c r="H444" s="57"/>
      <c r="I444" s="57"/>
      <c r="J444" s="57"/>
      <c r="K444" s="57"/>
      <c r="L444" s="57"/>
      <c r="M444" s="57"/>
      <c r="N444" s="57"/>
      <c r="O444" s="57"/>
      <c r="P444" s="28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</row>
    <row r="445">
      <c r="A445" s="57"/>
      <c r="B445" s="57"/>
      <c r="C445" s="57"/>
      <c r="D445" s="70"/>
      <c r="E445" s="71"/>
      <c r="F445" s="57"/>
      <c r="G445" s="71"/>
      <c r="H445" s="57"/>
      <c r="I445" s="57"/>
      <c r="J445" s="57"/>
      <c r="K445" s="57"/>
      <c r="L445" s="57"/>
      <c r="M445" s="57"/>
      <c r="N445" s="57"/>
      <c r="O445" s="57"/>
      <c r="P445" s="28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</row>
    <row r="446">
      <c r="A446" s="57"/>
      <c r="B446" s="57"/>
      <c r="C446" s="57"/>
      <c r="D446" s="70"/>
      <c r="E446" s="71"/>
      <c r="F446" s="57"/>
      <c r="G446" s="71"/>
      <c r="H446" s="57"/>
      <c r="I446" s="57"/>
      <c r="J446" s="57"/>
      <c r="K446" s="57"/>
      <c r="L446" s="57"/>
      <c r="M446" s="57"/>
      <c r="N446" s="57"/>
      <c r="O446" s="57"/>
      <c r="P446" s="28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</row>
    <row r="447">
      <c r="A447" s="57"/>
      <c r="B447" s="57"/>
      <c r="C447" s="57"/>
      <c r="D447" s="70"/>
      <c r="E447" s="71"/>
      <c r="F447" s="57"/>
      <c r="G447" s="71"/>
      <c r="H447" s="57"/>
      <c r="I447" s="57"/>
      <c r="J447" s="57"/>
      <c r="K447" s="57"/>
      <c r="L447" s="57"/>
      <c r="M447" s="57"/>
      <c r="N447" s="57"/>
      <c r="O447" s="57"/>
      <c r="P447" s="28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</row>
    <row r="448">
      <c r="A448" s="57"/>
      <c r="B448" s="57"/>
      <c r="C448" s="57"/>
      <c r="D448" s="70"/>
      <c r="E448" s="71"/>
      <c r="F448" s="57"/>
      <c r="G448" s="71"/>
      <c r="H448" s="57"/>
      <c r="I448" s="57"/>
      <c r="J448" s="57"/>
      <c r="K448" s="57"/>
      <c r="L448" s="57"/>
      <c r="M448" s="57"/>
      <c r="N448" s="57"/>
      <c r="O448" s="57"/>
      <c r="P448" s="28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</row>
    <row r="449">
      <c r="A449" s="57"/>
      <c r="B449" s="57"/>
      <c r="C449" s="57"/>
      <c r="D449" s="70"/>
      <c r="E449" s="71"/>
      <c r="F449" s="57"/>
      <c r="G449" s="71"/>
      <c r="H449" s="57"/>
      <c r="I449" s="57"/>
      <c r="J449" s="57"/>
      <c r="K449" s="57"/>
      <c r="L449" s="57"/>
      <c r="M449" s="57"/>
      <c r="N449" s="57"/>
      <c r="O449" s="57"/>
      <c r="P449" s="28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</row>
    <row r="450">
      <c r="A450" s="57"/>
      <c r="B450" s="57"/>
      <c r="C450" s="57"/>
      <c r="D450" s="70"/>
      <c r="E450" s="71"/>
      <c r="F450" s="57"/>
      <c r="G450" s="71"/>
      <c r="H450" s="57"/>
      <c r="I450" s="57"/>
      <c r="J450" s="57"/>
      <c r="K450" s="57"/>
      <c r="L450" s="57"/>
      <c r="M450" s="57"/>
      <c r="N450" s="57"/>
      <c r="O450" s="57"/>
      <c r="P450" s="28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</row>
    <row r="451">
      <c r="A451" s="57"/>
      <c r="B451" s="57"/>
      <c r="C451" s="57"/>
      <c r="D451" s="70"/>
      <c r="E451" s="71"/>
      <c r="F451" s="57"/>
      <c r="G451" s="71"/>
      <c r="H451" s="57"/>
      <c r="I451" s="57"/>
      <c r="J451" s="57"/>
      <c r="K451" s="57"/>
      <c r="L451" s="57"/>
      <c r="M451" s="57"/>
      <c r="N451" s="57"/>
      <c r="O451" s="57"/>
      <c r="P451" s="28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</row>
    <row r="452">
      <c r="A452" s="57"/>
      <c r="B452" s="57"/>
      <c r="C452" s="57"/>
      <c r="D452" s="70"/>
      <c r="E452" s="71"/>
      <c r="F452" s="57"/>
      <c r="G452" s="71"/>
      <c r="H452" s="57"/>
      <c r="I452" s="57"/>
      <c r="J452" s="57"/>
      <c r="K452" s="57"/>
      <c r="L452" s="57"/>
      <c r="M452" s="57"/>
      <c r="N452" s="57"/>
      <c r="O452" s="57"/>
      <c r="P452" s="28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</row>
    <row r="453">
      <c r="A453" s="57"/>
      <c r="B453" s="57"/>
      <c r="C453" s="57"/>
      <c r="D453" s="70"/>
      <c r="E453" s="71"/>
      <c r="F453" s="57"/>
      <c r="G453" s="71"/>
      <c r="H453" s="57"/>
      <c r="I453" s="57"/>
      <c r="J453" s="57"/>
      <c r="K453" s="57"/>
      <c r="L453" s="57"/>
      <c r="M453" s="57"/>
      <c r="N453" s="57"/>
      <c r="O453" s="57"/>
      <c r="P453" s="28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</row>
    <row r="454">
      <c r="A454" s="57"/>
      <c r="B454" s="57"/>
      <c r="C454" s="57"/>
      <c r="D454" s="70"/>
      <c r="E454" s="71"/>
      <c r="F454" s="57"/>
      <c r="G454" s="71"/>
      <c r="H454" s="57"/>
      <c r="I454" s="57"/>
      <c r="J454" s="57"/>
      <c r="K454" s="57"/>
      <c r="L454" s="57"/>
      <c r="M454" s="57"/>
      <c r="N454" s="57"/>
      <c r="O454" s="57"/>
      <c r="P454" s="28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</row>
    <row r="455">
      <c r="A455" s="57"/>
      <c r="B455" s="57"/>
      <c r="C455" s="57"/>
      <c r="D455" s="70"/>
      <c r="E455" s="71"/>
      <c r="F455" s="57"/>
      <c r="G455" s="71"/>
      <c r="H455" s="57"/>
      <c r="I455" s="57"/>
      <c r="J455" s="57"/>
      <c r="K455" s="57"/>
      <c r="L455" s="57"/>
      <c r="M455" s="57"/>
      <c r="N455" s="57"/>
      <c r="O455" s="57"/>
      <c r="P455" s="28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</row>
    <row r="456">
      <c r="A456" s="57"/>
      <c r="B456" s="57"/>
      <c r="C456" s="57"/>
      <c r="D456" s="70"/>
      <c r="E456" s="71"/>
      <c r="F456" s="57"/>
      <c r="G456" s="71"/>
      <c r="H456" s="57"/>
      <c r="I456" s="57"/>
      <c r="J456" s="57"/>
      <c r="K456" s="57"/>
      <c r="L456" s="57"/>
      <c r="M456" s="57"/>
      <c r="N456" s="57"/>
      <c r="O456" s="57"/>
      <c r="P456" s="28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</row>
    <row r="457">
      <c r="A457" s="57"/>
      <c r="B457" s="57"/>
      <c r="C457" s="57"/>
      <c r="D457" s="70"/>
      <c r="E457" s="71"/>
      <c r="F457" s="57"/>
      <c r="G457" s="71"/>
      <c r="H457" s="57"/>
      <c r="I457" s="57"/>
      <c r="J457" s="57"/>
      <c r="K457" s="57"/>
      <c r="L457" s="57"/>
      <c r="M457" s="57"/>
      <c r="N457" s="57"/>
      <c r="O457" s="57"/>
      <c r="P457" s="28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</row>
    <row r="458">
      <c r="A458" s="57"/>
      <c r="B458" s="57"/>
      <c r="C458" s="57"/>
      <c r="D458" s="70"/>
      <c r="E458" s="71"/>
      <c r="F458" s="57"/>
      <c r="G458" s="71"/>
      <c r="H458" s="57"/>
      <c r="I458" s="57"/>
      <c r="J458" s="57"/>
      <c r="K458" s="57"/>
      <c r="L458" s="57"/>
      <c r="M458" s="57"/>
      <c r="N458" s="57"/>
      <c r="O458" s="57"/>
      <c r="P458" s="28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</row>
    <row r="459">
      <c r="A459" s="57"/>
      <c r="B459" s="57"/>
      <c r="C459" s="57"/>
      <c r="D459" s="70"/>
      <c r="E459" s="71"/>
      <c r="F459" s="57"/>
      <c r="G459" s="71"/>
      <c r="H459" s="57"/>
      <c r="I459" s="57"/>
      <c r="J459" s="57"/>
      <c r="K459" s="57"/>
      <c r="L459" s="57"/>
      <c r="M459" s="57"/>
      <c r="N459" s="57"/>
      <c r="O459" s="57"/>
      <c r="P459" s="28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</row>
    <row r="460">
      <c r="A460" s="57"/>
      <c r="B460" s="57"/>
      <c r="C460" s="57"/>
      <c r="D460" s="70"/>
      <c r="E460" s="71"/>
      <c r="F460" s="57"/>
      <c r="G460" s="71"/>
      <c r="H460" s="57"/>
      <c r="I460" s="57"/>
      <c r="J460" s="57"/>
      <c r="K460" s="57"/>
      <c r="L460" s="57"/>
      <c r="M460" s="57"/>
      <c r="N460" s="57"/>
      <c r="O460" s="57"/>
      <c r="P460" s="28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</row>
    <row r="461">
      <c r="A461" s="57"/>
      <c r="B461" s="57"/>
      <c r="C461" s="57"/>
      <c r="D461" s="70"/>
      <c r="E461" s="71"/>
      <c r="F461" s="57"/>
      <c r="G461" s="71"/>
      <c r="H461" s="57"/>
      <c r="I461" s="57"/>
      <c r="J461" s="57"/>
      <c r="K461" s="57"/>
      <c r="L461" s="57"/>
      <c r="M461" s="57"/>
      <c r="N461" s="57"/>
      <c r="O461" s="57"/>
      <c r="P461" s="28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</row>
    <row r="462">
      <c r="A462" s="57"/>
      <c r="B462" s="57"/>
      <c r="C462" s="57"/>
      <c r="D462" s="70"/>
      <c r="E462" s="71"/>
      <c r="F462" s="57"/>
      <c r="G462" s="71"/>
      <c r="H462" s="57"/>
      <c r="I462" s="57"/>
      <c r="J462" s="57"/>
      <c r="K462" s="57"/>
      <c r="L462" s="57"/>
      <c r="M462" s="57"/>
      <c r="N462" s="57"/>
      <c r="O462" s="57"/>
      <c r="P462" s="28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</row>
    <row r="463">
      <c r="A463" s="57"/>
      <c r="B463" s="57"/>
      <c r="C463" s="57"/>
      <c r="D463" s="70"/>
      <c r="E463" s="71"/>
      <c r="F463" s="57"/>
      <c r="G463" s="71"/>
      <c r="H463" s="57"/>
      <c r="I463" s="57"/>
      <c r="J463" s="57"/>
      <c r="K463" s="57"/>
      <c r="L463" s="57"/>
      <c r="M463" s="57"/>
      <c r="N463" s="57"/>
      <c r="O463" s="57"/>
      <c r="P463" s="28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</row>
    <row r="464">
      <c r="A464" s="57"/>
      <c r="B464" s="57"/>
      <c r="C464" s="57"/>
      <c r="D464" s="70"/>
      <c r="E464" s="71"/>
      <c r="F464" s="57"/>
      <c r="G464" s="71"/>
      <c r="H464" s="57"/>
      <c r="I464" s="57"/>
      <c r="J464" s="57"/>
      <c r="K464" s="57"/>
      <c r="L464" s="57"/>
      <c r="M464" s="57"/>
      <c r="N464" s="57"/>
      <c r="O464" s="57"/>
      <c r="P464" s="28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</row>
    <row r="465">
      <c r="A465" s="57"/>
      <c r="B465" s="57"/>
      <c r="C465" s="57"/>
      <c r="D465" s="70"/>
      <c r="E465" s="71"/>
      <c r="F465" s="57"/>
      <c r="G465" s="71"/>
      <c r="H465" s="57"/>
      <c r="I465" s="57"/>
      <c r="J465" s="57"/>
      <c r="K465" s="57"/>
      <c r="L465" s="57"/>
      <c r="M465" s="57"/>
      <c r="N465" s="57"/>
      <c r="O465" s="57"/>
      <c r="P465" s="28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</row>
    <row r="466">
      <c r="A466" s="57"/>
      <c r="B466" s="57"/>
      <c r="C466" s="57"/>
      <c r="D466" s="70"/>
      <c r="E466" s="71"/>
      <c r="F466" s="57"/>
      <c r="G466" s="71"/>
      <c r="H466" s="57"/>
      <c r="I466" s="57"/>
      <c r="J466" s="57"/>
      <c r="K466" s="57"/>
      <c r="L466" s="57"/>
      <c r="M466" s="57"/>
      <c r="N466" s="57"/>
      <c r="O466" s="57"/>
      <c r="P466" s="28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</row>
    <row r="467">
      <c r="A467" s="57"/>
      <c r="B467" s="57"/>
      <c r="C467" s="57"/>
      <c r="D467" s="70"/>
      <c r="E467" s="71"/>
      <c r="F467" s="57"/>
      <c r="G467" s="71"/>
      <c r="H467" s="57"/>
      <c r="I467" s="57"/>
      <c r="J467" s="57"/>
      <c r="K467" s="57"/>
      <c r="L467" s="57"/>
      <c r="M467" s="57"/>
      <c r="N467" s="57"/>
      <c r="O467" s="57"/>
      <c r="P467" s="28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</row>
    <row r="468">
      <c r="A468" s="57"/>
      <c r="B468" s="57"/>
      <c r="C468" s="57"/>
      <c r="D468" s="70"/>
      <c r="E468" s="71"/>
      <c r="F468" s="57"/>
      <c r="G468" s="71"/>
      <c r="H468" s="57"/>
      <c r="I468" s="57"/>
      <c r="J468" s="57"/>
      <c r="K468" s="57"/>
      <c r="L468" s="57"/>
      <c r="M468" s="57"/>
      <c r="N468" s="57"/>
      <c r="O468" s="57"/>
      <c r="P468" s="28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</row>
    <row r="469">
      <c r="A469" s="57"/>
      <c r="B469" s="57"/>
      <c r="C469" s="57"/>
      <c r="D469" s="70"/>
      <c r="E469" s="71"/>
      <c r="F469" s="57"/>
      <c r="G469" s="71"/>
      <c r="H469" s="57"/>
      <c r="I469" s="57"/>
      <c r="J469" s="57"/>
      <c r="K469" s="57"/>
      <c r="L469" s="57"/>
      <c r="M469" s="57"/>
      <c r="N469" s="57"/>
      <c r="O469" s="57"/>
      <c r="P469" s="28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</row>
    <row r="470">
      <c r="A470" s="57"/>
      <c r="B470" s="57"/>
      <c r="C470" s="57"/>
      <c r="D470" s="70"/>
      <c r="E470" s="71"/>
      <c r="F470" s="57"/>
      <c r="G470" s="71"/>
      <c r="H470" s="57"/>
      <c r="I470" s="57"/>
      <c r="J470" s="57"/>
      <c r="K470" s="57"/>
      <c r="L470" s="57"/>
      <c r="M470" s="57"/>
      <c r="N470" s="57"/>
      <c r="O470" s="57"/>
      <c r="P470" s="28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</row>
    <row r="471">
      <c r="A471" s="57"/>
      <c r="B471" s="57"/>
      <c r="C471" s="57"/>
      <c r="D471" s="70"/>
      <c r="E471" s="71"/>
      <c r="F471" s="57"/>
      <c r="G471" s="71"/>
      <c r="H471" s="57"/>
      <c r="I471" s="57"/>
      <c r="J471" s="57"/>
      <c r="K471" s="57"/>
      <c r="L471" s="57"/>
      <c r="M471" s="57"/>
      <c r="N471" s="57"/>
      <c r="O471" s="57"/>
      <c r="P471" s="28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</row>
    <row r="472">
      <c r="A472" s="57"/>
      <c r="B472" s="57"/>
      <c r="C472" s="57"/>
      <c r="D472" s="70"/>
      <c r="E472" s="71"/>
      <c r="F472" s="57"/>
      <c r="G472" s="71"/>
      <c r="H472" s="57"/>
      <c r="I472" s="57"/>
      <c r="J472" s="57"/>
      <c r="K472" s="57"/>
      <c r="L472" s="57"/>
      <c r="M472" s="57"/>
      <c r="N472" s="57"/>
      <c r="O472" s="57"/>
      <c r="P472" s="28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</row>
    <row r="473">
      <c r="A473" s="57"/>
      <c r="B473" s="57"/>
      <c r="C473" s="57"/>
      <c r="D473" s="70"/>
      <c r="E473" s="71"/>
      <c r="F473" s="57"/>
      <c r="G473" s="71"/>
      <c r="H473" s="57"/>
      <c r="I473" s="57"/>
      <c r="J473" s="57"/>
      <c r="K473" s="57"/>
      <c r="L473" s="57"/>
      <c r="M473" s="57"/>
      <c r="N473" s="57"/>
      <c r="O473" s="57"/>
      <c r="P473" s="28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</row>
    <row r="474">
      <c r="A474" s="57"/>
      <c r="B474" s="57"/>
      <c r="C474" s="57"/>
      <c r="D474" s="70"/>
      <c r="E474" s="71"/>
      <c r="F474" s="57"/>
      <c r="G474" s="71"/>
      <c r="H474" s="57"/>
      <c r="I474" s="57"/>
      <c r="J474" s="57"/>
      <c r="K474" s="57"/>
      <c r="L474" s="57"/>
      <c r="M474" s="57"/>
      <c r="N474" s="57"/>
      <c r="O474" s="57"/>
      <c r="P474" s="28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</row>
    <row r="475">
      <c r="A475" s="57"/>
      <c r="B475" s="57"/>
      <c r="C475" s="57"/>
      <c r="D475" s="70"/>
      <c r="E475" s="71"/>
      <c r="F475" s="57"/>
      <c r="G475" s="71"/>
      <c r="H475" s="57"/>
      <c r="I475" s="57"/>
      <c r="J475" s="57"/>
      <c r="K475" s="57"/>
      <c r="L475" s="57"/>
      <c r="M475" s="57"/>
      <c r="N475" s="57"/>
      <c r="O475" s="57"/>
      <c r="P475" s="28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</row>
    <row r="476">
      <c r="A476" s="57"/>
      <c r="B476" s="57"/>
      <c r="C476" s="57"/>
      <c r="D476" s="70"/>
      <c r="E476" s="71"/>
      <c r="F476" s="57"/>
      <c r="G476" s="71"/>
      <c r="H476" s="57"/>
      <c r="I476" s="57"/>
      <c r="J476" s="57"/>
      <c r="K476" s="57"/>
      <c r="L476" s="57"/>
      <c r="M476" s="57"/>
      <c r="N476" s="57"/>
      <c r="O476" s="57"/>
      <c r="P476" s="28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</row>
    <row r="477">
      <c r="A477" s="57"/>
      <c r="B477" s="57"/>
      <c r="C477" s="57"/>
      <c r="D477" s="70"/>
      <c r="E477" s="71"/>
      <c r="F477" s="57"/>
      <c r="G477" s="71"/>
      <c r="H477" s="57"/>
      <c r="I477" s="57"/>
      <c r="J477" s="57"/>
      <c r="K477" s="57"/>
      <c r="L477" s="57"/>
      <c r="M477" s="57"/>
      <c r="N477" s="57"/>
      <c r="O477" s="57"/>
      <c r="P477" s="28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</row>
    <row r="478">
      <c r="A478" s="57"/>
      <c r="B478" s="57"/>
      <c r="C478" s="57"/>
      <c r="D478" s="70"/>
      <c r="E478" s="71"/>
      <c r="F478" s="57"/>
      <c r="G478" s="71"/>
      <c r="H478" s="57"/>
      <c r="I478" s="57"/>
      <c r="J478" s="57"/>
      <c r="K478" s="57"/>
      <c r="L478" s="57"/>
      <c r="M478" s="57"/>
      <c r="N478" s="57"/>
      <c r="O478" s="57"/>
      <c r="P478" s="28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</row>
    <row r="479">
      <c r="A479" s="57"/>
      <c r="B479" s="57"/>
      <c r="C479" s="57"/>
      <c r="D479" s="70"/>
      <c r="E479" s="71"/>
      <c r="F479" s="57"/>
      <c r="G479" s="71"/>
      <c r="H479" s="57"/>
      <c r="I479" s="57"/>
      <c r="J479" s="57"/>
      <c r="K479" s="57"/>
      <c r="L479" s="57"/>
      <c r="M479" s="57"/>
      <c r="N479" s="57"/>
      <c r="O479" s="57"/>
      <c r="P479" s="28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</row>
    <row r="480">
      <c r="A480" s="57"/>
      <c r="B480" s="57"/>
      <c r="C480" s="57"/>
      <c r="D480" s="70"/>
      <c r="E480" s="71"/>
      <c r="F480" s="57"/>
      <c r="G480" s="71"/>
      <c r="H480" s="57"/>
      <c r="I480" s="57"/>
      <c r="J480" s="57"/>
      <c r="K480" s="57"/>
      <c r="L480" s="57"/>
      <c r="M480" s="57"/>
      <c r="N480" s="57"/>
      <c r="O480" s="57"/>
      <c r="P480" s="28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</row>
    <row r="481">
      <c r="A481" s="57"/>
      <c r="B481" s="57"/>
      <c r="C481" s="57"/>
      <c r="D481" s="70"/>
      <c r="E481" s="71"/>
      <c r="F481" s="57"/>
      <c r="G481" s="71"/>
      <c r="H481" s="57"/>
      <c r="I481" s="57"/>
      <c r="J481" s="57"/>
      <c r="K481" s="57"/>
      <c r="L481" s="57"/>
      <c r="M481" s="57"/>
      <c r="N481" s="57"/>
      <c r="O481" s="57"/>
      <c r="P481" s="28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</row>
    <row r="482">
      <c r="A482" s="57"/>
      <c r="B482" s="57"/>
      <c r="C482" s="57"/>
      <c r="D482" s="70"/>
      <c r="E482" s="71"/>
      <c r="F482" s="57"/>
      <c r="G482" s="71"/>
      <c r="H482" s="57"/>
      <c r="I482" s="57"/>
      <c r="J482" s="57"/>
      <c r="K482" s="57"/>
      <c r="L482" s="57"/>
      <c r="M482" s="57"/>
      <c r="N482" s="57"/>
      <c r="O482" s="57"/>
      <c r="P482" s="28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</row>
    <row r="483">
      <c r="A483" s="57"/>
      <c r="B483" s="57"/>
      <c r="C483" s="57"/>
      <c r="D483" s="70"/>
      <c r="E483" s="71"/>
      <c r="F483" s="57"/>
      <c r="G483" s="71"/>
      <c r="H483" s="57"/>
      <c r="I483" s="57"/>
      <c r="J483" s="57"/>
      <c r="K483" s="57"/>
      <c r="L483" s="57"/>
      <c r="M483" s="57"/>
      <c r="N483" s="57"/>
      <c r="O483" s="57"/>
      <c r="P483" s="28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</row>
    <row r="484">
      <c r="A484" s="57"/>
      <c r="B484" s="57"/>
      <c r="C484" s="57"/>
      <c r="D484" s="70"/>
      <c r="E484" s="71"/>
      <c r="F484" s="57"/>
      <c r="G484" s="71"/>
      <c r="H484" s="57"/>
      <c r="I484" s="57"/>
      <c r="J484" s="57"/>
      <c r="K484" s="57"/>
      <c r="L484" s="57"/>
      <c r="M484" s="57"/>
      <c r="N484" s="57"/>
      <c r="O484" s="57"/>
      <c r="P484" s="28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</row>
    <row r="485">
      <c r="A485" s="57"/>
      <c r="B485" s="57"/>
      <c r="C485" s="57"/>
      <c r="D485" s="70"/>
      <c r="E485" s="71"/>
      <c r="F485" s="57"/>
      <c r="G485" s="71"/>
      <c r="H485" s="57"/>
      <c r="I485" s="57"/>
      <c r="J485" s="57"/>
      <c r="K485" s="57"/>
      <c r="L485" s="57"/>
      <c r="M485" s="57"/>
      <c r="N485" s="57"/>
      <c r="O485" s="57"/>
      <c r="P485" s="28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</row>
    <row r="486">
      <c r="A486" s="57"/>
      <c r="B486" s="57"/>
      <c r="C486" s="57"/>
      <c r="D486" s="70"/>
      <c r="E486" s="71"/>
      <c r="F486" s="57"/>
      <c r="G486" s="71"/>
      <c r="H486" s="57"/>
      <c r="I486" s="57"/>
      <c r="J486" s="57"/>
      <c r="K486" s="57"/>
      <c r="L486" s="57"/>
      <c r="M486" s="57"/>
      <c r="N486" s="57"/>
      <c r="O486" s="57"/>
      <c r="P486" s="28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</row>
    <row r="487">
      <c r="A487" s="57"/>
      <c r="B487" s="57"/>
      <c r="C487" s="57"/>
      <c r="D487" s="70"/>
      <c r="E487" s="71"/>
      <c r="F487" s="57"/>
      <c r="G487" s="71"/>
      <c r="H487" s="57"/>
      <c r="I487" s="57"/>
      <c r="J487" s="57"/>
      <c r="K487" s="57"/>
      <c r="L487" s="57"/>
      <c r="M487" s="57"/>
      <c r="N487" s="57"/>
      <c r="O487" s="57"/>
      <c r="P487" s="28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</row>
    <row r="488">
      <c r="A488" s="57"/>
      <c r="B488" s="57"/>
      <c r="C488" s="57"/>
      <c r="D488" s="70"/>
      <c r="E488" s="71"/>
      <c r="F488" s="57"/>
      <c r="G488" s="71"/>
      <c r="H488" s="57"/>
      <c r="I488" s="57"/>
      <c r="J488" s="57"/>
      <c r="K488" s="57"/>
      <c r="L488" s="57"/>
      <c r="M488" s="57"/>
      <c r="N488" s="57"/>
      <c r="O488" s="57"/>
      <c r="P488" s="28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</row>
    <row r="489">
      <c r="A489" s="57"/>
      <c r="B489" s="57"/>
      <c r="C489" s="57"/>
      <c r="D489" s="70"/>
      <c r="E489" s="71"/>
      <c r="F489" s="57"/>
      <c r="G489" s="71"/>
      <c r="H489" s="57"/>
      <c r="I489" s="57"/>
      <c r="J489" s="57"/>
      <c r="K489" s="57"/>
      <c r="L489" s="57"/>
      <c r="M489" s="57"/>
      <c r="N489" s="57"/>
      <c r="O489" s="57"/>
      <c r="P489" s="28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</row>
    <row r="490">
      <c r="A490" s="57"/>
      <c r="B490" s="57"/>
      <c r="C490" s="57"/>
      <c r="D490" s="70"/>
      <c r="E490" s="71"/>
      <c r="F490" s="57"/>
      <c r="G490" s="71"/>
      <c r="H490" s="57"/>
      <c r="I490" s="57"/>
      <c r="J490" s="57"/>
      <c r="K490" s="57"/>
      <c r="L490" s="57"/>
      <c r="M490" s="57"/>
      <c r="N490" s="57"/>
      <c r="O490" s="57"/>
      <c r="P490" s="28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</row>
    <row r="491">
      <c r="A491" s="57"/>
      <c r="B491" s="57"/>
      <c r="C491" s="57"/>
      <c r="D491" s="70"/>
      <c r="E491" s="71"/>
      <c r="F491" s="57"/>
      <c r="G491" s="71"/>
      <c r="H491" s="57"/>
      <c r="I491" s="57"/>
      <c r="J491" s="57"/>
      <c r="K491" s="57"/>
      <c r="L491" s="57"/>
      <c r="M491" s="57"/>
      <c r="N491" s="57"/>
      <c r="O491" s="57"/>
      <c r="P491" s="28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</row>
    <row r="492">
      <c r="A492" s="57"/>
      <c r="B492" s="57"/>
      <c r="C492" s="57"/>
      <c r="D492" s="70"/>
      <c r="E492" s="71"/>
      <c r="F492" s="57"/>
      <c r="G492" s="71"/>
      <c r="H492" s="57"/>
      <c r="I492" s="57"/>
      <c r="J492" s="57"/>
      <c r="K492" s="57"/>
      <c r="L492" s="57"/>
      <c r="M492" s="57"/>
      <c r="N492" s="57"/>
      <c r="O492" s="57"/>
      <c r="P492" s="28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</row>
    <row r="493">
      <c r="A493" s="57"/>
      <c r="B493" s="57"/>
      <c r="C493" s="57"/>
      <c r="D493" s="70"/>
      <c r="E493" s="71"/>
      <c r="F493" s="57"/>
      <c r="G493" s="71"/>
      <c r="H493" s="57"/>
      <c r="I493" s="57"/>
      <c r="J493" s="57"/>
      <c r="K493" s="57"/>
      <c r="L493" s="57"/>
      <c r="M493" s="57"/>
      <c r="N493" s="57"/>
      <c r="O493" s="57"/>
      <c r="P493" s="28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</row>
    <row r="494">
      <c r="A494" s="57"/>
      <c r="B494" s="57"/>
      <c r="C494" s="57"/>
      <c r="D494" s="70"/>
      <c r="E494" s="71"/>
      <c r="F494" s="57"/>
      <c r="G494" s="71"/>
      <c r="H494" s="57"/>
      <c r="I494" s="57"/>
      <c r="J494" s="57"/>
      <c r="K494" s="57"/>
      <c r="L494" s="57"/>
      <c r="M494" s="57"/>
      <c r="N494" s="57"/>
      <c r="O494" s="57"/>
      <c r="P494" s="28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</row>
    <row r="495">
      <c r="A495" s="57"/>
      <c r="B495" s="57"/>
      <c r="C495" s="57"/>
      <c r="D495" s="70"/>
      <c r="E495" s="71"/>
      <c r="F495" s="57"/>
      <c r="G495" s="71"/>
      <c r="H495" s="57"/>
      <c r="I495" s="57"/>
      <c r="J495" s="57"/>
      <c r="K495" s="57"/>
      <c r="L495" s="57"/>
      <c r="M495" s="57"/>
      <c r="N495" s="57"/>
      <c r="O495" s="57"/>
      <c r="P495" s="28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</row>
    <row r="496">
      <c r="A496" s="57"/>
      <c r="B496" s="57"/>
      <c r="C496" s="57"/>
      <c r="D496" s="70"/>
      <c r="E496" s="71"/>
      <c r="F496" s="57"/>
      <c r="G496" s="71"/>
      <c r="H496" s="57"/>
      <c r="I496" s="57"/>
      <c r="J496" s="57"/>
      <c r="K496" s="57"/>
      <c r="L496" s="57"/>
      <c r="M496" s="57"/>
      <c r="N496" s="57"/>
      <c r="O496" s="57"/>
      <c r="P496" s="28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</row>
    <row r="497">
      <c r="A497" s="57"/>
      <c r="B497" s="57"/>
      <c r="C497" s="57"/>
      <c r="D497" s="70"/>
      <c r="E497" s="71"/>
      <c r="F497" s="57"/>
      <c r="G497" s="71"/>
      <c r="H497" s="57"/>
      <c r="I497" s="57"/>
      <c r="J497" s="57"/>
      <c r="K497" s="57"/>
      <c r="L497" s="57"/>
      <c r="M497" s="57"/>
      <c r="N497" s="57"/>
      <c r="O497" s="57"/>
      <c r="P497" s="28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</row>
    <row r="498">
      <c r="A498" s="57"/>
      <c r="B498" s="57"/>
      <c r="C498" s="57"/>
      <c r="D498" s="70"/>
      <c r="E498" s="71"/>
      <c r="F498" s="57"/>
      <c r="G498" s="71"/>
      <c r="H498" s="57"/>
      <c r="I498" s="57"/>
      <c r="J498" s="57"/>
      <c r="K498" s="57"/>
      <c r="L498" s="57"/>
      <c r="M498" s="57"/>
      <c r="N498" s="57"/>
      <c r="O498" s="57"/>
      <c r="P498" s="28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</row>
    <row r="499">
      <c r="A499" s="57"/>
      <c r="B499" s="57"/>
      <c r="C499" s="57"/>
      <c r="D499" s="70"/>
      <c r="E499" s="71"/>
      <c r="F499" s="57"/>
      <c r="G499" s="71"/>
      <c r="H499" s="57"/>
      <c r="I499" s="57"/>
      <c r="J499" s="57"/>
      <c r="K499" s="57"/>
      <c r="L499" s="57"/>
      <c r="M499" s="57"/>
      <c r="N499" s="57"/>
      <c r="O499" s="57"/>
      <c r="P499" s="28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</row>
    <row r="500">
      <c r="A500" s="57"/>
      <c r="B500" s="57"/>
      <c r="C500" s="57"/>
      <c r="D500" s="70"/>
      <c r="E500" s="71"/>
      <c r="F500" s="57"/>
      <c r="G500" s="71"/>
      <c r="H500" s="57"/>
      <c r="I500" s="57"/>
      <c r="J500" s="57"/>
      <c r="K500" s="57"/>
      <c r="L500" s="57"/>
      <c r="M500" s="57"/>
      <c r="N500" s="57"/>
      <c r="O500" s="57"/>
      <c r="P500" s="28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</row>
    <row r="501">
      <c r="A501" s="57"/>
      <c r="B501" s="57"/>
      <c r="C501" s="57"/>
      <c r="D501" s="70"/>
      <c r="E501" s="71"/>
      <c r="F501" s="57"/>
      <c r="G501" s="71"/>
      <c r="H501" s="57"/>
      <c r="I501" s="57"/>
      <c r="J501" s="57"/>
      <c r="K501" s="57"/>
      <c r="L501" s="57"/>
      <c r="M501" s="57"/>
      <c r="N501" s="57"/>
      <c r="O501" s="57"/>
      <c r="P501" s="28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</row>
    <row r="502">
      <c r="A502" s="57"/>
      <c r="B502" s="57"/>
      <c r="C502" s="57"/>
      <c r="D502" s="70"/>
      <c r="E502" s="71"/>
      <c r="F502" s="57"/>
      <c r="G502" s="71"/>
      <c r="H502" s="57"/>
      <c r="I502" s="57"/>
      <c r="J502" s="57"/>
      <c r="K502" s="57"/>
      <c r="L502" s="57"/>
      <c r="M502" s="57"/>
      <c r="N502" s="57"/>
      <c r="O502" s="57"/>
      <c r="P502" s="28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</row>
    <row r="503">
      <c r="A503" s="57"/>
      <c r="B503" s="57"/>
      <c r="C503" s="57"/>
      <c r="D503" s="70"/>
      <c r="E503" s="71"/>
      <c r="F503" s="57"/>
      <c r="G503" s="71"/>
      <c r="H503" s="57"/>
      <c r="I503" s="57"/>
      <c r="J503" s="57"/>
      <c r="K503" s="57"/>
      <c r="L503" s="57"/>
      <c r="M503" s="57"/>
      <c r="N503" s="57"/>
      <c r="O503" s="57"/>
      <c r="P503" s="28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</row>
    <row r="504">
      <c r="A504" s="57"/>
      <c r="B504" s="57"/>
      <c r="C504" s="57"/>
      <c r="D504" s="70"/>
      <c r="E504" s="71"/>
      <c r="F504" s="57"/>
      <c r="G504" s="71"/>
      <c r="H504" s="57"/>
      <c r="I504" s="57"/>
      <c r="J504" s="57"/>
      <c r="K504" s="57"/>
      <c r="L504" s="57"/>
      <c r="M504" s="57"/>
      <c r="N504" s="57"/>
      <c r="O504" s="57"/>
      <c r="P504" s="28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</row>
    <row r="505">
      <c r="A505" s="57"/>
      <c r="B505" s="57"/>
      <c r="C505" s="57"/>
      <c r="D505" s="70"/>
      <c r="E505" s="71"/>
      <c r="F505" s="57"/>
      <c r="G505" s="71"/>
      <c r="H505" s="57"/>
      <c r="I505" s="57"/>
      <c r="J505" s="57"/>
      <c r="K505" s="57"/>
      <c r="L505" s="57"/>
      <c r="M505" s="57"/>
      <c r="N505" s="57"/>
      <c r="O505" s="57"/>
      <c r="P505" s="28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</row>
    <row r="506">
      <c r="A506" s="57"/>
      <c r="B506" s="57"/>
      <c r="C506" s="57"/>
      <c r="D506" s="70"/>
      <c r="E506" s="71"/>
      <c r="F506" s="57"/>
      <c r="G506" s="71"/>
      <c r="H506" s="57"/>
      <c r="I506" s="57"/>
      <c r="J506" s="57"/>
      <c r="K506" s="57"/>
      <c r="L506" s="57"/>
      <c r="M506" s="57"/>
      <c r="N506" s="57"/>
      <c r="O506" s="57"/>
      <c r="P506" s="28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</row>
    <row r="507">
      <c r="A507" s="57"/>
      <c r="B507" s="57"/>
      <c r="C507" s="57"/>
      <c r="D507" s="70"/>
      <c r="E507" s="71"/>
      <c r="F507" s="57"/>
      <c r="G507" s="71"/>
      <c r="H507" s="57"/>
      <c r="I507" s="57"/>
      <c r="J507" s="57"/>
      <c r="K507" s="57"/>
      <c r="L507" s="57"/>
      <c r="M507" s="57"/>
      <c r="N507" s="57"/>
      <c r="O507" s="57"/>
      <c r="P507" s="28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</row>
    <row r="508">
      <c r="A508" s="57"/>
      <c r="B508" s="57"/>
      <c r="C508" s="57"/>
      <c r="D508" s="70"/>
      <c r="E508" s="71"/>
      <c r="F508" s="57"/>
      <c r="G508" s="71"/>
      <c r="H508" s="57"/>
      <c r="I508" s="57"/>
      <c r="J508" s="57"/>
      <c r="K508" s="57"/>
      <c r="L508" s="57"/>
      <c r="M508" s="57"/>
      <c r="N508" s="57"/>
      <c r="O508" s="57"/>
      <c r="P508" s="28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</row>
    <row r="509">
      <c r="A509" s="57"/>
      <c r="B509" s="57"/>
      <c r="C509" s="57"/>
      <c r="D509" s="70"/>
      <c r="E509" s="71"/>
      <c r="F509" s="57"/>
      <c r="G509" s="71"/>
      <c r="H509" s="57"/>
      <c r="I509" s="57"/>
      <c r="J509" s="57"/>
      <c r="K509" s="57"/>
      <c r="L509" s="57"/>
      <c r="M509" s="57"/>
      <c r="N509" s="57"/>
      <c r="O509" s="57"/>
      <c r="P509" s="28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</row>
    <row r="510">
      <c r="A510" s="57"/>
      <c r="B510" s="57"/>
      <c r="C510" s="57"/>
      <c r="D510" s="70"/>
      <c r="E510" s="71"/>
      <c r="F510" s="57"/>
      <c r="G510" s="71"/>
      <c r="H510" s="57"/>
      <c r="I510" s="57"/>
      <c r="J510" s="57"/>
      <c r="K510" s="57"/>
      <c r="L510" s="57"/>
      <c r="M510" s="57"/>
      <c r="N510" s="57"/>
      <c r="O510" s="57"/>
      <c r="P510" s="28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</row>
    <row r="511">
      <c r="A511" s="57"/>
      <c r="B511" s="57"/>
      <c r="C511" s="57"/>
      <c r="D511" s="70"/>
      <c r="E511" s="71"/>
      <c r="F511" s="57"/>
      <c r="G511" s="71"/>
      <c r="H511" s="57"/>
      <c r="I511" s="57"/>
      <c r="J511" s="57"/>
      <c r="K511" s="57"/>
      <c r="L511" s="57"/>
      <c r="M511" s="57"/>
      <c r="N511" s="57"/>
      <c r="O511" s="57"/>
      <c r="P511" s="28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</row>
    <row r="512">
      <c r="A512" s="57"/>
      <c r="B512" s="57"/>
      <c r="C512" s="57"/>
      <c r="D512" s="70"/>
      <c r="E512" s="71"/>
      <c r="F512" s="57"/>
      <c r="G512" s="71"/>
      <c r="H512" s="57"/>
      <c r="I512" s="57"/>
      <c r="J512" s="57"/>
      <c r="K512" s="57"/>
      <c r="L512" s="57"/>
      <c r="M512" s="57"/>
      <c r="N512" s="57"/>
      <c r="O512" s="57"/>
      <c r="P512" s="28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</row>
    <row r="513">
      <c r="A513" s="57"/>
      <c r="B513" s="57"/>
      <c r="C513" s="57"/>
      <c r="D513" s="70"/>
      <c r="E513" s="71"/>
      <c r="F513" s="57"/>
      <c r="G513" s="71"/>
      <c r="H513" s="57"/>
      <c r="I513" s="57"/>
      <c r="J513" s="57"/>
      <c r="K513" s="57"/>
      <c r="L513" s="57"/>
      <c r="M513" s="57"/>
      <c r="N513" s="57"/>
      <c r="O513" s="57"/>
      <c r="P513" s="28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</row>
    <row r="514">
      <c r="A514" s="57"/>
      <c r="B514" s="57"/>
      <c r="C514" s="57"/>
      <c r="D514" s="70"/>
      <c r="E514" s="71"/>
      <c r="F514" s="57"/>
      <c r="G514" s="71"/>
      <c r="H514" s="57"/>
      <c r="I514" s="57"/>
      <c r="J514" s="57"/>
      <c r="K514" s="57"/>
      <c r="L514" s="57"/>
      <c r="M514" s="57"/>
      <c r="N514" s="57"/>
      <c r="O514" s="57"/>
      <c r="P514" s="28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</row>
    <row r="515">
      <c r="A515" s="57"/>
      <c r="B515" s="57"/>
      <c r="C515" s="57"/>
      <c r="D515" s="70"/>
      <c r="E515" s="71"/>
      <c r="F515" s="57"/>
      <c r="G515" s="71"/>
      <c r="H515" s="57"/>
      <c r="I515" s="57"/>
      <c r="J515" s="57"/>
      <c r="K515" s="57"/>
      <c r="L515" s="57"/>
      <c r="M515" s="57"/>
      <c r="N515" s="57"/>
      <c r="O515" s="57"/>
      <c r="P515" s="28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</row>
    <row r="516">
      <c r="A516" s="57"/>
      <c r="B516" s="57"/>
      <c r="C516" s="57"/>
      <c r="D516" s="70"/>
      <c r="E516" s="71"/>
      <c r="F516" s="57"/>
      <c r="G516" s="71"/>
      <c r="H516" s="57"/>
      <c r="I516" s="57"/>
      <c r="J516" s="57"/>
      <c r="K516" s="57"/>
      <c r="L516" s="57"/>
      <c r="M516" s="57"/>
      <c r="N516" s="57"/>
      <c r="O516" s="57"/>
      <c r="P516" s="28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</row>
    <row r="517">
      <c r="A517" s="57"/>
      <c r="B517" s="57"/>
      <c r="C517" s="57"/>
      <c r="D517" s="70"/>
      <c r="E517" s="71"/>
      <c r="F517" s="57"/>
      <c r="G517" s="71"/>
      <c r="H517" s="57"/>
      <c r="I517" s="57"/>
      <c r="J517" s="57"/>
      <c r="K517" s="57"/>
      <c r="L517" s="57"/>
      <c r="M517" s="57"/>
      <c r="N517" s="57"/>
      <c r="O517" s="57"/>
      <c r="P517" s="28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</row>
    <row r="518">
      <c r="A518" s="57"/>
      <c r="B518" s="57"/>
      <c r="C518" s="57"/>
      <c r="D518" s="70"/>
      <c r="E518" s="71"/>
      <c r="F518" s="57"/>
      <c r="G518" s="71"/>
      <c r="H518" s="57"/>
      <c r="I518" s="57"/>
      <c r="J518" s="57"/>
      <c r="K518" s="57"/>
      <c r="L518" s="57"/>
      <c r="M518" s="57"/>
      <c r="N518" s="57"/>
      <c r="O518" s="57"/>
      <c r="P518" s="28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</row>
    <row r="519">
      <c r="A519" s="57"/>
      <c r="B519" s="57"/>
      <c r="C519" s="57"/>
      <c r="D519" s="70"/>
      <c r="E519" s="71"/>
      <c r="F519" s="57"/>
      <c r="G519" s="71"/>
      <c r="H519" s="57"/>
      <c r="I519" s="57"/>
      <c r="J519" s="57"/>
      <c r="K519" s="57"/>
      <c r="L519" s="57"/>
      <c r="M519" s="57"/>
      <c r="N519" s="57"/>
      <c r="O519" s="57"/>
      <c r="P519" s="28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</row>
    <row r="520">
      <c r="A520" s="57"/>
      <c r="B520" s="57"/>
      <c r="C520" s="57"/>
      <c r="D520" s="70"/>
      <c r="E520" s="71"/>
      <c r="F520" s="57"/>
      <c r="G520" s="71"/>
      <c r="H520" s="57"/>
      <c r="I520" s="57"/>
      <c r="J520" s="57"/>
      <c r="K520" s="57"/>
      <c r="L520" s="57"/>
      <c r="M520" s="57"/>
      <c r="N520" s="57"/>
      <c r="O520" s="57"/>
      <c r="P520" s="28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</row>
    <row r="521">
      <c r="A521" s="57"/>
      <c r="B521" s="57"/>
      <c r="C521" s="57"/>
      <c r="D521" s="70"/>
      <c r="E521" s="71"/>
      <c r="F521" s="57"/>
      <c r="G521" s="71"/>
      <c r="H521" s="57"/>
      <c r="I521" s="57"/>
      <c r="J521" s="57"/>
      <c r="K521" s="57"/>
      <c r="L521" s="57"/>
      <c r="M521" s="57"/>
      <c r="N521" s="57"/>
      <c r="O521" s="57"/>
      <c r="P521" s="28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</row>
    <row r="522">
      <c r="A522" s="57"/>
      <c r="B522" s="57"/>
      <c r="C522" s="57"/>
      <c r="D522" s="70"/>
      <c r="E522" s="71"/>
      <c r="F522" s="57"/>
      <c r="G522" s="71"/>
      <c r="H522" s="57"/>
      <c r="I522" s="57"/>
      <c r="J522" s="57"/>
      <c r="K522" s="57"/>
      <c r="L522" s="57"/>
      <c r="M522" s="57"/>
      <c r="N522" s="57"/>
      <c r="O522" s="57"/>
      <c r="P522" s="28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</row>
    <row r="523">
      <c r="A523" s="57"/>
      <c r="B523" s="57"/>
      <c r="C523" s="57"/>
      <c r="D523" s="70"/>
      <c r="E523" s="71"/>
      <c r="F523" s="57"/>
      <c r="G523" s="71"/>
      <c r="H523" s="57"/>
      <c r="I523" s="57"/>
      <c r="J523" s="57"/>
      <c r="K523" s="57"/>
      <c r="L523" s="57"/>
      <c r="M523" s="57"/>
      <c r="N523" s="57"/>
      <c r="O523" s="57"/>
      <c r="P523" s="28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</row>
    <row r="524">
      <c r="A524" s="57"/>
      <c r="B524" s="57"/>
      <c r="C524" s="57"/>
      <c r="D524" s="70"/>
      <c r="E524" s="71"/>
      <c r="F524" s="57"/>
      <c r="G524" s="71"/>
      <c r="H524" s="57"/>
      <c r="I524" s="57"/>
      <c r="J524" s="57"/>
      <c r="K524" s="57"/>
      <c r="L524" s="57"/>
      <c r="M524" s="57"/>
      <c r="N524" s="57"/>
      <c r="O524" s="57"/>
      <c r="P524" s="28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</row>
    <row r="525">
      <c r="A525" s="57"/>
      <c r="B525" s="57"/>
      <c r="C525" s="57"/>
      <c r="D525" s="70"/>
      <c r="E525" s="71"/>
      <c r="F525" s="57"/>
      <c r="G525" s="71"/>
      <c r="H525" s="57"/>
      <c r="I525" s="57"/>
      <c r="J525" s="57"/>
      <c r="K525" s="57"/>
      <c r="L525" s="57"/>
      <c r="M525" s="57"/>
      <c r="N525" s="57"/>
      <c r="O525" s="57"/>
      <c r="P525" s="28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</row>
    <row r="526">
      <c r="A526" s="57"/>
      <c r="B526" s="57"/>
      <c r="C526" s="57"/>
      <c r="D526" s="70"/>
      <c r="E526" s="71"/>
      <c r="F526" s="57"/>
      <c r="G526" s="71"/>
      <c r="H526" s="57"/>
      <c r="I526" s="57"/>
      <c r="J526" s="57"/>
      <c r="K526" s="57"/>
      <c r="L526" s="57"/>
      <c r="M526" s="57"/>
      <c r="N526" s="57"/>
      <c r="O526" s="57"/>
      <c r="P526" s="28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</row>
    <row r="527">
      <c r="A527" s="57"/>
      <c r="B527" s="57"/>
      <c r="C527" s="57"/>
      <c r="D527" s="70"/>
      <c r="E527" s="71"/>
      <c r="F527" s="57"/>
      <c r="G527" s="71"/>
      <c r="H527" s="57"/>
      <c r="I527" s="57"/>
      <c r="J527" s="57"/>
      <c r="K527" s="57"/>
      <c r="L527" s="57"/>
      <c r="M527" s="57"/>
      <c r="N527" s="57"/>
      <c r="O527" s="57"/>
      <c r="P527" s="28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</row>
    <row r="528">
      <c r="A528" s="57"/>
      <c r="B528" s="57"/>
      <c r="C528" s="57"/>
      <c r="D528" s="70"/>
      <c r="E528" s="71"/>
      <c r="F528" s="57"/>
      <c r="G528" s="71"/>
      <c r="H528" s="57"/>
      <c r="I528" s="57"/>
      <c r="J528" s="57"/>
      <c r="K528" s="57"/>
      <c r="L528" s="57"/>
      <c r="M528" s="57"/>
      <c r="N528" s="57"/>
      <c r="O528" s="57"/>
      <c r="P528" s="28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</row>
    <row r="529">
      <c r="A529" s="57"/>
      <c r="B529" s="57"/>
      <c r="C529" s="57"/>
      <c r="D529" s="70"/>
      <c r="E529" s="71"/>
      <c r="F529" s="57"/>
      <c r="G529" s="71"/>
      <c r="H529" s="57"/>
      <c r="I529" s="57"/>
      <c r="J529" s="57"/>
      <c r="K529" s="57"/>
      <c r="L529" s="57"/>
      <c r="M529" s="57"/>
      <c r="N529" s="57"/>
      <c r="O529" s="57"/>
      <c r="P529" s="28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</row>
    <row r="530">
      <c r="A530" s="57"/>
      <c r="B530" s="57"/>
      <c r="C530" s="57"/>
      <c r="D530" s="70"/>
      <c r="E530" s="71"/>
      <c r="F530" s="57"/>
      <c r="G530" s="71"/>
      <c r="H530" s="57"/>
      <c r="I530" s="57"/>
      <c r="J530" s="57"/>
      <c r="K530" s="57"/>
      <c r="L530" s="57"/>
      <c r="M530" s="57"/>
      <c r="N530" s="57"/>
      <c r="O530" s="57"/>
      <c r="P530" s="28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</row>
    <row r="531">
      <c r="A531" s="57"/>
      <c r="B531" s="57"/>
      <c r="C531" s="57"/>
      <c r="D531" s="70"/>
      <c r="E531" s="71"/>
      <c r="F531" s="57"/>
      <c r="G531" s="71"/>
      <c r="H531" s="57"/>
      <c r="I531" s="57"/>
      <c r="J531" s="57"/>
      <c r="K531" s="57"/>
      <c r="L531" s="57"/>
      <c r="M531" s="57"/>
      <c r="N531" s="57"/>
      <c r="O531" s="57"/>
      <c r="P531" s="28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</row>
    <row r="532">
      <c r="A532" s="57"/>
      <c r="B532" s="57"/>
      <c r="C532" s="57"/>
      <c r="D532" s="70"/>
      <c r="E532" s="71"/>
      <c r="F532" s="57"/>
      <c r="G532" s="71"/>
      <c r="H532" s="57"/>
      <c r="I532" s="57"/>
      <c r="J532" s="57"/>
      <c r="K532" s="57"/>
      <c r="L532" s="57"/>
      <c r="M532" s="57"/>
      <c r="N532" s="57"/>
      <c r="O532" s="57"/>
      <c r="P532" s="28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</row>
    <row r="533">
      <c r="A533" s="57"/>
      <c r="B533" s="57"/>
      <c r="C533" s="57"/>
      <c r="D533" s="70"/>
      <c r="E533" s="71"/>
      <c r="F533" s="57"/>
      <c r="G533" s="71"/>
      <c r="H533" s="57"/>
      <c r="I533" s="57"/>
      <c r="J533" s="57"/>
      <c r="K533" s="57"/>
      <c r="L533" s="57"/>
      <c r="M533" s="57"/>
      <c r="N533" s="57"/>
      <c r="O533" s="57"/>
      <c r="P533" s="28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</row>
    <row r="534">
      <c r="A534" s="57"/>
      <c r="B534" s="57"/>
      <c r="C534" s="57"/>
      <c r="D534" s="70"/>
      <c r="E534" s="71"/>
      <c r="F534" s="57"/>
      <c r="G534" s="71"/>
      <c r="H534" s="57"/>
      <c r="I534" s="57"/>
      <c r="J534" s="57"/>
      <c r="K534" s="57"/>
      <c r="L534" s="57"/>
      <c r="M534" s="57"/>
      <c r="N534" s="57"/>
      <c r="O534" s="57"/>
      <c r="P534" s="28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</row>
    <row r="535">
      <c r="A535" s="57"/>
      <c r="B535" s="57"/>
      <c r="C535" s="57"/>
      <c r="D535" s="70"/>
      <c r="E535" s="71"/>
      <c r="F535" s="57"/>
      <c r="G535" s="71"/>
      <c r="H535" s="57"/>
      <c r="I535" s="57"/>
      <c r="J535" s="57"/>
      <c r="K535" s="57"/>
      <c r="L535" s="57"/>
      <c r="M535" s="57"/>
      <c r="N535" s="57"/>
      <c r="O535" s="57"/>
      <c r="P535" s="28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</row>
    <row r="536">
      <c r="A536" s="57"/>
      <c r="B536" s="57"/>
      <c r="C536" s="57"/>
      <c r="D536" s="70"/>
      <c r="E536" s="71"/>
      <c r="F536" s="57"/>
      <c r="G536" s="71"/>
      <c r="H536" s="57"/>
      <c r="I536" s="57"/>
      <c r="J536" s="57"/>
      <c r="K536" s="57"/>
      <c r="L536" s="57"/>
      <c r="M536" s="57"/>
      <c r="N536" s="57"/>
      <c r="O536" s="57"/>
      <c r="P536" s="28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</row>
    <row r="537">
      <c r="A537" s="57"/>
      <c r="B537" s="57"/>
      <c r="C537" s="57"/>
      <c r="D537" s="70"/>
      <c r="E537" s="71"/>
      <c r="F537" s="57"/>
      <c r="G537" s="71"/>
      <c r="H537" s="57"/>
      <c r="I537" s="57"/>
      <c r="J537" s="57"/>
      <c r="K537" s="57"/>
      <c r="L537" s="57"/>
      <c r="M537" s="57"/>
      <c r="N537" s="57"/>
      <c r="O537" s="57"/>
      <c r="P537" s="28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</row>
    <row r="538">
      <c r="A538" s="57"/>
      <c r="B538" s="57"/>
      <c r="C538" s="57"/>
      <c r="D538" s="70"/>
      <c r="E538" s="71"/>
      <c r="F538" s="57"/>
      <c r="G538" s="71"/>
      <c r="H538" s="57"/>
      <c r="I538" s="57"/>
      <c r="J538" s="57"/>
      <c r="K538" s="57"/>
      <c r="L538" s="57"/>
      <c r="M538" s="57"/>
      <c r="N538" s="57"/>
      <c r="O538" s="57"/>
      <c r="P538" s="28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</row>
    <row r="539">
      <c r="A539" s="57"/>
      <c r="B539" s="57"/>
      <c r="C539" s="57"/>
      <c r="D539" s="70"/>
      <c r="E539" s="71"/>
      <c r="F539" s="57"/>
      <c r="G539" s="71"/>
      <c r="H539" s="57"/>
      <c r="I539" s="57"/>
      <c r="J539" s="57"/>
      <c r="K539" s="57"/>
      <c r="L539" s="57"/>
      <c r="M539" s="57"/>
      <c r="N539" s="57"/>
      <c r="O539" s="57"/>
      <c r="P539" s="28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</row>
    <row r="540">
      <c r="A540" s="57"/>
      <c r="B540" s="57"/>
      <c r="C540" s="57"/>
      <c r="D540" s="70"/>
      <c r="E540" s="71"/>
      <c r="F540" s="57"/>
      <c r="G540" s="71"/>
      <c r="H540" s="57"/>
      <c r="I540" s="57"/>
      <c r="J540" s="57"/>
      <c r="K540" s="57"/>
      <c r="L540" s="57"/>
      <c r="M540" s="57"/>
      <c r="N540" s="57"/>
      <c r="O540" s="57"/>
      <c r="P540" s="28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</row>
    <row r="541">
      <c r="A541" s="57"/>
      <c r="B541" s="57"/>
      <c r="C541" s="57"/>
      <c r="D541" s="70"/>
      <c r="E541" s="71"/>
      <c r="F541" s="57"/>
      <c r="G541" s="71"/>
      <c r="H541" s="57"/>
      <c r="I541" s="57"/>
      <c r="J541" s="57"/>
      <c r="K541" s="57"/>
      <c r="L541" s="57"/>
      <c r="M541" s="57"/>
      <c r="N541" s="57"/>
      <c r="O541" s="57"/>
      <c r="P541" s="28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</row>
    <row r="542">
      <c r="A542" s="57"/>
      <c r="B542" s="57"/>
      <c r="C542" s="57"/>
      <c r="D542" s="70"/>
      <c r="E542" s="71"/>
      <c r="F542" s="57"/>
      <c r="G542" s="71"/>
      <c r="H542" s="57"/>
      <c r="I542" s="57"/>
      <c r="J542" s="57"/>
      <c r="K542" s="57"/>
      <c r="L542" s="57"/>
      <c r="M542" s="57"/>
      <c r="N542" s="57"/>
      <c r="O542" s="57"/>
      <c r="P542" s="28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</row>
    <row r="543">
      <c r="A543" s="57"/>
      <c r="B543" s="57"/>
      <c r="C543" s="57"/>
      <c r="D543" s="70"/>
      <c r="E543" s="71"/>
      <c r="F543" s="57"/>
      <c r="G543" s="71"/>
      <c r="H543" s="57"/>
      <c r="I543" s="57"/>
      <c r="J543" s="57"/>
      <c r="K543" s="57"/>
      <c r="L543" s="57"/>
      <c r="M543" s="57"/>
      <c r="N543" s="57"/>
      <c r="O543" s="57"/>
      <c r="P543" s="28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</row>
    <row r="544">
      <c r="A544" s="57"/>
      <c r="B544" s="57"/>
      <c r="C544" s="57"/>
      <c r="D544" s="70"/>
      <c r="E544" s="71"/>
      <c r="F544" s="57"/>
      <c r="G544" s="71"/>
      <c r="H544" s="57"/>
      <c r="I544" s="57"/>
      <c r="J544" s="57"/>
      <c r="K544" s="57"/>
      <c r="L544" s="57"/>
      <c r="M544" s="57"/>
      <c r="N544" s="57"/>
      <c r="O544" s="57"/>
      <c r="P544" s="28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</row>
    <row r="545">
      <c r="A545" s="57"/>
      <c r="B545" s="57"/>
      <c r="C545" s="57"/>
      <c r="D545" s="70"/>
      <c r="E545" s="71"/>
      <c r="F545" s="57"/>
      <c r="G545" s="71"/>
      <c r="H545" s="57"/>
      <c r="I545" s="57"/>
      <c r="J545" s="57"/>
      <c r="K545" s="57"/>
      <c r="L545" s="57"/>
      <c r="M545" s="57"/>
      <c r="N545" s="57"/>
      <c r="O545" s="57"/>
      <c r="P545" s="28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</row>
    <row r="546">
      <c r="A546" s="57"/>
      <c r="B546" s="57"/>
      <c r="C546" s="57"/>
      <c r="D546" s="70"/>
      <c r="E546" s="71"/>
      <c r="F546" s="57"/>
      <c r="G546" s="71"/>
      <c r="H546" s="57"/>
      <c r="I546" s="57"/>
      <c r="J546" s="57"/>
      <c r="K546" s="57"/>
      <c r="L546" s="57"/>
      <c r="M546" s="57"/>
      <c r="N546" s="57"/>
      <c r="O546" s="57"/>
      <c r="P546" s="28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</row>
    <row r="547">
      <c r="A547" s="57"/>
      <c r="B547" s="57"/>
      <c r="C547" s="57"/>
      <c r="D547" s="70"/>
      <c r="E547" s="71"/>
      <c r="F547" s="57"/>
      <c r="G547" s="71"/>
      <c r="H547" s="57"/>
      <c r="I547" s="57"/>
      <c r="J547" s="57"/>
      <c r="K547" s="57"/>
      <c r="L547" s="57"/>
      <c r="M547" s="57"/>
      <c r="N547" s="57"/>
      <c r="O547" s="57"/>
      <c r="P547" s="28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</row>
    <row r="548">
      <c r="A548" s="57"/>
      <c r="B548" s="57"/>
      <c r="C548" s="57"/>
      <c r="D548" s="70"/>
      <c r="E548" s="71"/>
      <c r="F548" s="57"/>
      <c r="G548" s="71"/>
      <c r="H548" s="57"/>
      <c r="I548" s="57"/>
      <c r="J548" s="57"/>
      <c r="K548" s="57"/>
      <c r="L548" s="57"/>
      <c r="M548" s="57"/>
      <c r="N548" s="57"/>
      <c r="O548" s="57"/>
      <c r="P548" s="28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</row>
    <row r="549">
      <c r="A549" s="57"/>
      <c r="B549" s="57"/>
      <c r="C549" s="57"/>
      <c r="D549" s="70"/>
      <c r="E549" s="71"/>
      <c r="F549" s="57"/>
      <c r="G549" s="71"/>
      <c r="H549" s="57"/>
      <c r="I549" s="57"/>
      <c r="J549" s="57"/>
      <c r="K549" s="57"/>
      <c r="L549" s="57"/>
      <c r="M549" s="57"/>
      <c r="N549" s="57"/>
      <c r="O549" s="57"/>
      <c r="P549" s="28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</row>
    <row r="550">
      <c r="A550" s="57"/>
      <c r="B550" s="57"/>
      <c r="C550" s="57"/>
      <c r="D550" s="70"/>
      <c r="E550" s="71"/>
      <c r="F550" s="57"/>
      <c r="G550" s="71"/>
      <c r="H550" s="57"/>
      <c r="I550" s="57"/>
      <c r="J550" s="57"/>
      <c r="K550" s="57"/>
      <c r="L550" s="57"/>
      <c r="M550" s="57"/>
      <c r="N550" s="57"/>
      <c r="O550" s="57"/>
      <c r="P550" s="28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</row>
    <row r="551">
      <c r="A551" s="57"/>
      <c r="B551" s="57"/>
      <c r="C551" s="57"/>
      <c r="D551" s="70"/>
      <c r="E551" s="71"/>
      <c r="F551" s="57"/>
      <c r="G551" s="71"/>
      <c r="H551" s="57"/>
      <c r="I551" s="57"/>
      <c r="J551" s="57"/>
      <c r="K551" s="57"/>
      <c r="L551" s="57"/>
      <c r="M551" s="57"/>
      <c r="N551" s="57"/>
      <c r="O551" s="57"/>
      <c r="P551" s="28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</row>
    <row r="552">
      <c r="A552" s="57"/>
      <c r="B552" s="57"/>
      <c r="C552" s="57"/>
      <c r="D552" s="70"/>
      <c r="E552" s="71"/>
      <c r="F552" s="57"/>
      <c r="G552" s="71"/>
      <c r="H552" s="57"/>
      <c r="I552" s="57"/>
      <c r="J552" s="57"/>
      <c r="K552" s="57"/>
      <c r="L552" s="57"/>
      <c r="M552" s="57"/>
      <c r="N552" s="57"/>
      <c r="O552" s="57"/>
      <c r="P552" s="28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</row>
    <row r="553">
      <c r="A553" s="57"/>
      <c r="B553" s="57"/>
      <c r="C553" s="57"/>
      <c r="D553" s="70"/>
      <c r="E553" s="71"/>
      <c r="F553" s="57"/>
      <c r="G553" s="71"/>
      <c r="H553" s="57"/>
      <c r="I553" s="57"/>
      <c r="J553" s="57"/>
      <c r="K553" s="57"/>
      <c r="L553" s="57"/>
      <c r="M553" s="57"/>
      <c r="N553" s="57"/>
      <c r="O553" s="57"/>
      <c r="P553" s="28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</row>
    <row r="554">
      <c r="A554" s="57"/>
      <c r="B554" s="57"/>
      <c r="C554" s="57"/>
      <c r="D554" s="70"/>
      <c r="E554" s="71"/>
      <c r="F554" s="57"/>
      <c r="G554" s="71"/>
      <c r="H554" s="57"/>
      <c r="I554" s="57"/>
      <c r="J554" s="57"/>
      <c r="K554" s="57"/>
      <c r="L554" s="57"/>
      <c r="M554" s="57"/>
      <c r="N554" s="57"/>
      <c r="O554" s="57"/>
      <c r="P554" s="28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</row>
    <row r="555">
      <c r="A555" s="57"/>
      <c r="B555" s="57"/>
      <c r="C555" s="57"/>
      <c r="D555" s="70"/>
      <c r="E555" s="71"/>
      <c r="F555" s="57"/>
      <c r="G555" s="71"/>
      <c r="H555" s="57"/>
      <c r="I555" s="57"/>
      <c r="J555" s="57"/>
      <c r="K555" s="57"/>
      <c r="L555" s="57"/>
      <c r="M555" s="57"/>
      <c r="N555" s="57"/>
      <c r="O555" s="57"/>
      <c r="P555" s="28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</row>
    <row r="556">
      <c r="A556" s="57"/>
      <c r="B556" s="57"/>
      <c r="C556" s="57"/>
      <c r="D556" s="70"/>
      <c r="E556" s="71"/>
      <c r="F556" s="57"/>
      <c r="G556" s="71"/>
      <c r="H556" s="57"/>
      <c r="I556" s="57"/>
      <c r="J556" s="57"/>
      <c r="K556" s="57"/>
      <c r="L556" s="57"/>
      <c r="M556" s="57"/>
      <c r="N556" s="57"/>
      <c r="O556" s="57"/>
      <c r="P556" s="28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</row>
    <row r="557">
      <c r="A557" s="57"/>
      <c r="B557" s="57"/>
      <c r="C557" s="57"/>
      <c r="D557" s="70"/>
      <c r="E557" s="71"/>
      <c r="F557" s="57"/>
      <c r="G557" s="71"/>
      <c r="H557" s="57"/>
      <c r="I557" s="57"/>
      <c r="J557" s="57"/>
      <c r="K557" s="57"/>
      <c r="L557" s="57"/>
      <c r="M557" s="57"/>
      <c r="N557" s="57"/>
      <c r="O557" s="57"/>
      <c r="P557" s="28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</row>
    <row r="558">
      <c r="A558" s="57"/>
      <c r="B558" s="57"/>
      <c r="C558" s="57"/>
      <c r="D558" s="70"/>
      <c r="E558" s="71"/>
      <c r="F558" s="57"/>
      <c r="G558" s="71"/>
      <c r="H558" s="57"/>
      <c r="I558" s="57"/>
      <c r="J558" s="57"/>
      <c r="K558" s="57"/>
      <c r="L558" s="57"/>
      <c r="M558" s="57"/>
      <c r="N558" s="57"/>
      <c r="O558" s="57"/>
      <c r="P558" s="28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</row>
    <row r="559">
      <c r="A559" s="57"/>
      <c r="B559" s="57"/>
      <c r="C559" s="57"/>
      <c r="D559" s="70"/>
      <c r="E559" s="71"/>
      <c r="F559" s="57"/>
      <c r="G559" s="71"/>
      <c r="H559" s="57"/>
      <c r="I559" s="57"/>
      <c r="J559" s="57"/>
      <c r="K559" s="57"/>
      <c r="L559" s="57"/>
      <c r="M559" s="57"/>
      <c r="N559" s="57"/>
      <c r="O559" s="57"/>
      <c r="P559" s="28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</row>
    <row r="560">
      <c r="A560" s="57"/>
      <c r="B560" s="57"/>
      <c r="C560" s="57"/>
      <c r="D560" s="70"/>
      <c r="E560" s="71"/>
      <c r="F560" s="57"/>
      <c r="G560" s="71"/>
      <c r="H560" s="57"/>
      <c r="I560" s="57"/>
      <c r="J560" s="57"/>
      <c r="K560" s="57"/>
      <c r="L560" s="57"/>
      <c r="M560" s="57"/>
      <c r="N560" s="57"/>
      <c r="O560" s="57"/>
      <c r="P560" s="28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</row>
    <row r="561">
      <c r="A561" s="57"/>
      <c r="B561" s="57"/>
      <c r="C561" s="57"/>
      <c r="D561" s="70"/>
      <c r="E561" s="71"/>
      <c r="F561" s="57"/>
      <c r="G561" s="71"/>
      <c r="H561" s="57"/>
      <c r="I561" s="57"/>
      <c r="J561" s="57"/>
      <c r="K561" s="57"/>
      <c r="L561" s="57"/>
      <c r="M561" s="57"/>
      <c r="N561" s="57"/>
      <c r="O561" s="57"/>
      <c r="P561" s="28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</row>
    <row r="562">
      <c r="A562" s="57"/>
      <c r="B562" s="57"/>
      <c r="C562" s="57"/>
      <c r="D562" s="70"/>
      <c r="E562" s="71"/>
      <c r="F562" s="57"/>
      <c r="G562" s="71"/>
      <c r="H562" s="57"/>
      <c r="I562" s="57"/>
      <c r="J562" s="57"/>
      <c r="K562" s="57"/>
      <c r="L562" s="57"/>
      <c r="M562" s="57"/>
      <c r="N562" s="57"/>
      <c r="O562" s="57"/>
      <c r="P562" s="28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</row>
    <row r="563">
      <c r="A563" s="57"/>
      <c r="B563" s="57"/>
      <c r="C563" s="57"/>
      <c r="D563" s="70"/>
      <c r="E563" s="71"/>
      <c r="F563" s="57"/>
      <c r="G563" s="71"/>
      <c r="H563" s="57"/>
      <c r="I563" s="57"/>
      <c r="J563" s="57"/>
      <c r="K563" s="57"/>
      <c r="L563" s="57"/>
      <c r="M563" s="57"/>
      <c r="N563" s="57"/>
      <c r="O563" s="57"/>
      <c r="P563" s="28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</row>
    <row r="564">
      <c r="A564" s="57"/>
      <c r="B564" s="57"/>
      <c r="C564" s="57"/>
      <c r="D564" s="70"/>
      <c r="E564" s="71"/>
      <c r="F564" s="57"/>
      <c r="G564" s="71"/>
      <c r="H564" s="57"/>
      <c r="I564" s="57"/>
      <c r="J564" s="57"/>
      <c r="K564" s="57"/>
      <c r="L564" s="57"/>
      <c r="M564" s="57"/>
      <c r="N564" s="57"/>
      <c r="O564" s="57"/>
      <c r="P564" s="28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</row>
    <row r="565">
      <c r="A565" s="57"/>
      <c r="B565" s="57"/>
      <c r="C565" s="57"/>
      <c r="D565" s="70"/>
      <c r="E565" s="71"/>
      <c r="F565" s="57"/>
      <c r="G565" s="71"/>
      <c r="H565" s="57"/>
      <c r="I565" s="57"/>
      <c r="J565" s="57"/>
      <c r="K565" s="57"/>
      <c r="L565" s="57"/>
      <c r="M565" s="57"/>
      <c r="N565" s="57"/>
      <c r="O565" s="57"/>
      <c r="P565" s="28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</row>
    <row r="566">
      <c r="A566" s="57"/>
      <c r="B566" s="57"/>
      <c r="C566" s="57"/>
      <c r="D566" s="70"/>
      <c r="E566" s="71"/>
      <c r="F566" s="57"/>
      <c r="G566" s="71"/>
      <c r="H566" s="57"/>
      <c r="I566" s="57"/>
      <c r="J566" s="57"/>
      <c r="K566" s="57"/>
      <c r="L566" s="57"/>
      <c r="M566" s="57"/>
      <c r="N566" s="57"/>
      <c r="O566" s="57"/>
      <c r="P566" s="28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</row>
    <row r="567">
      <c r="A567" s="57"/>
      <c r="B567" s="57"/>
      <c r="C567" s="57"/>
      <c r="D567" s="70"/>
      <c r="E567" s="71"/>
      <c r="F567" s="57"/>
      <c r="G567" s="71"/>
      <c r="H567" s="57"/>
      <c r="I567" s="57"/>
      <c r="J567" s="57"/>
      <c r="K567" s="57"/>
      <c r="L567" s="57"/>
      <c r="M567" s="57"/>
      <c r="N567" s="57"/>
      <c r="O567" s="57"/>
      <c r="P567" s="28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</row>
    <row r="568">
      <c r="A568" s="57"/>
      <c r="B568" s="57"/>
      <c r="C568" s="57"/>
      <c r="D568" s="70"/>
      <c r="E568" s="71"/>
      <c r="F568" s="57"/>
      <c r="G568" s="71"/>
      <c r="H568" s="57"/>
      <c r="I568" s="57"/>
      <c r="J568" s="57"/>
      <c r="K568" s="57"/>
      <c r="L568" s="57"/>
      <c r="M568" s="57"/>
      <c r="N568" s="57"/>
      <c r="O568" s="57"/>
      <c r="P568" s="28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</row>
    <row r="569">
      <c r="A569" s="57"/>
      <c r="B569" s="57"/>
      <c r="C569" s="57"/>
      <c r="D569" s="70"/>
      <c r="E569" s="71"/>
      <c r="F569" s="57"/>
      <c r="G569" s="71"/>
      <c r="H569" s="57"/>
      <c r="I569" s="57"/>
      <c r="J569" s="57"/>
      <c r="K569" s="57"/>
      <c r="L569" s="57"/>
      <c r="M569" s="57"/>
      <c r="N569" s="57"/>
      <c r="O569" s="57"/>
      <c r="P569" s="28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</row>
    <row r="570">
      <c r="A570" s="57"/>
      <c r="B570" s="57"/>
      <c r="C570" s="57"/>
      <c r="D570" s="70"/>
      <c r="E570" s="71"/>
      <c r="F570" s="57"/>
      <c r="G570" s="71"/>
      <c r="H570" s="57"/>
      <c r="I570" s="57"/>
      <c r="J570" s="57"/>
      <c r="K570" s="57"/>
      <c r="L570" s="57"/>
      <c r="M570" s="57"/>
      <c r="N570" s="57"/>
      <c r="O570" s="57"/>
      <c r="P570" s="28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</row>
    <row r="571">
      <c r="A571" s="57"/>
      <c r="B571" s="57"/>
      <c r="C571" s="57"/>
      <c r="D571" s="70"/>
      <c r="E571" s="71"/>
      <c r="F571" s="57"/>
      <c r="G571" s="71"/>
      <c r="H571" s="57"/>
      <c r="I571" s="57"/>
      <c r="J571" s="57"/>
      <c r="K571" s="57"/>
      <c r="L571" s="57"/>
      <c r="M571" s="57"/>
      <c r="N571" s="57"/>
      <c r="O571" s="57"/>
      <c r="P571" s="28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</row>
    <row r="572">
      <c r="A572" s="57"/>
      <c r="B572" s="57"/>
      <c r="C572" s="57"/>
      <c r="D572" s="70"/>
      <c r="E572" s="71"/>
      <c r="F572" s="57"/>
      <c r="G572" s="71"/>
      <c r="H572" s="57"/>
      <c r="I572" s="57"/>
      <c r="J572" s="57"/>
      <c r="K572" s="57"/>
      <c r="L572" s="57"/>
      <c r="M572" s="57"/>
      <c r="N572" s="57"/>
      <c r="O572" s="57"/>
      <c r="P572" s="28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</row>
    <row r="573">
      <c r="A573" s="57"/>
      <c r="B573" s="57"/>
      <c r="C573" s="57"/>
      <c r="D573" s="70"/>
      <c r="E573" s="71"/>
      <c r="F573" s="57"/>
      <c r="G573" s="71"/>
      <c r="H573" s="57"/>
      <c r="I573" s="57"/>
      <c r="J573" s="57"/>
      <c r="K573" s="57"/>
      <c r="L573" s="57"/>
      <c r="M573" s="57"/>
      <c r="N573" s="57"/>
      <c r="O573" s="57"/>
      <c r="P573" s="28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</row>
    <row r="574">
      <c r="A574" s="57"/>
      <c r="B574" s="57"/>
      <c r="C574" s="57"/>
      <c r="D574" s="70"/>
      <c r="E574" s="71"/>
      <c r="F574" s="57"/>
      <c r="G574" s="71"/>
      <c r="H574" s="57"/>
      <c r="I574" s="57"/>
      <c r="J574" s="57"/>
      <c r="K574" s="57"/>
      <c r="L574" s="57"/>
      <c r="M574" s="57"/>
      <c r="N574" s="57"/>
      <c r="O574" s="57"/>
      <c r="P574" s="28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</row>
    <row r="575">
      <c r="A575" s="57"/>
      <c r="B575" s="57"/>
      <c r="C575" s="57"/>
      <c r="D575" s="70"/>
      <c r="E575" s="71"/>
      <c r="F575" s="57"/>
      <c r="G575" s="71"/>
      <c r="H575" s="57"/>
      <c r="I575" s="57"/>
      <c r="J575" s="57"/>
      <c r="K575" s="57"/>
      <c r="L575" s="57"/>
      <c r="M575" s="57"/>
      <c r="N575" s="57"/>
      <c r="O575" s="57"/>
      <c r="P575" s="28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</row>
    <row r="576">
      <c r="A576" s="57"/>
      <c r="B576" s="57"/>
      <c r="C576" s="57"/>
      <c r="D576" s="70"/>
      <c r="E576" s="71"/>
      <c r="F576" s="57"/>
      <c r="G576" s="71"/>
      <c r="H576" s="57"/>
      <c r="I576" s="57"/>
      <c r="J576" s="57"/>
      <c r="K576" s="57"/>
      <c r="L576" s="57"/>
      <c r="M576" s="57"/>
      <c r="N576" s="57"/>
      <c r="O576" s="57"/>
      <c r="P576" s="28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</row>
    <row r="577">
      <c r="A577" s="57"/>
      <c r="B577" s="57"/>
      <c r="C577" s="57"/>
      <c r="D577" s="70"/>
      <c r="E577" s="71"/>
      <c r="F577" s="57"/>
      <c r="G577" s="71"/>
      <c r="H577" s="57"/>
      <c r="I577" s="57"/>
      <c r="J577" s="57"/>
      <c r="K577" s="57"/>
      <c r="L577" s="57"/>
      <c r="M577" s="57"/>
      <c r="N577" s="57"/>
      <c r="O577" s="57"/>
      <c r="P577" s="28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</row>
    <row r="578">
      <c r="A578" s="57"/>
      <c r="B578" s="57"/>
      <c r="C578" s="57"/>
      <c r="D578" s="70"/>
      <c r="E578" s="71"/>
      <c r="F578" s="57"/>
      <c r="G578" s="71"/>
      <c r="H578" s="57"/>
      <c r="I578" s="57"/>
      <c r="J578" s="57"/>
      <c r="K578" s="57"/>
      <c r="L578" s="57"/>
      <c r="M578" s="57"/>
      <c r="N578" s="57"/>
      <c r="O578" s="57"/>
      <c r="P578" s="28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</row>
    <row r="579">
      <c r="A579" s="57"/>
      <c r="B579" s="57"/>
      <c r="C579" s="57"/>
      <c r="D579" s="70"/>
      <c r="E579" s="71"/>
      <c r="F579" s="57"/>
      <c r="G579" s="71"/>
      <c r="H579" s="57"/>
      <c r="I579" s="57"/>
      <c r="J579" s="57"/>
      <c r="K579" s="57"/>
      <c r="L579" s="57"/>
      <c r="M579" s="57"/>
      <c r="N579" s="57"/>
      <c r="O579" s="57"/>
      <c r="P579" s="28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</row>
    <row r="580">
      <c r="A580" s="57"/>
      <c r="B580" s="57"/>
      <c r="C580" s="57"/>
      <c r="D580" s="70"/>
      <c r="E580" s="71"/>
      <c r="F580" s="57"/>
      <c r="G580" s="71"/>
      <c r="H580" s="57"/>
      <c r="I580" s="57"/>
      <c r="J580" s="57"/>
      <c r="K580" s="57"/>
      <c r="L580" s="57"/>
      <c r="M580" s="57"/>
      <c r="N580" s="57"/>
      <c r="O580" s="57"/>
      <c r="P580" s="28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</row>
    <row r="581">
      <c r="A581" s="57"/>
      <c r="B581" s="57"/>
      <c r="C581" s="57"/>
      <c r="D581" s="70"/>
      <c r="E581" s="71"/>
      <c r="F581" s="57"/>
      <c r="G581" s="71"/>
      <c r="H581" s="57"/>
      <c r="I581" s="57"/>
      <c r="J581" s="57"/>
      <c r="K581" s="57"/>
      <c r="L581" s="57"/>
      <c r="M581" s="57"/>
      <c r="N581" s="57"/>
      <c r="O581" s="57"/>
      <c r="P581" s="28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</row>
    <row r="582">
      <c r="A582" s="57"/>
      <c r="B582" s="57"/>
      <c r="C582" s="57"/>
      <c r="D582" s="70"/>
      <c r="E582" s="71"/>
      <c r="F582" s="57"/>
      <c r="G582" s="71"/>
      <c r="H582" s="57"/>
      <c r="I582" s="57"/>
      <c r="J582" s="57"/>
      <c r="K582" s="57"/>
      <c r="L582" s="57"/>
      <c r="M582" s="57"/>
      <c r="N582" s="57"/>
      <c r="O582" s="57"/>
      <c r="P582" s="28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</row>
    <row r="583">
      <c r="A583" s="57"/>
      <c r="B583" s="57"/>
      <c r="C583" s="57"/>
      <c r="D583" s="70"/>
      <c r="E583" s="71"/>
      <c r="F583" s="57"/>
      <c r="G583" s="71"/>
      <c r="H583" s="57"/>
      <c r="I583" s="57"/>
      <c r="J583" s="57"/>
      <c r="K583" s="57"/>
      <c r="L583" s="57"/>
      <c r="M583" s="57"/>
      <c r="N583" s="57"/>
      <c r="O583" s="57"/>
      <c r="P583" s="28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</row>
    <row r="584">
      <c r="A584" s="57"/>
      <c r="B584" s="57"/>
      <c r="C584" s="57"/>
      <c r="D584" s="70"/>
      <c r="E584" s="71"/>
      <c r="F584" s="57"/>
      <c r="G584" s="71"/>
      <c r="H584" s="57"/>
      <c r="I584" s="57"/>
      <c r="J584" s="57"/>
      <c r="K584" s="57"/>
      <c r="L584" s="57"/>
      <c r="M584" s="57"/>
      <c r="N584" s="57"/>
      <c r="O584" s="57"/>
      <c r="P584" s="28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</row>
    <row r="585">
      <c r="A585" s="57"/>
      <c r="B585" s="57"/>
      <c r="C585" s="57"/>
      <c r="D585" s="70"/>
      <c r="E585" s="71"/>
      <c r="F585" s="57"/>
      <c r="G585" s="71"/>
      <c r="H585" s="57"/>
      <c r="I585" s="57"/>
      <c r="J585" s="57"/>
      <c r="K585" s="57"/>
      <c r="L585" s="57"/>
      <c r="M585" s="57"/>
      <c r="N585" s="57"/>
      <c r="O585" s="57"/>
      <c r="P585" s="28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</row>
    <row r="586">
      <c r="A586" s="57"/>
      <c r="B586" s="57"/>
      <c r="C586" s="57"/>
      <c r="D586" s="70"/>
      <c r="E586" s="71"/>
      <c r="F586" s="57"/>
      <c r="G586" s="71"/>
      <c r="H586" s="57"/>
      <c r="I586" s="57"/>
      <c r="J586" s="57"/>
      <c r="K586" s="57"/>
      <c r="L586" s="57"/>
      <c r="M586" s="57"/>
      <c r="N586" s="57"/>
      <c r="O586" s="57"/>
      <c r="P586" s="28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</row>
    <row r="587">
      <c r="A587" s="57"/>
      <c r="B587" s="57"/>
      <c r="C587" s="57"/>
      <c r="D587" s="70"/>
      <c r="E587" s="71"/>
      <c r="F587" s="57"/>
      <c r="G587" s="71"/>
      <c r="H587" s="57"/>
      <c r="I587" s="57"/>
      <c r="J587" s="57"/>
      <c r="K587" s="57"/>
      <c r="L587" s="57"/>
      <c r="M587" s="57"/>
      <c r="N587" s="57"/>
      <c r="O587" s="57"/>
      <c r="P587" s="28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</row>
    <row r="588">
      <c r="A588" s="57"/>
      <c r="B588" s="57"/>
      <c r="C588" s="57"/>
      <c r="D588" s="70"/>
      <c r="E588" s="71"/>
      <c r="F588" s="57"/>
      <c r="G588" s="71"/>
      <c r="H588" s="57"/>
      <c r="I588" s="57"/>
      <c r="J588" s="57"/>
      <c r="K588" s="57"/>
      <c r="L588" s="57"/>
      <c r="M588" s="57"/>
      <c r="N588" s="57"/>
      <c r="O588" s="57"/>
      <c r="P588" s="28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</row>
    <row r="589">
      <c r="A589" s="57"/>
      <c r="B589" s="57"/>
      <c r="C589" s="57"/>
      <c r="D589" s="70"/>
      <c r="E589" s="71"/>
      <c r="F589" s="57"/>
      <c r="G589" s="71"/>
      <c r="H589" s="57"/>
      <c r="I589" s="57"/>
      <c r="J589" s="57"/>
      <c r="K589" s="57"/>
      <c r="L589" s="57"/>
      <c r="M589" s="57"/>
      <c r="N589" s="57"/>
      <c r="O589" s="57"/>
      <c r="P589" s="28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</row>
    <row r="590">
      <c r="A590" s="57"/>
      <c r="B590" s="57"/>
      <c r="C590" s="57"/>
      <c r="D590" s="70"/>
      <c r="E590" s="71"/>
      <c r="F590" s="57"/>
      <c r="G590" s="71"/>
      <c r="H590" s="57"/>
      <c r="I590" s="57"/>
      <c r="J590" s="57"/>
      <c r="K590" s="57"/>
      <c r="L590" s="57"/>
      <c r="M590" s="57"/>
      <c r="N590" s="57"/>
      <c r="O590" s="57"/>
      <c r="P590" s="28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</row>
    <row r="591">
      <c r="A591" s="57"/>
      <c r="B591" s="57"/>
      <c r="C591" s="57"/>
      <c r="D591" s="70"/>
      <c r="E591" s="71"/>
      <c r="F591" s="57"/>
      <c r="G591" s="71"/>
      <c r="H591" s="57"/>
      <c r="I591" s="57"/>
      <c r="J591" s="57"/>
      <c r="K591" s="57"/>
      <c r="L591" s="57"/>
      <c r="M591" s="57"/>
      <c r="N591" s="57"/>
      <c r="O591" s="57"/>
      <c r="P591" s="28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</row>
    <row r="592">
      <c r="A592" s="57"/>
      <c r="B592" s="57"/>
      <c r="C592" s="57"/>
      <c r="D592" s="70"/>
      <c r="E592" s="71"/>
      <c r="F592" s="57"/>
      <c r="G592" s="71"/>
      <c r="H592" s="57"/>
      <c r="I592" s="57"/>
      <c r="J592" s="57"/>
      <c r="K592" s="57"/>
      <c r="L592" s="57"/>
      <c r="M592" s="57"/>
      <c r="N592" s="57"/>
      <c r="O592" s="57"/>
      <c r="P592" s="28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</row>
    <row r="593">
      <c r="A593" s="57"/>
      <c r="B593" s="57"/>
      <c r="C593" s="57"/>
      <c r="D593" s="70"/>
      <c r="E593" s="71"/>
      <c r="F593" s="57"/>
      <c r="G593" s="71"/>
      <c r="H593" s="57"/>
      <c r="I593" s="57"/>
      <c r="J593" s="57"/>
      <c r="K593" s="57"/>
      <c r="L593" s="57"/>
      <c r="M593" s="57"/>
      <c r="N593" s="57"/>
      <c r="O593" s="57"/>
      <c r="P593" s="28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</row>
    <row r="594">
      <c r="A594" s="57"/>
      <c r="B594" s="57"/>
      <c r="C594" s="57"/>
      <c r="D594" s="70"/>
      <c r="E594" s="71"/>
      <c r="F594" s="57"/>
      <c r="G594" s="71"/>
      <c r="H594" s="57"/>
      <c r="I594" s="57"/>
      <c r="J594" s="57"/>
      <c r="K594" s="57"/>
      <c r="L594" s="57"/>
      <c r="M594" s="57"/>
      <c r="N594" s="57"/>
      <c r="O594" s="57"/>
      <c r="P594" s="28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</row>
    <row r="595">
      <c r="A595" s="57"/>
      <c r="B595" s="57"/>
      <c r="C595" s="57"/>
      <c r="D595" s="70"/>
      <c r="E595" s="71"/>
      <c r="F595" s="57"/>
      <c r="G595" s="71"/>
      <c r="H595" s="57"/>
      <c r="I595" s="57"/>
      <c r="J595" s="57"/>
      <c r="K595" s="57"/>
      <c r="L595" s="57"/>
      <c r="M595" s="57"/>
      <c r="N595" s="57"/>
      <c r="O595" s="57"/>
      <c r="P595" s="28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</row>
    <row r="596">
      <c r="A596" s="57"/>
      <c r="B596" s="57"/>
      <c r="C596" s="57"/>
      <c r="D596" s="70"/>
      <c r="E596" s="71"/>
      <c r="F596" s="57"/>
      <c r="G596" s="71"/>
      <c r="H596" s="57"/>
      <c r="I596" s="57"/>
      <c r="J596" s="57"/>
      <c r="K596" s="57"/>
      <c r="L596" s="57"/>
      <c r="M596" s="57"/>
      <c r="N596" s="57"/>
      <c r="O596" s="57"/>
      <c r="P596" s="28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</row>
    <row r="597">
      <c r="A597" s="57"/>
      <c r="B597" s="57"/>
      <c r="C597" s="57"/>
      <c r="D597" s="70"/>
      <c r="E597" s="71"/>
      <c r="F597" s="57"/>
      <c r="G597" s="71"/>
      <c r="H597" s="57"/>
      <c r="I597" s="57"/>
      <c r="J597" s="57"/>
      <c r="K597" s="57"/>
      <c r="L597" s="57"/>
      <c r="M597" s="57"/>
      <c r="N597" s="57"/>
      <c r="O597" s="57"/>
      <c r="P597" s="28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</row>
    <row r="598">
      <c r="A598" s="57"/>
      <c r="B598" s="57"/>
      <c r="C598" s="57"/>
      <c r="D598" s="70"/>
      <c r="E598" s="71"/>
      <c r="F598" s="57"/>
      <c r="G598" s="71"/>
      <c r="H598" s="57"/>
      <c r="I598" s="57"/>
      <c r="J598" s="57"/>
      <c r="K598" s="57"/>
      <c r="L598" s="57"/>
      <c r="M598" s="57"/>
      <c r="N598" s="57"/>
      <c r="O598" s="57"/>
      <c r="P598" s="28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</row>
    <row r="599">
      <c r="A599" s="57"/>
      <c r="B599" s="57"/>
      <c r="C599" s="57"/>
      <c r="D599" s="70"/>
      <c r="E599" s="71"/>
      <c r="F599" s="57"/>
      <c r="G599" s="71"/>
      <c r="H599" s="57"/>
      <c r="I599" s="57"/>
      <c r="J599" s="57"/>
      <c r="K599" s="57"/>
      <c r="L599" s="57"/>
      <c r="M599" s="57"/>
      <c r="N599" s="57"/>
      <c r="O599" s="57"/>
      <c r="P599" s="28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</row>
    <row r="600">
      <c r="A600" s="57"/>
      <c r="B600" s="57"/>
      <c r="C600" s="57"/>
      <c r="D600" s="70"/>
      <c r="E600" s="71"/>
      <c r="F600" s="57"/>
      <c r="G600" s="71"/>
      <c r="H600" s="57"/>
      <c r="I600" s="57"/>
      <c r="J600" s="57"/>
      <c r="K600" s="57"/>
      <c r="L600" s="57"/>
      <c r="M600" s="57"/>
      <c r="N600" s="57"/>
      <c r="O600" s="57"/>
      <c r="P600" s="28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</row>
    <row r="601">
      <c r="A601" s="57"/>
      <c r="B601" s="57"/>
      <c r="C601" s="57"/>
      <c r="D601" s="70"/>
      <c r="E601" s="71"/>
      <c r="F601" s="57"/>
      <c r="G601" s="71"/>
      <c r="H601" s="57"/>
      <c r="I601" s="57"/>
      <c r="J601" s="57"/>
      <c r="K601" s="57"/>
      <c r="L601" s="57"/>
      <c r="M601" s="57"/>
      <c r="N601" s="57"/>
      <c r="O601" s="57"/>
      <c r="P601" s="28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</row>
    <row r="602">
      <c r="A602" s="57"/>
      <c r="B602" s="57"/>
      <c r="C602" s="57"/>
      <c r="D602" s="70"/>
      <c r="E602" s="71"/>
      <c r="F602" s="57"/>
      <c r="G602" s="71"/>
      <c r="H602" s="57"/>
      <c r="I602" s="57"/>
      <c r="J602" s="57"/>
      <c r="K602" s="57"/>
      <c r="L602" s="57"/>
      <c r="M602" s="57"/>
      <c r="N602" s="57"/>
      <c r="O602" s="57"/>
      <c r="P602" s="28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</row>
    <row r="603">
      <c r="A603" s="57"/>
      <c r="B603" s="57"/>
      <c r="C603" s="57"/>
      <c r="D603" s="70"/>
      <c r="E603" s="71"/>
      <c r="F603" s="57"/>
      <c r="G603" s="71"/>
      <c r="H603" s="57"/>
      <c r="I603" s="57"/>
      <c r="J603" s="57"/>
      <c r="K603" s="57"/>
      <c r="L603" s="57"/>
      <c r="M603" s="57"/>
      <c r="N603" s="57"/>
      <c r="O603" s="57"/>
      <c r="P603" s="28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</row>
    <row r="604">
      <c r="A604" s="57"/>
      <c r="B604" s="57"/>
      <c r="C604" s="57"/>
      <c r="D604" s="70"/>
      <c r="E604" s="71"/>
      <c r="F604" s="57"/>
      <c r="G604" s="71"/>
      <c r="H604" s="57"/>
      <c r="I604" s="57"/>
      <c r="J604" s="57"/>
      <c r="K604" s="57"/>
      <c r="L604" s="57"/>
      <c r="M604" s="57"/>
      <c r="N604" s="57"/>
      <c r="O604" s="57"/>
      <c r="P604" s="28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</row>
    <row r="605">
      <c r="A605" s="57"/>
      <c r="B605" s="57"/>
      <c r="C605" s="57"/>
      <c r="D605" s="70"/>
      <c r="E605" s="71"/>
      <c r="F605" s="57"/>
      <c r="G605" s="71"/>
      <c r="H605" s="57"/>
      <c r="I605" s="57"/>
      <c r="J605" s="57"/>
      <c r="K605" s="57"/>
      <c r="L605" s="57"/>
      <c r="M605" s="57"/>
      <c r="N605" s="57"/>
      <c r="O605" s="57"/>
      <c r="P605" s="28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</row>
    <row r="606">
      <c r="A606" s="57"/>
      <c r="B606" s="57"/>
      <c r="C606" s="57"/>
      <c r="D606" s="70"/>
      <c r="E606" s="71"/>
      <c r="F606" s="57"/>
      <c r="G606" s="71"/>
      <c r="H606" s="57"/>
      <c r="I606" s="57"/>
      <c r="J606" s="57"/>
      <c r="K606" s="57"/>
      <c r="L606" s="57"/>
      <c r="M606" s="57"/>
      <c r="N606" s="57"/>
      <c r="O606" s="57"/>
      <c r="P606" s="28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</row>
    <row r="607">
      <c r="A607" s="57"/>
      <c r="B607" s="57"/>
      <c r="C607" s="57"/>
      <c r="D607" s="70"/>
      <c r="E607" s="71"/>
      <c r="F607" s="57"/>
      <c r="G607" s="71"/>
      <c r="H607" s="57"/>
      <c r="I607" s="57"/>
      <c r="J607" s="57"/>
      <c r="K607" s="57"/>
      <c r="L607" s="57"/>
      <c r="M607" s="57"/>
      <c r="N607" s="57"/>
      <c r="O607" s="57"/>
      <c r="P607" s="28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</row>
    <row r="608">
      <c r="A608" s="57"/>
      <c r="B608" s="57"/>
      <c r="C608" s="57"/>
      <c r="D608" s="70"/>
      <c r="E608" s="71"/>
      <c r="F608" s="57"/>
      <c r="G608" s="71"/>
      <c r="H608" s="57"/>
      <c r="I608" s="57"/>
      <c r="J608" s="57"/>
      <c r="K608" s="57"/>
      <c r="L608" s="57"/>
      <c r="M608" s="57"/>
      <c r="N608" s="57"/>
      <c r="O608" s="57"/>
      <c r="P608" s="28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</row>
    <row r="609">
      <c r="A609" s="57"/>
      <c r="B609" s="57"/>
      <c r="C609" s="57"/>
      <c r="D609" s="70"/>
      <c r="E609" s="71"/>
      <c r="F609" s="57"/>
      <c r="G609" s="71"/>
      <c r="H609" s="57"/>
      <c r="I609" s="57"/>
      <c r="J609" s="57"/>
      <c r="K609" s="57"/>
      <c r="L609" s="57"/>
      <c r="M609" s="57"/>
      <c r="N609" s="57"/>
      <c r="O609" s="57"/>
      <c r="P609" s="28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</row>
    <row r="610">
      <c r="A610" s="57"/>
      <c r="B610" s="57"/>
      <c r="C610" s="57"/>
      <c r="D610" s="70"/>
      <c r="E610" s="71"/>
      <c r="F610" s="57"/>
      <c r="G610" s="71"/>
      <c r="H610" s="57"/>
      <c r="I610" s="57"/>
      <c r="J610" s="57"/>
      <c r="K610" s="57"/>
      <c r="L610" s="57"/>
      <c r="M610" s="57"/>
      <c r="N610" s="57"/>
      <c r="O610" s="57"/>
      <c r="P610" s="28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</row>
    <row r="611">
      <c r="A611" s="57"/>
      <c r="B611" s="57"/>
      <c r="C611" s="57"/>
      <c r="D611" s="70"/>
      <c r="E611" s="71"/>
      <c r="F611" s="57"/>
      <c r="G611" s="71"/>
      <c r="H611" s="57"/>
      <c r="I611" s="57"/>
      <c r="J611" s="57"/>
      <c r="K611" s="57"/>
      <c r="L611" s="57"/>
      <c r="M611" s="57"/>
      <c r="N611" s="57"/>
      <c r="O611" s="57"/>
      <c r="P611" s="28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</row>
    <row r="612">
      <c r="A612" s="57"/>
      <c r="B612" s="57"/>
      <c r="C612" s="57"/>
      <c r="D612" s="70"/>
      <c r="E612" s="71"/>
      <c r="F612" s="57"/>
      <c r="G612" s="71"/>
      <c r="H612" s="57"/>
      <c r="I612" s="57"/>
      <c r="J612" s="57"/>
      <c r="K612" s="57"/>
      <c r="L612" s="57"/>
      <c r="M612" s="57"/>
      <c r="N612" s="57"/>
      <c r="O612" s="57"/>
      <c r="P612" s="28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</row>
    <row r="613">
      <c r="A613" s="57"/>
      <c r="B613" s="57"/>
      <c r="C613" s="57"/>
      <c r="D613" s="70"/>
      <c r="E613" s="71"/>
      <c r="F613" s="57"/>
      <c r="G613" s="71"/>
      <c r="H613" s="57"/>
      <c r="I613" s="57"/>
      <c r="J613" s="57"/>
      <c r="K613" s="57"/>
      <c r="L613" s="57"/>
      <c r="M613" s="57"/>
      <c r="N613" s="57"/>
      <c r="O613" s="57"/>
      <c r="P613" s="28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</row>
    <row r="614">
      <c r="A614" s="57"/>
      <c r="B614" s="57"/>
      <c r="C614" s="57"/>
      <c r="D614" s="70"/>
      <c r="E614" s="71"/>
      <c r="F614" s="57"/>
      <c r="G614" s="71"/>
      <c r="H614" s="57"/>
      <c r="I614" s="57"/>
      <c r="J614" s="57"/>
      <c r="K614" s="57"/>
      <c r="L614" s="57"/>
      <c r="M614" s="57"/>
      <c r="N614" s="57"/>
      <c r="O614" s="57"/>
      <c r="P614" s="28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</row>
    <row r="615">
      <c r="A615" s="57"/>
      <c r="B615" s="57"/>
      <c r="C615" s="57"/>
      <c r="D615" s="70"/>
      <c r="E615" s="71"/>
      <c r="F615" s="57"/>
      <c r="G615" s="71"/>
      <c r="H615" s="57"/>
      <c r="I615" s="57"/>
      <c r="J615" s="57"/>
      <c r="K615" s="57"/>
      <c r="L615" s="57"/>
      <c r="M615" s="57"/>
      <c r="N615" s="57"/>
      <c r="O615" s="57"/>
      <c r="P615" s="28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</row>
    <row r="616">
      <c r="A616" s="57"/>
      <c r="B616" s="57"/>
      <c r="C616" s="57"/>
      <c r="D616" s="70"/>
      <c r="E616" s="71"/>
      <c r="F616" s="57"/>
      <c r="G616" s="71"/>
      <c r="H616" s="57"/>
      <c r="I616" s="57"/>
      <c r="J616" s="57"/>
      <c r="K616" s="57"/>
      <c r="L616" s="57"/>
      <c r="M616" s="57"/>
      <c r="N616" s="57"/>
      <c r="O616" s="57"/>
      <c r="P616" s="28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</row>
    <row r="617">
      <c r="A617" s="57"/>
      <c r="B617" s="57"/>
      <c r="C617" s="57"/>
      <c r="D617" s="70"/>
      <c r="E617" s="71"/>
      <c r="F617" s="57"/>
      <c r="G617" s="71"/>
      <c r="H617" s="57"/>
      <c r="I617" s="57"/>
      <c r="J617" s="57"/>
      <c r="K617" s="57"/>
      <c r="L617" s="57"/>
      <c r="M617" s="57"/>
      <c r="N617" s="57"/>
      <c r="O617" s="57"/>
      <c r="P617" s="28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</row>
    <row r="618">
      <c r="A618" s="57"/>
      <c r="B618" s="57"/>
      <c r="C618" s="57"/>
      <c r="D618" s="70"/>
      <c r="E618" s="71"/>
      <c r="F618" s="57"/>
      <c r="G618" s="71"/>
      <c r="H618" s="57"/>
      <c r="I618" s="57"/>
      <c r="J618" s="57"/>
      <c r="K618" s="57"/>
      <c r="L618" s="57"/>
      <c r="M618" s="57"/>
      <c r="N618" s="57"/>
      <c r="O618" s="57"/>
      <c r="P618" s="28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</row>
    <row r="619">
      <c r="A619" s="57"/>
      <c r="B619" s="57"/>
      <c r="C619" s="57"/>
      <c r="D619" s="70"/>
      <c r="E619" s="71"/>
      <c r="F619" s="57"/>
      <c r="G619" s="71"/>
      <c r="H619" s="57"/>
      <c r="I619" s="57"/>
      <c r="J619" s="57"/>
      <c r="K619" s="57"/>
      <c r="L619" s="57"/>
      <c r="M619" s="57"/>
      <c r="N619" s="57"/>
      <c r="O619" s="57"/>
      <c r="P619" s="28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</row>
    <row r="620">
      <c r="A620" s="57"/>
      <c r="B620" s="57"/>
      <c r="C620" s="57"/>
      <c r="D620" s="70"/>
      <c r="E620" s="71"/>
      <c r="F620" s="57"/>
      <c r="G620" s="71"/>
      <c r="H620" s="57"/>
      <c r="I620" s="57"/>
      <c r="J620" s="57"/>
      <c r="K620" s="57"/>
      <c r="L620" s="57"/>
      <c r="M620" s="57"/>
      <c r="N620" s="57"/>
      <c r="O620" s="57"/>
      <c r="P620" s="28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</row>
    <row r="621">
      <c r="A621" s="57"/>
      <c r="B621" s="57"/>
      <c r="C621" s="57"/>
      <c r="D621" s="70"/>
      <c r="E621" s="71"/>
      <c r="F621" s="57"/>
      <c r="G621" s="71"/>
      <c r="H621" s="57"/>
      <c r="I621" s="57"/>
      <c r="J621" s="57"/>
      <c r="K621" s="57"/>
      <c r="L621" s="57"/>
      <c r="M621" s="57"/>
      <c r="N621" s="57"/>
      <c r="O621" s="57"/>
      <c r="P621" s="28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</row>
    <row r="622">
      <c r="A622" s="57"/>
      <c r="B622" s="57"/>
      <c r="C622" s="57"/>
      <c r="D622" s="70"/>
      <c r="E622" s="71"/>
      <c r="F622" s="57"/>
      <c r="G622" s="71"/>
      <c r="H622" s="57"/>
      <c r="I622" s="57"/>
      <c r="J622" s="57"/>
      <c r="K622" s="57"/>
      <c r="L622" s="57"/>
      <c r="M622" s="57"/>
      <c r="N622" s="57"/>
      <c r="O622" s="57"/>
      <c r="P622" s="28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</row>
    <row r="623">
      <c r="A623" s="57"/>
      <c r="B623" s="57"/>
      <c r="C623" s="57"/>
      <c r="D623" s="70"/>
      <c r="E623" s="71"/>
      <c r="F623" s="57"/>
      <c r="G623" s="71"/>
      <c r="H623" s="57"/>
      <c r="I623" s="57"/>
      <c r="J623" s="57"/>
      <c r="K623" s="57"/>
      <c r="L623" s="57"/>
      <c r="M623" s="57"/>
      <c r="N623" s="57"/>
      <c r="O623" s="57"/>
      <c r="P623" s="28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</row>
    <row r="624">
      <c r="A624" s="57"/>
      <c r="B624" s="57"/>
      <c r="C624" s="57"/>
      <c r="D624" s="70"/>
      <c r="E624" s="71"/>
      <c r="F624" s="57"/>
      <c r="G624" s="71"/>
      <c r="H624" s="57"/>
      <c r="I624" s="57"/>
      <c r="J624" s="57"/>
      <c r="K624" s="57"/>
      <c r="L624" s="57"/>
      <c r="M624" s="57"/>
      <c r="N624" s="57"/>
      <c r="O624" s="57"/>
      <c r="P624" s="28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</row>
    <row r="625">
      <c r="A625" s="57"/>
      <c r="B625" s="57"/>
      <c r="C625" s="57"/>
      <c r="D625" s="70"/>
      <c r="E625" s="71"/>
      <c r="F625" s="57"/>
      <c r="G625" s="71"/>
      <c r="H625" s="57"/>
      <c r="I625" s="57"/>
      <c r="J625" s="57"/>
      <c r="K625" s="57"/>
      <c r="L625" s="57"/>
      <c r="M625" s="57"/>
      <c r="N625" s="57"/>
      <c r="O625" s="57"/>
      <c r="P625" s="28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</row>
    <row r="626">
      <c r="A626" s="57"/>
      <c r="B626" s="57"/>
      <c r="C626" s="57"/>
      <c r="D626" s="70"/>
      <c r="E626" s="71"/>
      <c r="F626" s="57"/>
      <c r="G626" s="71"/>
      <c r="H626" s="57"/>
      <c r="I626" s="57"/>
      <c r="J626" s="57"/>
      <c r="K626" s="57"/>
      <c r="L626" s="57"/>
      <c r="M626" s="57"/>
      <c r="N626" s="57"/>
      <c r="O626" s="57"/>
      <c r="P626" s="28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</row>
    <row r="627">
      <c r="A627" s="57"/>
      <c r="B627" s="57"/>
      <c r="C627" s="57"/>
      <c r="D627" s="70"/>
      <c r="E627" s="71"/>
      <c r="F627" s="57"/>
      <c r="G627" s="71"/>
      <c r="H627" s="57"/>
      <c r="I627" s="57"/>
      <c r="J627" s="57"/>
      <c r="K627" s="57"/>
      <c r="L627" s="57"/>
      <c r="M627" s="57"/>
      <c r="N627" s="57"/>
      <c r="O627" s="57"/>
      <c r="P627" s="28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</row>
    <row r="628">
      <c r="A628" s="57"/>
      <c r="B628" s="57"/>
      <c r="C628" s="57"/>
      <c r="D628" s="70"/>
      <c r="E628" s="71"/>
      <c r="F628" s="57"/>
      <c r="G628" s="71"/>
      <c r="H628" s="57"/>
      <c r="I628" s="57"/>
      <c r="J628" s="57"/>
      <c r="K628" s="57"/>
      <c r="L628" s="57"/>
      <c r="M628" s="57"/>
      <c r="N628" s="57"/>
      <c r="O628" s="57"/>
      <c r="P628" s="28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</row>
    <row r="629">
      <c r="A629" s="57"/>
      <c r="B629" s="57"/>
      <c r="C629" s="57"/>
      <c r="D629" s="70"/>
      <c r="E629" s="71"/>
      <c r="F629" s="57"/>
      <c r="G629" s="71"/>
      <c r="H629" s="57"/>
      <c r="I629" s="57"/>
      <c r="J629" s="57"/>
      <c r="K629" s="57"/>
      <c r="L629" s="57"/>
      <c r="M629" s="57"/>
      <c r="N629" s="57"/>
      <c r="O629" s="57"/>
      <c r="P629" s="28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</row>
    <row r="630">
      <c r="A630" s="57"/>
      <c r="B630" s="57"/>
      <c r="C630" s="57"/>
      <c r="D630" s="70"/>
      <c r="E630" s="71"/>
      <c r="F630" s="57"/>
      <c r="G630" s="71"/>
      <c r="H630" s="57"/>
      <c r="I630" s="57"/>
      <c r="J630" s="57"/>
      <c r="K630" s="57"/>
      <c r="L630" s="57"/>
      <c r="M630" s="57"/>
      <c r="N630" s="57"/>
      <c r="O630" s="57"/>
      <c r="P630" s="28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</row>
    <row r="631">
      <c r="A631" s="57"/>
      <c r="B631" s="57"/>
      <c r="C631" s="57"/>
      <c r="D631" s="70"/>
      <c r="E631" s="71"/>
      <c r="F631" s="57"/>
      <c r="G631" s="71"/>
      <c r="H631" s="57"/>
      <c r="I631" s="57"/>
      <c r="J631" s="57"/>
      <c r="K631" s="57"/>
      <c r="L631" s="57"/>
      <c r="M631" s="57"/>
      <c r="N631" s="57"/>
      <c r="O631" s="57"/>
      <c r="P631" s="28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</row>
    <row r="632">
      <c r="A632" s="57"/>
      <c r="B632" s="57"/>
      <c r="C632" s="57"/>
      <c r="D632" s="70"/>
      <c r="E632" s="71"/>
      <c r="F632" s="57"/>
      <c r="G632" s="71"/>
      <c r="H632" s="57"/>
      <c r="I632" s="57"/>
      <c r="J632" s="57"/>
      <c r="K632" s="57"/>
      <c r="L632" s="57"/>
      <c r="M632" s="57"/>
      <c r="N632" s="57"/>
      <c r="O632" s="57"/>
      <c r="P632" s="28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</row>
    <row r="633">
      <c r="A633" s="57"/>
      <c r="B633" s="57"/>
      <c r="C633" s="57"/>
      <c r="D633" s="70"/>
      <c r="E633" s="71"/>
      <c r="F633" s="57"/>
      <c r="G633" s="71"/>
      <c r="H633" s="57"/>
      <c r="I633" s="57"/>
      <c r="J633" s="57"/>
      <c r="K633" s="57"/>
      <c r="L633" s="57"/>
      <c r="M633" s="57"/>
      <c r="N633" s="57"/>
      <c r="O633" s="57"/>
      <c r="P633" s="28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</row>
    <row r="634">
      <c r="A634" s="57"/>
      <c r="B634" s="57"/>
      <c r="C634" s="57"/>
      <c r="D634" s="70"/>
      <c r="E634" s="71"/>
      <c r="F634" s="57"/>
      <c r="G634" s="71"/>
      <c r="H634" s="57"/>
      <c r="I634" s="57"/>
      <c r="J634" s="57"/>
      <c r="K634" s="57"/>
      <c r="L634" s="57"/>
      <c r="M634" s="57"/>
      <c r="N634" s="57"/>
      <c r="O634" s="57"/>
      <c r="P634" s="28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</row>
    <row r="635">
      <c r="A635" s="57"/>
      <c r="B635" s="57"/>
      <c r="C635" s="57"/>
      <c r="D635" s="70"/>
      <c r="E635" s="71"/>
      <c r="F635" s="57"/>
      <c r="G635" s="71"/>
      <c r="H635" s="57"/>
      <c r="I635" s="57"/>
      <c r="J635" s="57"/>
      <c r="K635" s="57"/>
      <c r="L635" s="57"/>
      <c r="M635" s="57"/>
      <c r="N635" s="57"/>
      <c r="O635" s="57"/>
      <c r="P635" s="28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</row>
    <row r="636">
      <c r="A636" s="57"/>
      <c r="B636" s="57"/>
      <c r="C636" s="57"/>
      <c r="D636" s="70"/>
      <c r="E636" s="71"/>
      <c r="F636" s="57"/>
      <c r="G636" s="71"/>
      <c r="H636" s="57"/>
      <c r="I636" s="57"/>
      <c r="J636" s="57"/>
      <c r="K636" s="57"/>
      <c r="L636" s="57"/>
      <c r="M636" s="57"/>
      <c r="N636" s="57"/>
      <c r="O636" s="57"/>
      <c r="P636" s="28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</row>
    <row r="637">
      <c r="A637" s="57"/>
      <c r="B637" s="57"/>
      <c r="C637" s="57"/>
      <c r="D637" s="70"/>
      <c r="E637" s="71"/>
      <c r="F637" s="57"/>
      <c r="G637" s="71"/>
      <c r="H637" s="57"/>
      <c r="I637" s="57"/>
      <c r="J637" s="57"/>
      <c r="K637" s="57"/>
      <c r="L637" s="57"/>
      <c r="M637" s="57"/>
      <c r="N637" s="57"/>
      <c r="O637" s="57"/>
      <c r="P637" s="28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</row>
    <row r="638">
      <c r="A638" s="57"/>
      <c r="B638" s="57"/>
      <c r="C638" s="57"/>
      <c r="D638" s="70"/>
      <c r="E638" s="71"/>
      <c r="F638" s="57"/>
      <c r="G638" s="71"/>
      <c r="H638" s="57"/>
      <c r="I638" s="57"/>
      <c r="J638" s="57"/>
      <c r="K638" s="57"/>
      <c r="L638" s="57"/>
      <c r="M638" s="57"/>
      <c r="N638" s="57"/>
      <c r="O638" s="57"/>
      <c r="P638" s="28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</row>
    <row r="639">
      <c r="A639" s="57"/>
      <c r="B639" s="57"/>
      <c r="C639" s="57"/>
      <c r="D639" s="70"/>
      <c r="E639" s="71"/>
      <c r="F639" s="57"/>
      <c r="G639" s="71"/>
      <c r="H639" s="57"/>
      <c r="I639" s="57"/>
      <c r="J639" s="57"/>
      <c r="K639" s="57"/>
      <c r="L639" s="57"/>
      <c r="M639" s="57"/>
      <c r="N639" s="57"/>
      <c r="O639" s="57"/>
      <c r="P639" s="28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</row>
    <row r="640">
      <c r="A640" s="57"/>
      <c r="B640" s="57"/>
      <c r="C640" s="57"/>
      <c r="D640" s="70"/>
      <c r="E640" s="71"/>
      <c r="F640" s="57"/>
      <c r="G640" s="71"/>
      <c r="H640" s="57"/>
      <c r="I640" s="57"/>
      <c r="J640" s="57"/>
      <c r="K640" s="57"/>
      <c r="L640" s="57"/>
      <c r="M640" s="57"/>
      <c r="N640" s="57"/>
      <c r="O640" s="57"/>
      <c r="P640" s="28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</row>
    <row r="641">
      <c r="A641" s="57"/>
      <c r="B641" s="57"/>
      <c r="C641" s="57"/>
      <c r="D641" s="70"/>
      <c r="E641" s="71"/>
      <c r="F641" s="57"/>
      <c r="G641" s="71"/>
      <c r="H641" s="57"/>
      <c r="I641" s="57"/>
      <c r="J641" s="57"/>
      <c r="K641" s="57"/>
      <c r="L641" s="57"/>
      <c r="M641" s="57"/>
      <c r="N641" s="57"/>
      <c r="O641" s="57"/>
      <c r="P641" s="28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</row>
    <row r="642">
      <c r="A642" s="57"/>
      <c r="B642" s="57"/>
      <c r="C642" s="57"/>
      <c r="D642" s="70"/>
      <c r="E642" s="71"/>
      <c r="F642" s="57"/>
      <c r="G642" s="71"/>
      <c r="H642" s="57"/>
      <c r="I642" s="57"/>
      <c r="J642" s="57"/>
      <c r="K642" s="57"/>
      <c r="L642" s="57"/>
      <c r="M642" s="57"/>
      <c r="N642" s="57"/>
      <c r="O642" s="57"/>
      <c r="P642" s="28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</row>
    <row r="643">
      <c r="A643" s="57"/>
      <c r="B643" s="57"/>
      <c r="C643" s="57"/>
      <c r="D643" s="70"/>
      <c r="E643" s="71"/>
      <c r="F643" s="57"/>
      <c r="G643" s="71"/>
      <c r="H643" s="57"/>
      <c r="I643" s="57"/>
      <c r="J643" s="57"/>
      <c r="K643" s="57"/>
      <c r="L643" s="57"/>
      <c r="M643" s="57"/>
      <c r="N643" s="57"/>
      <c r="O643" s="57"/>
      <c r="P643" s="28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</row>
    <row r="644">
      <c r="A644" s="57"/>
      <c r="B644" s="57"/>
      <c r="C644" s="57"/>
      <c r="D644" s="70"/>
      <c r="E644" s="71"/>
      <c r="F644" s="57"/>
      <c r="G644" s="71"/>
      <c r="H644" s="57"/>
      <c r="I644" s="57"/>
      <c r="J644" s="57"/>
      <c r="K644" s="57"/>
      <c r="L644" s="57"/>
      <c r="M644" s="57"/>
      <c r="N644" s="57"/>
      <c r="O644" s="57"/>
      <c r="P644" s="28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</row>
    <row r="645">
      <c r="A645" s="57"/>
      <c r="B645" s="57"/>
      <c r="C645" s="57"/>
      <c r="D645" s="70"/>
      <c r="E645" s="71"/>
      <c r="F645" s="57"/>
      <c r="G645" s="71"/>
      <c r="H645" s="57"/>
      <c r="I645" s="57"/>
      <c r="J645" s="57"/>
      <c r="K645" s="57"/>
      <c r="L645" s="57"/>
      <c r="M645" s="57"/>
      <c r="N645" s="57"/>
      <c r="O645" s="57"/>
      <c r="P645" s="28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</row>
    <row r="646">
      <c r="A646" s="57"/>
      <c r="B646" s="57"/>
      <c r="C646" s="57"/>
      <c r="D646" s="70"/>
      <c r="E646" s="71"/>
      <c r="F646" s="57"/>
      <c r="G646" s="71"/>
      <c r="H646" s="57"/>
      <c r="I646" s="57"/>
      <c r="J646" s="57"/>
      <c r="K646" s="57"/>
      <c r="L646" s="57"/>
      <c r="M646" s="57"/>
      <c r="N646" s="57"/>
      <c r="O646" s="57"/>
      <c r="P646" s="28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</row>
    <row r="647">
      <c r="A647" s="57"/>
      <c r="B647" s="57"/>
      <c r="C647" s="57"/>
      <c r="D647" s="70"/>
      <c r="E647" s="71"/>
      <c r="F647" s="57"/>
      <c r="G647" s="71"/>
      <c r="H647" s="57"/>
      <c r="I647" s="57"/>
      <c r="J647" s="57"/>
      <c r="K647" s="57"/>
      <c r="L647" s="57"/>
      <c r="M647" s="57"/>
      <c r="N647" s="57"/>
      <c r="O647" s="57"/>
      <c r="P647" s="28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</row>
    <row r="648">
      <c r="A648" s="57"/>
      <c r="B648" s="57"/>
      <c r="C648" s="57"/>
      <c r="D648" s="70"/>
      <c r="E648" s="71"/>
      <c r="F648" s="57"/>
      <c r="G648" s="71"/>
      <c r="H648" s="57"/>
      <c r="I648" s="57"/>
      <c r="J648" s="57"/>
      <c r="K648" s="57"/>
      <c r="L648" s="57"/>
      <c r="M648" s="57"/>
      <c r="N648" s="57"/>
      <c r="O648" s="57"/>
      <c r="P648" s="28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</row>
    <row r="649">
      <c r="A649" s="57"/>
      <c r="B649" s="57"/>
      <c r="C649" s="57"/>
      <c r="D649" s="70"/>
      <c r="E649" s="71"/>
      <c r="F649" s="57"/>
      <c r="G649" s="71"/>
      <c r="H649" s="57"/>
      <c r="I649" s="57"/>
      <c r="J649" s="57"/>
      <c r="K649" s="57"/>
      <c r="L649" s="57"/>
      <c r="M649" s="57"/>
      <c r="N649" s="57"/>
      <c r="O649" s="57"/>
      <c r="P649" s="28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</row>
    <row r="650">
      <c r="A650" s="57"/>
      <c r="B650" s="57"/>
      <c r="C650" s="57"/>
      <c r="D650" s="70"/>
      <c r="E650" s="71"/>
      <c r="F650" s="57"/>
      <c r="G650" s="71"/>
      <c r="H650" s="57"/>
      <c r="I650" s="57"/>
      <c r="J650" s="57"/>
      <c r="K650" s="57"/>
      <c r="L650" s="57"/>
      <c r="M650" s="57"/>
      <c r="N650" s="57"/>
      <c r="O650" s="57"/>
      <c r="P650" s="28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</row>
    <row r="651">
      <c r="A651" s="57"/>
      <c r="B651" s="57"/>
      <c r="C651" s="57"/>
      <c r="D651" s="70"/>
      <c r="E651" s="71"/>
      <c r="F651" s="57"/>
      <c r="G651" s="71"/>
      <c r="H651" s="57"/>
      <c r="I651" s="57"/>
      <c r="J651" s="57"/>
      <c r="K651" s="57"/>
      <c r="L651" s="57"/>
      <c r="M651" s="57"/>
      <c r="N651" s="57"/>
      <c r="O651" s="57"/>
      <c r="P651" s="28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</row>
    <row r="652">
      <c r="A652" s="57"/>
      <c r="B652" s="57"/>
      <c r="C652" s="57"/>
      <c r="D652" s="70"/>
      <c r="E652" s="71"/>
      <c r="F652" s="57"/>
      <c r="G652" s="71"/>
      <c r="H652" s="57"/>
      <c r="I652" s="57"/>
      <c r="J652" s="57"/>
      <c r="K652" s="57"/>
      <c r="L652" s="57"/>
      <c r="M652" s="57"/>
      <c r="N652" s="57"/>
      <c r="O652" s="57"/>
      <c r="P652" s="28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</row>
    <row r="653">
      <c r="A653" s="57"/>
      <c r="B653" s="57"/>
      <c r="C653" s="57"/>
      <c r="D653" s="70"/>
      <c r="E653" s="71"/>
      <c r="F653" s="57"/>
      <c r="G653" s="71"/>
      <c r="H653" s="57"/>
      <c r="I653" s="57"/>
      <c r="J653" s="57"/>
      <c r="K653" s="57"/>
      <c r="L653" s="57"/>
      <c r="M653" s="57"/>
      <c r="N653" s="57"/>
      <c r="O653" s="57"/>
      <c r="P653" s="28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</row>
    <row r="654">
      <c r="A654" s="57"/>
      <c r="B654" s="57"/>
      <c r="C654" s="57"/>
      <c r="D654" s="70"/>
      <c r="E654" s="71"/>
      <c r="F654" s="57"/>
      <c r="G654" s="71"/>
      <c r="H654" s="57"/>
      <c r="I654" s="57"/>
      <c r="J654" s="57"/>
      <c r="K654" s="57"/>
      <c r="L654" s="57"/>
      <c r="M654" s="57"/>
      <c r="N654" s="57"/>
      <c r="O654" s="57"/>
      <c r="P654" s="28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</row>
    <row r="655">
      <c r="A655" s="57"/>
      <c r="B655" s="57"/>
      <c r="C655" s="57"/>
      <c r="D655" s="70"/>
      <c r="E655" s="71"/>
      <c r="F655" s="57"/>
      <c r="G655" s="71"/>
      <c r="H655" s="57"/>
      <c r="I655" s="57"/>
      <c r="J655" s="57"/>
      <c r="K655" s="57"/>
      <c r="L655" s="57"/>
      <c r="M655" s="57"/>
      <c r="N655" s="57"/>
      <c r="O655" s="57"/>
      <c r="P655" s="28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</row>
    <row r="656">
      <c r="A656" s="57"/>
      <c r="B656" s="57"/>
      <c r="C656" s="57"/>
      <c r="D656" s="70"/>
      <c r="E656" s="71"/>
      <c r="F656" s="57"/>
      <c r="G656" s="71"/>
      <c r="H656" s="57"/>
      <c r="I656" s="57"/>
      <c r="J656" s="57"/>
      <c r="K656" s="57"/>
      <c r="L656" s="57"/>
      <c r="M656" s="57"/>
      <c r="N656" s="57"/>
      <c r="O656" s="57"/>
      <c r="P656" s="28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</row>
    <row r="657">
      <c r="A657" s="57"/>
      <c r="B657" s="57"/>
      <c r="C657" s="57"/>
      <c r="D657" s="70"/>
      <c r="E657" s="71"/>
      <c r="F657" s="57"/>
      <c r="G657" s="71"/>
      <c r="H657" s="57"/>
      <c r="I657" s="57"/>
      <c r="J657" s="57"/>
      <c r="K657" s="57"/>
      <c r="L657" s="57"/>
      <c r="M657" s="57"/>
      <c r="N657" s="57"/>
      <c r="O657" s="57"/>
      <c r="P657" s="28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</row>
    <row r="658">
      <c r="A658" s="57"/>
      <c r="B658" s="57"/>
      <c r="C658" s="57"/>
      <c r="D658" s="70"/>
      <c r="E658" s="71"/>
      <c r="F658" s="57"/>
      <c r="G658" s="71"/>
      <c r="H658" s="57"/>
      <c r="I658" s="57"/>
      <c r="J658" s="57"/>
      <c r="K658" s="57"/>
      <c r="L658" s="57"/>
      <c r="M658" s="57"/>
      <c r="N658" s="57"/>
      <c r="O658" s="57"/>
      <c r="P658" s="28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</row>
    <row r="659">
      <c r="A659" s="57"/>
      <c r="B659" s="57"/>
      <c r="C659" s="57"/>
      <c r="D659" s="70"/>
      <c r="E659" s="71"/>
      <c r="F659" s="57"/>
      <c r="G659" s="71"/>
      <c r="H659" s="57"/>
      <c r="I659" s="57"/>
      <c r="J659" s="57"/>
      <c r="K659" s="57"/>
      <c r="L659" s="57"/>
      <c r="M659" s="57"/>
      <c r="N659" s="57"/>
      <c r="O659" s="57"/>
      <c r="P659" s="28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</row>
    <row r="660">
      <c r="A660" s="57"/>
      <c r="B660" s="57"/>
      <c r="C660" s="57"/>
      <c r="D660" s="70"/>
      <c r="E660" s="71"/>
      <c r="F660" s="57"/>
      <c r="G660" s="71"/>
      <c r="H660" s="57"/>
      <c r="I660" s="57"/>
      <c r="J660" s="57"/>
      <c r="K660" s="57"/>
      <c r="L660" s="57"/>
      <c r="M660" s="57"/>
      <c r="N660" s="57"/>
      <c r="O660" s="57"/>
      <c r="P660" s="28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</row>
    <row r="661">
      <c r="A661" s="57"/>
      <c r="B661" s="57"/>
      <c r="C661" s="57"/>
      <c r="D661" s="70"/>
      <c r="E661" s="71"/>
      <c r="F661" s="57"/>
      <c r="G661" s="71"/>
      <c r="H661" s="57"/>
      <c r="I661" s="57"/>
      <c r="J661" s="57"/>
      <c r="K661" s="57"/>
      <c r="L661" s="57"/>
      <c r="M661" s="57"/>
      <c r="N661" s="57"/>
      <c r="O661" s="57"/>
      <c r="P661" s="28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</row>
    <row r="662">
      <c r="A662" s="57"/>
      <c r="B662" s="57"/>
      <c r="C662" s="57"/>
      <c r="D662" s="70"/>
      <c r="E662" s="71"/>
      <c r="F662" s="57"/>
      <c r="G662" s="71"/>
      <c r="H662" s="57"/>
      <c r="I662" s="57"/>
      <c r="J662" s="57"/>
      <c r="K662" s="57"/>
      <c r="L662" s="57"/>
      <c r="M662" s="57"/>
      <c r="N662" s="57"/>
      <c r="O662" s="57"/>
      <c r="P662" s="28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</row>
    <row r="663">
      <c r="A663" s="57"/>
      <c r="B663" s="57"/>
      <c r="C663" s="57"/>
      <c r="D663" s="70"/>
      <c r="E663" s="71"/>
      <c r="F663" s="57"/>
      <c r="G663" s="71"/>
      <c r="H663" s="57"/>
      <c r="I663" s="57"/>
      <c r="J663" s="57"/>
      <c r="K663" s="57"/>
      <c r="L663" s="57"/>
      <c r="M663" s="57"/>
      <c r="N663" s="57"/>
      <c r="O663" s="57"/>
      <c r="P663" s="28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</row>
    <row r="664">
      <c r="A664" s="57"/>
      <c r="B664" s="57"/>
      <c r="C664" s="57"/>
      <c r="D664" s="70"/>
      <c r="E664" s="71"/>
      <c r="F664" s="57"/>
      <c r="G664" s="71"/>
      <c r="H664" s="57"/>
      <c r="I664" s="57"/>
      <c r="J664" s="57"/>
      <c r="K664" s="57"/>
      <c r="L664" s="57"/>
      <c r="M664" s="57"/>
      <c r="N664" s="57"/>
      <c r="O664" s="57"/>
      <c r="P664" s="28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</row>
    <row r="665">
      <c r="A665" s="57"/>
      <c r="B665" s="57"/>
      <c r="C665" s="57"/>
      <c r="D665" s="70"/>
      <c r="E665" s="71"/>
      <c r="F665" s="57"/>
      <c r="G665" s="71"/>
      <c r="H665" s="57"/>
      <c r="I665" s="57"/>
      <c r="J665" s="57"/>
      <c r="K665" s="57"/>
      <c r="L665" s="57"/>
      <c r="M665" s="57"/>
      <c r="N665" s="57"/>
      <c r="O665" s="57"/>
      <c r="P665" s="28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</row>
    <row r="666">
      <c r="A666" s="57"/>
      <c r="B666" s="57"/>
      <c r="C666" s="57"/>
      <c r="D666" s="70"/>
      <c r="E666" s="71"/>
      <c r="F666" s="57"/>
      <c r="G666" s="71"/>
      <c r="H666" s="57"/>
      <c r="I666" s="57"/>
      <c r="J666" s="57"/>
      <c r="K666" s="57"/>
      <c r="L666" s="57"/>
      <c r="M666" s="57"/>
      <c r="N666" s="57"/>
      <c r="O666" s="57"/>
      <c r="P666" s="28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</row>
    <row r="667">
      <c r="A667" s="57"/>
      <c r="B667" s="57"/>
      <c r="C667" s="57"/>
      <c r="D667" s="70"/>
      <c r="E667" s="71"/>
      <c r="F667" s="57"/>
      <c r="G667" s="71"/>
      <c r="H667" s="57"/>
      <c r="I667" s="57"/>
      <c r="J667" s="57"/>
      <c r="K667" s="57"/>
      <c r="L667" s="57"/>
      <c r="M667" s="57"/>
      <c r="N667" s="57"/>
      <c r="O667" s="57"/>
      <c r="P667" s="28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</row>
    <row r="668">
      <c r="A668" s="57"/>
      <c r="B668" s="57"/>
      <c r="C668" s="57"/>
      <c r="D668" s="70"/>
      <c r="E668" s="71"/>
      <c r="F668" s="57"/>
      <c r="G668" s="71"/>
      <c r="H668" s="57"/>
      <c r="I668" s="57"/>
      <c r="J668" s="57"/>
      <c r="K668" s="57"/>
      <c r="L668" s="57"/>
      <c r="M668" s="57"/>
      <c r="N668" s="57"/>
      <c r="O668" s="57"/>
      <c r="P668" s="28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</row>
    <row r="669">
      <c r="A669" s="57"/>
      <c r="B669" s="57"/>
      <c r="C669" s="57"/>
      <c r="D669" s="70"/>
      <c r="E669" s="71"/>
      <c r="F669" s="57"/>
      <c r="G669" s="71"/>
      <c r="H669" s="57"/>
      <c r="I669" s="57"/>
      <c r="J669" s="57"/>
      <c r="K669" s="57"/>
      <c r="L669" s="57"/>
      <c r="M669" s="57"/>
      <c r="N669" s="57"/>
      <c r="O669" s="57"/>
      <c r="P669" s="28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</row>
    <row r="670">
      <c r="A670" s="57"/>
      <c r="B670" s="57"/>
      <c r="C670" s="57"/>
      <c r="D670" s="70"/>
      <c r="E670" s="71"/>
      <c r="F670" s="57"/>
      <c r="G670" s="71"/>
      <c r="H670" s="57"/>
      <c r="I670" s="57"/>
      <c r="J670" s="57"/>
      <c r="K670" s="57"/>
      <c r="L670" s="57"/>
      <c r="M670" s="57"/>
      <c r="N670" s="57"/>
      <c r="O670" s="57"/>
      <c r="P670" s="28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</row>
    <row r="671">
      <c r="A671" s="57"/>
      <c r="B671" s="57"/>
      <c r="C671" s="57"/>
      <c r="D671" s="70"/>
      <c r="E671" s="71"/>
      <c r="F671" s="57"/>
      <c r="G671" s="71"/>
      <c r="H671" s="57"/>
      <c r="I671" s="57"/>
      <c r="J671" s="57"/>
      <c r="K671" s="57"/>
      <c r="L671" s="57"/>
      <c r="M671" s="57"/>
      <c r="N671" s="57"/>
      <c r="O671" s="57"/>
      <c r="P671" s="28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</row>
    <row r="672">
      <c r="A672" s="57"/>
      <c r="B672" s="57"/>
      <c r="C672" s="57"/>
      <c r="D672" s="70"/>
      <c r="E672" s="71"/>
      <c r="F672" s="57"/>
      <c r="G672" s="71"/>
      <c r="H672" s="57"/>
      <c r="I672" s="57"/>
      <c r="J672" s="57"/>
      <c r="K672" s="57"/>
      <c r="L672" s="57"/>
      <c r="M672" s="57"/>
      <c r="N672" s="57"/>
      <c r="O672" s="57"/>
      <c r="P672" s="28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</row>
    <row r="673">
      <c r="A673" s="57"/>
      <c r="B673" s="57"/>
      <c r="C673" s="57"/>
      <c r="D673" s="70"/>
      <c r="E673" s="71"/>
      <c r="F673" s="57"/>
      <c r="G673" s="71"/>
      <c r="H673" s="57"/>
      <c r="I673" s="57"/>
      <c r="J673" s="57"/>
      <c r="K673" s="57"/>
      <c r="L673" s="57"/>
      <c r="M673" s="57"/>
      <c r="N673" s="57"/>
      <c r="O673" s="57"/>
      <c r="P673" s="28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</row>
    <row r="674">
      <c r="A674" s="57"/>
      <c r="B674" s="57"/>
      <c r="C674" s="57"/>
      <c r="D674" s="70"/>
      <c r="E674" s="71"/>
      <c r="F674" s="57"/>
      <c r="G674" s="71"/>
      <c r="H674" s="57"/>
      <c r="I674" s="57"/>
      <c r="J674" s="57"/>
      <c r="K674" s="57"/>
      <c r="L674" s="57"/>
      <c r="M674" s="57"/>
      <c r="N674" s="57"/>
      <c r="O674" s="57"/>
      <c r="P674" s="28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</row>
    <row r="675">
      <c r="A675" s="57"/>
      <c r="B675" s="57"/>
      <c r="C675" s="57"/>
      <c r="D675" s="70"/>
      <c r="E675" s="71"/>
      <c r="F675" s="57"/>
      <c r="G675" s="71"/>
      <c r="H675" s="57"/>
      <c r="I675" s="57"/>
      <c r="J675" s="57"/>
      <c r="K675" s="57"/>
      <c r="L675" s="57"/>
      <c r="M675" s="57"/>
      <c r="N675" s="57"/>
      <c r="O675" s="57"/>
      <c r="P675" s="28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</row>
    <row r="676">
      <c r="A676" s="57"/>
      <c r="B676" s="57"/>
      <c r="C676" s="57"/>
      <c r="D676" s="70"/>
      <c r="E676" s="71"/>
      <c r="F676" s="57"/>
      <c r="G676" s="71"/>
      <c r="H676" s="57"/>
      <c r="I676" s="57"/>
      <c r="J676" s="57"/>
      <c r="K676" s="57"/>
      <c r="L676" s="57"/>
      <c r="M676" s="57"/>
      <c r="N676" s="57"/>
      <c r="O676" s="57"/>
      <c r="P676" s="28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</row>
    <row r="677">
      <c r="A677" s="57"/>
      <c r="B677" s="57"/>
      <c r="C677" s="57"/>
      <c r="D677" s="70"/>
      <c r="E677" s="71"/>
      <c r="F677" s="57"/>
      <c r="G677" s="71"/>
      <c r="H677" s="57"/>
      <c r="I677" s="57"/>
      <c r="J677" s="57"/>
      <c r="K677" s="57"/>
      <c r="L677" s="57"/>
      <c r="M677" s="57"/>
      <c r="N677" s="57"/>
      <c r="O677" s="57"/>
      <c r="P677" s="28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</row>
    <row r="678">
      <c r="A678" s="57"/>
      <c r="B678" s="57"/>
      <c r="C678" s="57"/>
      <c r="D678" s="70"/>
      <c r="E678" s="71"/>
      <c r="F678" s="57"/>
      <c r="G678" s="71"/>
      <c r="H678" s="57"/>
      <c r="I678" s="57"/>
      <c r="J678" s="57"/>
      <c r="K678" s="57"/>
      <c r="L678" s="57"/>
      <c r="M678" s="57"/>
      <c r="N678" s="57"/>
      <c r="O678" s="57"/>
      <c r="P678" s="28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</row>
    <row r="679">
      <c r="A679" s="57"/>
      <c r="B679" s="57"/>
      <c r="C679" s="57"/>
      <c r="D679" s="70"/>
      <c r="E679" s="71"/>
      <c r="F679" s="57"/>
      <c r="G679" s="71"/>
      <c r="H679" s="57"/>
      <c r="I679" s="57"/>
      <c r="J679" s="57"/>
      <c r="K679" s="57"/>
      <c r="L679" s="57"/>
      <c r="M679" s="57"/>
      <c r="N679" s="57"/>
      <c r="O679" s="57"/>
      <c r="P679" s="28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</row>
    <row r="680">
      <c r="A680" s="57"/>
      <c r="B680" s="57"/>
      <c r="C680" s="57"/>
      <c r="D680" s="70"/>
      <c r="E680" s="71"/>
      <c r="F680" s="57"/>
      <c r="G680" s="71"/>
      <c r="H680" s="57"/>
      <c r="I680" s="57"/>
      <c r="J680" s="57"/>
      <c r="K680" s="57"/>
      <c r="L680" s="57"/>
      <c r="M680" s="57"/>
      <c r="N680" s="57"/>
      <c r="O680" s="57"/>
      <c r="P680" s="28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</row>
    <row r="681">
      <c r="A681" s="57"/>
      <c r="B681" s="57"/>
      <c r="C681" s="57"/>
      <c r="D681" s="70"/>
      <c r="E681" s="71"/>
      <c r="F681" s="57"/>
      <c r="G681" s="71"/>
      <c r="H681" s="57"/>
      <c r="I681" s="57"/>
      <c r="J681" s="57"/>
      <c r="K681" s="57"/>
      <c r="L681" s="57"/>
      <c r="M681" s="57"/>
      <c r="N681" s="57"/>
      <c r="O681" s="57"/>
      <c r="P681" s="28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</row>
    <row r="682">
      <c r="A682" s="57"/>
      <c r="B682" s="57"/>
      <c r="C682" s="57"/>
      <c r="D682" s="70"/>
      <c r="E682" s="71"/>
      <c r="F682" s="57"/>
      <c r="G682" s="71"/>
      <c r="H682" s="57"/>
      <c r="I682" s="57"/>
      <c r="J682" s="57"/>
      <c r="K682" s="57"/>
      <c r="L682" s="57"/>
      <c r="M682" s="57"/>
      <c r="N682" s="57"/>
      <c r="O682" s="57"/>
      <c r="P682" s="28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</row>
    <row r="683">
      <c r="A683" s="57"/>
      <c r="B683" s="57"/>
      <c r="C683" s="57"/>
      <c r="D683" s="70"/>
      <c r="E683" s="71"/>
      <c r="F683" s="57"/>
      <c r="G683" s="71"/>
      <c r="H683" s="57"/>
      <c r="I683" s="57"/>
      <c r="J683" s="57"/>
      <c r="K683" s="57"/>
      <c r="L683" s="57"/>
      <c r="M683" s="57"/>
      <c r="N683" s="57"/>
      <c r="O683" s="57"/>
      <c r="P683" s="28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</row>
    <row r="684">
      <c r="A684" s="57"/>
      <c r="B684" s="57"/>
      <c r="C684" s="57"/>
      <c r="D684" s="70"/>
      <c r="E684" s="71"/>
      <c r="F684" s="57"/>
      <c r="G684" s="71"/>
      <c r="H684" s="57"/>
      <c r="I684" s="57"/>
      <c r="J684" s="57"/>
      <c r="K684" s="57"/>
      <c r="L684" s="57"/>
      <c r="M684" s="57"/>
      <c r="N684" s="57"/>
      <c r="O684" s="57"/>
      <c r="P684" s="28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</row>
    <row r="685">
      <c r="A685" s="57"/>
      <c r="B685" s="57"/>
      <c r="C685" s="57"/>
      <c r="D685" s="70"/>
      <c r="E685" s="71"/>
      <c r="F685" s="57"/>
      <c r="G685" s="71"/>
      <c r="H685" s="57"/>
      <c r="I685" s="57"/>
      <c r="J685" s="57"/>
      <c r="K685" s="57"/>
      <c r="L685" s="57"/>
      <c r="M685" s="57"/>
      <c r="N685" s="57"/>
      <c r="O685" s="57"/>
      <c r="P685" s="28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</row>
    <row r="686">
      <c r="A686" s="57"/>
      <c r="B686" s="57"/>
      <c r="C686" s="57"/>
      <c r="D686" s="70"/>
      <c r="E686" s="71"/>
      <c r="F686" s="57"/>
      <c r="G686" s="71"/>
      <c r="H686" s="57"/>
      <c r="I686" s="57"/>
      <c r="J686" s="57"/>
      <c r="K686" s="57"/>
      <c r="L686" s="57"/>
      <c r="M686" s="57"/>
      <c r="N686" s="57"/>
      <c r="O686" s="57"/>
      <c r="P686" s="28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</row>
    <row r="687">
      <c r="A687" s="57"/>
      <c r="B687" s="57"/>
      <c r="C687" s="57"/>
      <c r="D687" s="70"/>
      <c r="E687" s="71"/>
      <c r="F687" s="57"/>
      <c r="G687" s="71"/>
      <c r="H687" s="57"/>
      <c r="I687" s="57"/>
      <c r="J687" s="57"/>
      <c r="K687" s="57"/>
      <c r="L687" s="57"/>
      <c r="M687" s="57"/>
      <c r="N687" s="57"/>
      <c r="O687" s="57"/>
      <c r="P687" s="28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</row>
    <row r="688">
      <c r="A688" s="57"/>
      <c r="B688" s="57"/>
      <c r="C688" s="57"/>
      <c r="D688" s="70"/>
      <c r="E688" s="71"/>
      <c r="F688" s="57"/>
      <c r="G688" s="71"/>
      <c r="H688" s="57"/>
      <c r="I688" s="57"/>
      <c r="J688" s="57"/>
      <c r="K688" s="57"/>
      <c r="L688" s="57"/>
      <c r="M688" s="57"/>
      <c r="N688" s="57"/>
      <c r="O688" s="57"/>
      <c r="P688" s="28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</row>
    <row r="689">
      <c r="A689" s="57"/>
      <c r="B689" s="57"/>
      <c r="C689" s="57"/>
      <c r="D689" s="70"/>
      <c r="E689" s="71"/>
      <c r="F689" s="57"/>
      <c r="G689" s="71"/>
      <c r="H689" s="57"/>
      <c r="I689" s="57"/>
      <c r="J689" s="57"/>
      <c r="K689" s="57"/>
      <c r="L689" s="57"/>
      <c r="M689" s="57"/>
      <c r="N689" s="57"/>
      <c r="O689" s="57"/>
      <c r="P689" s="28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</row>
    <row r="690">
      <c r="A690" s="57"/>
      <c r="B690" s="57"/>
      <c r="C690" s="57"/>
      <c r="D690" s="70"/>
      <c r="E690" s="71"/>
      <c r="F690" s="57"/>
      <c r="G690" s="71"/>
      <c r="H690" s="57"/>
      <c r="I690" s="57"/>
      <c r="J690" s="57"/>
      <c r="K690" s="57"/>
      <c r="L690" s="57"/>
      <c r="M690" s="57"/>
      <c r="N690" s="57"/>
      <c r="O690" s="57"/>
      <c r="P690" s="28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</row>
    <row r="691">
      <c r="A691" s="57"/>
      <c r="B691" s="57"/>
      <c r="C691" s="57"/>
      <c r="D691" s="70"/>
      <c r="E691" s="71"/>
      <c r="F691" s="57"/>
      <c r="G691" s="71"/>
      <c r="H691" s="57"/>
      <c r="I691" s="57"/>
      <c r="J691" s="57"/>
      <c r="K691" s="57"/>
      <c r="L691" s="57"/>
      <c r="M691" s="57"/>
      <c r="N691" s="57"/>
      <c r="O691" s="57"/>
      <c r="P691" s="28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</row>
    <row r="692">
      <c r="A692" s="57"/>
      <c r="B692" s="57"/>
      <c r="C692" s="57"/>
      <c r="D692" s="70"/>
      <c r="E692" s="71"/>
      <c r="F692" s="57"/>
      <c r="G692" s="71"/>
      <c r="H692" s="57"/>
      <c r="I692" s="57"/>
      <c r="J692" s="57"/>
      <c r="K692" s="57"/>
      <c r="L692" s="57"/>
      <c r="M692" s="57"/>
      <c r="N692" s="57"/>
      <c r="O692" s="57"/>
      <c r="P692" s="28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</row>
    <row r="693">
      <c r="A693" s="57"/>
      <c r="B693" s="57"/>
      <c r="C693" s="57"/>
      <c r="D693" s="70"/>
      <c r="E693" s="71"/>
      <c r="F693" s="57"/>
      <c r="G693" s="71"/>
      <c r="H693" s="57"/>
      <c r="I693" s="57"/>
      <c r="J693" s="57"/>
      <c r="K693" s="57"/>
      <c r="L693" s="57"/>
      <c r="M693" s="57"/>
      <c r="N693" s="57"/>
      <c r="O693" s="57"/>
      <c r="P693" s="28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</row>
    <row r="694">
      <c r="A694" s="57"/>
      <c r="B694" s="57"/>
      <c r="C694" s="57"/>
      <c r="D694" s="70"/>
      <c r="E694" s="71"/>
      <c r="F694" s="57"/>
      <c r="G694" s="71"/>
      <c r="H694" s="57"/>
      <c r="I694" s="57"/>
      <c r="J694" s="57"/>
      <c r="K694" s="57"/>
      <c r="L694" s="57"/>
      <c r="M694" s="57"/>
      <c r="N694" s="57"/>
      <c r="O694" s="57"/>
      <c r="P694" s="28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</row>
    <row r="695">
      <c r="A695" s="57"/>
      <c r="B695" s="57"/>
      <c r="C695" s="57"/>
      <c r="D695" s="70"/>
      <c r="E695" s="71"/>
      <c r="F695" s="57"/>
      <c r="G695" s="71"/>
      <c r="H695" s="57"/>
      <c r="I695" s="57"/>
      <c r="J695" s="57"/>
      <c r="K695" s="57"/>
      <c r="L695" s="57"/>
      <c r="M695" s="57"/>
      <c r="N695" s="57"/>
      <c r="O695" s="57"/>
      <c r="P695" s="28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</row>
    <row r="696">
      <c r="A696" s="57"/>
      <c r="B696" s="57"/>
      <c r="C696" s="57"/>
      <c r="D696" s="70"/>
      <c r="E696" s="71"/>
      <c r="F696" s="57"/>
      <c r="G696" s="71"/>
      <c r="H696" s="57"/>
      <c r="I696" s="57"/>
      <c r="J696" s="57"/>
      <c r="K696" s="57"/>
      <c r="L696" s="57"/>
      <c r="M696" s="57"/>
      <c r="N696" s="57"/>
      <c r="O696" s="57"/>
      <c r="P696" s="28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</row>
    <row r="697">
      <c r="A697" s="57"/>
      <c r="B697" s="57"/>
      <c r="C697" s="57"/>
      <c r="D697" s="70"/>
      <c r="E697" s="71"/>
      <c r="F697" s="57"/>
      <c r="G697" s="71"/>
      <c r="H697" s="57"/>
      <c r="I697" s="57"/>
      <c r="J697" s="57"/>
      <c r="K697" s="57"/>
      <c r="L697" s="57"/>
      <c r="M697" s="57"/>
      <c r="N697" s="57"/>
      <c r="O697" s="57"/>
      <c r="P697" s="28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</row>
    <row r="698">
      <c r="A698" s="57"/>
      <c r="B698" s="57"/>
      <c r="C698" s="57"/>
      <c r="D698" s="70"/>
      <c r="E698" s="71"/>
      <c r="F698" s="57"/>
      <c r="G698" s="71"/>
      <c r="H698" s="57"/>
      <c r="I698" s="57"/>
      <c r="J698" s="57"/>
      <c r="K698" s="57"/>
      <c r="L698" s="57"/>
      <c r="M698" s="57"/>
      <c r="N698" s="57"/>
      <c r="O698" s="57"/>
      <c r="P698" s="28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</row>
    <row r="699">
      <c r="A699" s="57"/>
      <c r="B699" s="57"/>
      <c r="C699" s="57"/>
      <c r="D699" s="70"/>
      <c r="E699" s="71"/>
      <c r="F699" s="57"/>
      <c r="G699" s="71"/>
      <c r="H699" s="57"/>
      <c r="I699" s="57"/>
      <c r="J699" s="57"/>
      <c r="K699" s="57"/>
      <c r="L699" s="57"/>
      <c r="M699" s="57"/>
      <c r="N699" s="57"/>
      <c r="O699" s="57"/>
      <c r="P699" s="28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</row>
    <row r="700">
      <c r="A700" s="57"/>
      <c r="B700" s="57"/>
      <c r="C700" s="57"/>
      <c r="D700" s="70"/>
      <c r="E700" s="71"/>
      <c r="F700" s="57"/>
      <c r="G700" s="71"/>
      <c r="H700" s="57"/>
      <c r="I700" s="57"/>
      <c r="J700" s="57"/>
      <c r="K700" s="57"/>
      <c r="L700" s="57"/>
      <c r="M700" s="57"/>
      <c r="N700" s="57"/>
      <c r="O700" s="57"/>
      <c r="P700" s="28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</row>
    <row r="701">
      <c r="A701" s="57"/>
      <c r="B701" s="57"/>
      <c r="C701" s="57"/>
      <c r="D701" s="70"/>
      <c r="E701" s="71"/>
      <c r="F701" s="57"/>
      <c r="G701" s="71"/>
      <c r="H701" s="57"/>
      <c r="I701" s="57"/>
      <c r="J701" s="57"/>
      <c r="K701" s="57"/>
      <c r="L701" s="57"/>
      <c r="M701" s="57"/>
      <c r="N701" s="57"/>
      <c r="O701" s="57"/>
      <c r="P701" s="28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</row>
    <row r="702">
      <c r="A702" s="57"/>
      <c r="B702" s="57"/>
      <c r="C702" s="57"/>
      <c r="D702" s="70"/>
      <c r="E702" s="71"/>
      <c r="F702" s="57"/>
      <c r="G702" s="71"/>
      <c r="H702" s="57"/>
      <c r="I702" s="57"/>
      <c r="J702" s="57"/>
      <c r="K702" s="57"/>
      <c r="L702" s="57"/>
      <c r="M702" s="57"/>
      <c r="N702" s="57"/>
      <c r="O702" s="57"/>
      <c r="P702" s="28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</row>
    <row r="703">
      <c r="A703" s="57"/>
      <c r="B703" s="57"/>
      <c r="C703" s="57"/>
      <c r="D703" s="70"/>
      <c r="E703" s="71"/>
      <c r="F703" s="57"/>
      <c r="G703" s="71"/>
      <c r="H703" s="57"/>
      <c r="I703" s="57"/>
      <c r="J703" s="57"/>
      <c r="K703" s="57"/>
      <c r="L703" s="57"/>
      <c r="M703" s="57"/>
      <c r="N703" s="57"/>
      <c r="O703" s="57"/>
      <c r="P703" s="28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</row>
    <row r="704">
      <c r="A704" s="57"/>
      <c r="B704" s="57"/>
      <c r="C704" s="57"/>
      <c r="D704" s="70"/>
      <c r="E704" s="71"/>
      <c r="F704" s="57"/>
      <c r="G704" s="71"/>
      <c r="H704" s="57"/>
      <c r="I704" s="57"/>
      <c r="J704" s="57"/>
      <c r="K704" s="57"/>
      <c r="L704" s="57"/>
      <c r="M704" s="57"/>
      <c r="N704" s="57"/>
      <c r="O704" s="57"/>
      <c r="P704" s="28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</row>
    <row r="705">
      <c r="A705" s="57"/>
      <c r="B705" s="57"/>
      <c r="C705" s="57"/>
      <c r="D705" s="70"/>
      <c r="E705" s="71"/>
      <c r="F705" s="57"/>
      <c r="G705" s="71"/>
      <c r="H705" s="57"/>
      <c r="I705" s="57"/>
      <c r="J705" s="57"/>
      <c r="K705" s="57"/>
      <c r="L705" s="57"/>
      <c r="M705" s="57"/>
      <c r="N705" s="57"/>
      <c r="O705" s="57"/>
      <c r="P705" s="28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</row>
    <row r="706">
      <c r="A706" s="57"/>
      <c r="B706" s="57"/>
      <c r="C706" s="57"/>
      <c r="D706" s="70"/>
      <c r="E706" s="71"/>
      <c r="F706" s="57"/>
      <c r="G706" s="71"/>
      <c r="H706" s="57"/>
      <c r="I706" s="57"/>
      <c r="J706" s="57"/>
      <c r="K706" s="57"/>
      <c r="L706" s="57"/>
      <c r="M706" s="57"/>
      <c r="N706" s="57"/>
      <c r="O706" s="57"/>
      <c r="P706" s="28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</row>
    <row r="707">
      <c r="A707" s="57"/>
      <c r="B707" s="57"/>
      <c r="C707" s="57"/>
      <c r="D707" s="70"/>
      <c r="E707" s="71"/>
      <c r="F707" s="57"/>
      <c r="G707" s="71"/>
      <c r="H707" s="57"/>
      <c r="I707" s="57"/>
      <c r="J707" s="57"/>
      <c r="K707" s="57"/>
      <c r="L707" s="57"/>
      <c r="M707" s="57"/>
      <c r="N707" s="57"/>
      <c r="O707" s="57"/>
      <c r="P707" s="28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</row>
    <row r="708">
      <c r="A708" s="57"/>
      <c r="B708" s="57"/>
      <c r="C708" s="57"/>
      <c r="D708" s="70"/>
      <c r="E708" s="71"/>
      <c r="F708" s="57"/>
      <c r="G708" s="71"/>
      <c r="H708" s="57"/>
      <c r="I708" s="57"/>
      <c r="J708" s="57"/>
      <c r="K708" s="57"/>
      <c r="L708" s="57"/>
      <c r="M708" s="57"/>
      <c r="N708" s="57"/>
      <c r="O708" s="57"/>
      <c r="P708" s="28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</row>
    <row r="709">
      <c r="A709" s="57"/>
      <c r="B709" s="57"/>
      <c r="C709" s="57"/>
      <c r="D709" s="70"/>
      <c r="E709" s="71"/>
      <c r="F709" s="57"/>
      <c r="G709" s="71"/>
      <c r="H709" s="57"/>
      <c r="I709" s="57"/>
      <c r="J709" s="57"/>
      <c r="K709" s="57"/>
      <c r="L709" s="57"/>
      <c r="M709" s="57"/>
      <c r="N709" s="57"/>
      <c r="O709" s="57"/>
      <c r="P709" s="28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</row>
    <row r="710">
      <c r="A710" s="57"/>
      <c r="B710" s="57"/>
      <c r="C710" s="57"/>
      <c r="D710" s="70"/>
      <c r="E710" s="71"/>
      <c r="F710" s="57"/>
      <c r="G710" s="71"/>
      <c r="H710" s="57"/>
      <c r="I710" s="57"/>
      <c r="J710" s="57"/>
      <c r="K710" s="57"/>
      <c r="L710" s="57"/>
      <c r="M710" s="57"/>
      <c r="N710" s="57"/>
      <c r="O710" s="57"/>
      <c r="P710" s="28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</row>
    <row r="711">
      <c r="A711" s="57"/>
      <c r="B711" s="57"/>
      <c r="C711" s="57"/>
      <c r="D711" s="70"/>
      <c r="E711" s="71"/>
      <c r="F711" s="57"/>
      <c r="G711" s="71"/>
      <c r="H711" s="57"/>
      <c r="I711" s="57"/>
      <c r="J711" s="57"/>
      <c r="K711" s="57"/>
      <c r="L711" s="57"/>
      <c r="M711" s="57"/>
      <c r="N711" s="57"/>
      <c r="O711" s="57"/>
      <c r="P711" s="28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</row>
    <row r="712">
      <c r="A712" s="57"/>
      <c r="B712" s="57"/>
      <c r="C712" s="57"/>
      <c r="D712" s="70"/>
      <c r="E712" s="71"/>
      <c r="F712" s="57"/>
      <c r="G712" s="71"/>
      <c r="H712" s="57"/>
      <c r="I712" s="57"/>
      <c r="J712" s="57"/>
      <c r="K712" s="57"/>
      <c r="L712" s="57"/>
      <c r="M712" s="57"/>
      <c r="N712" s="57"/>
      <c r="O712" s="57"/>
      <c r="P712" s="28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</row>
    <row r="713">
      <c r="A713" s="57"/>
      <c r="B713" s="57"/>
      <c r="C713" s="57"/>
      <c r="D713" s="70"/>
      <c r="E713" s="71"/>
      <c r="F713" s="57"/>
      <c r="G713" s="71"/>
      <c r="H713" s="57"/>
      <c r="I713" s="57"/>
      <c r="J713" s="57"/>
      <c r="K713" s="57"/>
      <c r="L713" s="57"/>
      <c r="M713" s="57"/>
      <c r="N713" s="57"/>
      <c r="O713" s="57"/>
      <c r="P713" s="28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</row>
    <row r="714">
      <c r="A714" s="57"/>
      <c r="B714" s="57"/>
      <c r="C714" s="57"/>
      <c r="D714" s="70"/>
      <c r="E714" s="71"/>
      <c r="F714" s="57"/>
      <c r="G714" s="71"/>
      <c r="H714" s="57"/>
      <c r="I714" s="57"/>
      <c r="J714" s="57"/>
      <c r="K714" s="57"/>
      <c r="L714" s="57"/>
      <c r="M714" s="57"/>
      <c r="N714" s="57"/>
      <c r="O714" s="57"/>
      <c r="P714" s="28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</row>
    <row r="715">
      <c r="A715" s="57"/>
      <c r="B715" s="57"/>
      <c r="C715" s="57"/>
      <c r="D715" s="70"/>
      <c r="E715" s="71"/>
      <c r="F715" s="57"/>
      <c r="G715" s="71"/>
      <c r="H715" s="57"/>
      <c r="I715" s="57"/>
      <c r="J715" s="57"/>
      <c r="K715" s="57"/>
      <c r="L715" s="57"/>
      <c r="M715" s="57"/>
      <c r="N715" s="57"/>
      <c r="O715" s="57"/>
      <c r="P715" s="28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</row>
    <row r="716">
      <c r="A716" s="57"/>
      <c r="B716" s="57"/>
      <c r="C716" s="57"/>
      <c r="D716" s="70"/>
      <c r="E716" s="71"/>
      <c r="F716" s="57"/>
      <c r="G716" s="71"/>
      <c r="H716" s="57"/>
      <c r="I716" s="57"/>
      <c r="J716" s="57"/>
      <c r="K716" s="57"/>
      <c r="L716" s="57"/>
      <c r="M716" s="57"/>
      <c r="N716" s="57"/>
      <c r="O716" s="57"/>
      <c r="P716" s="28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</row>
    <row r="717">
      <c r="A717" s="57"/>
      <c r="B717" s="57"/>
      <c r="C717" s="57"/>
      <c r="D717" s="70"/>
      <c r="E717" s="71"/>
      <c r="F717" s="57"/>
      <c r="G717" s="71"/>
      <c r="H717" s="57"/>
      <c r="I717" s="57"/>
      <c r="J717" s="57"/>
      <c r="K717" s="57"/>
      <c r="L717" s="57"/>
      <c r="M717" s="57"/>
      <c r="N717" s="57"/>
      <c r="O717" s="57"/>
      <c r="P717" s="28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</row>
    <row r="718">
      <c r="A718" s="57"/>
      <c r="B718" s="57"/>
      <c r="C718" s="57"/>
      <c r="D718" s="70"/>
      <c r="E718" s="71"/>
      <c r="F718" s="57"/>
      <c r="G718" s="71"/>
      <c r="H718" s="57"/>
      <c r="I718" s="57"/>
      <c r="J718" s="57"/>
      <c r="K718" s="57"/>
      <c r="L718" s="57"/>
      <c r="M718" s="57"/>
      <c r="N718" s="57"/>
      <c r="O718" s="57"/>
      <c r="P718" s="28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</row>
    <row r="719">
      <c r="A719" s="57"/>
      <c r="B719" s="57"/>
      <c r="C719" s="57"/>
      <c r="D719" s="70"/>
      <c r="E719" s="71"/>
      <c r="F719" s="57"/>
      <c r="G719" s="71"/>
      <c r="H719" s="57"/>
      <c r="I719" s="57"/>
      <c r="J719" s="57"/>
      <c r="K719" s="57"/>
      <c r="L719" s="57"/>
      <c r="M719" s="57"/>
      <c r="N719" s="57"/>
      <c r="O719" s="57"/>
      <c r="P719" s="28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</row>
    <row r="720">
      <c r="A720" s="57"/>
      <c r="B720" s="57"/>
      <c r="C720" s="57"/>
      <c r="D720" s="70"/>
      <c r="E720" s="71"/>
      <c r="F720" s="57"/>
      <c r="G720" s="71"/>
      <c r="H720" s="57"/>
      <c r="I720" s="57"/>
      <c r="J720" s="57"/>
      <c r="K720" s="57"/>
      <c r="L720" s="57"/>
      <c r="M720" s="57"/>
      <c r="N720" s="57"/>
      <c r="O720" s="57"/>
      <c r="P720" s="28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</row>
    <row r="721">
      <c r="A721" s="57"/>
      <c r="B721" s="57"/>
      <c r="C721" s="57"/>
      <c r="D721" s="70"/>
      <c r="E721" s="71"/>
      <c r="F721" s="57"/>
      <c r="G721" s="71"/>
      <c r="H721" s="57"/>
      <c r="I721" s="57"/>
      <c r="J721" s="57"/>
      <c r="K721" s="57"/>
      <c r="L721" s="57"/>
      <c r="M721" s="57"/>
      <c r="N721" s="57"/>
      <c r="O721" s="57"/>
      <c r="P721" s="28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</row>
    <row r="722">
      <c r="A722" s="57"/>
      <c r="B722" s="57"/>
      <c r="C722" s="57"/>
      <c r="D722" s="70"/>
      <c r="E722" s="71"/>
      <c r="F722" s="57"/>
      <c r="G722" s="71"/>
      <c r="H722" s="57"/>
      <c r="I722" s="57"/>
      <c r="J722" s="57"/>
      <c r="K722" s="57"/>
      <c r="L722" s="57"/>
      <c r="M722" s="57"/>
      <c r="N722" s="57"/>
      <c r="O722" s="57"/>
      <c r="P722" s="28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</row>
    <row r="723">
      <c r="A723" s="57"/>
      <c r="B723" s="57"/>
      <c r="C723" s="57"/>
      <c r="D723" s="70"/>
      <c r="E723" s="71"/>
      <c r="F723" s="57"/>
      <c r="G723" s="71"/>
      <c r="H723" s="57"/>
      <c r="I723" s="57"/>
      <c r="J723" s="57"/>
      <c r="K723" s="57"/>
      <c r="L723" s="57"/>
      <c r="M723" s="57"/>
      <c r="N723" s="57"/>
      <c r="O723" s="57"/>
      <c r="P723" s="28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</row>
    <row r="724">
      <c r="A724" s="57"/>
      <c r="B724" s="57"/>
      <c r="C724" s="57"/>
      <c r="D724" s="70"/>
      <c r="E724" s="71"/>
      <c r="F724" s="57"/>
      <c r="G724" s="71"/>
      <c r="H724" s="57"/>
      <c r="I724" s="57"/>
      <c r="J724" s="57"/>
      <c r="K724" s="57"/>
      <c r="L724" s="57"/>
      <c r="M724" s="57"/>
      <c r="N724" s="57"/>
      <c r="O724" s="57"/>
      <c r="P724" s="28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</row>
    <row r="725">
      <c r="A725" s="57"/>
      <c r="B725" s="57"/>
      <c r="C725" s="57"/>
      <c r="D725" s="70"/>
      <c r="E725" s="71"/>
      <c r="F725" s="57"/>
      <c r="G725" s="71"/>
      <c r="H725" s="57"/>
      <c r="I725" s="57"/>
      <c r="J725" s="57"/>
      <c r="K725" s="57"/>
      <c r="L725" s="57"/>
      <c r="M725" s="57"/>
      <c r="N725" s="57"/>
      <c r="O725" s="57"/>
      <c r="P725" s="28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</row>
    <row r="726">
      <c r="A726" s="57"/>
      <c r="B726" s="57"/>
      <c r="C726" s="57"/>
      <c r="D726" s="70"/>
      <c r="E726" s="71"/>
      <c r="F726" s="57"/>
      <c r="G726" s="71"/>
      <c r="H726" s="57"/>
      <c r="I726" s="57"/>
      <c r="J726" s="57"/>
      <c r="K726" s="57"/>
      <c r="L726" s="57"/>
      <c r="M726" s="57"/>
      <c r="N726" s="57"/>
      <c r="O726" s="57"/>
      <c r="P726" s="28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</row>
    <row r="727">
      <c r="A727" s="57"/>
      <c r="B727" s="57"/>
      <c r="C727" s="57"/>
      <c r="D727" s="70"/>
      <c r="E727" s="71"/>
      <c r="F727" s="57"/>
      <c r="G727" s="71"/>
      <c r="H727" s="57"/>
      <c r="I727" s="57"/>
      <c r="J727" s="57"/>
      <c r="K727" s="57"/>
      <c r="L727" s="57"/>
      <c r="M727" s="57"/>
      <c r="N727" s="57"/>
      <c r="O727" s="57"/>
      <c r="P727" s="28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</row>
    <row r="728">
      <c r="A728" s="57"/>
      <c r="B728" s="57"/>
      <c r="C728" s="57"/>
      <c r="D728" s="70"/>
      <c r="E728" s="71"/>
      <c r="F728" s="57"/>
      <c r="G728" s="71"/>
      <c r="H728" s="57"/>
      <c r="I728" s="57"/>
      <c r="J728" s="57"/>
      <c r="K728" s="57"/>
      <c r="L728" s="57"/>
      <c r="M728" s="57"/>
      <c r="N728" s="57"/>
      <c r="O728" s="57"/>
      <c r="P728" s="28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</row>
    <row r="729">
      <c r="A729" s="57"/>
      <c r="B729" s="57"/>
      <c r="C729" s="57"/>
      <c r="D729" s="70"/>
      <c r="E729" s="71"/>
      <c r="F729" s="57"/>
      <c r="G729" s="71"/>
      <c r="H729" s="57"/>
      <c r="I729" s="57"/>
      <c r="J729" s="57"/>
      <c r="K729" s="57"/>
      <c r="L729" s="57"/>
      <c r="M729" s="57"/>
      <c r="N729" s="57"/>
      <c r="O729" s="57"/>
      <c r="P729" s="28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</row>
    <row r="730">
      <c r="A730" s="57"/>
      <c r="B730" s="57"/>
      <c r="C730" s="57"/>
      <c r="D730" s="70"/>
      <c r="E730" s="71"/>
      <c r="F730" s="57"/>
      <c r="G730" s="71"/>
      <c r="H730" s="57"/>
      <c r="I730" s="57"/>
      <c r="J730" s="57"/>
      <c r="K730" s="57"/>
      <c r="L730" s="57"/>
      <c r="M730" s="57"/>
      <c r="N730" s="57"/>
      <c r="O730" s="57"/>
      <c r="P730" s="28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</row>
    <row r="731">
      <c r="A731" s="57"/>
      <c r="B731" s="57"/>
      <c r="C731" s="57"/>
      <c r="D731" s="70"/>
      <c r="E731" s="71"/>
      <c r="F731" s="57"/>
      <c r="G731" s="71"/>
      <c r="H731" s="57"/>
      <c r="I731" s="57"/>
      <c r="J731" s="57"/>
      <c r="K731" s="57"/>
      <c r="L731" s="57"/>
      <c r="M731" s="57"/>
      <c r="N731" s="57"/>
      <c r="O731" s="57"/>
      <c r="P731" s="28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</row>
    <row r="732">
      <c r="A732" s="57"/>
      <c r="B732" s="57"/>
      <c r="C732" s="57"/>
      <c r="D732" s="70"/>
      <c r="E732" s="71"/>
      <c r="F732" s="57"/>
      <c r="G732" s="71"/>
      <c r="H732" s="57"/>
      <c r="I732" s="57"/>
      <c r="J732" s="57"/>
      <c r="K732" s="57"/>
      <c r="L732" s="57"/>
      <c r="M732" s="57"/>
      <c r="N732" s="57"/>
      <c r="O732" s="57"/>
      <c r="P732" s="28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</row>
    <row r="733">
      <c r="A733" s="57"/>
      <c r="B733" s="57"/>
      <c r="C733" s="57"/>
      <c r="D733" s="70"/>
      <c r="E733" s="71"/>
      <c r="F733" s="57"/>
      <c r="G733" s="71"/>
      <c r="H733" s="57"/>
      <c r="I733" s="57"/>
      <c r="J733" s="57"/>
      <c r="K733" s="57"/>
      <c r="L733" s="57"/>
      <c r="M733" s="57"/>
      <c r="N733" s="57"/>
      <c r="O733" s="57"/>
      <c r="P733" s="28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</row>
    <row r="734">
      <c r="A734" s="57"/>
      <c r="B734" s="57"/>
      <c r="C734" s="57"/>
      <c r="D734" s="70"/>
      <c r="E734" s="71"/>
      <c r="F734" s="57"/>
      <c r="G734" s="71"/>
      <c r="H734" s="57"/>
      <c r="I734" s="57"/>
      <c r="J734" s="57"/>
      <c r="K734" s="57"/>
      <c r="L734" s="57"/>
      <c r="M734" s="57"/>
      <c r="N734" s="57"/>
      <c r="O734" s="57"/>
      <c r="P734" s="28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</row>
    <row r="735">
      <c r="A735" s="57"/>
      <c r="B735" s="57"/>
      <c r="C735" s="57"/>
      <c r="D735" s="70"/>
      <c r="E735" s="71"/>
      <c r="F735" s="57"/>
      <c r="G735" s="71"/>
      <c r="H735" s="57"/>
      <c r="I735" s="57"/>
      <c r="J735" s="57"/>
      <c r="K735" s="57"/>
      <c r="L735" s="57"/>
      <c r="M735" s="57"/>
      <c r="N735" s="57"/>
      <c r="O735" s="57"/>
      <c r="P735" s="28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</row>
    <row r="736">
      <c r="A736" s="57"/>
      <c r="B736" s="57"/>
      <c r="C736" s="57"/>
      <c r="D736" s="70"/>
      <c r="E736" s="71"/>
      <c r="F736" s="57"/>
      <c r="G736" s="71"/>
      <c r="H736" s="57"/>
      <c r="I736" s="57"/>
      <c r="J736" s="57"/>
      <c r="K736" s="57"/>
      <c r="L736" s="57"/>
      <c r="M736" s="57"/>
      <c r="N736" s="57"/>
      <c r="O736" s="57"/>
      <c r="P736" s="28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</row>
    <row r="737">
      <c r="A737" s="57"/>
      <c r="B737" s="57"/>
      <c r="C737" s="57"/>
      <c r="D737" s="70"/>
      <c r="E737" s="71"/>
      <c r="F737" s="57"/>
      <c r="G737" s="71"/>
      <c r="H737" s="57"/>
      <c r="I737" s="57"/>
      <c r="J737" s="57"/>
      <c r="K737" s="57"/>
      <c r="L737" s="57"/>
      <c r="M737" s="57"/>
      <c r="N737" s="57"/>
      <c r="O737" s="57"/>
      <c r="P737" s="28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</row>
    <row r="738">
      <c r="A738" s="57"/>
      <c r="B738" s="57"/>
      <c r="C738" s="57"/>
      <c r="D738" s="70"/>
      <c r="E738" s="71"/>
      <c r="F738" s="57"/>
      <c r="G738" s="71"/>
      <c r="H738" s="57"/>
      <c r="I738" s="57"/>
      <c r="J738" s="57"/>
      <c r="K738" s="57"/>
      <c r="L738" s="57"/>
      <c r="M738" s="57"/>
      <c r="N738" s="57"/>
      <c r="O738" s="57"/>
      <c r="P738" s="28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</row>
    <row r="739">
      <c r="A739" s="57"/>
      <c r="B739" s="57"/>
      <c r="C739" s="57"/>
      <c r="D739" s="70"/>
      <c r="E739" s="71"/>
      <c r="F739" s="57"/>
      <c r="G739" s="71"/>
      <c r="H739" s="57"/>
      <c r="I739" s="57"/>
      <c r="J739" s="57"/>
      <c r="K739" s="57"/>
      <c r="L739" s="57"/>
      <c r="M739" s="57"/>
      <c r="N739" s="57"/>
      <c r="O739" s="57"/>
      <c r="P739" s="28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</row>
    <row r="740">
      <c r="A740" s="57"/>
      <c r="B740" s="57"/>
      <c r="C740" s="57"/>
      <c r="D740" s="70"/>
      <c r="E740" s="71"/>
      <c r="F740" s="57"/>
      <c r="G740" s="71"/>
      <c r="H740" s="57"/>
      <c r="I740" s="57"/>
      <c r="J740" s="57"/>
      <c r="K740" s="57"/>
      <c r="L740" s="57"/>
      <c r="M740" s="57"/>
      <c r="N740" s="57"/>
      <c r="O740" s="57"/>
      <c r="P740" s="28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</row>
    <row r="741">
      <c r="A741" s="57"/>
      <c r="B741" s="57"/>
      <c r="C741" s="57"/>
      <c r="D741" s="70"/>
      <c r="E741" s="71"/>
      <c r="F741" s="57"/>
      <c r="G741" s="71"/>
      <c r="H741" s="57"/>
      <c r="I741" s="57"/>
      <c r="J741" s="57"/>
      <c r="K741" s="57"/>
      <c r="L741" s="57"/>
      <c r="M741" s="57"/>
      <c r="N741" s="57"/>
      <c r="O741" s="57"/>
      <c r="P741" s="28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</row>
    <row r="742">
      <c r="A742" s="57"/>
      <c r="B742" s="57"/>
      <c r="C742" s="57"/>
      <c r="D742" s="70"/>
      <c r="E742" s="71"/>
      <c r="F742" s="57"/>
      <c r="G742" s="71"/>
      <c r="H742" s="57"/>
      <c r="I742" s="57"/>
      <c r="J742" s="57"/>
      <c r="K742" s="57"/>
      <c r="L742" s="57"/>
      <c r="M742" s="57"/>
      <c r="N742" s="57"/>
      <c r="O742" s="57"/>
      <c r="P742" s="28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</row>
    <row r="743">
      <c r="A743" s="57"/>
      <c r="B743" s="57"/>
      <c r="C743" s="57"/>
      <c r="D743" s="70"/>
      <c r="E743" s="71"/>
      <c r="F743" s="57"/>
      <c r="G743" s="71"/>
      <c r="H743" s="57"/>
      <c r="I743" s="57"/>
      <c r="J743" s="57"/>
      <c r="K743" s="57"/>
      <c r="L743" s="57"/>
      <c r="M743" s="57"/>
      <c r="N743" s="57"/>
      <c r="O743" s="57"/>
      <c r="P743" s="28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</row>
    <row r="744">
      <c r="A744" s="57"/>
      <c r="B744" s="57"/>
      <c r="C744" s="57"/>
      <c r="D744" s="70"/>
      <c r="E744" s="71"/>
      <c r="F744" s="57"/>
      <c r="G744" s="71"/>
      <c r="H744" s="57"/>
      <c r="I744" s="57"/>
      <c r="J744" s="57"/>
      <c r="K744" s="57"/>
      <c r="L744" s="57"/>
      <c r="M744" s="57"/>
      <c r="N744" s="57"/>
      <c r="O744" s="57"/>
      <c r="P744" s="28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</row>
    <row r="745">
      <c r="A745" s="57"/>
      <c r="B745" s="57"/>
      <c r="C745" s="57"/>
      <c r="D745" s="70"/>
      <c r="E745" s="71"/>
      <c r="F745" s="57"/>
      <c r="G745" s="71"/>
      <c r="H745" s="57"/>
      <c r="I745" s="57"/>
      <c r="J745" s="57"/>
      <c r="K745" s="57"/>
      <c r="L745" s="57"/>
      <c r="M745" s="57"/>
      <c r="N745" s="57"/>
      <c r="O745" s="57"/>
      <c r="P745" s="28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</row>
    <row r="746">
      <c r="A746" s="57"/>
      <c r="B746" s="57"/>
      <c r="C746" s="57"/>
      <c r="D746" s="70"/>
      <c r="E746" s="71"/>
      <c r="F746" s="57"/>
      <c r="G746" s="71"/>
      <c r="H746" s="57"/>
      <c r="I746" s="57"/>
      <c r="J746" s="57"/>
      <c r="K746" s="57"/>
      <c r="L746" s="57"/>
      <c r="M746" s="57"/>
      <c r="N746" s="57"/>
      <c r="O746" s="57"/>
      <c r="P746" s="28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</row>
    <row r="747">
      <c r="A747" s="57"/>
      <c r="B747" s="57"/>
      <c r="C747" s="57"/>
      <c r="D747" s="70"/>
      <c r="E747" s="71"/>
      <c r="F747" s="57"/>
      <c r="G747" s="71"/>
      <c r="H747" s="57"/>
      <c r="I747" s="57"/>
      <c r="J747" s="57"/>
      <c r="K747" s="57"/>
      <c r="L747" s="57"/>
      <c r="M747" s="57"/>
      <c r="N747" s="57"/>
      <c r="O747" s="57"/>
      <c r="P747" s="28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</row>
    <row r="748">
      <c r="A748" s="57"/>
      <c r="B748" s="57"/>
      <c r="C748" s="57"/>
      <c r="D748" s="70"/>
      <c r="E748" s="71"/>
      <c r="F748" s="57"/>
      <c r="G748" s="71"/>
      <c r="H748" s="57"/>
      <c r="I748" s="57"/>
      <c r="J748" s="57"/>
      <c r="K748" s="57"/>
      <c r="L748" s="57"/>
      <c r="M748" s="57"/>
      <c r="N748" s="57"/>
      <c r="O748" s="57"/>
      <c r="P748" s="28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</row>
    <row r="749">
      <c r="A749" s="57"/>
      <c r="B749" s="57"/>
      <c r="C749" s="57"/>
      <c r="D749" s="70"/>
      <c r="E749" s="71"/>
      <c r="F749" s="57"/>
      <c r="G749" s="71"/>
      <c r="H749" s="57"/>
      <c r="I749" s="57"/>
      <c r="J749" s="57"/>
      <c r="K749" s="57"/>
      <c r="L749" s="57"/>
      <c r="M749" s="57"/>
      <c r="N749" s="57"/>
      <c r="O749" s="57"/>
      <c r="P749" s="28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</row>
    <row r="750">
      <c r="A750" s="57"/>
      <c r="B750" s="57"/>
      <c r="C750" s="57"/>
      <c r="D750" s="70"/>
      <c r="E750" s="71"/>
      <c r="F750" s="57"/>
      <c r="G750" s="71"/>
      <c r="H750" s="57"/>
      <c r="I750" s="57"/>
      <c r="J750" s="57"/>
      <c r="K750" s="57"/>
      <c r="L750" s="57"/>
      <c r="M750" s="57"/>
      <c r="N750" s="57"/>
      <c r="O750" s="57"/>
      <c r="P750" s="28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</row>
    <row r="751">
      <c r="A751" s="57"/>
      <c r="B751" s="57"/>
      <c r="C751" s="57"/>
      <c r="D751" s="70"/>
      <c r="E751" s="71"/>
      <c r="F751" s="57"/>
      <c r="G751" s="71"/>
      <c r="H751" s="57"/>
      <c r="I751" s="57"/>
      <c r="J751" s="57"/>
      <c r="K751" s="57"/>
      <c r="L751" s="57"/>
      <c r="M751" s="57"/>
      <c r="N751" s="57"/>
      <c r="O751" s="57"/>
      <c r="P751" s="28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</row>
    <row r="752">
      <c r="A752" s="57"/>
      <c r="B752" s="57"/>
      <c r="C752" s="57"/>
      <c r="D752" s="70"/>
      <c r="E752" s="71"/>
      <c r="F752" s="57"/>
      <c r="G752" s="71"/>
      <c r="H752" s="57"/>
      <c r="I752" s="57"/>
      <c r="J752" s="57"/>
      <c r="K752" s="57"/>
      <c r="L752" s="57"/>
      <c r="M752" s="57"/>
      <c r="N752" s="57"/>
      <c r="O752" s="57"/>
      <c r="P752" s="28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</row>
    <row r="753">
      <c r="A753" s="57"/>
      <c r="B753" s="57"/>
      <c r="C753" s="57"/>
      <c r="D753" s="70"/>
      <c r="E753" s="71"/>
      <c r="F753" s="57"/>
      <c r="G753" s="71"/>
      <c r="H753" s="57"/>
      <c r="I753" s="57"/>
      <c r="J753" s="57"/>
      <c r="K753" s="57"/>
      <c r="L753" s="57"/>
      <c r="M753" s="57"/>
      <c r="N753" s="57"/>
      <c r="O753" s="57"/>
      <c r="P753" s="28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</row>
    <row r="754">
      <c r="A754" s="57"/>
      <c r="B754" s="57"/>
      <c r="C754" s="57"/>
      <c r="D754" s="70"/>
      <c r="E754" s="71"/>
      <c r="F754" s="57"/>
      <c r="G754" s="71"/>
      <c r="H754" s="57"/>
      <c r="I754" s="57"/>
      <c r="J754" s="57"/>
      <c r="K754" s="57"/>
      <c r="L754" s="57"/>
      <c r="M754" s="57"/>
      <c r="N754" s="57"/>
      <c r="O754" s="57"/>
      <c r="P754" s="28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</row>
    <row r="755">
      <c r="A755" s="57"/>
      <c r="B755" s="57"/>
      <c r="C755" s="57"/>
      <c r="D755" s="70"/>
      <c r="E755" s="71"/>
      <c r="F755" s="57"/>
      <c r="G755" s="71"/>
      <c r="H755" s="57"/>
      <c r="I755" s="57"/>
      <c r="J755" s="57"/>
      <c r="K755" s="57"/>
      <c r="L755" s="57"/>
      <c r="M755" s="57"/>
      <c r="N755" s="57"/>
      <c r="O755" s="57"/>
      <c r="P755" s="28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</row>
    <row r="756">
      <c r="A756" s="57"/>
      <c r="B756" s="57"/>
      <c r="C756" s="57"/>
      <c r="D756" s="70"/>
      <c r="E756" s="71"/>
      <c r="F756" s="57"/>
      <c r="G756" s="71"/>
      <c r="H756" s="57"/>
      <c r="I756" s="57"/>
      <c r="J756" s="57"/>
      <c r="K756" s="57"/>
      <c r="L756" s="57"/>
      <c r="M756" s="57"/>
      <c r="N756" s="57"/>
      <c r="O756" s="57"/>
      <c r="P756" s="28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</row>
    <row r="757">
      <c r="A757" s="57"/>
      <c r="B757" s="57"/>
      <c r="C757" s="57"/>
      <c r="D757" s="70"/>
      <c r="E757" s="71"/>
      <c r="F757" s="57"/>
      <c r="G757" s="71"/>
      <c r="H757" s="57"/>
      <c r="I757" s="57"/>
      <c r="J757" s="57"/>
      <c r="K757" s="57"/>
      <c r="L757" s="57"/>
      <c r="M757" s="57"/>
      <c r="N757" s="57"/>
      <c r="O757" s="57"/>
      <c r="P757" s="28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</row>
    <row r="758">
      <c r="A758" s="57"/>
      <c r="B758" s="57"/>
      <c r="C758" s="57"/>
      <c r="D758" s="70"/>
      <c r="E758" s="71"/>
      <c r="F758" s="57"/>
      <c r="G758" s="71"/>
      <c r="H758" s="57"/>
      <c r="I758" s="57"/>
      <c r="J758" s="57"/>
      <c r="K758" s="57"/>
      <c r="L758" s="57"/>
      <c r="M758" s="57"/>
      <c r="N758" s="57"/>
      <c r="O758" s="57"/>
      <c r="P758" s="28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</row>
    <row r="759">
      <c r="A759" s="57"/>
      <c r="B759" s="57"/>
      <c r="C759" s="57"/>
      <c r="D759" s="70"/>
      <c r="E759" s="71"/>
      <c r="F759" s="57"/>
      <c r="G759" s="71"/>
      <c r="H759" s="57"/>
      <c r="I759" s="57"/>
      <c r="J759" s="57"/>
      <c r="K759" s="57"/>
      <c r="L759" s="57"/>
      <c r="M759" s="57"/>
      <c r="N759" s="57"/>
      <c r="O759" s="57"/>
      <c r="P759" s="28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</row>
    <row r="760">
      <c r="A760" s="57"/>
      <c r="B760" s="57"/>
      <c r="C760" s="57"/>
      <c r="D760" s="70"/>
      <c r="E760" s="71"/>
      <c r="F760" s="57"/>
      <c r="G760" s="71"/>
      <c r="H760" s="57"/>
      <c r="I760" s="57"/>
      <c r="J760" s="57"/>
      <c r="K760" s="57"/>
      <c r="L760" s="57"/>
      <c r="M760" s="57"/>
      <c r="N760" s="57"/>
      <c r="O760" s="57"/>
      <c r="P760" s="28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</row>
    <row r="761">
      <c r="A761" s="57"/>
      <c r="B761" s="57"/>
      <c r="C761" s="57"/>
      <c r="D761" s="70"/>
      <c r="E761" s="71"/>
      <c r="F761" s="57"/>
      <c r="G761" s="71"/>
      <c r="H761" s="57"/>
      <c r="I761" s="57"/>
      <c r="J761" s="57"/>
      <c r="K761" s="57"/>
      <c r="L761" s="57"/>
      <c r="M761" s="57"/>
      <c r="N761" s="57"/>
      <c r="O761" s="57"/>
      <c r="P761" s="28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</row>
    <row r="762">
      <c r="A762" s="57"/>
      <c r="B762" s="57"/>
      <c r="C762" s="57"/>
      <c r="D762" s="70"/>
      <c r="E762" s="71"/>
      <c r="F762" s="57"/>
      <c r="G762" s="71"/>
      <c r="H762" s="57"/>
      <c r="I762" s="57"/>
      <c r="J762" s="57"/>
      <c r="K762" s="57"/>
      <c r="L762" s="57"/>
      <c r="M762" s="57"/>
      <c r="N762" s="57"/>
      <c r="O762" s="57"/>
      <c r="P762" s="28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</row>
    <row r="763">
      <c r="A763" s="57"/>
      <c r="B763" s="57"/>
      <c r="C763" s="57"/>
      <c r="D763" s="70"/>
      <c r="E763" s="71"/>
      <c r="F763" s="57"/>
      <c r="G763" s="71"/>
      <c r="H763" s="57"/>
      <c r="I763" s="57"/>
      <c r="J763" s="57"/>
      <c r="K763" s="57"/>
      <c r="L763" s="57"/>
      <c r="M763" s="57"/>
      <c r="N763" s="57"/>
      <c r="O763" s="57"/>
      <c r="P763" s="28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</row>
    <row r="764">
      <c r="A764" s="57"/>
      <c r="B764" s="57"/>
      <c r="C764" s="57"/>
      <c r="D764" s="70"/>
      <c r="E764" s="71"/>
      <c r="F764" s="57"/>
      <c r="G764" s="71"/>
      <c r="H764" s="57"/>
      <c r="I764" s="57"/>
      <c r="J764" s="57"/>
      <c r="K764" s="57"/>
      <c r="L764" s="57"/>
      <c r="M764" s="57"/>
      <c r="N764" s="57"/>
      <c r="O764" s="57"/>
      <c r="P764" s="28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</row>
    <row r="765">
      <c r="A765" s="57"/>
      <c r="B765" s="57"/>
      <c r="C765" s="57"/>
      <c r="D765" s="70"/>
      <c r="E765" s="71"/>
      <c r="F765" s="57"/>
      <c r="G765" s="71"/>
      <c r="H765" s="57"/>
      <c r="I765" s="57"/>
      <c r="J765" s="57"/>
      <c r="K765" s="57"/>
      <c r="L765" s="57"/>
      <c r="M765" s="57"/>
      <c r="N765" s="57"/>
      <c r="O765" s="57"/>
      <c r="P765" s="28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</row>
    <row r="766">
      <c r="A766" s="57"/>
      <c r="B766" s="57"/>
      <c r="C766" s="57"/>
      <c r="D766" s="70"/>
      <c r="E766" s="71"/>
      <c r="F766" s="57"/>
      <c r="G766" s="71"/>
      <c r="H766" s="57"/>
      <c r="I766" s="57"/>
      <c r="J766" s="57"/>
      <c r="K766" s="57"/>
      <c r="L766" s="57"/>
      <c r="M766" s="57"/>
      <c r="N766" s="57"/>
      <c r="O766" s="57"/>
      <c r="P766" s="28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</row>
    <row r="767">
      <c r="A767" s="57"/>
      <c r="B767" s="57"/>
      <c r="C767" s="57"/>
      <c r="D767" s="70"/>
      <c r="E767" s="71"/>
      <c r="F767" s="57"/>
      <c r="G767" s="71"/>
      <c r="H767" s="57"/>
      <c r="I767" s="57"/>
      <c r="J767" s="57"/>
      <c r="K767" s="57"/>
      <c r="L767" s="57"/>
      <c r="M767" s="57"/>
      <c r="N767" s="57"/>
      <c r="O767" s="57"/>
      <c r="P767" s="28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</row>
    <row r="768">
      <c r="A768" s="57"/>
      <c r="B768" s="57"/>
      <c r="C768" s="57"/>
      <c r="D768" s="70"/>
      <c r="E768" s="71"/>
      <c r="F768" s="57"/>
      <c r="G768" s="71"/>
      <c r="H768" s="57"/>
      <c r="I768" s="57"/>
      <c r="J768" s="57"/>
      <c r="K768" s="57"/>
      <c r="L768" s="57"/>
      <c r="M768" s="57"/>
      <c r="N768" s="57"/>
      <c r="O768" s="57"/>
      <c r="P768" s="28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</row>
    <row r="769">
      <c r="A769" s="57"/>
      <c r="B769" s="57"/>
      <c r="C769" s="57"/>
      <c r="D769" s="70"/>
      <c r="E769" s="71"/>
      <c r="F769" s="57"/>
      <c r="G769" s="71"/>
      <c r="H769" s="57"/>
      <c r="I769" s="57"/>
      <c r="J769" s="57"/>
      <c r="K769" s="57"/>
      <c r="L769" s="57"/>
      <c r="M769" s="57"/>
      <c r="N769" s="57"/>
      <c r="O769" s="57"/>
      <c r="P769" s="28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</row>
    <row r="770">
      <c r="A770" s="57"/>
      <c r="B770" s="57"/>
      <c r="C770" s="57"/>
      <c r="D770" s="70"/>
      <c r="E770" s="71"/>
      <c r="F770" s="57"/>
      <c r="G770" s="71"/>
      <c r="H770" s="57"/>
      <c r="I770" s="57"/>
      <c r="J770" s="57"/>
      <c r="K770" s="57"/>
      <c r="L770" s="57"/>
      <c r="M770" s="57"/>
      <c r="N770" s="57"/>
      <c r="O770" s="57"/>
      <c r="P770" s="28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</row>
    <row r="771">
      <c r="A771" s="57"/>
      <c r="B771" s="57"/>
      <c r="C771" s="57"/>
      <c r="D771" s="70"/>
      <c r="E771" s="71"/>
      <c r="F771" s="57"/>
      <c r="G771" s="71"/>
      <c r="H771" s="57"/>
      <c r="I771" s="57"/>
      <c r="J771" s="57"/>
      <c r="K771" s="57"/>
      <c r="L771" s="57"/>
      <c r="M771" s="57"/>
      <c r="N771" s="57"/>
      <c r="O771" s="57"/>
      <c r="P771" s="28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</row>
    <row r="772">
      <c r="A772" s="57"/>
      <c r="B772" s="57"/>
      <c r="C772" s="57"/>
      <c r="D772" s="70"/>
      <c r="E772" s="71"/>
      <c r="F772" s="57"/>
      <c r="G772" s="71"/>
      <c r="H772" s="57"/>
      <c r="I772" s="57"/>
      <c r="J772" s="57"/>
      <c r="K772" s="57"/>
      <c r="L772" s="57"/>
      <c r="M772" s="57"/>
      <c r="N772" s="57"/>
      <c r="O772" s="57"/>
      <c r="P772" s="28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</row>
    <row r="773">
      <c r="A773" s="57"/>
      <c r="B773" s="57"/>
      <c r="C773" s="57"/>
      <c r="D773" s="70"/>
      <c r="E773" s="71"/>
      <c r="F773" s="57"/>
      <c r="G773" s="71"/>
      <c r="H773" s="57"/>
      <c r="I773" s="57"/>
      <c r="J773" s="57"/>
      <c r="K773" s="57"/>
      <c r="L773" s="57"/>
      <c r="M773" s="57"/>
      <c r="N773" s="57"/>
      <c r="O773" s="57"/>
      <c r="P773" s="28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</row>
    <row r="774">
      <c r="A774" s="57"/>
      <c r="B774" s="57"/>
      <c r="C774" s="57"/>
      <c r="D774" s="70"/>
      <c r="E774" s="71"/>
      <c r="F774" s="57"/>
      <c r="G774" s="71"/>
      <c r="H774" s="57"/>
      <c r="I774" s="57"/>
      <c r="J774" s="57"/>
      <c r="K774" s="57"/>
      <c r="L774" s="57"/>
      <c r="M774" s="57"/>
      <c r="N774" s="57"/>
      <c r="O774" s="57"/>
      <c r="P774" s="28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</row>
    <row r="775">
      <c r="A775" s="57"/>
      <c r="B775" s="57"/>
      <c r="C775" s="57"/>
      <c r="D775" s="70"/>
      <c r="E775" s="71"/>
      <c r="F775" s="57"/>
      <c r="G775" s="71"/>
      <c r="H775" s="57"/>
      <c r="I775" s="57"/>
      <c r="J775" s="57"/>
      <c r="K775" s="57"/>
      <c r="L775" s="57"/>
      <c r="M775" s="57"/>
      <c r="N775" s="57"/>
      <c r="O775" s="57"/>
      <c r="P775" s="28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</row>
    <row r="776">
      <c r="A776" s="57"/>
      <c r="B776" s="57"/>
      <c r="C776" s="57"/>
      <c r="D776" s="70"/>
      <c r="E776" s="71"/>
      <c r="F776" s="57"/>
      <c r="G776" s="71"/>
      <c r="H776" s="57"/>
      <c r="I776" s="57"/>
      <c r="J776" s="57"/>
      <c r="K776" s="57"/>
      <c r="L776" s="57"/>
      <c r="M776" s="57"/>
      <c r="N776" s="57"/>
      <c r="O776" s="57"/>
      <c r="P776" s="28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</row>
    <row r="777">
      <c r="A777" s="57"/>
      <c r="B777" s="57"/>
      <c r="C777" s="57"/>
      <c r="D777" s="70"/>
      <c r="E777" s="71"/>
      <c r="F777" s="57"/>
      <c r="G777" s="71"/>
      <c r="H777" s="57"/>
      <c r="I777" s="57"/>
      <c r="J777" s="57"/>
      <c r="K777" s="57"/>
      <c r="L777" s="57"/>
      <c r="M777" s="57"/>
      <c r="N777" s="57"/>
      <c r="O777" s="57"/>
      <c r="P777" s="28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</row>
    <row r="778">
      <c r="A778" s="57"/>
      <c r="B778" s="57"/>
      <c r="C778" s="57"/>
      <c r="D778" s="70"/>
      <c r="E778" s="71"/>
      <c r="F778" s="57"/>
      <c r="G778" s="71"/>
      <c r="H778" s="57"/>
      <c r="I778" s="57"/>
      <c r="J778" s="57"/>
      <c r="K778" s="57"/>
      <c r="L778" s="57"/>
      <c r="M778" s="57"/>
      <c r="N778" s="57"/>
      <c r="O778" s="57"/>
      <c r="P778" s="28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</row>
    <row r="779">
      <c r="A779" s="57"/>
      <c r="B779" s="57"/>
      <c r="C779" s="57"/>
      <c r="D779" s="70"/>
      <c r="E779" s="71"/>
      <c r="F779" s="57"/>
      <c r="G779" s="71"/>
      <c r="H779" s="57"/>
      <c r="I779" s="57"/>
      <c r="J779" s="57"/>
      <c r="K779" s="57"/>
      <c r="L779" s="57"/>
      <c r="M779" s="57"/>
      <c r="N779" s="57"/>
      <c r="O779" s="57"/>
      <c r="P779" s="28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</row>
    <row r="780">
      <c r="A780" s="57"/>
      <c r="B780" s="57"/>
      <c r="C780" s="57"/>
      <c r="D780" s="70"/>
      <c r="E780" s="71"/>
      <c r="F780" s="57"/>
      <c r="G780" s="71"/>
      <c r="H780" s="57"/>
      <c r="I780" s="57"/>
      <c r="J780" s="57"/>
      <c r="K780" s="57"/>
      <c r="L780" s="57"/>
      <c r="M780" s="57"/>
      <c r="N780" s="57"/>
      <c r="O780" s="57"/>
      <c r="P780" s="28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</row>
    <row r="781">
      <c r="A781" s="57"/>
      <c r="B781" s="57"/>
      <c r="C781" s="57"/>
      <c r="D781" s="70"/>
      <c r="E781" s="71"/>
      <c r="F781" s="57"/>
      <c r="G781" s="71"/>
      <c r="H781" s="57"/>
      <c r="I781" s="57"/>
      <c r="J781" s="57"/>
      <c r="K781" s="57"/>
      <c r="L781" s="57"/>
      <c r="M781" s="57"/>
      <c r="N781" s="57"/>
      <c r="O781" s="57"/>
      <c r="P781" s="28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</row>
    <row r="782">
      <c r="A782" s="57"/>
      <c r="B782" s="57"/>
      <c r="C782" s="57"/>
      <c r="D782" s="70"/>
      <c r="E782" s="71"/>
      <c r="F782" s="57"/>
      <c r="G782" s="71"/>
      <c r="H782" s="57"/>
      <c r="I782" s="57"/>
      <c r="J782" s="57"/>
      <c r="K782" s="57"/>
      <c r="L782" s="57"/>
      <c r="M782" s="57"/>
      <c r="N782" s="57"/>
      <c r="O782" s="57"/>
      <c r="P782" s="28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</row>
    <row r="783">
      <c r="A783" s="57"/>
      <c r="B783" s="57"/>
      <c r="C783" s="57"/>
      <c r="D783" s="70"/>
      <c r="E783" s="71"/>
      <c r="F783" s="57"/>
      <c r="G783" s="71"/>
      <c r="H783" s="57"/>
      <c r="I783" s="57"/>
      <c r="J783" s="57"/>
      <c r="K783" s="57"/>
      <c r="L783" s="57"/>
      <c r="M783" s="57"/>
      <c r="N783" s="57"/>
      <c r="O783" s="57"/>
      <c r="P783" s="28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</row>
    <row r="784">
      <c r="A784" s="57"/>
      <c r="B784" s="57"/>
      <c r="C784" s="57"/>
      <c r="D784" s="70"/>
      <c r="E784" s="71"/>
      <c r="F784" s="57"/>
      <c r="G784" s="71"/>
      <c r="H784" s="57"/>
      <c r="I784" s="57"/>
      <c r="J784" s="57"/>
      <c r="K784" s="57"/>
      <c r="L784" s="57"/>
      <c r="M784" s="57"/>
      <c r="N784" s="57"/>
      <c r="O784" s="57"/>
      <c r="P784" s="28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</row>
    <row r="785">
      <c r="A785" s="57"/>
      <c r="B785" s="57"/>
      <c r="C785" s="57"/>
      <c r="D785" s="70"/>
      <c r="E785" s="71"/>
      <c r="F785" s="57"/>
      <c r="G785" s="71"/>
      <c r="H785" s="57"/>
      <c r="I785" s="57"/>
      <c r="J785" s="57"/>
      <c r="K785" s="57"/>
      <c r="L785" s="57"/>
      <c r="M785" s="57"/>
      <c r="N785" s="57"/>
      <c r="O785" s="57"/>
      <c r="P785" s="28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</row>
    <row r="786">
      <c r="A786" s="57"/>
      <c r="B786" s="57"/>
      <c r="C786" s="57"/>
      <c r="D786" s="70"/>
      <c r="E786" s="71"/>
      <c r="F786" s="57"/>
      <c r="G786" s="71"/>
      <c r="H786" s="57"/>
      <c r="I786" s="57"/>
      <c r="J786" s="57"/>
      <c r="K786" s="57"/>
      <c r="L786" s="57"/>
      <c r="M786" s="57"/>
      <c r="N786" s="57"/>
      <c r="O786" s="57"/>
      <c r="P786" s="28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</row>
    <row r="787">
      <c r="A787" s="57"/>
      <c r="B787" s="57"/>
      <c r="C787" s="57"/>
      <c r="D787" s="70"/>
      <c r="E787" s="71"/>
      <c r="F787" s="57"/>
      <c r="G787" s="71"/>
      <c r="H787" s="57"/>
      <c r="I787" s="57"/>
      <c r="J787" s="57"/>
      <c r="K787" s="57"/>
      <c r="L787" s="57"/>
      <c r="M787" s="57"/>
      <c r="N787" s="57"/>
      <c r="O787" s="57"/>
      <c r="P787" s="28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</row>
    <row r="788">
      <c r="A788" s="57"/>
      <c r="B788" s="57"/>
      <c r="C788" s="57"/>
      <c r="D788" s="70"/>
      <c r="E788" s="71"/>
      <c r="F788" s="57"/>
      <c r="G788" s="71"/>
      <c r="H788" s="57"/>
      <c r="I788" s="57"/>
      <c r="J788" s="57"/>
      <c r="K788" s="57"/>
      <c r="L788" s="57"/>
      <c r="M788" s="57"/>
      <c r="N788" s="57"/>
      <c r="O788" s="57"/>
      <c r="P788" s="28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</row>
    <row r="789">
      <c r="A789" s="57"/>
      <c r="B789" s="57"/>
      <c r="C789" s="57"/>
      <c r="D789" s="70"/>
      <c r="E789" s="71"/>
      <c r="F789" s="57"/>
      <c r="G789" s="71"/>
      <c r="H789" s="57"/>
      <c r="I789" s="57"/>
      <c r="J789" s="57"/>
      <c r="K789" s="57"/>
      <c r="L789" s="57"/>
      <c r="M789" s="57"/>
      <c r="N789" s="57"/>
      <c r="O789" s="57"/>
      <c r="P789" s="28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</row>
    <row r="790">
      <c r="A790" s="57"/>
      <c r="B790" s="57"/>
      <c r="C790" s="57"/>
      <c r="D790" s="70"/>
      <c r="E790" s="71"/>
      <c r="F790" s="57"/>
      <c r="G790" s="71"/>
      <c r="H790" s="57"/>
      <c r="I790" s="57"/>
      <c r="J790" s="57"/>
      <c r="K790" s="57"/>
      <c r="L790" s="57"/>
      <c r="M790" s="57"/>
      <c r="N790" s="57"/>
      <c r="O790" s="57"/>
      <c r="P790" s="28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</row>
    <row r="791">
      <c r="A791" s="57"/>
      <c r="B791" s="57"/>
      <c r="C791" s="57"/>
      <c r="D791" s="70"/>
      <c r="E791" s="71"/>
      <c r="F791" s="57"/>
      <c r="G791" s="71"/>
      <c r="H791" s="57"/>
      <c r="I791" s="57"/>
      <c r="J791" s="57"/>
      <c r="K791" s="57"/>
      <c r="L791" s="57"/>
      <c r="M791" s="57"/>
      <c r="N791" s="57"/>
      <c r="O791" s="57"/>
      <c r="P791" s="28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</row>
    <row r="792">
      <c r="A792" s="57"/>
      <c r="B792" s="57"/>
      <c r="C792" s="57"/>
      <c r="D792" s="70"/>
      <c r="E792" s="71"/>
      <c r="F792" s="57"/>
      <c r="G792" s="71"/>
      <c r="H792" s="57"/>
      <c r="I792" s="57"/>
      <c r="J792" s="57"/>
      <c r="K792" s="57"/>
      <c r="L792" s="57"/>
      <c r="M792" s="57"/>
      <c r="N792" s="57"/>
      <c r="O792" s="57"/>
      <c r="P792" s="28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</row>
    <row r="793">
      <c r="A793" s="57"/>
      <c r="B793" s="57"/>
      <c r="C793" s="57"/>
      <c r="D793" s="70"/>
      <c r="E793" s="71"/>
      <c r="F793" s="57"/>
      <c r="G793" s="71"/>
      <c r="H793" s="57"/>
      <c r="I793" s="57"/>
      <c r="J793" s="57"/>
      <c r="K793" s="57"/>
      <c r="L793" s="57"/>
      <c r="M793" s="57"/>
      <c r="N793" s="57"/>
      <c r="O793" s="57"/>
      <c r="P793" s="28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</row>
    <row r="794">
      <c r="A794" s="57"/>
      <c r="B794" s="57"/>
      <c r="C794" s="57"/>
      <c r="D794" s="70"/>
      <c r="E794" s="71"/>
      <c r="F794" s="57"/>
      <c r="G794" s="71"/>
      <c r="H794" s="57"/>
      <c r="I794" s="57"/>
      <c r="J794" s="57"/>
      <c r="K794" s="57"/>
      <c r="L794" s="57"/>
      <c r="M794" s="57"/>
      <c r="N794" s="57"/>
      <c r="O794" s="57"/>
      <c r="P794" s="28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</row>
    <row r="795">
      <c r="A795" s="57"/>
      <c r="B795" s="57"/>
      <c r="C795" s="57"/>
      <c r="D795" s="70"/>
      <c r="E795" s="71"/>
      <c r="F795" s="57"/>
      <c r="G795" s="71"/>
      <c r="H795" s="57"/>
      <c r="I795" s="57"/>
      <c r="J795" s="57"/>
      <c r="K795" s="57"/>
      <c r="L795" s="57"/>
      <c r="M795" s="57"/>
      <c r="N795" s="57"/>
      <c r="O795" s="57"/>
      <c r="P795" s="28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</row>
    <row r="796">
      <c r="A796" s="57"/>
      <c r="B796" s="57"/>
      <c r="C796" s="57"/>
      <c r="D796" s="70"/>
      <c r="E796" s="71"/>
      <c r="F796" s="57"/>
      <c r="G796" s="71"/>
      <c r="H796" s="57"/>
      <c r="I796" s="57"/>
      <c r="J796" s="57"/>
      <c r="K796" s="57"/>
      <c r="L796" s="57"/>
      <c r="M796" s="57"/>
      <c r="N796" s="57"/>
      <c r="O796" s="57"/>
      <c r="P796" s="28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</row>
    <row r="797">
      <c r="A797" s="57"/>
      <c r="B797" s="57"/>
      <c r="C797" s="57"/>
      <c r="D797" s="70"/>
      <c r="E797" s="71"/>
      <c r="F797" s="57"/>
      <c r="G797" s="71"/>
      <c r="H797" s="57"/>
      <c r="I797" s="57"/>
      <c r="J797" s="57"/>
      <c r="K797" s="57"/>
      <c r="L797" s="57"/>
      <c r="M797" s="57"/>
      <c r="N797" s="57"/>
      <c r="O797" s="57"/>
      <c r="P797" s="28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</row>
    <row r="798">
      <c r="A798" s="57"/>
      <c r="B798" s="57"/>
      <c r="C798" s="57"/>
      <c r="D798" s="70"/>
      <c r="E798" s="71"/>
      <c r="F798" s="57"/>
      <c r="G798" s="71"/>
      <c r="H798" s="57"/>
      <c r="I798" s="57"/>
      <c r="J798" s="57"/>
      <c r="K798" s="57"/>
      <c r="L798" s="57"/>
      <c r="M798" s="57"/>
      <c r="N798" s="57"/>
      <c r="O798" s="57"/>
      <c r="P798" s="28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</row>
    <row r="799">
      <c r="A799" s="57"/>
      <c r="B799" s="57"/>
      <c r="C799" s="57"/>
      <c r="D799" s="70"/>
      <c r="E799" s="71"/>
      <c r="F799" s="57"/>
      <c r="G799" s="71"/>
      <c r="H799" s="57"/>
      <c r="I799" s="57"/>
      <c r="J799" s="57"/>
      <c r="K799" s="57"/>
      <c r="L799" s="57"/>
      <c r="M799" s="57"/>
      <c r="N799" s="57"/>
      <c r="O799" s="57"/>
      <c r="P799" s="28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</row>
    <row r="800">
      <c r="A800" s="57"/>
      <c r="B800" s="57"/>
      <c r="C800" s="57"/>
      <c r="D800" s="70"/>
      <c r="E800" s="71"/>
      <c r="F800" s="57"/>
      <c r="G800" s="71"/>
      <c r="H800" s="57"/>
      <c r="I800" s="57"/>
      <c r="J800" s="57"/>
      <c r="K800" s="57"/>
      <c r="L800" s="57"/>
      <c r="M800" s="57"/>
      <c r="N800" s="57"/>
      <c r="O800" s="57"/>
      <c r="P800" s="28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</row>
    <row r="801">
      <c r="A801" s="57"/>
      <c r="B801" s="57"/>
      <c r="C801" s="57"/>
      <c r="D801" s="70"/>
      <c r="E801" s="71"/>
      <c r="F801" s="57"/>
      <c r="G801" s="71"/>
      <c r="H801" s="57"/>
      <c r="I801" s="57"/>
      <c r="J801" s="57"/>
      <c r="K801" s="57"/>
      <c r="L801" s="57"/>
      <c r="M801" s="57"/>
      <c r="N801" s="57"/>
      <c r="O801" s="57"/>
      <c r="P801" s="28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</row>
    <row r="802">
      <c r="A802" s="57"/>
      <c r="B802" s="57"/>
      <c r="C802" s="57"/>
      <c r="D802" s="70"/>
      <c r="E802" s="71"/>
      <c r="F802" s="57"/>
      <c r="G802" s="71"/>
      <c r="H802" s="57"/>
      <c r="I802" s="57"/>
      <c r="J802" s="57"/>
      <c r="K802" s="57"/>
      <c r="L802" s="57"/>
      <c r="M802" s="57"/>
      <c r="N802" s="57"/>
      <c r="O802" s="57"/>
      <c r="P802" s="28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</row>
    <row r="803">
      <c r="A803" s="57"/>
      <c r="B803" s="57"/>
      <c r="C803" s="57"/>
      <c r="D803" s="70"/>
      <c r="E803" s="71"/>
      <c r="F803" s="57"/>
      <c r="G803" s="71"/>
      <c r="H803" s="57"/>
      <c r="I803" s="57"/>
      <c r="J803" s="57"/>
      <c r="K803" s="57"/>
      <c r="L803" s="57"/>
      <c r="M803" s="57"/>
      <c r="N803" s="57"/>
      <c r="O803" s="57"/>
      <c r="P803" s="28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</row>
    <row r="804">
      <c r="A804" s="57"/>
      <c r="B804" s="57"/>
      <c r="C804" s="57"/>
      <c r="D804" s="70"/>
      <c r="E804" s="71"/>
      <c r="F804" s="57"/>
      <c r="G804" s="71"/>
      <c r="H804" s="57"/>
      <c r="I804" s="57"/>
      <c r="J804" s="57"/>
      <c r="K804" s="57"/>
      <c r="L804" s="57"/>
      <c r="M804" s="57"/>
      <c r="N804" s="57"/>
      <c r="O804" s="57"/>
      <c r="P804" s="28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</row>
    <row r="805">
      <c r="A805" s="57"/>
      <c r="B805" s="57"/>
      <c r="C805" s="57"/>
      <c r="D805" s="70"/>
      <c r="E805" s="71"/>
      <c r="F805" s="57"/>
      <c r="G805" s="71"/>
      <c r="H805" s="57"/>
      <c r="I805" s="57"/>
      <c r="J805" s="57"/>
      <c r="K805" s="57"/>
      <c r="L805" s="57"/>
      <c r="M805" s="57"/>
      <c r="N805" s="57"/>
      <c r="O805" s="57"/>
      <c r="P805" s="28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</row>
    <row r="806">
      <c r="A806" s="57"/>
      <c r="B806" s="57"/>
      <c r="C806" s="57"/>
      <c r="D806" s="70"/>
      <c r="E806" s="71"/>
      <c r="F806" s="57"/>
      <c r="G806" s="71"/>
      <c r="H806" s="57"/>
      <c r="I806" s="57"/>
      <c r="J806" s="57"/>
      <c r="K806" s="57"/>
      <c r="L806" s="57"/>
      <c r="M806" s="57"/>
      <c r="N806" s="57"/>
      <c r="O806" s="57"/>
      <c r="P806" s="28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</row>
    <row r="807">
      <c r="A807" s="57"/>
      <c r="B807" s="57"/>
      <c r="C807" s="57"/>
      <c r="D807" s="70"/>
      <c r="E807" s="71"/>
      <c r="F807" s="57"/>
      <c r="G807" s="71"/>
      <c r="H807" s="57"/>
      <c r="I807" s="57"/>
      <c r="J807" s="57"/>
      <c r="K807" s="57"/>
      <c r="L807" s="57"/>
      <c r="M807" s="57"/>
      <c r="N807" s="57"/>
      <c r="O807" s="57"/>
      <c r="P807" s="28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</row>
    <row r="808">
      <c r="A808" s="57"/>
      <c r="B808" s="57"/>
      <c r="C808" s="57"/>
      <c r="D808" s="70"/>
      <c r="E808" s="71"/>
      <c r="F808" s="57"/>
      <c r="G808" s="71"/>
      <c r="H808" s="57"/>
      <c r="I808" s="57"/>
      <c r="J808" s="57"/>
      <c r="K808" s="57"/>
      <c r="L808" s="57"/>
      <c r="M808" s="57"/>
      <c r="N808" s="57"/>
      <c r="O808" s="57"/>
      <c r="P808" s="28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</row>
    <row r="809">
      <c r="A809" s="57"/>
      <c r="B809" s="57"/>
      <c r="C809" s="57"/>
      <c r="D809" s="70"/>
      <c r="E809" s="71"/>
      <c r="F809" s="57"/>
      <c r="G809" s="71"/>
      <c r="H809" s="57"/>
      <c r="I809" s="57"/>
      <c r="J809" s="57"/>
      <c r="K809" s="57"/>
      <c r="L809" s="57"/>
      <c r="M809" s="57"/>
      <c r="N809" s="57"/>
      <c r="O809" s="57"/>
      <c r="P809" s="28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</row>
    <row r="810">
      <c r="A810" s="57"/>
      <c r="B810" s="57"/>
      <c r="C810" s="57"/>
      <c r="D810" s="70"/>
      <c r="E810" s="71"/>
      <c r="F810" s="57"/>
      <c r="G810" s="71"/>
      <c r="H810" s="57"/>
      <c r="I810" s="57"/>
      <c r="J810" s="57"/>
      <c r="K810" s="57"/>
      <c r="L810" s="57"/>
      <c r="M810" s="57"/>
      <c r="N810" s="57"/>
      <c r="O810" s="57"/>
      <c r="P810" s="28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</row>
    <row r="811">
      <c r="A811" s="57"/>
      <c r="B811" s="57"/>
      <c r="C811" s="57"/>
      <c r="D811" s="70"/>
      <c r="E811" s="71"/>
      <c r="F811" s="57"/>
      <c r="G811" s="71"/>
      <c r="H811" s="57"/>
      <c r="I811" s="57"/>
      <c r="J811" s="57"/>
      <c r="K811" s="57"/>
      <c r="L811" s="57"/>
      <c r="M811" s="57"/>
      <c r="N811" s="57"/>
      <c r="O811" s="57"/>
      <c r="P811" s="28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</row>
    <row r="812">
      <c r="A812" s="57"/>
      <c r="B812" s="57"/>
      <c r="C812" s="57"/>
      <c r="D812" s="70"/>
      <c r="E812" s="71"/>
      <c r="F812" s="57"/>
      <c r="G812" s="71"/>
      <c r="H812" s="57"/>
      <c r="I812" s="57"/>
      <c r="J812" s="57"/>
      <c r="K812" s="57"/>
      <c r="L812" s="57"/>
      <c r="M812" s="57"/>
      <c r="N812" s="57"/>
      <c r="O812" s="57"/>
      <c r="P812" s="28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</row>
    <row r="813">
      <c r="A813" s="57"/>
      <c r="B813" s="57"/>
      <c r="C813" s="57"/>
      <c r="D813" s="70"/>
      <c r="E813" s="71"/>
      <c r="F813" s="57"/>
      <c r="G813" s="71"/>
      <c r="H813" s="57"/>
      <c r="I813" s="57"/>
      <c r="J813" s="57"/>
      <c r="K813" s="57"/>
      <c r="L813" s="57"/>
      <c r="M813" s="57"/>
      <c r="N813" s="57"/>
      <c r="O813" s="57"/>
      <c r="P813" s="28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</row>
    <row r="814">
      <c r="A814" s="57"/>
      <c r="B814" s="57"/>
      <c r="C814" s="57"/>
      <c r="D814" s="70"/>
      <c r="E814" s="71"/>
      <c r="F814" s="57"/>
      <c r="G814" s="71"/>
      <c r="H814" s="57"/>
      <c r="I814" s="57"/>
      <c r="J814" s="57"/>
      <c r="K814" s="57"/>
      <c r="L814" s="57"/>
      <c r="M814" s="57"/>
      <c r="N814" s="57"/>
      <c r="O814" s="57"/>
      <c r="P814" s="28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</row>
    <row r="815">
      <c r="A815" s="57"/>
      <c r="B815" s="57"/>
      <c r="C815" s="57"/>
      <c r="D815" s="70"/>
      <c r="E815" s="71"/>
      <c r="F815" s="57"/>
      <c r="G815" s="71"/>
      <c r="H815" s="57"/>
      <c r="I815" s="57"/>
      <c r="J815" s="57"/>
      <c r="K815" s="57"/>
      <c r="L815" s="57"/>
      <c r="M815" s="57"/>
      <c r="N815" s="57"/>
      <c r="O815" s="57"/>
      <c r="P815" s="28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</row>
    <row r="816">
      <c r="A816" s="57"/>
      <c r="B816" s="57"/>
      <c r="C816" s="57"/>
      <c r="D816" s="70"/>
      <c r="E816" s="71"/>
      <c r="F816" s="57"/>
      <c r="G816" s="71"/>
      <c r="H816" s="57"/>
      <c r="I816" s="57"/>
      <c r="J816" s="57"/>
      <c r="K816" s="57"/>
      <c r="L816" s="57"/>
      <c r="M816" s="57"/>
      <c r="N816" s="57"/>
      <c r="O816" s="57"/>
      <c r="P816" s="28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</row>
    <row r="817">
      <c r="A817" s="57"/>
      <c r="B817" s="57"/>
      <c r="C817" s="57"/>
      <c r="D817" s="70"/>
      <c r="E817" s="71"/>
      <c r="F817" s="57"/>
      <c r="G817" s="71"/>
      <c r="H817" s="57"/>
      <c r="I817" s="57"/>
      <c r="J817" s="57"/>
      <c r="K817" s="57"/>
      <c r="L817" s="57"/>
      <c r="M817" s="57"/>
      <c r="N817" s="57"/>
      <c r="O817" s="57"/>
      <c r="P817" s="28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</row>
    <row r="818">
      <c r="A818" s="57"/>
      <c r="B818" s="57"/>
      <c r="C818" s="57"/>
      <c r="D818" s="70"/>
      <c r="E818" s="71"/>
      <c r="F818" s="57"/>
      <c r="G818" s="71"/>
      <c r="H818" s="57"/>
      <c r="I818" s="57"/>
      <c r="J818" s="57"/>
      <c r="K818" s="57"/>
      <c r="L818" s="57"/>
      <c r="M818" s="57"/>
      <c r="N818" s="57"/>
      <c r="O818" s="57"/>
      <c r="P818" s="28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</row>
    <row r="819">
      <c r="A819" s="57"/>
      <c r="B819" s="57"/>
      <c r="C819" s="57"/>
      <c r="D819" s="70"/>
      <c r="E819" s="71"/>
      <c r="F819" s="57"/>
      <c r="G819" s="71"/>
      <c r="H819" s="57"/>
      <c r="I819" s="57"/>
      <c r="J819" s="57"/>
      <c r="K819" s="57"/>
      <c r="L819" s="57"/>
      <c r="M819" s="57"/>
      <c r="N819" s="57"/>
      <c r="O819" s="57"/>
      <c r="P819" s="28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</row>
    <row r="820">
      <c r="A820" s="57"/>
      <c r="B820" s="57"/>
      <c r="C820" s="57"/>
      <c r="D820" s="70"/>
      <c r="E820" s="71"/>
      <c r="F820" s="57"/>
      <c r="G820" s="71"/>
      <c r="H820" s="57"/>
      <c r="I820" s="57"/>
      <c r="J820" s="57"/>
      <c r="K820" s="57"/>
      <c r="L820" s="57"/>
      <c r="M820" s="57"/>
      <c r="N820" s="57"/>
      <c r="O820" s="57"/>
      <c r="P820" s="28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</row>
    <row r="821">
      <c r="A821" s="57"/>
      <c r="B821" s="57"/>
      <c r="C821" s="57"/>
      <c r="D821" s="70"/>
      <c r="E821" s="71"/>
      <c r="F821" s="57"/>
      <c r="G821" s="71"/>
      <c r="H821" s="57"/>
      <c r="I821" s="57"/>
      <c r="J821" s="57"/>
      <c r="K821" s="57"/>
      <c r="L821" s="57"/>
      <c r="M821" s="57"/>
      <c r="N821" s="57"/>
      <c r="O821" s="57"/>
      <c r="P821" s="28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</row>
    <row r="822">
      <c r="A822" s="57"/>
      <c r="B822" s="57"/>
      <c r="C822" s="57"/>
      <c r="D822" s="70"/>
      <c r="E822" s="71"/>
      <c r="F822" s="57"/>
      <c r="G822" s="71"/>
      <c r="H822" s="57"/>
      <c r="I822" s="57"/>
      <c r="J822" s="57"/>
      <c r="K822" s="57"/>
      <c r="L822" s="57"/>
      <c r="M822" s="57"/>
      <c r="N822" s="57"/>
      <c r="O822" s="57"/>
      <c r="P822" s="28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</row>
    <row r="823">
      <c r="A823" s="57"/>
      <c r="B823" s="57"/>
      <c r="C823" s="57"/>
      <c r="D823" s="70"/>
      <c r="E823" s="71"/>
      <c r="F823" s="57"/>
      <c r="G823" s="71"/>
      <c r="H823" s="57"/>
      <c r="I823" s="57"/>
      <c r="J823" s="57"/>
      <c r="K823" s="57"/>
      <c r="L823" s="57"/>
      <c r="M823" s="57"/>
      <c r="N823" s="57"/>
      <c r="O823" s="57"/>
      <c r="P823" s="28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</row>
    <row r="824">
      <c r="A824" s="57"/>
      <c r="B824" s="57"/>
      <c r="C824" s="57"/>
      <c r="D824" s="70"/>
      <c r="E824" s="71"/>
      <c r="F824" s="57"/>
      <c r="G824" s="71"/>
      <c r="H824" s="57"/>
      <c r="I824" s="57"/>
      <c r="J824" s="57"/>
      <c r="K824" s="57"/>
      <c r="L824" s="57"/>
      <c r="M824" s="57"/>
      <c r="N824" s="57"/>
      <c r="O824" s="57"/>
      <c r="P824" s="28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</row>
    <row r="825">
      <c r="A825" s="57"/>
      <c r="B825" s="57"/>
      <c r="C825" s="57"/>
      <c r="D825" s="70"/>
      <c r="E825" s="71"/>
      <c r="F825" s="57"/>
      <c r="G825" s="71"/>
      <c r="H825" s="57"/>
      <c r="I825" s="57"/>
      <c r="J825" s="57"/>
      <c r="K825" s="57"/>
      <c r="L825" s="57"/>
      <c r="M825" s="57"/>
      <c r="N825" s="57"/>
      <c r="O825" s="57"/>
      <c r="P825" s="28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</row>
    <row r="826">
      <c r="A826" s="57"/>
      <c r="B826" s="57"/>
      <c r="C826" s="57"/>
      <c r="D826" s="70"/>
      <c r="E826" s="71"/>
      <c r="F826" s="57"/>
      <c r="G826" s="71"/>
      <c r="H826" s="57"/>
      <c r="I826" s="57"/>
      <c r="J826" s="57"/>
      <c r="K826" s="57"/>
      <c r="L826" s="57"/>
      <c r="M826" s="57"/>
      <c r="N826" s="57"/>
      <c r="O826" s="57"/>
      <c r="P826" s="28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</row>
    <row r="827">
      <c r="A827" s="57"/>
      <c r="B827" s="57"/>
      <c r="C827" s="57"/>
      <c r="D827" s="70"/>
      <c r="E827" s="71"/>
      <c r="F827" s="57"/>
      <c r="G827" s="71"/>
      <c r="H827" s="57"/>
      <c r="I827" s="57"/>
      <c r="J827" s="57"/>
      <c r="K827" s="57"/>
      <c r="L827" s="57"/>
      <c r="M827" s="57"/>
      <c r="N827" s="57"/>
      <c r="O827" s="57"/>
      <c r="P827" s="28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</row>
    <row r="828">
      <c r="A828" s="57"/>
      <c r="B828" s="57"/>
      <c r="C828" s="57"/>
      <c r="D828" s="70"/>
      <c r="E828" s="71"/>
      <c r="F828" s="57"/>
      <c r="G828" s="71"/>
      <c r="H828" s="57"/>
      <c r="I828" s="57"/>
      <c r="J828" s="57"/>
      <c r="K828" s="57"/>
      <c r="L828" s="57"/>
      <c r="M828" s="57"/>
      <c r="N828" s="57"/>
      <c r="O828" s="57"/>
      <c r="P828" s="28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</row>
    <row r="829">
      <c r="A829" s="57"/>
      <c r="B829" s="57"/>
      <c r="C829" s="57"/>
      <c r="D829" s="70"/>
      <c r="E829" s="71"/>
      <c r="F829" s="57"/>
      <c r="G829" s="71"/>
      <c r="H829" s="57"/>
      <c r="I829" s="57"/>
      <c r="J829" s="57"/>
      <c r="K829" s="57"/>
      <c r="L829" s="57"/>
      <c r="M829" s="57"/>
      <c r="N829" s="57"/>
      <c r="O829" s="57"/>
      <c r="P829" s="28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</row>
    <row r="830">
      <c r="A830" s="57"/>
      <c r="B830" s="57"/>
      <c r="C830" s="57"/>
      <c r="D830" s="70"/>
      <c r="E830" s="71"/>
      <c r="F830" s="57"/>
      <c r="G830" s="71"/>
      <c r="H830" s="57"/>
      <c r="I830" s="57"/>
      <c r="J830" s="57"/>
      <c r="K830" s="57"/>
      <c r="L830" s="57"/>
      <c r="M830" s="57"/>
      <c r="N830" s="57"/>
      <c r="O830" s="57"/>
      <c r="P830" s="28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</row>
    <row r="831">
      <c r="A831" s="57"/>
      <c r="B831" s="57"/>
      <c r="C831" s="57"/>
      <c r="D831" s="70"/>
      <c r="E831" s="71"/>
      <c r="F831" s="57"/>
      <c r="G831" s="71"/>
      <c r="H831" s="57"/>
      <c r="I831" s="57"/>
      <c r="J831" s="57"/>
      <c r="K831" s="57"/>
      <c r="L831" s="57"/>
      <c r="M831" s="57"/>
      <c r="N831" s="57"/>
      <c r="O831" s="57"/>
      <c r="P831" s="28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</row>
    <row r="832">
      <c r="A832" s="57"/>
      <c r="B832" s="57"/>
      <c r="C832" s="57"/>
      <c r="D832" s="70"/>
      <c r="E832" s="71"/>
      <c r="F832" s="57"/>
      <c r="G832" s="71"/>
      <c r="H832" s="57"/>
      <c r="I832" s="57"/>
      <c r="J832" s="57"/>
      <c r="K832" s="57"/>
      <c r="L832" s="57"/>
      <c r="M832" s="57"/>
      <c r="N832" s="57"/>
      <c r="O832" s="57"/>
      <c r="P832" s="28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</row>
    <row r="833">
      <c r="A833" s="57"/>
      <c r="B833" s="57"/>
      <c r="C833" s="57"/>
      <c r="D833" s="70"/>
      <c r="E833" s="71"/>
      <c r="F833" s="57"/>
      <c r="G833" s="71"/>
      <c r="H833" s="57"/>
      <c r="I833" s="57"/>
      <c r="J833" s="57"/>
      <c r="K833" s="57"/>
      <c r="L833" s="57"/>
      <c r="M833" s="57"/>
      <c r="N833" s="57"/>
      <c r="O833" s="57"/>
      <c r="P833" s="28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</row>
    <row r="834">
      <c r="A834" s="57"/>
      <c r="B834" s="57"/>
      <c r="C834" s="57"/>
      <c r="D834" s="70"/>
      <c r="E834" s="71"/>
      <c r="F834" s="57"/>
      <c r="G834" s="71"/>
      <c r="H834" s="57"/>
      <c r="I834" s="57"/>
      <c r="J834" s="57"/>
      <c r="K834" s="57"/>
      <c r="L834" s="57"/>
      <c r="M834" s="57"/>
      <c r="N834" s="57"/>
      <c r="O834" s="57"/>
      <c r="P834" s="28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</row>
    <row r="835">
      <c r="A835" s="57"/>
      <c r="B835" s="57"/>
      <c r="C835" s="57"/>
      <c r="D835" s="70"/>
      <c r="E835" s="71"/>
      <c r="F835" s="57"/>
      <c r="G835" s="71"/>
      <c r="H835" s="57"/>
      <c r="I835" s="57"/>
      <c r="J835" s="57"/>
      <c r="K835" s="57"/>
      <c r="L835" s="57"/>
      <c r="M835" s="57"/>
      <c r="N835" s="57"/>
      <c r="O835" s="57"/>
      <c r="P835" s="28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</row>
    <row r="836">
      <c r="A836" s="57"/>
      <c r="B836" s="57"/>
      <c r="C836" s="57"/>
      <c r="D836" s="70"/>
      <c r="E836" s="71"/>
      <c r="F836" s="57"/>
      <c r="G836" s="71"/>
      <c r="H836" s="57"/>
      <c r="I836" s="57"/>
      <c r="J836" s="57"/>
      <c r="K836" s="57"/>
      <c r="L836" s="57"/>
      <c r="M836" s="57"/>
      <c r="N836" s="57"/>
      <c r="O836" s="57"/>
      <c r="P836" s="28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</row>
    <row r="837">
      <c r="A837" s="57"/>
      <c r="B837" s="57"/>
      <c r="C837" s="57"/>
      <c r="D837" s="70"/>
      <c r="E837" s="71"/>
      <c r="F837" s="57"/>
      <c r="G837" s="71"/>
      <c r="H837" s="57"/>
      <c r="I837" s="57"/>
      <c r="J837" s="57"/>
      <c r="K837" s="57"/>
      <c r="L837" s="57"/>
      <c r="M837" s="57"/>
      <c r="N837" s="57"/>
      <c r="O837" s="57"/>
      <c r="P837" s="28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</row>
    <row r="838">
      <c r="A838" s="57"/>
      <c r="B838" s="57"/>
      <c r="C838" s="57"/>
      <c r="D838" s="70"/>
      <c r="E838" s="71"/>
      <c r="F838" s="57"/>
      <c r="G838" s="71"/>
      <c r="H838" s="57"/>
      <c r="I838" s="57"/>
      <c r="J838" s="57"/>
      <c r="K838" s="57"/>
      <c r="L838" s="57"/>
      <c r="M838" s="57"/>
      <c r="N838" s="57"/>
      <c r="O838" s="57"/>
      <c r="P838" s="28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</row>
    <row r="839">
      <c r="A839" s="57"/>
      <c r="B839" s="57"/>
      <c r="C839" s="57"/>
      <c r="D839" s="70"/>
      <c r="E839" s="71"/>
      <c r="F839" s="57"/>
      <c r="G839" s="71"/>
      <c r="H839" s="57"/>
      <c r="I839" s="57"/>
      <c r="J839" s="57"/>
      <c r="K839" s="57"/>
      <c r="L839" s="57"/>
      <c r="M839" s="57"/>
      <c r="N839" s="57"/>
      <c r="O839" s="57"/>
      <c r="P839" s="28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</row>
    <row r="840">
      <c r="A840" s="57"/>
      <c r="B840" s="57"/>
      <c r="C840" s="57"/>
      <c r="D840" s="70"/>
      <c r="E840" s="71"/>
      <c r="F840" s="57"/>
      <c r="G840" s="71"/>
      <c r="H840" s="57"/>
      <c r="I840" s="57"/>
      <c r="J840" s="57"/>
      <c r="K840" s="57"/>
      <c r="L840" s="57"/>
      <c r="M840" s="57"/>
      <c r="N840" s="57"/>
      <c r="O840" s="57"/>
      <c r="P840" s="28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</row>
    <row r="841">
      <c r="A841" s="57"/>
      <c r="B841" s="57"/>
      <c r="C841" s="57"/>
      <c r="D841" s="70"/>
      <c r="E841" s="71"/>
      <c r="F841" s="57"/>
      <c r="G841" s="71"/>
      <c r="H841" s="57"/>
      <c r="I841" s="57"/>
      <c r="J841" s="57"/>
      <c r="K841" s="57"/>
      <c r="L841" s="57"/>
      <c r="M841" s="57"/>
      <c r="N841" s="57"/>
      <c r="O841" s="57"/>
      <c r="P841" s="28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</row>
    <row r="842">
      <c r="A842" s="57"/>
      <c r="B842" s="57"/>
      <c r="C842" s="57"/>
      <c r="D842" s="70"/>
      <c r="E842" s="71"/>
      <c r="F842" s="57"/>
      <c r="G842" s="71"/>
      <c r="H842" s="57"/>
      <c r="I842" s="57"/>
      <c r="J842" s="57"/>
      <c r="K842" s="57"/>
      <c r="L842" s="57"/>
      <c r="M842" s="57"/>
      <c r="N842" s="57"/>
      <c r="O842" s="57"/>
      <c r="P842" s="28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</row>
    <row r="843">
      <c r="A843" s="57"/>
      <c r="B843" s="57"/>
      <c r="C843" s="57"/>
      <c r="D843" s="70"/>
      <c r="E843" s="71"/>
      <c r="F843" s="57"/>
      <c r="G843" s="71"/>
      <c r="H843" s="57"/>
      <c r="I843" s="57"/>
      <c r="J843" s="57"/>
      <c r="K843" s="57"/>
      <c r="L843" s="57"/>
      <c r="M843" s="57"/>
      <c r="N843" s="57"/>
      <c r="O843" s="57"/>
      <c r="P843" s="28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</row>
    <row r="844">
      <c r="A844" s="57"/>
      <c r="B844" s="57"/>
      <c r="C844" s="57"/>
      <c r="D844" s="70"/>
      <c r="E844" s="71"/>
      <c r="F844" s="57"/>
      <c r="G844" s="71"/>
      <c r="H844" s="57"/>
      <c r="I844" s="57"/>
      <c r="J844" s="57"/>
      <c r="K844" s="57"/>
      <c r="L844" s="57"/>
      <c r="M844" s="57"/>
      <c r="N844" s="57"/>
      <c r="O844" s="57"/>
      <c r="P844" s="28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</row>
    <row r="845">
      <c r="A845" s="57"/>
      <c r="B845" s="57"/>
      <c r="C845" s="57"/>
      <c r="D845" s="70"/>
      <c r="E845" s="71"/>
      <c r="F845" s="57"/>
      <c r="G845" s="71"/>
      <c r="H845" s="57"/>
      <c r="I845" s="57"/>
      <c r="J845" s="57"/>
      <c r="K845" s="57"/>
      <c r="L845" s="57"/>
      <c r="M845" s="57"/>
      <c r="N845" s="57"/>
      <c r="O845" s="57"/>
      <c r="P845" s="28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</row>
    <row r="846">
      <c r="A846" s="57"/>
      <c r="B846" s="57"/>
      <c r="C846" s="57"/>
      <c r="D846" s="70"/>
      <c r="E846" s="71"/>
      <c r="F846" s="57"/>
      <c r="G846" s="71"/>
      <c r="H846" s="57"/>
      <c r="I846" s="57"/>
      <c r="J846" s="57"/>
      <c r="K846" s="57"/>
      <c r="L846" s="57"/>
      <c r="M846" s="57"/>
      <c r="N846" s="57"/>
      <c r="O846" s="57"/>
      <c r="P846" s="28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</row>
    <row r="847">
      <c r="A847" s="57"/>
      <c r="B847" s="57"/>
      <c r="C847" s="57"/>
      <c r="D847" s="70"/>
      <c r="E847" s="71"/>
      <c r="F847" s="57"/>
      <c r="G847" s="71"/>
      <c r="H847" s="57"/>
      <c r="I847" s="57"/>
      <c r="J847" s="57"/>
      <c r="K847" s="57"/>
      <c r="L847" s="57"/>
      <c r="M847" s="57"/>
      <c r="N847" s="57"/>
      <c r="O847" s="57"/>
      <c r="P847" s="28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</row>
    <row r="848">
      <c r="A848" s="57"/>
      <c r="B848" s="57"/>
      <c r="C848" s="57"/>
      <c r="D848" s="70"/>
      <c r="E848" s="71"/>
      <c r="F848" s="57"/>
      <c r="G848" s="71"/>
      <c r="H848" s="57"/>
      <c r="I848" s="57"/>
      <c r="J848" s="57"/>
      <c r="K848" s="57"/>
      <c r="L848" s="57"/>
      <c r="M848" s="57"/>
      <c r="N848" s="57"/>
      <c r="O848" s="57"/>
      <c r="P848" s="28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</row>
    <row r="849">
      <c r="A849" s="57"/>
      <c r="B849" s="57"/>
      <c r="C849" s="57"/>
      <c r="D849" s="70"/>
      <c r="E849" s="71"/>
      <c r="F849" s="57"/>
      <c r="G849" s="71"/>
      <c r="H849" s="57"/>
      <c r="I849" s="57"/>
      <c r="J849" s="57"/>
      <c r="K849" s="57"/>
      <c r="L849" s="57"/>
      <c r="M849" s="57"/>
      <c r="N849" s="57"/>
      <c r="O849" s="57"/>
      <c r="P849" s="28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</row>
    <row r="850">
      <c r="A850" s="57"/>
      <c r="B850" s="57"/>
      <c r="C850" s="57"/>
      <c r="D850" s="70"/>
      <c r="E850" s="71"/>
      <c r="F850" s="57"/>
      <c r="G850" s="71"/>
      <c r="H850" s="57"/>
      <c r="I850" s="57"/>
      <c r="J850" s="57"/>
      <c r="K850" s="57"/>
      <c r="L850" s="57"/>
      <c r="M850" s="57"/>
      <c r="N850" s="57"/>
      <c r="O850" s="57"/>
      <c r="P850" s="28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</row>
    <row r="851">
      <c r="A851" s="57"/>
      <c r="B851" s="57"/>
      <c r="C851" s="57"/>
      <c r="D851" s="70"/>
      <c r="E851" s="71"/>
      <c r="F851" s="57"/>
      <c r="G851" s="71"/>
      <c r="H851" s="57"/>
      <c r="I851" s="57"/>
      <c r="J851" s="57"/>
      <c r="K851" s="57"/>
      <c r="L851" s="57"/>
      <c r="M851" s="57"/>
      <c r="N851" s="57"/>
      <c r="O851" s="57"/>
      <c r="P851" s="28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</row>
    <row r="852">
      <c r="A852" s="57"/>
      <c r="B852" s="57"/>
      <c r="C852" s="57"/>
      <c r="D852" s="70"/>
      <c r="E852" s="71"/>
      <c r="F852" s="57"/>
      <c r="G852" s="71"/>
      <c r="H852" s="57"/>
      <c r="I852" s="57"/>
      <c r="J852" s="57"/>
      <c r="K852" s="57"/>
      <c r="L852" s="57"/>
      <c r="M852" s="57"/>
      <c r="N852" s="57"/>
      <c r="O852" s="57"/>
      <c r="P852" s="28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</row>
    <row r="853">
      <c r="A853" s="57"/>
      <c r="B853" s="57"/>
      <c r="C853" s="57"/>
      <c r="D853" s="70"/>
      <c r="E853" s="71"/>
      <c r="F853" s="57"/>
      <c r="G853" s="71"/>
      <c r="H853" s="57"/>
      <c r="I853" s="57"/>
      <c r="J853" s="57"/>
      <c r="K853" s="57"/>
      <c r="L853" s="57"/>
      <c r="M853" s="57"/>
      <c r="N853" s="57"/>
      <c r="O853" s="57"/>
      <c r="P853" s="28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</row>
    <row r="854">
      <c r="A854" s="57"/>
      <c r="B854" s="57"/>
      <c r="C854" s="57"/>
      <c r="D854" s="70"/>
      <c r="E854" s="71"/>
      <c r="F854" s="57"/>
      <c r="G854" s="71"/>
      <c r="H854" s="57"/>
      <c r="I854" s="57"/>
      <c r="J854" s="57"/>
      <c r="K854" s="57"/>
      <c r="L854" s="57"/>
      <c r="M854" s="57"/>
      <c r="N854" s="57"/>
      <c r="O854" s="57"/>
      <c r="P854" s="28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</row>
    <row r="855">
      <c r="A855" s="57"/>
      <c r="B855" s="57"/>
      <c r="C855" s="57"/>
      <c r="D855" s="70"/>
      <c r="E855" s="71"/>
      <c r="F855" s="57"/>
      <c r="G855" s="71"/>
      <c r="H855" s="57"/>
      <c r="I855" s="57"/>
      <c r="J855" s="57"/>
      <c r="K855" s="57"/>
      <c r="L855" s="57"/>
      <c r="M855" s="57"/>
      <c r="N855" s="57"/>
      <c r="O855" s="57"/>
      <c r="P855" s="28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</row>
    <row r="856">
      <c r="A856" s="57"/>
      <c r="B856" s="57"/>
      <c r="C856" s="57"/>
      <c r="D856" s="70"/>
      <c r="E856" s="71"/>
      <c r="F856" s="57"/>
      <c r="G856" s="71"/>
      <c r="H856" s="57"/>
      <c r="I856" s="57"/>
      <c r="J856" s="57"/>
      <c r="K856" s="57"/>
      <c r="L856" s="57"/>
      <c r="M856" s="57"/>
      <c r="N856" s="57"/>
      <c r="O856" s="57"/>
      <c r="P856" s="28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</row>
    <row r="857">
      <c r="A857" s="57"/>
      <c r="B857" s="57"/>
      <c r="C857" s="57"/>
      <c r="D857" s="70"/>
      <c r="E857" s="71"/>
      <c r="F857" s="57"/>
      <c r="G857" s="71"/>
      <c r="H857" s="57"/>
      <c r="I857" s="57"/>
      <c r="J857" s="57"/>
      <c r="K857" s="57"/>
      <c r="L857" s="57"/>
      <c r="M857" s="57"/>
      <c r="N857" s="57"/>
      <c r="O857" s="57"/>
      <c r="P857" s="28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</row>
    <row r="858">
      <c r="A858" s="57"/>
      <c r="B858" s="57"/>
      <c r="C858" s="57"/>
      <c r="D858" s="70"/>
      <c r="E858" s="71"/>
      <c r="F858" s="57"/>
      <c r="G858" s="71"/>
      <c r="H858" s="57"/>
      <c r="I858" s="57"/>
      <c r="J858" s="57"/>
      <c r="K858" s="57"/>
      <c r="L858" s="57"/>
      <c r="M858" s="57"/>
      <c r="N858" s="57"/>
      <c r="O858" s="57"/>
      <c r="P858" s="28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</row>
    <row r="859">
      <c r="A859" s="57"/>
      <c r="B859" s="57"/>
      <c r="C859" s="57"/>
      <c r="D859" s="70"/>
      <c r="E859" s="71"/>
      <c r="F859" s="57"/>
      <c r="G859" s="71"/>
      <c r="H859" s="57"/>
      <c r="I859" s="57"/>
      <c r="J859" s="57"/>
      <c r="K859" s="57"/>
      <c r="L859" s="57"/>
      <c r="M859" s="57"/>
      <c r="N859" s="57"/>
      <c r="O859" s="57"/>
      <c r="P859" s="28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</row>
    <row r="860">
      <c r="A860" s="57"/>
      <c r="B860" s="57"/>
      <c r="C860" s="57"/>
      <c r="D860" s="70"/>
      <c r="E860" s="71"/>
      <c r="F860" s="57"/>
      <c r="G860" s="71"/>
      <c r="H860" s="57"/>
      <c r="I860" s="57"/>
      <c r="J860" s="57"/>
      <c r="K860" s="57"/>
      <c r="L860" s="57"/>
      <c r="M860" s="57"/>
      <c r="N860" s="57"/>
      <c r="O860" s="57"/>
      <c r="P860" s="28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</row>
    <row r="861">
      <c r="A861" s="57"/>
      <c r="B861" s="57"/>
      <c r="C861" s="57"/>
      <c r="D861" s="70"/>
      <c r="E861" s="71"/>
      <c r="F861" s="57"/>
      <c r="G861" s="71"/>
      <c r="H861" s="57"/>
      <c r="I861" s="57"/>
      <c r="J861" s="57"/>
      <c r="K861" s="57"/>
      <c r="L861" s="57"/>
      <c r="M861" s="57"/>
      <c r="N861" s="57"/>
      <c r="O861" s="57"/>
      <c r="P861" s="28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</row>
    <row r="862">
      <c r="A862" s="57"/>
      <c r="B862" s="57"/>
      <c r="C862" s="57"/>
      <c r="D862" s="70"/>
      <c r="E862" s="71"/>
      <c r="F862" s="57"/>
      <c r="G862" s="71"/>
      <c r="H862" s="57"/>
      <c r="I862" s="57"/>
      <c r="J862" s="57"/>
      <c r="K862" s="57"/>
      <c r="L862" s="57"/>
      <c r="M862" s="57"/>
      <c r="N862" s="57"/>
      <c r="O862" s="57"/>
      <c r="P862" s="28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</row>
    <row r="863">
      <c r="A863" s="57"/>
      <c r="B863" s="57"/>
      <c r="C863" s="57"/>
      <c r="D863" s="70"/>
      <c r="E863" s="71"/>
      <c r="F863" s="57"/>
      <c r="G863" s="71"/>
      <c r="H863" s="57"/>
      <c r="I863" s="57"/>
      <c r="J863" s="57"/>
      <c r="K863" s="57"/>
      <c r="L863" s="57"/>
      <c r="M863" s="57"/>
      <c r="N863" s="57"/>
      <c r="O863" s="57"/>
      <c r="P863" s="28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</row>
    <row r="864">
      <c r="A864" s="57"/>
      <c r="B864" s="57"/>
      <c r="C864" s="57"/>
      <c r="D864" s="70"/>
      <c r="E864" s="71"/>
      <c r="F864" s="57"/>
      <c r="G864" s="71"/>
      <c r="H864" s="57"/>
      <c r="I864" s="57"/>
      <c r="J864" s="57"/>
      <c r="K864" s="57"/>
      <c r="L864" s="57"/>
      <c r="M864" s="57"/>
      <c r="N864" s="57"/>
      <c r="O864" s="57"/>
      <c r="P864" s="28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</row>
    <row r="865">
      <c r="A865" s="57"/>
      <c r="B865" s="57"/>
      <c r="C865" s="57"/>
      <c r="D865" s="70"/>
      <c r="E865" s="71"/>
      <c r="F865" s="57"/>
      <c r="G865" s="71"/>
      <c r="H865" s="57"/>
      <c r="I865" s="57"/>
      <c r="J865" s="57"/>
      <c r="K865" s="57"/>
      <c r="L865" s="57"/>
      <c r="M865" s="57"/>
      <c r="N865" s="57"/>
      <c r="O865" s="57"/>
      <c r="P865" s="28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</row>
    <row r="866">
      <c r="A866" s="57"/>
      <c r="B866" s="57"/>
      <c r="C866" s="57"/>
      <c r="D866" s="70"/>
      <c r="E866" s="71"/>
      <c r="F866" s="57"/>
      <c r="G866" s="71"/>
      <c r="H866" s="57"/>
      <c r="I866" s="57"/>
      <c r="J866" s="57"/>
      <c r="K866" s="57"/>
      <c r="L866" s="57"/>
      <c r="M866" s="57"/>
      <c r="N866" s="57"/>
      <c r="O866" s="57"/>
      <c r="P866" s="28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</row>
    <row r="867">
      <c r="A867" s="57"/>
      <c r="B867" s="57"/>
      <c r="C867" s="57"/>
      <c r="D867" s="70"/>
      <c r="E867" s="71"/>
      <c r="F867" s="57"/>
      <c r="G867" s="71"/>
      <c r="H867" s="57"/>
      <c r="I867" s="57"/>
      <c r="J867" s="57"/>
      <c r="K867" s="57"/>
      <c r="L867" s="57"/>
      <c r="M867" s="57"/>
      <c r="N867" s="57"/>
      <c r="O867" s="57"/>
      <c r="P867" s="28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</row>
    <row r="868">
      <c r="A868" s="57"/>
      <c r="B868" s="57"/>
      <c r="C868" s="57"/>
      <c r="D868" s="70"/>
      <c r="E868" s="71"/>
      <c r="F868" s="57"/>
      <c r="G868" s="71"/>
      <c r="H868" s="57"/>
      <c r="I868" s="57"/>
      <c r="J868" s="57"/>
      <c r="K868" s="57"/>
      <c r="L868" s="57"/>
      <c r="M868" s="57"/>
      <c r="N868" s="57"/>
      <c r="O868" s="57"/>
      <c r="P868" s="28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</row>
    <row r="869">
      <c r="A869" s="57"/>
      <c r="B869" s="57"/>
      <c r="C869" s="57"/>
      <c r="D869" s="70"/>
      <c r="E869" s="71"/>
      <c r="F869" s="57"/>
      <c r="G869" s="71"/>
      <c r="H869" s="57"/>
      <c r="I869" s="57"/>
      <c r="J869" s="57"/>
      <c r="K869" s="57"/>
      <c r="L869" s="57"/>
      <c r="M869" s="57"/>
      <c r="N869" s="57"/>
      <c r="O869" s="57"/>
      <c r="P869" s="28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</row>
    <row r="870">
      <c r="A870" s="57"/>
      <c r="B870" s="57"/>
      <c r="C870" s="57"/>
      <c r="D870" s="70"/>
      <c r="E870" s="71"/>
      <c r="F870" s="57"/>
      <c r="G870" s="71"/>
      <c r="H870" s="57"/>
      <c r="I870" s="57"/>
      <c r="J870" s="57"/>
      <c r="K870" s="57"/>
      <c r="L870" s="57"/>
      <c r="M870" s="57"/>
      <c r="N870" s="57"/>
      <c r="O870" s="57"/>
      <c r="P870" s="28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</row>
    <row r="871">
      <c r="A871" s="57"/>
      <c r="B871" s="57"/>
      <c r="C871" s="57"/>
      <c r="D871" s="70"/>
      <c r="E871" s="71"/>
      <c r="F871" s="57"/>
      <c r="G871" s="71"/>
      <c r="H871" s="57"/>
      <c r="I871" s="57"/>
      <c r="J871" s="57"/>
      <c r="K871" s="57"/>
      <c r="L871" s="57"/>
      <c r="M871" s="57"/>
      <c r="N871" s="57"/>
      <c r="O871" s="57"/>
      <c r="P871" s="28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</row>
    <row r="872">
      <c r="A872" s="57"/>
      <c r="B872" s="57"/>
      <c r="C872" s="57"/>
      <c r="D872" s="70"/>
      <c r="E872" s="71"/>
      <c r="F872" s="57"/>
      <c r="G872" s="71"/>
      <c r="H872" s="57"/>
      <c r="I872" s="57"/>
      <c r="J872" s="57"/>
      <c r="K872" s="57"/>
      <c r="L872" s="57"/>
      <c r="M872" s="57"/>
      <c r="N872" s="57"/>
      <c r="O872" s="57"/>
      <c r="P872" s="28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</row>
    <row r="873">
      <c r="A873" s="57"/>
      <c r="B873" s="57"/>
      <c r="C873" s="57"/>
      <c r="D873" s="70"/>
      <c r="E873" s="71"/>
      <c r="F873" s="57"/>
      <c r="G873" s="71"/>
      <c r="H873" s="57"/>
      <c r="I873" s="57"/>
      <c r="J873" s="57"/>
      <c r="K873" s="57"/>
      <c r="L873" s="57"/>
      <c r="M873" s="57"/>
      <c r="N873" s="57"/>
      <c r="O873" s="57"/>
      <c r="P873" s="28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</row>
    <row r="874">
      <c r="A874" s="57"/>
      <c r="B874" s="57"/>
      <c r="C874" s="57"/>
      <c r="D874" s="70"/>
      <c r="E874" s="71"/>
      <c r="F874" s="57"/>
      <c r="G874" s="71"/>
      <c r="H874" s="57"/>
      <c r="I874" s="57"/>
      <c r="J874" s="57"/>
      <c r="K874" s="57"/>
      <c r="L874" s="57"/>
      <c r="M874" s="57"/>
      <c r="N874" s="57"/>
      <c r="O874" s="57"/>
      <c r="P874" s="28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</row>
    <row r="875">
      <c r="A875" s="57"/>
      <c r="B875" s="57"/>
      <c r="C875" s="57"/>
      <c r="D875" s="70"/>
      <c r="E875" s="71"/>
      <c r="F875" s="57"/>
      <c r="G875" s="71"/>
      <c r="H875" s="57"/>
      <c r="I875" s="57"/>
      <c r="J875" s="57"/>
      <c r="K875" s="57"/>
      <c r="L875" s="57"/>
      <c r="M875" s="57"/>
      <c r="N875" s="57"/>
      <c r="O875" s="57"/>
      <c r="P875" s="28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</row>
    <row r="876">
      <c r="A876" s="57"/>
      <c r="B876" s="57"/>
      <c r="C876" s="57"/>
      <c r="D876" s="70"/>
      <c r="E876" s="71"/>
      <c r="F876" s="57"/>
      <c r="G876" s="71"/>
      <c r="H876" s="57"/>
      <c r="I876" s="57"/>
      <c r="J876" s="57"/>
      <c r="K876" s="57"/>
      <c r="L876" s="57"/>
      <c r="M876" s="57"/>
      <c r="N876" s="57"/>
      <c r="O876" s="57"/>
      <c r="P876" s="28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</row>
    <row r="877">
      <c r="A877" s="57"/>
      <c r="B877" s="57"/>
      <c r="C877" s="57"/>
      <c r="D877" s="70"/>
      <c r="E877" s="71"/>
      <c r="F877" s="57"/>
      <c r="G877" s="71"/>
      <c r="H877" s="57"/>
      <c r="I877" s="57"/>
      <c r="J877" s="57"/>
      <c r="K877" s="57"/>
      <c r="L877" s="57"/>
      <c r="M877" s="57"/>
      <c r="N877" s="57"/>
      <c r="O877" s="57"/>
      <c r="P877" s="28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</row>
    <row r="878">
      <c r="A878" s="57"/>
      <c r="B878" s="57"/>
      <c r="C878" s="57"/>
      <c r="D878" s="70"/>
      <c r="E878" s="71"/>
      <c r="F878" s="57"/>
      <c r="G878" s="71"/>
      <c r="H878" s="57"/>
      <c r="I878" s="57"/>
      <c r="J878" s="57"/>
      <c r="K878" s="57"/>
      <c r="L878" s="57"/>
      <c r="M878" s="57"/>
      <c r="N878" s="57"/>
      <c r="O878" s="57"/>
      <c r="P878" s="28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</row>
    <row r="879">
      <c r="A879" s="57"/>
      <c r="B879" s="57"/>
      <c r="C879" s="57"/>
      <c r="D879" s="70"/>
      <c r="E879" s="71"/>
      <c r="F879" s="57"/>
      <c r="G879" s="71"/>
      <c r="H879" s="57"/>
      <c r="I879" s="57"/>
      <c r="J879" s="57"/>
      <c r="K879" s="57"/>
      <c r="L879" s="57"/>
      <c r="M879" s="57"/>
      <c r="N879" s="57"/>
      <c r="O879" s="57"/>
      <c r="P879" s="28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</row>
    <row r="880">
      <c r="A880" s="57"/>
      <c r="B880" s="57"/>
      <c r="C880" s="57"/>
      <c r="D880" s="70"/>
      <c r="E880" s="71"/>
      <c r="F880" s="57"/>
      <c r="G880" s="71"/>
      <c r="H880" s="57"/>
      <c r="I880" s="57"/>
      <c r="J880" s="57"/>
      <c r="K880" s="57"/>
      <c r="L880" s="57"/>
      <c r="M880" s="57"/>
      <c r="N880" s="57"/>
      <c r="O880" s="57"/>
      <c r="P880" s="28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</row>
    <row r="881">
      <c r="A881" s="57"/>
      <c r="B881" s="57"/>
      <c r="C881" s="57"/>
      <c r="D881" s="70"/>
      <c r="E881" s="71"/>
      <c r="F881" s="57"/>
      <c r="G881" s="71"/>
      <c r="H881" s="57"/>
      <c r="I881" s="57"/>
      <c r="J881" s="57"/>
      <c r="K881" s="57"/>
      <c r="L881" s="57"/>
      <c r="M881" s="57"/>
      <c r="N881" s="57"/>
      <c r="O881" s="57"/>
      <c r="P881" s="28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</row>
    <row r="882">
      <c r="A882" s="57"/>
      <c r="B882" s="57"/>
      <c r="C882" s="57"/>
      <c r="D882" s="70"/>
      <c r="E882" s="71"/>
      <c r="F882" s="57"/>
      <c r="G882" s="71"/>
      <c r="H882" s="57"/>
      <c r="I882" s="57"/>
      <c r="J882" s="57"/>
      <c r="K882" s="57"/>
      <c r="L882" s="57"/>
      <c r="M882" s="57"/>
      <c r="N882" s="57"/>
      <c r="O882" s="57"/>
      <c r="P882" s="28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</row>
    <row r="883">
      <c r="A883" s="57"/>
      <c r="B883" s="57"/>
      <c r="C883" s="57"/>
      <c r="D883" s="70"/>
      <c r="E883" s="71"/>
      <c r="F883" s="57"/>
      <c r="G883" s="71"/>
      <c r="H883" s="57"/>
      <c r="I883" s="57"/>
      <c r="J883" s="57"/>
      <c r="K883" s="57"/>
      <c r="L883" s="57"/>
      <c r="M883" s="57"/>
      <c r="N883" s="57"/>
      <c r="O883" s="57"/>
      <c r="P883" s="28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</row>
    <row r="884">
      <c r="A884" s="57"/>
      <c r="B884" s="57"/>
      <c r="C884" s="57"/>
      <c r="D884" s="70"/>
      <c r="E884" s="71"/>
      <c r="F884" s="57"/>
      <c r="G884" s="71"/>
      <c r="H884" s="57"/>
      <c r="I884" s="57"/>
      <c r="J884" s="57"/>
      <c r="K884" s="57"/>
      <c r="L884" s="57"/>
      <c r="M884" s="57"/>
      <c r="N884" s="57"/>
      <c r="O884" s="57"/>
      <c r="P884" s="28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</row>
    <row r="885">
      <c r="A885" s="57"/>
      <c r="B885" s="57"/>
      <c r="C885" s="57"/>
      <c r="D885" s="70"/>
      <c r="E885" s="71"/>
      <c r="F885" s="57"/>
      <c r="G885" s="71"/>
      <c r="H885" s="57"/>
      <c r="I885" s="57"/>
      <c r="J885" s="57"/>
      <c r="K885" s="57"/>
      <c r="L885" s="57"/>
      <c r="M885" s="57"/>
      <c r="N885" s="57"/>
      <c r="O885" s="57"/>
      <c r="P885" s="28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</row>
    <row r="886">
      <c r="A886" s="57"/>
      <c r="B886" s="57"/>
      <c r="C886" s="57"/>
      <c r="D886" s="70"/>
      <c r="E886" s="71"/>
      <c r="F886" s="57"/>
      <c r="G886" s="71"/>
      <c r="H886" s="57"/>
      <c r="I886" s="57"/>
      <c r="J886" s="57"/>
      <c r="K886" s="57"/>
      <c r="L886" s="57"/>
      <c r="M886" s="57"/>
      <c r="N886" s="57"/>
      <c r="O886" s="57"/>
      <c r="P886" s="28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</row>
    <row r="887">
      <c r="A887" s="57"/>
      <c r="B887" s="57"/>
      <c r="C887" s="57"/>
      <c r="D887" s="70"/>
      <c r="E887" s="71"/>
      <c r="F887" s="57"/>
      <c r="G887" s="71"/>
      <c r="H887" s="57"/>
      <c r="I887" s="57"/>
      <c r="J887" s="57"/>
      <c r="K887" s="57"/>
      <c r="L887" s="57"/>
      <c r="M887" s="57"/>
      <c r="N887" s="57"/>
      <c r="O887" s="57"/>
      <c r="P887" s="28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</row>
    <row r="888">
      <c r="A888" s="57"/>
      <c r="B888" s="57"/>
      <c r="C888" s="57"/>
      <c r="D888" s="70"/>
      <c r="E888" s="71"/>
      <c r="F888" s="57"/>
      <c r="G888" s="71"/>
      <c r="H888" s="57"/>
      <c r="I888" s="57"/>
      <c r="J888" s="57"/>
      <c r="K888" s="57"/>
      <c r="L888" s="57"/>
      <c r="M888" s="57"/>
      <c r="N888" s="57"/>
      <c r="O888" s="57"/>
      <c r="P888" s="28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</row>
    <row r="889">
      <c r="A889" s="57"/>
      <c r="B889" s="57"/>
      <c r="C889" s="57"/>
      <c r="D889" s="70"/>
      <c r="E889" s="71"/>
      <c r="F889" s="57"/>
      <c r="G889" s="71"/>
      <c r="H889" s="57"/>
      <c r="I889" s="57"/>
      <c r="J889" s="57"/>
      <c r="K889" s="57"/>
      <c r="L889" s="57"/>
      <c r="M889" s="57"/>
      <c r="N889" s="57"/>
      <c r="O889" s="57"/>
      <c r="P889" s="28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</row>
    <row r="890">
      <c r="A890" s="57"/>
      <c r="B890" s="57"/>
      <c r="C890" s="57"/>
      <c r="D890" s="70"/>
      <c r="E890" s="71"/>
      <c r="F890" s="57"/>
      <c r="G890" s="71"/>
      <c r="H890" s="57"/>
      <c r="I890" s="57"/>
      <c r="J890" s="57"/>
      <c r="K890" s="57"/>
      <c r="L890" s="57"/>
      <c r="M890" s="57"/>
      <c r="N890" s="57"/>
      <c r="O890" s="57"/>
      <c r="P890" s="28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</row>
    <row r="891">
      <c r="A891" s="57"/>
      <c r="B891" s="57"/>
      <c r="C891" s="57"/>
      <c r="D891" s="70"/>
      <c r="E891" s="71"/>
      <c r="F891" s="57"/>
      <c r="G891" s="71"/>
      <c r="H891" s="57"/>
      <c r="I891" s="57"/>
      <c r="J891" s="57"/>
      <c r="K891" s="57"/>
      <c r="L891" s="57"/>
      <c r="M891" s="57"/>
      <c r="N891" s="57"/>
      <c r="O891" s="57"/>
      <c r="P891" s="28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</row>
    <row r="892">
      <c r="A892" s="57"/>
      <c r="B892" s="57"/>
      <c r="C892" s="57"/>
      <c r="D892" s="70"/>
      <c r="E892" s="71"/>
      <c r="F892" s="57"/>
      <c r="G892" s="71"/>
      <c r="H892" s="57"/>
      <c r="I892" s="57"/>
      <c r="J892" s="57"/>
      <c r="K892" s="57"/>
      <c r="L892" s="57"/>
      <c r="M892" s="57"/>
      <c r="N892" s="57"/>
      <c r="O892" s="57"/>
      <c r="P892" s="28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</row>
    <row r="893">
      <c r="A893" s="57"/>
      <c r="B893" s="57"/>
      <c r="C893" s="57"/>
      <c r="D893" s="70"/>
      <c r="E893" s="71"/>
      <c r="F893" s="57"/>
      <c r="G893" s="71"/>
      <c r="H893" s="57"/>
      <c r="I893" s="57"/>
      <c r="J893" s="57"/>
      <c r="K893" s="57"/>
      <c r="L893" s="57"/>
      <c r="M893" s="57"/>
      <c r="N893" s="57"/>
      <c r="O893" s="57"/>
      <c r="P893" s="28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</row>
    <row r="894">
      <c r="A894" s="57"/>
      <c r="B894" s="57"/>
      <c r="C894" s="57"/>
      <c r="D894" s="70"/>
      <c r="E894" s="71"/>
      <c r="F894" s="57"/>
      <c r="G894" s="71"/>
      <c r="H894" s="57"/>
      <c r="I894" s="57"/>
      <c r="J894" s="57"/>
      <c r="K894" s="57"/>
      <c r="L894" s="57"/>
      <c r="M894" s="57"/>
      <c r="N894" s="57"/>
      <c r="O894" s="57"/>
      <c r="P894" s="28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</row>
    <row r="895">
      <c r="A895" s="57"/>
      <c r="B895" s="57"/>
      <c r="C895" s="57"/>
      <c r="D895" s="70"/>
      <c r="E895" s="71"/>
      <c r="F895" s="57"/>
      <c r="G895" s="71"/>
      <c r="H895" s="57"/>
      <c r="I895" s="57"/>
      <c r="J895" s="57"/>
      <c r="K895" s="57"/>
      <c r="L895" s="57"/>
      <c r="M895" s="57"/>
      <c r="N895" s="57"/>
      <c r="O895" s="57"/>
      <c r="P895" s="28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</row>
    <row r="896">
      <c r="A896" s="57"/>
      <c r="B896" s="57"/>
      <c r="C896" s="57"/>
      <c r="D896" s="70"/>
      <c r="E896" s="71"/>
      <c r="F896" s="57"/>
      <c r="G896" s="71"/>
      <c r="H896" s="57"/>
      <c r="I896" s="57"/>
      <c r="J896" s="57"/>
      <c r="K896" s="57"/>
      <c r="L896" s="57"/>
      <c r="M896" s="57"/>
      <c r="N896" s="57"/>
      <c r="O896" s="57"/>
      <c r="P896" s="28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</row>
    <row r="897">
      <c r="A897" s="57"/>
      <c r="B897" s="57"/>
      <c r="C897" s="57"/>
      <c r="D897" s="70"/>
      <c r="E897" s="71"/>
      <c r="F897" s="57"/>
      <c r="G897" s="71"/>
      <c r="H897" s="57"/>
      <c r="I897" s="57"/>
      <c r="J897" s="57"/>
      <c r="K897" s="57"/>
      <c r="L897" s="57"/>
      <c r="M897" s="57"/>
      <c r="N897" s="57"/>
      <c r="O897" s="57"/>
      <c r="P897" s="28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</row>
    <row r="898">
      <c r="A898" s="57"/>
      <c r="B898" s="57"/>
      <c r="C898" s="57"/>
      <c r="D898" s="70"/>
      <c r="E898" s="71"/>
      <c r="F898" s="57"/>
      <c r="G898" s="71"/>
      <c r="H898" s="57"/>
      <c r="I898" s="57"/>
      <c r="J898" s="57"/>
      <c r="K898" s="57"/>
      <c r="L898" s="57"/>
      <c r="M898" s="57"/>
      <c r="N898" s="57"/>
      <c r="O898" s="57"/>
      <c r="P898" s="28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</row>
    <row r="899">
      <c r="A899" s="57"/>
      <c r="B899" s="57"/>
      <c r="C899" s="57"/>
      <c r="D899" s="70"/>
      <c r="E899" s="71"/>
      <c r="F899" s="57"/>
      <c r="G899" s="71"/>
      <c r="H899" s="57"/>
      <c r="I899" s="57"/>
      <c r="J899" s="57"/>
      <c r="K899" s="57"/>
      <c r="L899" s="57"/>
      <c r="M899" s="57"/>
      <c r="N899" s="57"/>
      <c r="O899" s="57"/>
      <c r="P899" s="28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</row>
    <row r="900">
      <c r="A900" s="57"/>
      <c r="B900" s="57"/>
      <c r="C900" s="57"/>
      <c r="D900" s="70"/>
      <c r="E900" s="71"/>
      <c r="F900" s="57"/>
      <c r="G900" s="71"/>
      <c r="H900" s="57"/>
      <c r="I900" s="57"/>
      <c r="J900" s="57"/>
      <c r="K900" s="57"/>
      <c r="L900" s="57"/>
      <c r="M900" s="57"/>
      <c r="N900" s="57"/>
      <c r="O900" s="57"/>
      <c r="P900" s="28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</row>
    <row r="901">
      <c r="A901" s="57"/>
      <c r="B901" s="57"/>
      <c r="C901" s="57"/>
      <c r="D901" s="70"/>
      <c r="E901" s="71"/>
      <c r="F901" s="57"/>
      <c r="G901" s="71"/>
      <c r="H901" s="57"/>
      <c r="I901" s="57"/>
      <c r="J901" s="57"/>
      <c r="K901" s="57"/>
      <c r="L901" s="57"/>
      <c r="M901" s="57"/>
      <c r="N901" s="57"/>
      <c r="O901" s="57"/>
      <c r="P901" s="28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</row>
    <row r="902">
      <c r="A902" s="57"/>
      <c r="B902" s="57"/>
      <c r="C902" s="57"/>
      <c r="D902" s="70"/>
      <c r="E902" s="71"/>
      <c r="F902" s="57"/>
      <c r="G902" s="71"/>
      <c r="H902" s="57"/>
      <c r="I902" s="57"/>
      <c r="J902" s="57"/>
      <c r="K902" s="57"/>
      <c r="L902" s="57"/>
      <c r="M902" s="57"/>
      <c r="N902" s="57"/>
      <c r="O902" s="57"/>
      <c r="P902" s="28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</row>
    <row r="903">
      <c r="A903" s="57"/>
      <c r="B903" s="57"/>
      <c r="C903" s="57"/>
      <c r="D903" s="70"/>
      <c r="E903" s="71"/>
      <c r="F903" s="57"/>
      <c r="G903" s="71"/>
      <c r="H903" s="57"/>
      <c r="I903" s="57"/>
      <c r="J903" s="57"/>
      <c r="K903" s="57"/>
      <c r="L903" s="57"/>
      <c r="M903" s="57"/>
      <c r="N903" s="57"/>
      <c r="O903" s="57"/>
      <c r="P903" s="28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</row>
    <row r="904">
      <c r="A904" s="57"/>
      <c r="B904" s="57"/>
      <c r="C904" s="57"/>
      <c r="D904" s="70"/>
      <c r="E904" s="71"/>
      <c r="F904" s="57"/>
      <c r="G904" s="71"/>
      <c r="H904" s="57"/>
      <c r="I904" s="57"/>
      <c r="J904" s="57"/>
      <c r="K904" s="57"/>
      <c r="L904" s="57"/>
      <c r="M904" s="57"/>
      <c r="N904" s="57"/>
      <c r="O904" s="57"/>
      <c r="P904" s="28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</row>
    <row r="905">
      <c r="A905" s="57"/>
      <c r="B905" s="57"/>
      <c r="C905" s="57"/>
      <c r="D905" s="70"/>
      <c r="E905" s="71"/>
      <c r="F905" s="57"/>
      <c r="G905" s="71"/>
      <c r="H905" s="57"/>
      <c r="I905" s="57"/>
      <c r="J905" s="57"/>
      <c r="K905" s="57"/>
      <c r="L905" s="57"/>
      <c r="M905" s="57"/>
      <c r="N905" s="57"/>
      <c r="O905" s="57"/>
      <c r="P905" s="28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</row>
    <row r="906">
      <c r="A906" s="57"/>
      <c r="B906" s="57"/>
      <c r="C906" s="57"/>
      <c r="D906" s="70"/>
      <c r="E906" s="71"/>
      <c r="F906" s="57"/>
      <c r="G906" s="71"/>
      <c r="H906" s="57"/>
      <c r="I906" s="57"/>
      <c r="J906" s="57"/>
      <c r="K906" s="57"/>
      <c r="L906" s="57"/>
      <c r="M906" s="57"/>
      <c r="N906" s="57"/>
      <c r="O906" s="57"/>
      <c r="P906" s="28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</row>
    <row r="907">
      <c r="A907" s="57"/>
      <c r="B907" s="57"/>
      <c r="C907" s="57"/>
      <c r="D907" s="70"/>
      <c r="E907" s="71"/>
      <c r="F907" s="57"/>
      <c r="G907" s="71"/>
      <c r="H907" s="57"/>
      <c r="I907" s="57"/>
      <c r="J907" s="57"/>
      <c r="K907" s="57"/>
      <c r="L907" s="57"/>
      <c r="M907" s="57"/>
      <c r="N907" s="57"/>
      <c r="O907" s="57"/>
      <c r="P907" s="28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</row>
    <row r="908">
      <c r="A908" s="57"/>
      <c r="B908" s="57"/>
      <c r="C908" s="57"/>
      <c r="D908" s="70"/>
      <c r="E908" s="71"/>
      <c r="F908" s="57"/>
      <c r="G908" s="71"/>
      <c r="H908" s="57"/>
      <c r="I908" s="57"/>
      <c r="J908" s="57"/>
      <c r="K908" s="57"/>
      <c r="L908" s="57"/>
      <c r="M908" s="57"/>
      <c r="N908" s="57"/>
      <c r="O908" s="57"/>
      <c r="P908" s="28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</row>
    <row r="909">
      <c r="A909" s="57"/>
      <c r="B909" s="57"/>
      <c r="C909" s="57"/>
      <c r="D909" s="70"/>
      <c r="E909" s="71"/>
      <c r="F909" s="57"/>
      <c r="G909" s="71"/>
      <c r="H909" s="57"/>
      <c r="I909" s="57"/>
      <c r="J909" s="57"/>
      <c r="K909" s="57"/>
      <c r="L909" s="57"/>
      <c r="M909" s="57"/>
      <c r="N909" s="57"/>
      <c r="O909" s="57"/>
      <c r="P909" s="28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</row>
    <row r="910">
      <c r="A910" s="57"/>
      <c r="B910" s="57"/>
      <c r="C910" s="57"/>
      <c r="D910" s="70"/>
      <c r="E910" s="71"/>
      <c r="F910" s="57"/>
      <c r="G910" s="71"/>
      <c r="H910" s="57"/>
      <c r="I910" s="57"/>
      <c r="J910" s="57"/>
      <c r="K910" s="57"/>
      <c r="L910" s="57"/>
      <c r="M910" s="57"/>
      <c r="N910" s="57"/>
      <c r="O910" s="57"/>
      <c r="P910" s="28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</row>
    <row r="911">
      <c r="A911" s="57"/>
      <c r="B911" s="57"/>
      <c r="C911" s="57"/>
      <c r="D911" s="70"/>
      <c r="E911" s="71"/>
      <c r="F911" s="57"/>
      <c r="G911" s="71"/>
      <c r="H911" s="57"/>
      <c r="I911" s="57"/>
      <c r="J911" s="57"/>
      <c r="K911" s="57"/>
      <c r="L911" s="57"/>
      <c r="M911" s="57"/>
      <c r="N911" s="57"/>
      <c r="O911" s="57"/>
      <c r="P911" s="28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</row>
    <row r="912">
      <c r="A912" s="57"/>
      <c r="B912" s="57"/>
      <c r="C912" s="57"/>
      <c r="D912" s="70"/>
      <c r="E912" s="71"/>
      <c r="F912" s="57"/>
      <c r="G912" s="71"/>
      <c r="H912" s="57"/>
      <c r="I912" s="57"/>
      <c r="J912" s="57"/>
      <c r="K912" s="57"/>
      <c r="L912" s="57"/>
      <c r="M912" s="57"/>
      <c r="N912" s="57"/>
      <c r="O912" s="57"/>
      <c r="P912" s="28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</row>
    <row r="913">
      <c r="A913" s="57"/>
      <c r="B913" s="57"/>
      <c r="C913" s="57"/>
      <c r="D913" s="70"/>
      <c r="E913" s="71"/>
      <c r="F913" s="57"/>
      <c r="G913" s="71"/>
      <c r="H913" s="57"/>
      <c r="I913" s="57"/>
      <c r="J913" s="57"/>
      <c r="K913" s="57"/>
      <c r="L913" s="57"/>
      <c r="M913" s="57"/>
      <c r="N913" s="57"/>
      <c r="O913" s="57"/>
      <c r="P913" s="28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</row>
    <row r="914">
      <c r="A914" s="57"/>
      <c r="B914" s="57"/>
      <c r="C914" s="57"/>
      <c r="D914" s="70"/>
      <c r="E914" s="71"/>
      <c r="F914" s="57"/>
      <c r="G914" s="71"/>
      <c r="H914" s="57"/>
      <c r="I914" s="57"/>
      <c r="J914" s="57"/>
      <c r="K914" s="57"/>
      <c r="L914" s="57"/>
      <c r="M914" s="57"/>
      <c r="N914" s="57"/>
      <c r="O914" s="57"/>
      <c r="P914" s="28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</row>
    <row r="915">
      <c r="A915" s="57"/>
      <c r="B915" s="57"/>
      <c r="C915" s="57"/>
      <c r="D915" s="70"/>
      <c r="E915" s="71"/>
      <c r="F915" s="57"/>
      <c r="G915" s="71"/>
      <c r="H915" s="57"/>
      <c r="I915" s="57"/>
      <c r="J915" s="57"/>
      <c r="K915" s="57"/>
      <c r="L915" s="57"/>
      <c r="M915" s="57"/>
      <c r="N915" s="57"/>
      <c r="O915" s="57"/>
      <c r="P915" s="28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</row>
    <row r="916">
      <c r="A916" s="57"/>
      <c r="B916" s="57"/>
      <c r="C916" s="57"/>
      <c r="D916" s="70"/>
      <c r="E916" s="71"/>
      <c r="F916" s="57"/>
      <c r="G916" s="71"/>
      <c r="H916" s="57"/>
      <c r="I916" s="57"/>
      <c r="J916" s="57"/>
      <c r="K916" s="57"/>
      <c r="L916" s="57"/>
      <c r="M916" s="57"/>
      <c r="N916" s="57"/>
      <c r="O916" s="57"/>
      <c r="P916" s="28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</row>
    <row r="917">
      <c r="A917" s="57"/>
      <c r="B917" s="57"/>
      <c r="C917" s="57"/>
      <c r="D917" s="70"/>
      <c r="E917" s="71"/>
      <c r="F917" s="57"/>
      <c r="G917" s="71"/>
      <c r="H917" s="57"/>
      <c r="I917" s="57"/>
      <c r="J917" s="57"/>
      <c r="K917" s="57"/>
      <c r="L917" s="57"/>
      <c r="M917" s="57"/>
      <c r="N917" s="57"/>
      <c r="O917" s="57"/>
      <c r="P917" s="28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</row>
    <row r="918">
      <c r="A918" s="57"/>
      <c r="B918" s="57"/>
      <c r="C918" s="57"/>
      <c r="D918" s="70"/>
      <c r="E918" s="71"/>
      <c r="F918" s="57"/>
      <c r="G918" s="71"/>
      <c r="H918" s="57"/>
      <c r="I918" s="57"/>
      <c r="J918" s="57"/>
      <c r="K918" s="57"/>
      <c r="L918" s="57"/>
      <c r="M918" s="57"/>
      <c r="N918" s="57"/>
      <c r="O918" s="57"/>
      <c r="P918" s="28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</row>
    <row r="919">
      <c r="A919" s="57"/>
      <c r="B919" s="57"/>
      <c r="C919" s="57"/>
      <c r="D919" s="70"/>
      <c r="E919" s="71"/>
      <c r="F919" s="57"/>
      <c r="G919" s="71"/>
      <c r="H919" s="57"/>
      <c r="I919" s="57"/>
      <c r="J919" s="57"/>
      <c r="K919" s="57"/>
      <c r="L919" s="57"/>
      <c r="M919" s="57"/>
      <c r="N919" s="57"/>
      <c r="O919" s="57"/>
      <c r="P919" s="28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</row>
    <row r="920">
      <c r="A920" s="57"/>
      <c r="B920" s="57"/>
      <c r="C920" s="57"/>
      <c r="D920" s="70"/>
      <c r="E920" s="71"/>
      <c r="F920" s="57"/>
      <c r="G920" s="71"/>
      <c r="H920" s="57"/>
      <c r="I920" s="57"/>
      <c r="J920" s="57"/>
      <c r="K920" s="57"/>
      <c r="L920" s="57"/>
      <c r="M920" s="57"/>
      <c r="N920" s="57"/>
      <c r="O920" s="57"/>
      <c r="P920" s="28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</row>
    <row r="921">
      <c r="A921" s="57"/>
      <c r="B921" s="57"/>
      <c r="C921" s="57"/>
      <c r="D921" s="70"/>
      <c r="E921" s="71"/>
      <c r="F921" s="57"/>
      <c r="G921" s="71"/>
      <c r="H921" s="57"/>
      <c r="I921" s="57"/>
      <c r="J921" s="57"/>
      <c r="K921" s="57"/>
      <c r="L921" s="57"/>
      <c r="M921" s="57"/>
      <c r="N921" s="57"/>
      <c r="O921" s="57"/>
      <c r="P921" s="28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</row>
    <row r="922">
      <c r="A922" s="57"/>
      <c r="B922" s="57"/>
      <c r="C922" s="57"/>
      <c r="D922" s="70"/>
      <c r="E922" s="71"/>
      <c r="F922" s="57"/>
      <c r="G922" s="71"/>
      <c r="H922" s="57"/>
      <c r="I922" s="57"/>
      <c r="J922" s="57"/>
      <c r="K922" s="57"/>
      <c r="L922" s="57"/>
      <c r="M922" s="57"/>
      <c r="N922" s="57"/>
      <c r="O922" s="57"/>
      <c r="P922" s="28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</row>
    <row r="923">
      <c r="A923" s="57"/>
      <c r="B923" s="57"/>
      <c r="C923" s="57"/>
      <c r="D923" s="70"/>
      <c r="E923" s="71"/>
      <c r="F923" s="57"/>
      <c r="G923" s="71"/>
      <c r="H923" s="57"/>
      <c r="I923" s="57"/>
      <c r="J923" s="57"/>
      <c r="K923" s="57"/>
      <c r="L923" s="57"/>
      <c r="M923" s="57"/>
      <c r="N923" s="57"/>
      <c r="O923" s="57"/>
      <c r="P923" s="28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</row>
    <row r="924">
      <c r="A924" s="57"/>
      <c r="B924" s="57"/>
      <c r="C924" s="57"/>
      <c r="D924" s="70"/>
      <c r="E924" s="71"/>
      <c r="F924" s="57"/>
      <c r="G924" s="71"/>
      <c r="H924" s="57"/>
      <c r="I924" s="57"/>
      <c r="J924" s="57"/>
      <c r="K924" s="57"/>
      <c r="L924" s="57"/>
      <c r="M924" s="57"/>
      <c r="N924" s="57"/>
      <c r="O924" s="57"/>
      <c r="P924" s="28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</row>
    <row r="925">
      <c r="A925" s="57"/>
      <c r="B925" s="57"/>
      <c r="C925" s="57"/>
      <c r="D925" s="70"/>
      <c r="E925" s="71"/>
      <c r="F925" s="57"/>
      <c r="G925" s="71"/>
      <c r="H925" s="57"/>
      <c r="I925" s="57"/>
      <c r="J925" s="57"/>
      <c r="K925" s="57"/>
      <c r="L925" s="57"/>
      <c r="M925" s="57"/>
      <c r="N925" s="57"/>
      <c r="O925" s="57"/>
      <c r="P925" s="28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</row>
    <row r="926">
      <c r="A926" s="57"/>
      <c r="B926" s="57"/>
      <c r="C926" s="57"/>
      <c r="D926" s="70"/>
      <c r="E926" s="71"/>
      <c r="F926" s="57"/>
      <c r="G926" s="71"/>
      <c r="H926" s="57"/>
      <c r="I926" s="57"/>
      <c r="J926" s="57"/>
      <c r="K926" s="57"/>
      <c r="L926" s="57"/>
      <c r="M926" s="57"/>
      <c r="N926" s="57"/>
      <c r="O926" s="57"/>
      <c r="P926" s="28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</row>
    <row r="927">
      <c r="A927" s="57"/>
      <c r="B927" s="57"/>
      <c r="C927" s="57"/>
      <c r="D927" s="70"/>
      <c r="E927" s="71"/>
      <c r="F927" s="57"/>
      <c r="G927" s="71"/>
      <c r="H927" s="57"/>
      <c r="I927" s="57"/>
      <c r="J927" s="57"/>
      <c r="K927" s="57"/>
      <c r="L927" s="57"/>
      <c r="M927" s="57"/>
      <c r="N927" s="57"/>
      <c r="O927" s="57"/>
      <c r="P927" s="28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</row>
    <row r="928">
      <c r="A928" s="57"/>
      <c r="B928" s="57"/>
      <c r="C928" s="57"/>
      <c r="D928" s="70"/>
      <c r="E928" s="71"/>
      <c r="F928" s="57"/>
      <c r="G928" s="71"/>
      <c r="H928" s="57"/>
      <c r="I928" s="57"/>
      <c r="J928" s="57"/>
      <c r="K928" s="57"/>
      <c r="L928" s="57"/>
      <c r="M928" s="57"/>
      <c r="N928" s="57"/>
      <c r="O928" s="57"/>
      <c r="P928" s="28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</row>
    <row r="929">
      <c r="A929" s="57"/>
      <c r="B929" s="57"/>
      <c r="C929" s="57"/>
      <c r="D929" s="70"/>
      <c r="E929" s="71"/>
      <c r="F929" s="57"/>
      <c r="G929" s="71"/>
      <c r="H929" s="57"/>
      <c r="I929" s="57"/>
      <c r="J929" s="57"/>
      <c r="K929" s="57"/>
      <c r="L929" s="57"/>
      <c r="M929" s="57"/>
      <c r="N929" s="57"/>
      <c r="O929" s="57"/>
      <c r="P929" s="28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</row>
    <row r="930">
      <c r="A930" s="57"/>
      <c r="B930" s="57"/>
      <c r="C930" s="57"/>
      <c r="D930" s="70"/>
      <c r="E930" s="71"/>
      <c r="F930" s="57"/>
      <c r="G930" s="71"/>
      <c r="H930" s="57"/>
      <c r="I930" s="57"/>
      <c r="J930" s="57"/>
      <c r="K930" s="57"/>
      <c r="L930" s="57"/>
      <c r="M930" s="57"/>
      <c r="N930" s="57"/>
      <c r="O930" s="57"/>
      <c r="P930" s="28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</row>
    <row r="931">
      <c r="A931" s="57"/>
      <c r="B931" s="57"/>
      <c r="C931" s="57"/>
      <c r="D931" s="70"/>
      <c r="E931" s="71"/>
      <c r="F931" s="57"/>
      <c r="G931" s="71"/>
      <c r="H931" s="57"/>
      <c r="I931" s="57"/>
      <c r="J931" s="57"/>
      <c r="K931" s="57"/>
      <c r="L931" s="57"/>
      <c r="M931" s="57"/>
      <c r="N931" s="57"/>
      <c r="O931" s="57"/>
      <c r="P931" s="28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</row>
    <row r="932">
      <c r="A932" s="57"/>
      <c r="B932" s="57"/>
      <c r="C932" s="57"/>
      <c r="D932" s="70"/>
      <c r="E932" s="71"/>
      <c r="F932" s="57"/>
      <c r="G932" s="71"/>
      <c r="H932" s="57"/>
      <c r="I932" s="57"/>
      <c r="J932" s="57"/>
      <c r="K932" s="57"/>
      <c r="L932" s="57"/>
      <c r="M932" s="57"/>
      <c r="N932" s="57"/>
      <c r="O932" s="57"/>
      <c r="P932" s="28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</row>
    <row r="933">
      <c r="A933" s="57"/>
      <c r="B933" s="57"/>
      <c r="C933" s="57"/>
      <c r="D933" s="70"/>
      <c r="E933" s="71"/>
      <c r="F933" s="57"/>
      <c r="G933" s="71"/>
      <c r="H933" s="57"/>
      <c r="I933" s="57"/>
      <c r="J933" s="57"/>
      <c r="K933" s="57"/>
      <c r="L933" s="57"/>
      <c r="M933" s="57"/>
      <c r="N933" s="57"/>
      <c r="O933" s="57"/>
      <c r="P933" s="28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</row>
    <row r="934">
      <c r="A934" s="57"/>
      <c r="B934" s="57"/>
      <c r="C934" s="57"/>
      <c r="D934" s="70"/>
      <c r="E934" s="71"/>
      <c r="F934" s="57"/>
      <c r="G934" s="71"/>
      <c r="H934" s="57"/>
      <c r="I934" s="57"/>
      <c r="J934" s="57"/>
      <c r="K934" s="57"/>
      <c r="L934" s="57"/>
      <c r="M934" s="57"/>
      <c r="N934" s="57"/>
      <c r="O934" s="57"/>
      <c r="P934" s="28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</row>
    <row r="935">
      <c r="A935" s="57"/>
      <c r="B935" s="57"/>
      <c r="C935" s="57"/>
      <c r="D935" s="70"/>
      <c r="E935" s="71"/>
      <c r="F935" s="57"/>
      <c r="G935" s="71"/>
      <c r="H935" s="57"/>
      <c r="I935" s="57"/>
      <c r="J935" s="57"/>
      <c r="K935" s="57"/>
      <c r="L935" s="57"/>
      <c r="M935" s="57"/>
      <c r="N935" s="57"/>
      <c r="O935" s="57"/>
      <c r="P935" s="28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</row>
    <row r="936">
      <c r="A936" s="57"/>
      <c r="B936" s="57"/>
      <c r="C936" s="57"/>
      <c r="D936" s="70"/>
      <c r="E936" s="71"/>
      <c r="F936" s="57"/>
      <c r="G936" s="71"/>
      <c r="H936" s="57"/>
      <c r="I936" s="57"/>
      <c r="J936" s="57"/>
      <c r="K936" s="57"/>
      <c r="L936" s="57"/>
      <c r="M936" s="57"/>
      <c r="N936" s="57"/>
      <c r="O936" s="57"/>
      <c r="P936" s="28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</row>
    <row r="937">
      <c r="A937" s="57"/>
      <c r="B937" s="57"/>
      <c r="C937" s="57"/>
      <c r="D937" s="70"/>
      <c r="E937" s="71"/>
      <c r="F937" s="57"/>
      <c r="G937" s="71"/>
      <c r="H937" s="57"/>
      <c r="I937" s="57"/>
      <c r="J937" s="57"/>
      <c r="K937" s="57"/>
      <c r="L937" s="57"/>
      <c r="M937" s="57"/>
      <c r="N937" s="57"/>
      <c r="O937" s="57"/>
      <c r="P937" s="28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</row>
    <row r="938">
      <c r="A938" s="57"/>
      <c r="B938" s="57"/>
      <c r="C938" s="57"/>
      <c r="D938" s="70"/>
      <c r="E938" s="71"/>
      <c r="F938" s="57"/>
      <c r="G938" s="71"/>
      <c r="H938" s="57"/>
      <c r="I938" s="57"/>
      <c r="J938" s="57"/>
      <c r="K938" s="57"/>
      <c r="L938" s="57"/>
      <c r="M938" s="57"/>
      <c r="N938" s="57"/>
      <c r="O938" s="57"/>
      <c r="P938" s="28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</row>
    <row r="939">
      <c r="A939" s="57"/>
      <c r="B939" s="57"/>
      <c r="C939" s="57"/>
      <c r="D939" s="70"/>
      <c r="E939" s="71"/>
      <c r="F939" s="57"/>
      <c r="G939" s="71"/>
      <c r="H939" s="57"/>
      <c r="I939" s="57"/>
      <c r="J939" s="57"/>
      <c r="K939" s="57"/>
      <c r="L939" s="57"/>
      <c r="M939" s="57"/>
      <c r="N939" s="57"/>
      <c r="O939" s="57"/>
      <c r="P939" s="28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</row>
    <row r="940">
      <c r="A940" s="57"/>
      <c r="B940" s="57"/>
      <c r="C940" s="57"/>
      <c r="D940" s="70"/>
      <c r="E940" s="71"/>
      <c r="F940" s="57"/>
      <c r="G940" s="71"/>
      <c r="H940" s="57"/>
      <c r="I940" s="57"/>
      <c r="J940" s="57"/>
      <c r="K940" s="57"/>
      <c r="L940" s="57"/>
      <c r="M940" s="57"/>
      <c r="N940" s="57"/>
      <c r="O940" s="57"/>
      <c r="P940" s="28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</row>
    <row r="941">
      <c r="A941" s="57"/>
      <c r="B941" s="57"/>
      <c r="C941" s="57"/>
      <c r="D941" s="70"/>
      <c r="E941" s="71"/>
      <c r="F941" s="57"/>
      <c r="G941" s="71"/>
      <c r="H941" s="57"/>
      <c r="I941" s="57"/>
      <c r="J941" s="57"/>
      <c r="K941" s="57"/>
      <c r="L941" s="57"/>
      <c r="M941" s="57"/>
      <c r="N941" s="57"/>
      <c r="O941" s="57"/>
      <c r="P941" s="28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</row>
    <row r="942">
      <c r="A942" s="57"/>
      <c r="B942" s="57"/>
      <c r="C942" s="57"/>
      <c r="D942" s="70"/>
      <c r="E942" s="71"/>
      <c r="F942" s="57"/>
      <c r="G942" s="71"/>
      <c r="H942" s="57"/>
      <c r="I942" s="57"/>
      <c r="J942" s="57"/>
      <c r="K942" s="57"/>
      <c r="L942" s="57"/>
      <c r="M942" s="57"/>
      <c r="N942" s="57"/>
      <c r="O942" s="57"/>
      <c r="P942" s="28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</row>
    <row r="943">
      <c r="A943" s="57"/>
      <c r="B943" s="57"/>
      <c r="C943" s="57"/>
      <c r="D943" s="70"/>
      <c r="E943" s="71"/>
      <c r="F943" s="57"/>
      <c r="G943" s="71"/>
      <c r="H943" s="57"/>
      <c r="I943" s="57"/>
      <c r="J943" s="57"/>
      <c r="K943" s="57"/>
      <c r="L943" s="57"/>
      <c r="M943" s="57"/>
      <c r="N943" s="57"/>
      <c r="O943" s="57"/>
      <c r="P943" s="28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</row>
    <row r="944">
      <c r="A944" s="57"/>
      <c r="B944" s="57"/>
      <c r="C944" s="57"/>
      <c r="D944" s="70"/>
      <c r="E944" s="71"/>
      <c r="F944" s="57"/>
      <c r="G944" s="71"/>
      <c r="H944" s="57"/>
      <c r="I944" s="57"/>
      <c r="J944" s="57"/>
      <c r="K944" s="57"/>
      <c r="L944" s="57"/>
      <c r="M944" s="57"/>
      <c r="N944" s="57"/>
      <c r="O944" s="57"/>
      <c r="P944" s="28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</row>
    <row r="945">
      <c r="A945" s="57"/>
      <c r="B945" s="57"/>
      <c r="C945" s="57"/>
      <c r="D945" s="70"/>
      <c r="E945" s="71"/>
      <c r="F945" s="57"/>
      <c r="G945" s="71"/>
      <c r="H945" s="57"/>
      <c r="I945" s="57"/>
      <c r="J945" s="57"/>
      <c r="K945" s="57"/>
      <c r="L945" s="57"/>
      <c r="M945" s="57"/>
      <c r="N945" s="57"/>
      <c r="O945" s="57"/>
      <c r="P945" s="28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</row>
    <row r="946">
      <c r="A946" s="57"/>
      <c r="B946" s="57"/>
      <c r="C946" s="57"/>
      <c r="D946" s="70"/>
      <c r="E946" s="71"/>
      <c r="F946" s="57"/>
      <c r="G946" s="71"/>
      <c r="H946" s="57"/>
      <c r="I946" s="57"/>
      <c r="J946" s="57"/>
      <c r="K946" s="57"/>
      <c r="L946" s="57"/>
      <c r="M946" s="57"/>
      <c r="N946" s="57"/>
      <c r="O946" s="57"/>
      <c r="P946" s="28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</row>
    <row r="947">
      <c r="A947" s="57"/>
      <c r="B947" s="57"/>
      <c r="C947" s="57"/>
      <c r="D947" s="70"/>
      <c r="E947" s="71"/>
      <c r="F947" s="57"/>
      <c r="G947" s="71"/>
      <c r="H947" s="57"/>
      <c r="I947" s="57"/>
      <c r="J947" s="57"/>
      <c r="K947" s="57"/>
      <c r="L947" s="57"/>
      <c r="M947" s="57"/>
      <c r="N947" s="57"/>
      <c r="O947" s="57"/>
      <c r="P947" s="28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</row>
    <row r="948">
      <c r="A948" s="57"/>
      <c r="B948" s="57"/>
      <c r="C948" s="57"/>
      <c r="D948" s="70"/>
      <c r="E948" s="71"/>
      <c r="F948" s="57"/>
      <c r="G948" s="71"/>
      <c r="H948" s="57"/>
      <c r="I948" s="57"/>
      <c r="J948" s="57"/>
      <c r="K948" s="57"/>
      <c r="L948" s="57"/>
      <c r="M948" s="57"/>
      <c r="N948" s="57"/>
      <c r="O948" s="57"/>
      <c r="P948" s="28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</row>
    <row r="949">
      <c r="A949" s="57"/>
      <c r="B949" s="57"/>
      <c r="C949" s="57"/>
      <c r="D949" s="70"/>
      <c r="E949" s="71"/>
      <c r="F949" s="57"/>
      <c r="G949" s="71"/>
      <c r="H949" s="57"/>
      <c r="I949" s="57"/>
      <c r="J949" s="57"/>
      <c r="K949" s="57"/>
      <c r="L949" s="57"/>
      <c r="M949" s="57"/>
      <c r="N949" s="57"/>
      <c r="O949" s="57"/>
      <c r="P949" s="28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</row>
    <row r="950">
      <c r="A950" s="57"/>
      <c r="B950" s="57"/>
      <c r="C950" s="57"/>
      <c r="D950" s="70"/>
      <c r="E950" s="71"/>
      <c r="F950" s="57"/>
      <c r="G950" s="71"/>
      <c r="H950" s="57"/>
      <c r="I950" s="57"/>
      <c r="J950" s="57"/>
      <c r="K950" s="57"/>
      <c r="L950" s="57"/>
      <c r="M950" s="57"/>
      <c r="N950" s="57"/>
      <c r="O950" s="57"/>
      <c r="P950" s="28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</row>
    <row r="951">
      <c r="A951" s="57"/>
      <c r="B951" s="57"/>
      <c r="C951" s="57"/>
      <c r="D951" s="70"/>
      <c r="E951" s="71"/>
      <c r="F951" s="57"/>
      <c r="G951" s="71"/>
      <c r="H951" s="57"/>
      <c r="I951" s="57"/>
      <c r="J951" s="57"/>
      <c r="K951" s="57"/>
      <c r="L951" s="57"/>
      <c r="M951" s="57"/>
      <c r="N951" s="57"/>
      <c r="O951" s="57"/>
      <c r="P951" s="28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</row>
    <row r="952">
      <c r="A952" s="57"/>
      <c r="B952" s="57"/>
      <c r="C952" s="57"/>
      <c r="D952" s="70"/>
      <c r="E952" s="71"/>
      <c r="F952" s="57"/>
      <c r="G952" s="71"/>
      <c r="H952" s="57"/>
      <c r="I952" s="57"/>
      <c r="J952" s="57"/>
      <c r="K952" s="57"/>
      <c r="L952" s="57"/>
      <c r="M952" s="57"/>
      <c r="N952" s="57"/>
      <c r="O952" s="57"/>
      <c r="P952" s="28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</row>
    <row r="953">
      <c r="A953" s="57"/>
      <c r="B953" s="57"/>
      <c r="C953" s="57"/>
      <c r="D953" s="70"/>
      <c r="E953" s="71"/>
      <c r="F953" s="57"/>
      <c r="G953" s="71"/>
      <c r="H953" s="57"/>
      <c r="I953" s="57"/>
      <c r="J953" s="57"/>
      <c r="K953" s="57"/>
      <c r="L953" s="57"/>
      <c r="M953" s="57"/>
      <c r="N953" s="57"/>
      <c r="O953" s="57"/>
      <c r="P953" s="28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</row>
    <row r="954">
      <c r="A954" s="57"/>
      <c r="B954" s="57"/>
      <c r="C954" s="57"/>
      <c r="D954" s="70"/>
      <c r="E954" s="71"/>
      <c r="F954" s="57"/>
      <c r="G954" s="71"/>
      <c r="H954" s="57"/>
      <c r="I954" s="57"/>
      <c r="J954" s="57"/>
      <c r="K954" s="57"/>
      <c r="L954" s="57"/>
      <c r="M954" s="57"/>
      <c r="N954" s="57"/>
      <c r="O954" s="57"/>
      <c r="P954" s="28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</row>
    <row r="955">
      <c r="A955" s="57"/>
      <c r="B955" s="57"/>
      <c r="C955" s="57"/>
      <c r="D955" s="70"/>
      <c r="E955" s="71"/>
      <c r="F955" s="57"/>
      <c r="G955" s="71"/>
      <c r="H955" s="57"/>
      <c r="I955" s="57"/>
      <c r="J955" s="57"/>
      <c r="K955" s="57"/>
      <c r="L955" s="57"/>
      <c r="M955" s="57"/>
      <c r="N955" s="57"/>
      <c r="O955" s="57"/>
      <c r="P955" s="28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</row>
    <row r="956">
      <c r="A956" s="57"/>
      <c r="B956" s="57"/>
      <c r="C956" s="57"/>
      <c r="D956" s="70"/>
      <c r="E956" s="71"/>
      <c r="F956" s="57"/>
      <c r="G956" s="71"/>
      <c r="H956" s="57"/>
      <c r="I956" s="57"/>
      <c r="J956" s="57"/>
      <c r="K956" s="57"/>
      <c r="L956" s="57"/>
      <c r="M956" s="57"/>
      <c r="N956" s="57"/>
      <c r="O956" s="57"/>
      <c r="P956" s="28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</row>
    <row r="957">
      <c r="A957" s="57"/>
      <c r="B957" s="57"/>
      <c r="C957" s="57"/>
      <c r="D957" s="70"/>
      <c r="E957" s="71"/>
      <c r="F957" s="57"/>
      <c r="G957" s="71"/>
      <c r="H957" s="57"/>
      <c r="I957" s="57"/>
      <c r="J957" s="57"/>
      <c r="K957" s="57"/>
      <c r="L957" s="57"/>
      <c r="M957" s="57"/>
      <c r="N957" s="57"/>
      <c r="O957" s="57"/>
      <c r="P957" s="28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</row>
    <row r="958">
      <c r="A958" s="57"/>
      <c r="B958" s="57"/>
      <c r="C958" s="57"/>
      <c r="D958" s="70"/>
      <c r="E958" s="71"/>
      <c r="F958" s="57"/>
      <c r="G958" s="71"/>
      <c r="H958" s="57"/>
      <c r="I958" s="57"/>
      <c r="J958" s="57"/>
      <c r="K958" s="57"/>
      <c r="L958" s="57"/>
      <c r="M958" s="57"/>
      <c r="N958" s="57"/>
      <c r="O958" s="57"/>
      <c r="P958" s="28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</row>
    <row r="959">
      <c r="A959" s="57"/>
      <c r="B959" s="57"/>
      <c r="C959" s="57"/>
      <c r="D959" s="70"/>
      <c r="E959" s="71"/>
      <c r="F959" s="57"/>
      <c r="G959" s="71"/>
      <c r="H959" s="57"/>
      <c r="I959" s="57"/>
      <c r="J959" s="57"/>
      <c r="K959" s="57"/>
      <c r="L959" s="57"/>
      <c r="M959" s="57"/>
      <c r="N959" s="57"/>
      <c r="O959" s="57"/>
      <c r="P959" s="28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</row>
    <row r="960">
      <c r="A960" s="57"/>
      <c r="B960" s="57"/>
      <c r="C960" s="57"/>
      <c r="D960" s="70"/>
      <c r="E960" s="71"/>
      <c r="F960" s="57"/>
      <c r="G960" s="71"/>
      <c r="H960" s="57"/>
      <c r="I960" s="57"/>
      <c r="J960" s="57"/>
      <c r="K960" s="57"/>
      <c r="L960" s="57"/>
      <c r="M960" s="57"/>
      <c r="N960" s="57"/>
      <c r="O960" s="57"/>
      <c r="P960" s="28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</row>
    <row r="961">
      <c r="A961" s="57"/>
      <c r="B961" s="57"/>
      <c r="C961" s="57"/>
      <c r="D961" s="70"/>
      <c r="E961" s="71"/>
      <c r="F961" s="57"/>
      <c r="G961" s="71"/>
      <c r="H961" s="57"/>
      <c r="I961" s="57"/>
      <c r="J961" s="57"/>
      <c r="K961" s="57"/>
      <c r="L961" s="57"/>
      <c r="M961" s="57"/>
      <c r="N961" s="57"/>
      <c r="O961" s="57"/>
      <c r="P961" s="28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</row>
    <row r="962">
      <c r="A962" s="57"/>
      <c r="B962" s="57"/>
      <c r="C962" s="57"/>
      <c r="D962" s="70"/>
      <c r="E962" s="71"/>
      <c r="F962" s="57"/>
      <c r="G962" s="71"/>
      <c r="H962" s="57"/>
      <c r="I962" s="57"/>
      <c r="J962" s="57"/>
      <c r="K962" s="57"/>
      <c r="L962" s="57"/>
      <c r="M962" s="57"/>
      <c r="N962" s="57"/>
      <c r="O962" s="57"/>
      <c r="P962" s="28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</row>
    <row r="963">
      <c r="A963" s="57"/>
      <c r="B963" s="57"/>
      <c r="C963" s="57"/>
      <c r="D963" s="70"/>
      <c r="E963" s="71"/>
      <c r="F963" s="57"/>
      <c r="G963" s="71"/>
      <c r="H963" s="57"/>
      <c r="I963" s="57"/>
      <c r="J963" s="57"/>
      <c r="K963" s="57"/>
      <c r="L963" s="57"/>
      <c r="M963" s="57"/>
      <c r="N963" s="57"/>
      <c r="O963" s="57"/>
      <c r="P963" s="28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</row>
    <row r="964">
      <c r="A964" s="57"/>
      <c r="B964" s="57"/>
      <c r="C964" s="57"/>
      <c r="D964" s="70"/>
      <c r="E964" s="71"/>
      <c r="F964" s="57"/>
      <c r="G964" s="71"/>
      <c r="H964" s="57"/>
      <c r="I964" s="57"/>
      <c r="J964" s="57"/>
      <c r="K964" s="57"/>
      <c r="L964" s="57"/>
      <c r="M964" s="57"/>
      <c r="N964" s="57"/>
      <c r="O964" s="57"/>
      <c r="P964" s="28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</row>
    <row r="965">
      <c r="A965" s="57"/>
      <c r="B965" s="57"/>
      <c r="C965" s="57"/>
      <c r="D965" s="70"/>
      <c r="E965" s="71"/>
      <c r="F965" s="57"/>
      <c r="G965" s="71"/>
      <c r="H965" s="57"/>
      <c r="I965" s="57"/>
      <c r="J965" s="57"/>
      <c r="K965" s="57"/>
      <c r="L965" s="57"/>
      <c r="M965" s="57"/>
      <c r="N965" s="57"/>
      <c r="O965" s="57"/>
      <c r="P965" s="28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</row>
    <row r="966">
      <c r="A966" s="57"/>
      <c r="B966" s="57"/>
      <c r="C966" s="57"/>
      <c r="D966" s="70"/>
      <c r="E966" s="71"/>
      <c r="F966" s="57"/>
      <c r="G966" s="71"/>
      <c r="H966" s="57"/>
      <c r="I966" s="57"/>
      <c r="J966" s="57"/>
      <c r="K966" s="57"/>
      <c r="L966" s="57"/>
      <c r="M966" s="57"/>
      <c r="N966" s="57"/>
      <c r="O966" s="57"/>
      <c r="P966" s="28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</row>
    <row r="967">
      <c r="A967" s="57"/>
      <c r="B967" s="57"/>
      <c r="C967" s="57"/>
      <c r="D967" s="70"/>
      <c r="E967" s="71"/>
      <c r="F967" s="57"/>
      <c r="G967" s="71"/>
      <c r="H967" s="57"/>
      <c r="I967" s="57"/>
      <c r="J967" s="57"/>
      <c r="K967" s="57"/>
      <c r="L967" s="57"/>
      <c r="M967" s="57"/>
      <c r="N967" s="57"/>
      <c r="O967" s="57"/>
      <c r="P967" s="28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</row>
    <row r="968">
      <c r="A968" s="57"/>
      <c r="B968" s="57"/>
      <c r="C968" s="57"/>
      <c r="D968" s="70"/>
      <c r="E968" s="71"/>
      <c r="F968" s="57"/>
      <c r="G968" s="71"/>
      <c r="H968" s="57"/>
      <c r="I968" s="57"/>
      <c r="J968" s="57"/>
      <c r="K968" s="57"/>
      <c r="L968" s="57"/>
      <c r="M968" s="57"/>
      <c r="N968" s="57"/>
      <c r="O968" s="57"/>
      <c r="P968" s="28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</row>
    <row r="969">
      <c r="A969" s="57"/>
      <c r="B969" s="57"/>
      <c r="C969" s="57"/>
      <c r="D969" s="70"/>
      <c r="E969" s="71"/>
      <c r="F969" s="57"/>
      <c r="G969" s="71"/>
      <c r="H969" s="57"/>
      <c r="I969" s="57"/>
      <c r="J969" s="57"/>
      <c r="K969" s="57"/>
      <c r="L969" s="57"/>
      <c r="M969" s="57"/>
      <c r="N969" s="57"/>
      <c r="O969" s="57"/>
      <c r="P969" s="28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</row>
    <row r="970">
      <c r="A970" s="57"/>
      <c r="B970" s="57"/>
      <c r="C970" s="57"/>
      <c r="D970" s="70"/>
      <c r="E970" s="71"/>
      <c r="F970" s="57"/>
      <c r="G970" s="71"/>
      <c r="H970" s="57"/>
      <c r="I970" s="57"/>
      <c r="J970" s="57"/>
      <c r="K970" s="57"/>
      <c r="L970" s="57"/>
      <c r="M970" s="57"/>
      <c r="N970" s="57"/>
      <c r="O970" s="57"/>
      <c r="P970" s="28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</row>
    <row r="971">
      <c r="A971" s="57"/>
      <c r="B971" s="57"/>
      <c r="C971" s="57"/>
      <c r="D971" s="70"/>
      <c r="E971" s="71"/>
      <c r="F971" s="57"/>
      <c r="G971" s="71"/>
      <c r="H971" s="57"/>
      <c r="I971" s="57"/>
      <c r="J971" s="57"/>
      <c r="K971" s="57"/>
      <c r="L971" s="57"/>
      <c r="M971" s="57"/>
      <c r="N971" s="57"/>
      <c r="O971" s="57"/>
      <c r="P971" s="28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</row>
    <row r="972">
      <c r="A972" s="57"/>
      <c r="B972" s="57"/>
      <c r="C972" s="57"/>
      <c r="D972" s="70"/>
      <c r="E972" s="71"/>
      <c r="F972" s="57"/>
      <c r="G972" s="71"/>
      <c r="H972" s="57"/>
      <c r="I972" s="57"/>
      <c r="J972" s="57"/>
      <c r="K972" s="57"/>
      <c r="L972" s="57"/>
      <c r="M972" s="57"/>
      <c r="N972" s="57"/>
      <c r="O972" s="57"/>
      <c r="P972" s="28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</row>
    <row r="973">
      <c r="A973" s="57"/>
      <c r="B973" s="57"/>
      <c r="C973" s="57"/>
      <c r="D973" s="70"/>
      <c r="E973" s="71"/>
      <c r="F973" s="57"/>
      <c r="G973" s="71"/>
      <c r="H973" s="57"/>
      <c r="I973" s="57"/>
      <c r="J973" s="57"/>
      <c r="K973" s="57"/>
      <c r="L973" s="57"/>
      <c r="M973" s="57"/>
      <c r="N973" s="57"/>
      <c r="O973" s="57"/>
      <c r="P973" s="28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</row>
    <row r="974">
      <c r="A974" s="57"/>
      <c r="B974" s="57"/>
      <c r="C974" s="57"/>
      <c r="D974" s="70"/>
      <c r="E974" s="71"/>
      <c r="F974" s="57"/>
      <c r="G974" s="71"/>
      <c r="H974" s="57"/>
      <c r="I974" s="57"/>
      <c r="J974" s="57"/>
      <c r="K974" s="57"/>
      <c r="L974" s="57"/>
      <c r="M974" s="57"/>
      <c r="N974" s="57"/>
      <c r="O974" s="57"/>
      <c r="P974" s="28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</row>
    <row r="975">
      <c r="A975" s="57"/>
      <c r="B975" s="57"/>
      <c r="C975" s="57"/>
      <c r="D975" s="70"/>
      <c r="E975" s="71"/>
      <c r="F975" s="57"/>
      <c r="G975" s="71"/>
      <c r="H975" s="57"/>
      <c r="I975" s="57"/>
      <c r="J975" s="57"/>
      <c r="K975" s="57"/>
      <c r="L975" s="57"/>
      <c r="M975" s="57"/>
      <c r="N975" s="57"/>
      <c r="O975" s="57"/>
      <c r="P975" s="28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</row>
    <row r="976">
      <c r="A976" s="57"/>
      <c r="B976" s="57"/>
      <c r="C976" s="57"/>
      <c r="D976" s="70"/>
      <c r="E976" s="71"/>
      <c r="F976" s="57"/>
      <c r="G976" s="71"/>
      <c r="H976" s="57"/>
      <c r="I976" s="57"/>
      <c r="J976" s="57"/>
      <c r="K976" s="57"/>
      <c r="L976" s="57"/>
      <c r="M976" s="57"/>
      <c r="N976" s="57"/>
      <c r="O976" s="57"/>
      <c r="P976" s="28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</row>
    <row r="977">
      <c r="A977" s="57"/>
      <c r="B977" s="57"/>
      <c r="C977" s="57"/>
      <c r="D977" s="70"/>
      <c r="E977" s="71"/>
      <c r="F977" s="57"/>
      <c r="G977" s="71"/>
      <c r="H977" s="57"/>
      <c r="I977" s="57"/>
      <c r="J977" s="57"/>
      <c r="K977" s="57"/>
      <c r="L977" s="57"/>
      <c r="M977" s="57"/>
      <c r="N977" s="57"/>
      <c r="O977" s="57"/>
      <c r="P977" s="28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</row>
    <row r="978">
      <c r="A978" s="57"/>
      <c r="B978" s="57"/>
      <c r="C978" s="57"/>
      <c r="D978" s="70"/>
      <c r="E978" s="71"/>
      <c r="F978" s="57"/>
      <c r="G978" s="71"/>
      <c r="H978" s="57"/>
      <c r="I978" s="57"/>
      <c r="J978" s="57"/>
      <c r="K978" s="57"/>
      <c r="L978" s="57"/>
      <c r="M978" s="57"/>
      <c r="N978" s="57"/>
      <c r="O978" s="57"/>
      <c r="P978" s="28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</row>
    <row r="979">
      <c r="A979" s="57"/>
      <c r="B979" s="57"/>
      <c r="C979" s="57"/>
      <c r="D979" s="70"/>
      <c r="E979" s="71"/>
      <c r="F979" s="57"/>
      <c r="G979" s="71"/>
      <c r="H979" s="57"/>
      <c r="I979" s="57"/>
      <c r="J979" s="57"/>
      <c r="K979" s="57"/>
      <c r="L979" s="57"/>
      <c r="M979" s="57"/>
      <c r="N979" s="57"/>
      <c r="O979" s="57"/>
      <c r="P979" s="28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</row>
    <row r="980">
      <c r="A980" s="57"/>
      <c r="B980" s="57"/>
      <c r="C980" s="57"/>
      <c r="D980" s="70"/>
      <c r="E980" s="71"/>
      <c r="F980" s="57"/>
      <c r="G980" s="71"/>
      <c r="H980" s="57"/>
      <c r="I980" s="57"/>
      <c r="J980" s="57"/>
      <c r="K980" s="57"/>
      <c r="L980" s="57"/>
      <c r="M980" s="57"/>
      <c r="N980" s="57"/>
      <c r="O980" s="57"/>
      <c r="P980" s="28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</row>
    <row r="981">
      <c r="A981" s="57"/>
      <c r="B981" s="57"/>
      <c r="C981" s="57"/>
      <c r="D981" s="70"/>
      <c r="E981" s="71"/>
      <c r="F981" s="57"/>
      <c r="G981" s="71"/>
      <c r="H981" s="57"/>
      <c r="I981" s="57"/>
      <c r="J981" s="57"/>
      <c r="K981" s="57"/>
      <c r="L981" s="57"/>
      <c r="M981" s="57"/>
      <c r="N981" s="57"/>
      <c r="O981" s="57"/>
      <c r="P981" s="28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</row>
    <row r="982">
      <c r="A982" s="57"/>
      <c r="B982" s="57"/>
      <c r="C982" s="57"/>
      <c r="D982" s="70"/>
      <c r="E982" s="71"/>
      <c r="F982" s="57"/>
      <c r="G982" s="71"/>
      <c r="H982" s="57"/>
      <c r="I982" s="57"/>
      <c r="J982" s="57"/>
      <c r="K982" s="57"/>
      <c r="L982" s="57"/>
      <c r="M982" s="57"/>
      <c r="N982" s="57"/>
      <c r="O982" s="57"/>
      <c r="P982" s="28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</row>
    <row r="983">
      <c r="A983" s="57"/>
      <c r="B983" s="57"/>
      <c r="C983" s="57"/>
      <c r="D983" s="70"/>
      <c r="E983" s="71"/>
      <c r="F983" s="57"/>
      <c r="G983" s="71"/>
      <c r="H983" s="57"/>
      <c r="I983" s="57"/>
      <c r="J983" s="57"/>
      <c r="K983" s="57"/>
      <c r="L983" s="57"/>
      <c r="M983" s="57"/>
      <c r="N983" s="57"/>
      <c r="O983" s="57"/>
      <c r="P983" s="28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</row>
    <row r="984">
      <c r="A984" s="57"/>
      <c r="B984" s="57"/>
      <c r="C984" s="57"/>
      <c r="D984" s="70"/>
      <c r="E984" s="71"/>
      <c r="F984" s="57"/>
      <c r="G984" s="71"/>
      <c r="H984" s="57"/>
      <c r="I984" s="57"/>
      <c r="J984" s="57"/>
      <c r="K984" s="57"/>
      <c r="L984" s="57"/>
      <c r="M984" s="57"/>
      <c r="N984" s="57"/>
      <c r="O984" s="57"/>
      <c r="P984" s="28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</row>
    <row r="985">
      <c r="A985" s="57"/>
      <c r="B985" s="57"/>
      <c r="C985" s="57"/>
      <c r="D985" s="70"/>
      <c r="E985" s="71"/>
      <c r="F985" s="57"/>
      <c r="G985" s="71"/>
      <c r="H985" s="57"/>
      <c r="I985" s="57"/>
      <c r="J985" s="57"/>
      <c r="K985" s="57"/>
      <c r="L985" s="57"/>
      <c r="M985" s="57"/>
      <c r="N985" s="57"/>
      <c r="O985" s="57"/>
      <c r="P985" s="28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</row>
    <row r="986">
      <c r="A986" s="57"/>
      <c r="B986" s="57"/>
      <c r="C986" s="57"/>
      <c r="D986" s="70"/>
      <c r="E986" s="71"/>
      <c r="F986" s="57"/>
      <c r="G986" s="71"/>
      <c r="H986" s="57"/>
      <c r="I986" s="57"/>
      <c r="J986" s="57"/>
      <c r="K986" s="57"/>
      <c r="L986" s="57"/>
      <c r="M986" s="57"/>
      <c r="N986" s="57"/>
      <c r="O986" s="57"/>
      <c r="P986" s="28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</row>
    <row r="987">
      <c r="A987" s="57"/>
      <c r="B987" s="57"/>
      <c r="C987" s="57"/>
      <c r="D987" s="70"/>
      <c r="E987" s="71"/>
      <c r="F987" s="57"/>
      <c r="G987" s="71"/>
      <c r="H987" s="57"/>
      <c r="I987" s="57"/>
      <c r="J987" s="57"/>
      <c r="K987" s="57"/>
      <c r="L987" s="57"/>
      <c r="M987" s="57"/>
      <c r="N987" s="57"/>
      <c r="O987" s="57"/>
      <c r="P987" s="28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</row>
    <row r="988">
      <c r="A988" s="57"/>
      <c r="B988" s="57"/>
      <c r="C988" s="57"/>
      <c r="D988" s="70"/>
      <c r="E988" s="71"/>
      <c r="F988" s="57"/>
      <c r="G988" s="71"/>
      <c r="H988" s="57"/>
      <c r="I988" s="57"/>
      <c r="J988" s="57"/>
      <c r="K988" s="57"/>
      <c r="L988" s="57"/>
      <c r="M988" s="57"/>
      <c r="N988" s="57"/>
      <c r="O988" s="57"/>
      <c r="P988" s="28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</row>
    <row r="989">
      <c r="A989" s="57"/>
      <c r="B989" s="57"/>
      <c r="C989" s="57"/>
      <c r="D989" s="70"/>
      <c r="E989" s="71"/>
      <c r="F989" s="57"/>
      <c r="G989" s="71"/>
      <c r="H989" s="57"/>
      <c r="I989" s="57"/>
      <c r="J989" s="57"/>
      <c r="K989" s="57"/>
      <c r="L989" s="57"/>
      <c r="M989" s="57"/>
      <c r="N989" s="57"/>
      <c r="O989" s="57"/>
      <c r="P989" s="28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</row>
    <row r="990">
      <c r="A990" s="57"/>
      <c r="B990" s="57"/>
      <c r="C990" s="57"/>
      <c r="D990" s="70"/>
      <c r="E990" s="71"/>
      <c r="F990" s="57"/>
      <c r="G990" s="71"/>
      <c r="H990" s="57"/>
      <c r="I990" s="57"/>
      <c r="J990" s="57"/>
      <c r="K990" s="57"/>
      <c r="L990" s="57"/>
      <c r="M990" s="57"/>
      <c r="N990" s="57"/>
      <c r="O990" s="57"/>
      <c r="P990" s="28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</row>
    <row r="991">
      <c r="A991" s="57"/>
      <c r="B991" s="57"/>
      <c r="C991" s="57"/>
      <c r="D991" s="70"/>
      <c r="E991" s="71"/>
      <c r="F991" s="57"/>
      <c r="G991" s="71"/>
      <c r="H991" s="57"/>
      <c r="I991" s="57"/>
      <c r="J991" s="57"/>
      <c r="K991" s="57"/>
      <c r="L991" s="57"/>
      <c r="M991" s="57"/>
      <c r="N991" s="57"/>
      <c r="O991" s="57"/>
      <c r="P991" s="28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</row>
    <row r="992">
      <c r="A992" s="57"/>
      <c r="B992" s="57"/>
      <c r="C992" s="57"/>
      <c r="D992" s="70"/>
      <c r="E992" s="71"/>
      <c r="F992" s="57"/>
      <c r="G992" s="71"/>
      <c r="H992" s="57"/>
      <c r="I992" s="57"/>
      <c r="J992" s="57"/>
      <c r="K992" s="57"/>
      <c r="L992" s="57"/>
      <c r="M992" s="57"/>
      <c r="N992" s="57"/>
      <c r="O992" s="57"/>
      <c r="P992" s="28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</row>
    <row r="993">
      <c r="A993" s="57"/>
      <c r="B993" s="57"/>
      <c r="C993" s="57"/>
      <c r="D993" s="70"/>
      <c r="E993" s="71"/>
      <c r="F993" s="57"/>
      <c r="G993" s="71"/>
      <c r="H993" s="57"/>
      <c r="I993" s="57"/>
      <c r="J993" s="57"/>
      <c r="K993" s="57"/>
      <c r="L993" s="57"/>
      <c r="M993" s="57"/>
      <c r="N993" s="57"/>
      <c r="O993" s="57"/>
      <c r="P993" s="28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</row>
    <row r="994">
      <c r="A994" s="57"/>
      <c r="B994" s="57"/>
      <c r="C994" s="57"/>
      <c r="D994" s="70"/>
      <c r="E994" s="71"/>
      <c r="F994" s="57"/>
      <c r="G994" s="71"/>
      <c r="H994" s="57"/>
      <c r="I994" s="57"/>
      <c r="J994" s="57"/>
      <c r="K994" s="57"/>
      <c r="L994" s="57"/>
      <c r="M994" s="57"/>
      <c r="N994" s="57"/>
      <c r="O994" s="57"/>
      <c r="P994" s="28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</row>
    <row r="995">
      <c r="A995" s="57"/>
      <c r="B995" s="57"/>
      <c r="C995" s="57"/>
      <c r="D995" s="70"/>
      <c r="E995" s="71"/>
      <c r="F995" s="57"/>
      <c r="G995" s="71"/>
      <c r="H995" s="57"/>
      <c r="I995" s="57"/>
      <c r="J995" s="57"/>
      <c r="K995" s="57"/>
      <c r="L995" s="57"/>
      <c r="M995" s="57"/>
      <c r="N995" s="57"/>
      <c r="O995" s="57"/>
      <c r="P995" s="28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</row>
    <row r="996">
      <c r="A996" s="57"/>
      <c r="B996" s="57"/>
      <c r="C996" s="57"/>
      <c r="D996" s="70"/>
      <c r="E996" s="71"/>
      <c r="F996" s="57"/>
      <c r="G996" s="71"/>
      <c r="H996" s="57"/>
      <c r="I996" s="57"/>
      <c r="J996" s="57"/>
      <c r="K996" s="57"/>
      <c r="L996" s="57"/>
      <c r="M996" s="57"/>
      <c r="N996" s="57"/>
      <c r="O996" s="57"/>
      <c r="P996" s="28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</row>
    <row r="997">
      <c r="A997" s="57"/>
      <c r="B997" s="57"/>
      <c r="C997" s="57"/>
      <c r="D997" s="70"/>
      <c r="E997" s="71"/>
      <c r="F997" s="57"/>
      <c r="G997" s="71"/>
      <c r="H997" s="57"/>
      <c r="I997" s="57"/>
      <c r="J997" s="57"/>
      <c r="K997" s="57"/>
      <c r="L997" s="57"/>
      <c r="M997" s="57"/>
      <c r="N997" s="57"/>
      <c r="O997" s="57"/>
      <c r="P997" s="28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</row>
    <row r="998">
      <c r="A998" s="57"/>
      <c r="B998" s="57"/>
      <c r="C998" s="57"/>
      <c r="D998" s="70"/>
      <c r="E998" s="71"/>
      <c r="F998" s="57"/>
      <c r="G998" s="71"/>
      <c r="H998" s="57"/>
      <c r="I998" s="57"/>
      <c r="J998" s="57"/>
      <c r="K998" s="57"/>
      <c r="L998" s="57"/>
      <c r="M998" s="57"/>
      <c r="N998" s="57"/>
      <c r="O998" s="57"/>
      <c r="P998" s="28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</row>
    <row r="999">
      <c r="A999" s="57"/>
      <c r="B999" s="57"/>
      <c r="C999" s="57"/>
      <c r="D999" s="70"/>
      <c r="E999" s="71"/>
      <c r="F999" s="57"/>
      <c r="G999" s="71"/>
      <c r="H999" s="57"/>
      <c r="I999" s="57"/>
      <c r="J999" s="57"/>
      <c r="K999" s="57"/>
      <c r="L999" s="57"/>
      <c r="M999" s="57"/>
      <c r="N999" s="57"/>
      <c r="O999" s="57"/>
      <c r="P999" s="28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</row>
    <row r="1000">
      <c r="A1000" s="57"/>
      <c r="B1000" s="57"/>
      <c r="C1000" s="57"/>
      <c r="D1000" s="70"/>
      <c r="E1000" s="71"/>
      <c r="F1000" s="57"/>
      <c r="G1000" s="71"/>
      <c r="H1000" s="57"/>
      <c r="I1000" s="57"/>
      <c r="J1000" s="57"/>
      <c r="K1000" s="57"/>
      <c r="L1000" s="57"/>
      <c r="M1000" s="57"/>
      <c r="N1000" s="57"/>
      <c r="O1000" s="57"/>
      <c r="P1000" s="28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</row>
    <row r="1001">
      <c r="A1001" s="57"/>
      <c r="B1001" s="57"/>
      <c r="C1001" s="57"/>
      <c r="D1001" s="70"/>
      <c r="E1001" s="71"/>
      <c r="F1001" s="57"/>
      <c r="G1001" s="71"/>
      <c r="H1001" s="57"/>
      <c r="I1001" s="57"/>
      <c r="J1001" s="57"/>
      <c r="K1001" s="57"/>
      <c r="L1001" s="57"/>
      <c r="M1001" s="57"/>
      <c r="N1001" s="57"/>
      <c r="O1001" s="57"/>
      <c r="P1001" s="28"/>
      <c r="Q1001" s="57"/>
      <c r="R1001" s="57"/>
      <c r="S1001" s="57"/>
      <c r="T1001" s="57"/>
      <c r="U1001" s="57"/>
      <c r="V1001" s="57"/>
      <c r="W1001" s="57"/>
      <c r="X1001" s="57"/>
      <c r="Y1001" s="57"/>
      <c r="Z1001" s="57"/>
      <c r="AA1001" s="57"/>
      <c r="AB1001" s="57"/>
    </row>
    <row r="1002">
      <c r="A1002" s="57"/>
      <c r="B1002" s="57"/>
      <c r="C1002" s="57"/>
      <c r="D1002" s="70"/>
      <c r="E1002" s="71"/>
      <c r="F1002" s="57"/>
      <c r="G1002" s="71"/>
      <c r="H1002" s="57"/>
      <c r="I1002" s="57"/>
      <c r="J1002" s="57"/>
      <c r="K1002" s="57"/>
      <c r="L1002" s="57"/>
      <c r="M1002" s="57"/>
      <c r="N1002" s="57"/>
      <c r="O1002" s="57"/>
      <c r="P1002" s="28"/>
      <c r="Q1002" s="57"/>
      <c r="R1002" s="57"/>
      <c r="S1002" s="57"/>
      <c r="T1002" s="57"/>
      <c r="U1002" s="57"/>
      <c r="V1002" s="57"/>
      <c r="W1002" s="57"/>
      <c r="X1002" s="57"/>
      <c r="Y1002" s="57"/>
      <c r="Z1002" s="57"/>
      <c r="AA1002" s="57"/>
      <c r="AB1002" s="57"/>
    </row>
    <row r="1003">
      <c r="A1003" s="57"/>
      <c r="B1003" s="57"/>
      <c r="C1003" s="57"/>
      <c r="D1003" s="70"/>
      <c r="E1003" s="71"/>
      <c r="F1003" s="57"/>
      <c r="G1003" s="71"/>
      <c r="H1003" s="57"/>
      <c r="I1003" s="57"/>
      <c r="J1003" s="57"/>
      <c r="K1003" s="57"/>
      <c r="L1003" s="57"/>
      <c r="M1003" s="57"/>
      <c r="N1003" s="57"/>
      <c r="O1003" s="57"/>
      <c r="P1003" s="28"/>
      <c r="Q1003" s="57"/>
      <c r="R1003" s="57"/>
      <c r="S1003" s="57"/>
      <c r="T1003" s="57"/>
      <c r="U1003" s="57"/>
      <c r="V1003" s="57"/>
      <c r="W1003" s="57"/>
      <c r="X1003" s="57"/>
      <c r="Y1003" s="57"/>
      <c r="Z1003" s="57"/>
      <c r="AA1003" s="57"/>
      <c r="AB1003" s="57"/>
    </row>
    <row r="1004">
      <c r="A1004" s="57"/>
      <c r="B1004" s="57"/>
      <c r="C1004" s="57"/>
      <c r="D1004" s="70"/>
      <c r="E1004" s="71"/>
      <c r="F1004" s="57"/>
      <c r="G1004" s="71"/>
      <c r="H1004" s="57"/>
      <c r="I1004" s="72"/>
      <c r="J1004" s="57"/>
      <c r="K1004" s="57"/>
      <c r="L1004" s="57"/>
      <c r="M1004" s="57"/>
      <c r="N1004" s="57"/>
      <c r="O1004" s="57"/>
      <c r="P1004" s="28"/>
      <c r="Q1004" s="57"/>
      <c r="R1004" s="57"/>
      <c r="S1004" s="57"/>
      <c r="T1004" s="57"/>
      <c r="U1004" s="57"/>
      <c r="V1004" s="57"/>
      <c r="W1004" s="57"/>
      <c r="X1004" s="57"/>
      <c r="Y1004" s="57"/>
      <c r="Z1004" s="57"/>
      <c r="AA1004" s="57"/>
      <c r="AB1004" s="5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0"/>
    <col customWidth="1" min="2" max="2" width="13.38"/>
    <col customWidth="1" min="6" max="6" width="17.5"/>
  </cols>
  <sheetData>
    <row r="1">
      <c r="A1" s="73"/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</row>
    <row r="2">
      <c r="A2" s="73"/>
      <c r="B2" s="73"/>
      <c r="C2" s="73"/>
      <c r="D2" s="73"/>
      <c r="E2" s="73"/>
      <c r="F2" s="73"/>
      <c r="G2" s="73"/>
      <c r="H2" s="73"/>
      <c r="I2" s="73" t="str">
        <f>IFERROR(__xludf.DUMMYFUNCTION("IMPORTRANGE(""https://docs.google.com/spreadsheets/d/1Mr1-WgkgjeFEk5QNcL6PEK-ZeHJ0W4Ga3Q_OiCASfug/edit?gid=301422845#gid=301422845"" , ""ONs NY!A:L"")"),"")</f>
        <v/>
      </c>
      <c r="J2" s="73"/>
      <c r="K2" s="73"/>
      <c r="L2" s="73"/>
      <c r="M2" s="73"/>
      <c r="N2" s="73"/>
      <c r="O2" s="73" t="str">
        <f>IFERROR(__xludf.DUMMYFUNCTION("""COMPUTED_VALUE"""),"Comision")</f>
        <v>Comision</v>
      </c>
      <c r="P2" s="73">
        <f>IFERROR(__xludf.DUMMYFUNCTION("""COMPUTED_VALUE"""),1.01)</f>
        <v>1.01</v>
      </c>
      <c r="Q2" s="73" t="str">
        <f>IFERROR(__xludf.DUMMYFUNCTION("""COMPUTED_VALUE"""),"Acá la comisión")</f>
        <v>Acá la comisión</v>
      </c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 t="str">
        <f>IFERROR(__xludf.DUMMYFUNCTION("IMPORTRANGE(""https://docs.google.com/spreadsheets/d/1Mr1-WgkgjeFEk5QNcL6PEK-ZeHJ0W4Ga3Q_OiCASfug/edit?gid=301422845#gid=301422845"" , ""ONs Argentina!A:L"")"),"")</f>
        <v/>
      </c>
      <c r="AH2" s="73"/>
      <c r="AI2" s="73"/>
      <c r="AJ2" s="73"/>
      <c r="AK2" s="73"/>
      <c r="AL2" s="73"/>
      <c r="AM2" s="73" t="str">
        <f>IFERROR(__xludf.DUMMYFUNCTION("""COMPUTED_VALUE"""),"Comision")</f>
        <v>Comision</v>
      </c>
      <c r="AN2" s="73">
        <f>IFERROR(__xludf.DUMMYFUNCTION("""COMPUTED_VALUE"""),1.01)</f>
        <v>1.01</v>
      </c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</row>
    <row r="3">
      <c r="A3" s="73"/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 t="str">
        <f>IFERROR(__xludf.DUMMYFUNCTION("""COMPUTED_VALUE"""),"Dia de liquidacion")</f>
        <v>Dia de liquidacion</v>
      </c>
      <c r="P3" s="74">
        <f>IFERROR(__xludf.DUMMYFUNCTION("""COMPUTED_VALUE"""),45867.0)</f>
        <v>45867</v>
      </c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 t="str">
        <f>IFERROR(__xludf.DUMMYFUNCTION("""COMPUTED_VALUE"""),"Dia de liquidacion")</f>
        <v>Dia de liquidacion</v>
      </c>
      <c r="AN3" s="74">
        <f>IFERROR(__xludf.DUMMYFUNCTION("""COMPUTED_VALUE"""),45867.0)</f>
        <v>45867</v>
      </c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</row>
    <row r="4">
      <c r="A4" s="73"/>
      <c r="B4" s="75" t="s">
        <v>2555</v>
      </c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 t="str">
        <f>IFERROR(__xludf.DUMMYFUNCTION("""COMPUTED_VALUE"""),"Acá los precios")</f>
        <v>Acá los precios</v>
      </c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</row>
    <row r="5">
      <c r="A5" s="73"/>
      <c r="B5" s="76" t="str">
        <f t="shared" ref="B5:C5" si="1">K5</f>
        <v>Ticker</v>
      </c>
      <c r="C5" s="76" t="str">
        <f t="shared" si="1"/>
        <v>TIR</v>
      </c>
      <c r="D5" s="77" t="s">
        <v>2556</v>
      </c>
      <c r="E5" s="78" t="s">
        <v>2557</v>
      </c>
      <c r="F5" s="77" t="s">
        <v>2558</v>
      </c>
      <c r="G5" s="77" t="s">
        <v>2559</v>
      </c>
      <c r="H5" s="77" t="s">
        <v>2560</v>
      </c>
      <c r="I5" s="73"/>
      <c r="J5" s="76" t="str">
        <f>IFERROR(__xludf.DUMMYFUNCTION("""COMPUTED_VALUE"""),"Empresa")</f>
        <v>Empresa</v>
      </c>
      <c r="K5" s="76" t="str">
        <f>IFERROR(__xludf.DUMMYFUNCTION("""COMPUTED_VALUE"""),"Ticker")</f>
        <v>Ticker</v>
      </c>
      <c r="L5" s="76" t="str">
        <f>IFERROR(__xludf.DUMMYFUNCTION("""COMPUTED_VALUE"""),"TIR")</f>
        <v>TIR</v>
      </c>
      <c r="M5" s="76" t="str">
        <f>IFERROR(__xludf.DUMMYFUNCTION("""COMPUTED_VALUE"""),"Precio")</f>
        <v>Precio</v>
      </c>
      <c r="N5" s="79" t="str">
        <f>IFERROR(__xludf.DUMMYFUNCTION("""COMPUTED_VALUE"""),"Sin comision")</f>
        <v>Sin comision</v>
      </c>
      <c r="O5" s="76" t="str">
        <f>IFERROR(__xludf.DUMMYFUNCTION("""COMPUTED_VALUE"""),"MD")</f>
        <v>MD</v>
      </c>
      <c r="P5" s="76" t="str">
        <f>IFERROR(__xludf.DUMMYFUNCTION("""COMPUTED_VALUE"""),"Vto")</f>
        <v>Vto</v>
      </c>
      <c r="Q5" s="76" t="str">
        <f>IFERROR(__xludf.DUMMYFUNCTION("""COMPUTED_VALUE"""),"Ley")</f>
        <v>Ley</v>
      </c>
      <c r="R5" s="76" t="str">
        <f>IFERROR(__xludf.DUMMYFUNCTION("""COMPUTED_VALUE"""),"Periodicidad")</f>
        <v>Periodicidad</v>
      </c>
      <c r="S5" s="76" t="str">
        <f>IFERROR(__xludf.DUMMYFUNCTION("""COMPUTED_VALUE"""),"Lamina minima")</f>
        <v>Lamina minima</v>
      </c>
      <c r="T5" s="76" t="str">
        <f>IFERROR(__xludf.DUMMYFUNCTION("""COMPUTED_VALUE"""),"Tipo")</f>
        <v>Tipo</v>
      </c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6" t="str">
        <f>IFERROR(__xludf.DUMMYFUNCTION("""COMPUTED_VALUE"""),"Empresa")</f>
        <v>Empresa</v>
      </c>
      <c r="AI5" s="76" t="str">
        <f>IFERROR(__xludf.DUMMYFUNCTION("""COMPUTED_VALUE"""),"Ticker")</f>
        <v>Ticker</v>
      </c>
      <c r="AJ5" s="76" t="str">
        <f>IFERROR(__xludf.DUMMYFUNCTION("""COMPUTED_VALUE"""),"TIR")</f>
        <v>TIR</v>
      </c>
      <c r="AK5" s="76" t="str">
        <f>IFERROR(__xludf.DUMMYFUNCTION("""COMPUTED_VALUE"""),"Precio")</f>
        <v>Precio</v>
      </c>
      <c r="AL5" s="79" t="str">
        <f>IFERROR(__xludf.DUMMYFUNCTION("""COMPUTED_VALUE"""),"Sin comision")</f>
        <v>Sin comision</v>
      </c>
      <c r="AM5" s="76" t="str">
        <f>IFERROR(__xludf.DUMMYFUNCTION("""COMPUTED_VALUE"""),"MD")</f>
        <v>MD</v>
      </c>
      <c r="AN5" s="76" t="str">
        <f>IFERROR(__xludf.DUMMYFUNCTION("""COMPUTED_VALUE"""),"Vto")</f>
        <v>Vto</v>
      </c>
      <c r="AO5" s="76" t="str">
        <f>IFERROR(__xludf.DUMMYFUNCTION("""COMPUTED_VALUE"""),"Ley")</f>
        <v>Ley</v>
      </c>
      <c r="AP5" s="76" t="str">
        <f>IFERROR(__xludf.DUMMYFUNCTION("""COMPUTED_VALUE"""),"Periodicidad")</f>
        <v>Periodicidad</v>
      </c>
      <c r="AQ5" s="76" t="str">
        <f>IFERROR(__xludf.DUMMYFUNCTION("""COMPUTED_VALUE"""),"Lamina minima")</f>
        <v>Lamina minima</v>
      </c>
      <c r="AR5" s="76" t="str">
        <f>IFERROR(__xludf.DUMMYFUNCTION("""COMPUTED_VALUE"""),"Tipo")</f>
        <v>Tipo</v>
      </c>
      <c r="AS5" s="73"/>
      <c r="AT5" s="73"/>
      <c r="AU5" s="73"/>
      <c r="AV5" s="73"/>
      <c r="AW5" s="73"/>
      <c r="AX5" s="73"/>
      <c r="AY5" s="73"/>
      <c r="AZ5" s="73"/>
      <c r="BA5" s="73"/>
      <c r="BB5" s="73"/>
    </row>
    <row r="6">
      <c r="A6" s="73"/>
      <c r="B6" s="80" t="s">
        <v>1596</v>
      </c>
      <c r="C6" s="81">
        <f t="shared" ref="C6:C7" si="2">VLOOKUP(B6,$K$6:$T$32,2,0)</f>
        <v>0.08753378101</v>
      </c>
      <c r="D6" s="82">
        <f t="shared" ref="D6:D7" si="3">VLOOKUP(B6,$K$6:$T$32,5,0)</f>
        <v>5.188228257</v>
      </c>
      <c r="E6" s="83">
        <f t="shared" ref="E6:E7" si="4">VLOOKUP(B6,$K$6:$T$32,6,0)</f>
        <v>48726</v>
      </c>
      <c r="F6" s="84">
        <f t="shared" ref="F6:F7" si="5">1/D6</f>
        <v>0.1927440256</v>
      </c>
      <c r="G6" s="85">
        <f t="shared" ref="G6:G7" si="6">F6/$F$12</f>
        <v>0.3888963767</v>
      </c>
      <c r="H6" s="84">
        <f t="shared" ref="H6:H7" si="7">VLOOKUP(B6,$K$6:$T$32,9,0)</f>
        <v>1000</v>
      </c>
      <c r="I6" s="73"/>
      <c r="J6" s="84" t="str">
        <f>IFERROR(__xludf.DUMMYFUNCTION("""COMPUTED_VALUE"""),"Telecom")</f>
        <v>Telecom</v>
      </c>
      <c r="K6" s="86" t="str">
        <f>IFERROR(__xludf.DUMMYFUNCTION("""COMPUTED_VALUE"""),"TLC5D")</f>
        <v>TLC5D</v>
      </c>
      <c r="L6" s="81" t="str">
        <f>IFERROR(__xludf.DUMMYFUNCTION("""COMPUTED_VALUE"""),"#NUM!")</f>
        <v>#NUM!</v>
      </c>
      <c r="M6" s="87">
        <f>IFERROR(__xludf.DUMMYFUNCTION("""COMPUTED_VALUE"""),0.0)</f>
        <v>0</v>
      </c>
      <c r="N6" s="84"/>
      <c r="O6" s="82" t="str">
        <f>IFERROR(__xludf.DUMMYFUNCTION("""COMPUTED_VALUE"""),"#NUM!")</f>
        <v>#NUM!</v>
      </c>
      <c r="P6" s="83">
        <f>IFERROR(__xludf.DUMMYFUNCTION("""COMPUTED_VALUE"""),45875.0)</f>
        <v>45875</v>
      </c>
      <c r="Q6" s="84" t="str">
        <f>IFERROR(__xludf.DUMMYFUNCTION("""COMPUTED_VALUE"""),"NY")</f>
        <v>NY</v>
      </c>
      <c r="R6" s="84" t="str">
        <f>IFERROR(__xludf.DUMMYFUNCTION("""COMPUTED_VALUE"""),"Semestral")</f>
        <v>Semestral</v>
      </c>
      <c r="S6" s="84">
        <f>IFERROR(__xludf.DUMMYFUNCTION("""COMPUTED_VALUE"""),1000.0)</f>
        <v>1000</v>
      </c>
      <c r="T6" s="84" t="str">
        <f>IFERROR(__xludf.DUMMYFUNCTION("""COMPUTED_VALUE"""),"Sinkable")</f>
        <v>Sinkable</v>
      </c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73"/>
      <c r="AT6" s="73"/>
      <c r="AU6" s="73"/>
      <c r="AV6" s="73"/>
      <c r="AW6" s="73"/>
      <c r="AX6" s="73"/>
      <c r="AY6" s="73"/>
      <c r="AZ6" s="73"/>
      <c r="BA6" s="73"/>
      <c r="BB6" s="73"/>
    </row>
    <row r="7">
      <c r="A7" s="73"/>
      <c r="B7" s="80" t="s">
        <v>150</v>
      </c>
      <c r="C7" s="81">
        <f t="shared" si="2"/>
        <v>0.07186858398</v>
      </c>
      <c r="D7" s="82">
        <f t="shared" si="3"/>
        <v>3.301703824</v>
      </c>
      <c r="E7" s="83">
        <f t="shared" si="4"/>
        <v>47292</v>
      </c>
      <c r="F7" s="84">
        <f t="shared" si="5"/>
        <v>0.3028739261</v>
      </c>
      <c r="G7" s="85">
        <f t="shared" si="6"/>
        <v>0.6111036233</v>
      </c>
      <c r="H7" s="84">
        <f t="shared" si="7"/>
        <v>1000</v>
      </c>
      <c r="I7" s="73"/>
      <c r="J7" s="84" t="str">
        <f>IFERROR(__xludf.DUMMYFUNCTION("""COMPUTED_VALUE"""),"Central Puerto")</f>
        <v>Central Puerto</v>
      </c>
      <c r="K7" s="86" t="str">
        <f>IFERROR(__xludf.DUMMYFUNCTION("""COMPUTED_VALUE"""),"NPCBD")</f>
        <v>NPCBD</v>
      </c>
      <c r="L7" s="81">
        <f>IFERROR(__xludf.DUMMYFUNCTION("""COMPUTED_VALUE"""),0.009285835452373041)</f>
        <v>0.009285835452</v>
      </c>
      <c r="M7" s="87">
        <f>IFERROR(__xludf.DUMMYFUNCTION("""COMPUTED_VALUE"""),104.7875)</f>
        <v>104.7875</v>
      </c>
      <c r="N7" s="84">
        <f>IFERROR(__xludf.DUMMYFUNCTION("""COMPUTED_VALUE"""),103.75)</f>
        <v>103.75</v>
      </c>
      <c r="O7" s="82">
        <f>IFERROR(__xludf.DUMMYFUNCTION("""COMPUTED_VALUE"""),0.21816748911840414)</f>
        <v>0.2181674891</v>
      </c>
      <c r="P7" s="83">
        <f>IFERROR(__xludf.DUMMYFUNCTION("""COMPUTED_VALUE"""),45947.0)</f>
        <v>45947</v>
      </c>
      <c r="Q7" s="84" t="str">
        <f>IFERROR(__xludf.DUMMYFUNCTION("""COMPUTED_VALUE"""),"NY")</f>
        <v>NY</v>
      </c>
      <c r="R7" s="84" t="str">
        <f>IFERROR(__xludf.DUMMYFUNCTION("""COMPUTED_VALUE"""),"Semestral")</f>
        <v>Semestral</v>
      </c>
      <c r="S7" s="84">
        <f>IFERROR(__xludf.DUMMYFUNCTION("""COMPUTED_VALUE"""),1000.0)</f>
        <v>1000</v>
      </c>
      <c r="T7" s="84" t="str">
        <f>IFERROR(__xludf.DUMMYFUNCTION("""COMPUTED_VALUE"""),"Bullet")</f>
        <v>Bullet</v>
      </c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 t="str">
        <f>IFERROR(__xludf.DUMMYFUNCTION("""COMPUTED_VALUE"""),"Poco volumen")</f>
        <v>Poco volumen</v>
      </c>
      <c r="AH7" s="84" t="str">
        <f>IFERROR(__xludf.DUMMYFUNCTION("""COMPUTED_VALUE"""),"Irsa")</f>
        <v>Irsa</v>
      </c>
      <c r="AI7" s="86" t="str">
        <f>IFERROR(__xludf.DUMMYFUNCTION("""COMPUTED_VALUE"""),"IRCHD")</f>
        <v>IRCHD</v>
      </c>
      <c r="AJ7" s="81" t="str">
        <f>IFERROR(__xludf.DUMMYFUNCTION("""COMPUTED_VALUE"""),"#NUM!")</f>
        <v>#NUM!</v>
      </c>
      <c r="AK7" s="87">
        <f>IFERROR(__xludf.DUMMYFUNCTION("""COMPUTED_VALUE"""),105.545)</f>
        <v>105.545</v>
      </c>
      <c r="AL7" s="88">
        <f>IFERROR(__xludf.DUMMYFUNCTION("""COMPUTED_VALUE"""),104.5)</f>
        <v>104.5</v>
      </c>
      <c r="AM7" s="82" t="str">
        <f>IFERROR(__xludf.DUMMYFUNCTION("""COMPUTED_VALUE"""),"#NUM!")</f>
        <v>#NUM!</v>
      </c>
      <c r="AN7" s="83" t="str">
        <f>IFERROR(__xludf.DUMMYFUNCTION("""COMPUTED_VALUE"""),"#N/A")</f>
        <v>#N/A</v>
      </c>
      <c r="AO7" s="84" t="str">
        <f>IFERROR(__xludf.DUMMYFUNCTION("""COMPUTED_VALUE"""),"Argentina")</f>
        <v>Argentina</v>
      </c>
      <c r="AP7" s="83" t="str">
        <f>IFERROR(__xludf.DUMMYFUNCTION("""COMPUTED_VALUE"""),"#N/A")</f>
        <v>#N/A</v>
      </c>
      <c r="AQ7" s="89">
        <f>IFERROR(__xludf.DUMMYFUNCTION("""COMPUTED_VALUE"""),1.0)</f>
        <v>1</v>
      </c>
      <c r="AR7" s="83" t="str">
        <f>IFERROR(__xludf.DUMMYFUNCTION("""COMPUTED_VALUE"""),"#N/A")</f>
        <v>#N/A</v>
      </c>
      <c r="AS7" s="73"/>
      <c r="AT7" s="73"/>
      <c r="AU7" s="73"/>
      <c r="AV7" s="73"/>
      <c r="AW7" s="73"/>
      <c r="AX7" s="73"/>
      <c r="AY7" s="73"/>
      <c r="AZ7" s="73"/>
      <c r="BA7" s="73"/>
      <c r="BB7" s="73"/>
    </row>
    <row r="8">
      <c r="A8" s="73"/>
      <c r="B8" s="80"/>
      <c r="C8" s="84"/>
      <c r="D8" s="84"/>
      <c r="E8" s="84"/>
      <c r="F8" s="84"/>
      <c r="G8" s="85"/>
      <c r="H8" s="84"/>
      <c r="I8" s="73"/>
      <c r="J8" s="84" t="str">
        <f>IFERROR(__xludf.DUMMYFUNCTION("""COMPUTED_VALUE"""),"YPF")</f>
        <v>YPF</v>
      </c>
      <c r="K8" s="86" t="str">
        <f>IFERROR(__xludf.DUMMYFUNCTION("""COMPUTED_VALUE"""),"YMCHD")</f>
        <v>YMCHD</v>
      </c>
      <c r="L8" s="81">
        <f>IFERROR(__xludf.DUMMYFUNCTION("""COMPUTED_VALUE"""),-0.008547680943282076)</f>
        <v>-0.008547680943</v>
      </c>
      <c r="M8" s="87">
        <f>IFERROR(__xludf.DUMMYFUNCTION("""COMPUTED_VALUE"""),24.1996)</f>
        <v>24.1996</v>
      </c>
      <c r="N8" s="84">
        <f>IFERROR(__xludf.DUMMYFUNCTION("""COMPUTED_VALUE"""),23.96)</f>
        <v>23.96</v>
      </c>
      <c r="O8" s="82">
        <f>IFERROR(__xludf.DUMMYFUNCTION("""COMPUTED_VALUE"""),0.28805089407538514)</f>
        <v>0.2880508941</v>
      </c>
      <c r="P8" s="83">
        <f>IFERROR(__xludf.DUMMYFUNCTION("""COMPUTED_VALUE"""),46065.0)</f>
        <v>46065</v>
      </c>
      <c r="Q8" s="84" t="str">
        <f>IFERROR(__xludf.DUMMYFUNCTION("""COMPUTED_VALUE"""),"NY")</f>
        <v>NY</v>
      </c>
      <c r="R8" s="84" t="str">
        <f>IFERROR(__xludf.DUMMYFUNCTION("""COMPUTED_VALUE"""),"Trimestral")</f>
        <v>Trimestral</v>
      </c>
      <c r="S8" s="84">
        <f>IFERROR(__xludf.DUMMYFUNCTION("""COMPUTED_VALUE"""),1.0)</f>
        <v>1</v>
      </c>
      <c r="T8" s="84" t="str">
        <f>IFERROR(__xludf.DUMMYFUNCTION("""COMPUTED_VALUE"""),"Sinkable")</f>
        <v>Sinkable</v>
      </c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 t="str">
        <f>IFERROR(__xludf.DUMMYFUNCTION("""COMPUTED_VALUE"""),"Poco volumen")</f>
        <v>Poco volumen</v>
      </c>
      <c r="AH8" s="84" t="str">
        <f>IFERROR(__xludf.DUMMYFUNCTION("""COMPUTED_VALUE"""),"Pampa energia")</f>
        <v>Pampa energia</v>
      </c>
      <c r="AI8" s="86" t="str">
        <f>IFERROR(__xludf.DUMMYFUNCTION("""COMPUTED_VALUE"""),"MGCJD")</f>
        <v>MGCJD</v>
      </c>
      <c r="AJ8" s="81" t="str">
        <f>IFERROR(__xludf.DUMMYFUNCTION("""COMPUTED_VALUE"""),"#NUM!")</f>
        <v>#NUM!</v>
      </c>
      <c r="AK8" s="87">
        <f>IFERROR(__xludf.DUMMYFUNCTION("""COMPUTED_VALUE"""),0.0)</f>
        <v>0</v>
      </c>
      <c r="AL8" s="88">
        <f>IFERROR(__xludf.DUMMYFUNCTION("""COMPUTED_VALUE"""),0.0)</f>
        <v>0</v>
      </c>
      <c r="AM8" s="82" t="str">
        <f>IFERROR(__xludf.DUMMYFUNCTION("""COMPUTED_VALUE"""),"#NUM!")</f>
        <v>#NUM!</v>
      </c>
      <c r="AN8" s="83" t="str">
        <f>IFERROR(__xludf.DUMMYFUNCTION("""COMPUTED_VALUE"""),"#N/A")</f>
        <v>#N/A</v>
      </c>
      <c r="AO8" s="84" t="str">
        <f>IFERROR(__xludf.DUMMYFUNCTION("""COMPUTED_VALUE"""),"Argentina")</f>
        <v>Argentina</v>
      </c>
      <c r="AP8" s="83" t="str">
        <f>IFERROR(__xludf.DUMMYFUNCTION("""COMPUTED_VALUE"""),"#N/A")</f>
        <v>#N/A</v>
      </c>
      <c r="AQ8" s="89">
        <f>IFERROR(__xludf.DUMMYFUNCTION("""COMPUTED_VALUE"""),1.0)</f>
        <v>1</v>
      </c>
      <c r="AR8" s="83" t="str">
        <f>IFERROR(__xludf.DUMMYFUNCTION("""COMPUTED_VALUE"""),"#N/A")</f>
        <v>#N/A</v>
      </c>
      <c r="AS8" s="73"/>
      <c r="AT8" s="73"/>
      <c r="AU8" s="73"/>
      <c r="AV8" s="73"/>
      <c r="AW8" s="73"/>
      <c r="AX8" s="73"/>
      <c r="AY8" s="73"/>
      <c r="AZ8" s="73"/>
      <c r="BA8" s="73"/>
      <c r="BB8" s="73"/>
    </row>
    <row r="9">
      <c r="A9" s="73"/>
      <c r="B9" s="80"/>
      <c r="C9" s="84"/>
      <c r="D9" s="84"/>
      <c r="E9" s="84"/>
      <c r="F9" s="84"/>
      <c r="G9" s="85"/>
      <c r="H9" s="84"/>
      <c r="I9" s="73"/>
      <c r="J9" s="84" t="str">
        <f>IFERROR(__xludf.DUMMYFUNCTION("""COMPUTED_VALUE"""),"Mastellone")</f>
        <v>Mastellone</v>
      </c>
      <c r="K9" s="86" t="str">
        <f>IFERROR(__xludf.DUMMYFUNCTION("""COMPUTED_VALUE"""),"MTCGD")</f>
        <v>MTCGD</v>
      </c>
      <c r="L9" s="81">
        <f>IFERROR(__xludf.DUMMYFUNCTION("""COMPUTED_VALUE"""),0.06697541578405392)</f>
        <v>0.06697541578</v>
      </c>
      <c r="M9" s="87">
        <f>IFERROR(__xludf.DUMMYFUNCTION("""COMPUTED_VALUE"""),104.7875)</f>
        <v>104.7875</v>
      </c>
      <c r="N9" s="84">
        <f>IFERROR(__xludf.DUMMYFUNCTION("""COMPUTED_VALUE"""),103.75)</f>
        <v>103.75</v>
      </c>
      <c r="O9" s="82">
        <f>IFERROR(__xludf.DUMMYFUNCTION("""COMPUTED_VALUE"""),0.8680277304687675)</f>
        <v>0.8680277305</v>
      </c>
      <c r="P9" s="83">
        <f>IFERROR(__xludf.DUMMYFUNCTION("""COMPUTED_VALUE"""),46203.0)</f>
        <v>46203</v>
      </c>
      <c r="Q9" s="84" t="str">
        <f>IFERROR(__xludf.DUMMYFUNCTION("""COMPUTED_VALUE"""),"NY")</f>
        <v>NY</v>
      </c>
      <c r="R9" s="84" t="str">
        <f>IFERROR(__xludf.DUMMYFUNCTION("""COMPUTED_VALUE"""),"Trimestral")</f>
        <v>Trimestral</v>
      </c>
      <c r="S9" s="84">
        <f>IFERROR(__xludf.DUMMYFUNCTION("""COMPUTED_VALUE"""),1.0)</f>
        <v>1</v>
      </c>
      <c r="T9" s="84" t="str">
        <f>IFERROR(__xludf.DUMMYFUNCTION("""COMPUTED_VALUE"""),"Bullet")</f>
        <v>Bullet</v>
      </c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84" t="str">
        <f>IFERROR(__xludf.DUMMYFUNCTION("""COMPUTED_VALUE"""),"Pampa energia")</f>
        <v>Pampa energia</v>
      </c>
      <c r="AI9" s="86" t="str">
        <f>IFERROR(__xludf.DUMMYFUNCTION("""COMPUTED_VALUE"""),"MGCHD")</f>
        <v>MGCHD</v>
      </c>
      <c r="AJ9" s="81">
        <f>IFERROR(__xludf.DUMMYFUNCTION("""COMPUTED_VALUE"""),0.020628377887265657)</f>
        <v>0.02062837789</v>
      </c>
      <c r="AK9" s="87">
        <f>IFERROR(__xludf.DUMMYFUNCTION("""COMPUTED_VALUE"""),101.9595)</f>
        <v>101.9595</v>
      </c>
      <c r="AL9" s="88">
        <f>IFERROR(__xludf.DUMMYFUNCTION("""COMPUTED_VALUE"""),100.95)</f>
        <v>100.95</v>
      </c>
      <c r="AM9" s="82">
        <f>IFERROR(__xludf.DUMMYFUNCTION("""COMPUTED_VALUE"""),0.26576598259695894)</f>
        <v>0.2657659826</v>
      </c>
      <c r="AN9" s="83">
        <f>IFERROR(__xludf.DUMMYFUNCTION("""COMPUTED_VALUE"""),45965.0)</f>
        <v>45965</v>
      </c>
      <c r="AO9" s="84" t="str">
        <f>IFERROR(__xludf.DUMMYFUNCTION("""COMPUTED_VALUE"""),"Argentina")</f>
        <v>Argentina</v>
      </c>
      <c r="AP9" s="83" t="str">
        <f>IFERROR(__xludf.DUMMYFUNCTION("""COMPUTED_VALUE"""),"Semestral")</f>
        <v>Semestral</v>
      </c>
      <c r="AQ9" s="89">
        <f>IFERROR(__xludf.DUMMYFUNCTION("""COMPUTED_VALUE"""),1.0)</f>
        <v>1</v>
      </c>
      <c r="AR9" s="83" t="str">
        <f>IFERROR(__xludf.DUMMYFUNCTION("""COMPUTED_VALUE"""),"Bullet")</f>
        <v>Bullet</v>
      </c>
      <c r="AS9" s="73"/>
      <c r="AT9" s="73"/>
      <c r="AU9" s="73"/>
      <c r="AV9" s="73"/>
      <c r="AW9" s="73"/>
      <c r="AX9" s="73"/>
      <c r="AY9" s="73"/>
      <c r="AZ9" s="73"/>
      <c r="BA9" s="73"/>
      <c r="BB9" s="73"/>
    </row>
    <row r="10">
      <c r="A10" s="73"/>
      <c r="B10" s="80"/>
      <c r="C10" s="84"/>
      <c r="D10" s="84"/>
      <c r="E10" s="90"/>
      <c r="F10" s="84"/>
      <c r="G10" s="85"/>
      <c r="H10" s="90"/>
      <c r="I10" s="73"/>
      <c r="J10" s="84" t="str">
        <f>IFERROR(__xludf.DUMMYFUNCTION("""COMPUTED_VALUE"""),"Pampa energia")</f>
        <v>Pampa energia</v>
      </c>
      <c r="K10" s="86" t="str">
        <f>IFERROR(__xludf.DUMMYFUNCTION("""COMPUTED_VALUE"""),"MGC9D")</f>
        <v>MGC9D</v>
      </c>
      <c r="L10" s="81">
        <f>IFERROR(__xludf.DUMMYFUNCTION("""COMPUTED_VALUE"""),0.007233213607075494)</f>
        <v>0.007233213607</v>
      </c>
      <c r="M10" s="87">
        <f>IFERROR(__xludf.DUMMYFUNCTION("""COMPUTED_VALUE"""),72.6291)</f>
        <v>72.6291</v>
      </c>
      <c r="N10" s="84">
        <f>IFERROR(__xludf.DUMMYFUNCTION("""COMPUTED_VALUE"""),71.91)</f>
        <v>71.91</v>
      </c>
      <c r="O10" s="82">
        <f>IFERROR(__xludf.DUMMYFUNCTION("""COMPUTED_VALUE"""),0.8547729395179884)</f>
        <v>0.8547729395</v>
      </c>
      <c r="P10" s="83">
        <f>IFERROR(__xludf.DUMMYFUNCTION("""COMPUTED_VALUE"""),46364.0)</f>
        <v>46364</v>
      </c>
      <c r="Q10" s="84" t="str">
        <f>IFERROR(__xludf.DUMMYFUNCTION("""COMPUTED_VALUE"""),"NY")</f>
        <v>NY</v>
      </c>
      <c r="R10" s="84" t="str">
        <f>IFERROR(__xludf.DUMMYFUNCTION("""COMPUTED_VALUE"""),"Semestral")</f>
        <v>Semestral</v>
      </c>
      <c r="S10" s="84">
        <f>IFERROR(__xludf.DUMMYFUNCTION("""COMPUTED_VALUE"""),1.0)</f>
        <v>1</v>
      </c>
      <c r="T10" s="84" t="str">
        <f>IFERROR(__xludf.DUMMYFUNCTION("""COMPUTED_VALUE"""),"Sinkable")</f>
        <v>Sinkable</v>
      </c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 t="str">
        <f>IFERROR(__xludf.DUMMYFUNCTION("""COMPUTED_VALUE"""),"Poco volumen")</f>
        <v>Poco volumen</v>
      </c>
      <c r="AH10" s="84" t="str">
        <f>IFERROR(__xludf.DUMMYFUNCTION("""COMPUTED_VALUE"""),"Arcor")</f>
        <v>Arcor</v>
      </c>
      <c r="AI10" s="86" t="str">
        <f>IFERROR(__xludf.DUMMYFUNCTION("""COMPUTED_VALUE"""),"RCCMD")</f>
        <v>RCCMD</v>
      </c>
      <c r="AJ10" s="81">
        <f>IFERROR(__xludf.DUMMYFUNCTION("""COMPUTED_VALUE"""),-0.022990989081568537)</f>
        <v>-0.02299098908</v>
      </c>
      <c r="AK10" s="87">
        <f>IFERROR(__xludf.DUMMYFUNCTION("""COMPUTED_VALUE"""),102.515)</f>
        <v>102.515</v>
      </c>
      <c r="AL10" s="88">
        <f>IFERROR(__xludf.DUMMYFUNCTION("""COMPUTED_VALUE"""),101.5)</f>
        <v>101.5</v>
      </c>
      <c r="AM10" s="82">
        <f>IFERROR(__xludf.DUMMYFUNCTION("""COMPUTED_VALUE"""),0.3215258093825017)</f>
        <v>0.3215258094</v>
      </c>
      <c r="AN10" s="83">
        <f>IFERROR(__xludf.DUMMYFUNCTION("""COMPUTED_VALUE"""),45983.0)</f>
        <v>45983</v>
      </c>
      <c r="AO10" s="84" t="str">
        <f>IFERROR(__xludf.DUMMYFUNCTION("""COMPUTED_VALUE"""),"Argentina")</f>
        <v>Argentina</v>
      </c>
      <c r="AP10" s="83" t="str">
        <f>IFERROR(__xludf.DUMMYFUNCTION("""COMPUTED_VALUE"""),"Semestral")</f>
        <v>Semestral</v>
      </c>
      <c r="AQ10" s="89">
        <f>IFERROR(__xludf.DUMMYFUNCTION("""COMPUTED_VALUE"""),1.0)</f>
        <v>1</v>
      </c>
      <c r="AR10" s="83" t="str">
        <f>IFERROR(__xludf.DUMMYFUNCTION("""COMPUTED_VALUE"""),"Bullet")</f>
        <v>Bullet</v>
      </c>
      <c r="AS10" s="73"/>
      <c r="AT10" s="73"/>
      <c r="AU10" s="73"/>
      <c r="AV10" s="73"/>
      <c r="AW10" s="73"/>
      <c r="AX10" s="73"/>
      <c r="AY10" s="73"/>
      <c r="AZ10" s="73"/>
      <c r="BA10" s="73"/>
      <c r="BB10" s="73"/>
    </row>
    <row r="11">
      <c r="A11" s="73"/>
      <c r="B11" s="80"/>
      <c r="C11" s="84"/>
      <c r="D11" s="84"/>
      <c r="E11" s="90"/>
      <c r="F11" s="84"/>
      <c r="G11" s="85"/>
      <c r="H11" s="90"/>
      <c r="I11" s="73"/>
      <c r="J11" s="84" t="str">
        <f>IFERROR(__xludf.DUMMYFUNCTION("""COMPUTED_VALUE"""),"Pan American")</f>
        <v>Pan American</v>
      </c>
      <c r="K11" s="86" t="str">
        <f>IFERROR(__xludf.DUMMYFUNCTION("""COMPUTED_VALUE"""),"PNDCD")</f>
        <v>PNDCD</v>
      </c>
      <c r="L11" s="81">
        <f>IFERROR(__xludf.DUMMYFUNCTION("""COMPUTED_VALUE"""),0.03741329928826814)</f>
        <v>0.03741329929</v>
      </c>
      <c r="M11" s="87">
        <f>IFERROR(__xludf.DUMMYFUNCTION("""COMPUTED_VALUE"""),86.00150000000001)</f>
        <v>86.0015</v>
      </c>
      <c r="N11" s="84">
        <f>IFERROR(__xludf.DUMMYFUNCTION("""COMPUTED_VALUE"""),85.15)</f>
        <v>85.15</v>
      </c>
      <c r="O11" s="82">
        <f>IFERROR(__xludf.DUMMYFUNCTION("""COMPUTED_VALUE"""),0.9494842116741531)</f>
        <v>0.9494842117</v>
      </c>
      <c r="P11" s="83">
        <f>IFERROR(__xludf.DUMMYFUNCTION("""COMPUTED_VALUE"""),46507.0)</f>
        <v>46507</v>
      </c>
      <c r="Q11" s="84" t="str">
        <f>IFERROR(__xludf.DUMMYFUNCTION("""COMPUTED_VALUE"""),"NY")</f>
        <v>NY</v>
      </c>
      <c r="R11" s="84" t="str">
        <f>IFERROR(__xludf.DUMMYFUNCTION("""COMPUTED_VALUE"""),"Semestral")</f>
        <v>Semestral</v>
      </c>
      <c r="S11" s="84">
        <f>IFERROR(__xludf.DUMMYFUNCTION("""COMPUTED_VALUE"""),1000.0)</f>
        <v>1000</v>
      </c>
      <c r="T11" s="84" t="str">
        <f>IFERROR(__xludf.DUMMYFUNCTION("""COMPUTED_VALUE"""),"Sinkable")</f>
        <v>Sinkable</v>
      </c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84" t="str">
        <f>IFERROR(__xludf.DUMMYFUNCTION("""COMPUTED_VALUE"""),"Tarjeta Naranja")</f>
        <v>Tarjeta Naranja</v>
      </c>
      <c r="AI11" s="86" t="str">
        <f>IFERROR(__xludf.DUMMYFUNCTION("""COMPUTED_VALUE"""),"TN63D")</f>
        <v>TN63D</v>
      </c>
      <c r="AJ11" s="81">
        <f>IFERROR(__xludf.DUMMYFUNCTION("""COMPUTED_VALUE"""),0.003638085860012239)</f>
        <v>0.00363808586</v>
      </c>
      <c r="AK11" s="87">
        <f>IFERROR(__xludf.DUMMYFUNCTION("""COMPUTED_VALUE"""),102.2625)</f>
        <v>102.2625</v>
      </c>
      <c r="AL11" s="88">
        <f>IFERROR(__xludf.DUMMYFUNCTION("""COMPUTED_VALUE"""),101.25)</f>
        <v>101.25</v>
      </c>
      <c r="AM11" s="82">
        <f>IFERROR(__xludf.DUMMYFUNCTION("""COMPUTED_VALUE"""),0.2083932365288046)</f>
        <v>0.2083932365</v>
      </c>
      <c r="AN11" s="83">
        <f>IFERROR(__xludf.DUMMYFUNCTION("""COMPUTED_VALUE"""),45989.0)</f>
        <v>45989</v>
      </c>
      <c r="AO11" s="84" t="str">
        <f>IFERROR(__xludf.DUMMYFUNCTION("""COMPUTED_VALUE"""),"Argentina")</f>
        <v>Argentina</v>
      </c>
      <c r="AP11" s="84" t="str">
        <f>IFERROR(__xludf.DUMMYFUNCTION("""COMPUTED_VALUE"""),"Trimestral")</f>
        <v>Trimestral</v>
      </c>
      <c r="AQ11" s="89">
        <f>IFERROR(__xludf.DUMMYFUNCTION("""COMPUTED_VALUE"""),1.0)</f>
        <v>1</v>
      </c>
      <c r="AR11" s="84" t="str">
        <f>IFERROR(__xludf.DUMMYFUNCTION("""COMPUTED_VALUE"""),"Sinkable")</f>
        <v>Sinkable</v>
      </c>
      <c r="AS11" s="73"/>
      <c r="AT11" s="73"/>
      <c r="AU11" s="73"/>
      <c r="AV11" s="73"/>
      <c r="AW11" s="73"/>
      <c r="AX11" s="73"/>
      <c r="AY11" s="73"/>
      <c r="AZ11" s="73"/>
      <c r="BA11" s="73"/>
      <c r="BB11" s="73"/>
    </row>
    <row r="12">
      <c r="A12" s="73"/>
      <c r="B12" s="91"/>
      <c r="C12" s="91"/>
      <c r="D12" s="91"/>
      <c r="E12" s="91"/>
      <c r="F12" s="91">
        <f>SUM(F6:F11)</f>
        <v>0.4956179517</v>
      </c>
      <c r="G12" s="91"/>
      <c r="H12" s="73"/>
      <c r="I12" s="73"/>
      <c r="J12" s="84" t="str">
        <f>IFERROR(__xludf.DUMMYFUNCTION("""COMPUTED_VALUE"""),"YPF")</f>
        <v>YPF</v>
      </c>
      <c r="K12" s="86" t="str">
        <f>IFERROR(__xludf.DUMMYFUNCTION("""COMPUTED_VALUE"""),"YCAMD")</f>
        <v>YCAMD</v>
      </c>
      <c r="L12" s="81">
        <f>IFERROR(__xludf.DUMMYFUNCTION("""COMPUTED_VALUE"""),0.054832816138706775)</f>
        <v>0.05483281614</v>
      </c>
      <c r="M12" s="87">
        <f>IFERROR(__xludf.DUMMYFUNCTION("""COMPUTED_VALUE"""),103.02)</f>
        <v>103.02</v>
      </c>
      <c r="N12" s="84">
        <f>IFERROR(__xludf.DUMMYFUNCTION("""COMPUTED_VALUE"""),102.0)</f>
        <v>102</v>
      </c>
      <c r="O12" s="82">
        <f>IFERROR(__xludf.DUMMYFUNCTION("""COMPUTED_VALUE"""),1.8317474075034972)</f>
        <v>1.831747408</v>
      </c>
      <c r="P12" s="83">
        <f>IFERROR(__xludf.DUMMYFUNCTION("""COMPUTED_VALUE"""),46589.0)</f>
        <v>46589</v>
      </c>
      <c r="Q12" s="84" t="str">
        <f>IFERROR(__xludf.DUMMYFUNCTION("""COMPUTED_VALUE"""),"NY")</f>
        <v>NY</v>
      </c>
      <c r="R12" s="84" t="str">
        <f>IFERROR(__xludf.DUMMYFUNCTION("""COMPUTED_VALUE"""),"Semestral")</f>
        <v>Semestral</v>
      </c>
      <c r="S12" s="84">
        <f>IFERROR(__xludf.DUMMYFUNCTION("""COMPUTED_VALUE"""),10000.0)</f>
        <v>10000</v>
      </c>
      <c r="T12" s="84" t="str">
        <f>IFERROR(__xludf.DUMMYFUNCTION("""COMPUTED_VALUE"""),"Bullet")</f>
        <v>Bullet</v>
      </c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 t="str">
        <f>IFERROR(__xludf.DUMMYFUNCTION("""COMPUTED_VALUE"""),"Poco volumen")</f>
        <v>Poco volumen</v>
      </c>
      <c r="AH12" s="84" t="str">
        <f>IFERROR(__xludf.DUMMYFUNCTION("""COMPUTED_VALUE"""),"Loma Negra")</f>
        <v>Loma Negra</v>
      </c>
      <c r="AI12" s="86" t="str">
        <f>IFERROR(__xludf.DUMMYFUNCTION("""COMPUTED_VALUE"""),"LOC2D")</f>
        <v>LOC2D</v>
      </c>
      <c r="AJ12" s="81">
        <f>IFERROR(__xludf.DUMMYFUNCTION("""COMPUTED_VALUE"""),0.05198199140227267)</f>
        <v>0.0519819914</v>
      </c>
      <c r="AK12" s="87">
        <f>IFERROR(__xludf.DUMMYFUNCTION("""COMPUTED_VALUE"""),101.202)</f>
        <v>101.202</v>
      </c>
      <c r="AL12" s="88">
        <f>IFERROR(__xludf.DUMMYFUNCTION("""COMPUTED_VALUE"""),100.2)</f>
        <v>100.2</v>
      </c>
      <c r="AM12" s="82">
        <f>IFERROR(__xludf.DUMMYFUNCTION("""COMPUTED_VALUE"""),0.3873209470806092)</f>
        <v>0.3873209471</v>
      </c>
      <c r="AN12" s="83" t="str">
        <f>IFERROR(__xludf.DUMMYFUNCTION("""COMPUTED_VALUE"""),"#N/A")</f>
        <v>#N/A</v>
      </c>
      <c r="AO12" s="84" t="str">
        <f>IFERROR(__xludf.DUMMYFUNCTION("""COMPUTED_VALUE"""),"Argentina")</f>
        <v>Argentina</v>
      </c>
      <c r="AP12" s="83" t="str">
        <f>IFERROR(__xludf.DUMMYFUNCTION("""COMPUTED_VALUE"""),"#N/A")</f>
        <v>#N/A</v>
      </c>
      <c r="AQ12" s="89">
        <f>IFERROR(__xludf.DUMMYFUNCTION("""COMPUTED_VALUE"""),1.0)</f>
        <v>1</v>
      </c>
      <c r="AR12" s="83" t="str">
        <f>IFERROR(__xludf.DUMMYFUNCTION("""COMPUTED_VALUE"""),"#N/A")</f>
        <v>#N/A</v>
      </c>
      <c r="AS12" s="73"/>
      <c r="AT12" s="73"/>
      <c r="AU12" s="73"/>
      <c r="AV12" s="73"/>
      <c r="AW12" s="73"/>
      <c r="AX12" s="73"/>
      <c r="AY12" s="73"/>
      <c r="AZ12" s="73"/>
      <c r="BA12" s="73"/>
      <c r="BB12" s="73"/>
    </row>
    <row r="13">
      <c r="A13" s="73"/>
      <c r="B13" s="73"/>
      <c r="C13" s="73"/>
      <c r="D13" s="73"/>
      <c r="E13" s="73"/>
      <c r="F13" s="73"/>
      <c r="G13" s="73"/>
      <c r="H13" s="73"/>
      <c r="I13" s="73"/>
      <c r="J13" s="84" t="str">
        <f>IFERROR(__xludf.DUMMYFUNCTION("""COMPUTED_VALUE"""),"Genneia")</f>
        <v>Genneia</v>
      </c>
      <c r="K13" s="86" t="str">
        <f>IFERROR(__xludf.DUMMYFUNCTION("""COMPUTED_VALUE"""),"GNCXD")</f>
        <v>GNCXD</v>
      </c>
      <c r="L13" s="81">
        <f>IFERROR(__xludf.DUMMYFUNCTION("""COMPUTED_VALUE"""),0.05635472821030073)</f>
        <v>0.05635472821</v>
      </c>
      <c r="M13" s="87">
        <f>IFERROR(__xludf.DUMMYFUNCTION("""COMPUTED_VALUE"""),53.429)</f>
        <v>53.429</v>
      </c>
      <c r="N13" s="84">
        <f>IFERROR(__xludf.DUMMYFUNCTION("""COMPUTED_VALUE"""),52.9)</f>
        <v>52.9</v>
      </c>
      <c r="O13" s="82">
        <f>IFERROR(__xludf.DUMMYFUNCTION("""COMPUTED_VALUE"""),1.0005344465395793)</f>
        <v>1.000534447</v>
      </c>
      <c r="P13" s="83">
        <f>IFERROR(__xludf.DUMMYFUNCTION("""COMPUTED_VALUE"""),46632.0)</f>
        <v>46632</v>
      </c>
      <c r="Q13" s="84" t="str">
        <f>IFERROR(__xludf.DUMMYFUNCTION("""COMPUTED_VALUE"""),"NY")</f>
        <v>NY</v>
      </c>
      <c r="R13" s="84" t="str">
        <f>IFERROR(__xludf.DUMMYFUNCTION("""COMPUTED_VALUE"""),"Semestral")</f>
        <v>Semestral</v>
      </c>
      <c r="S13" s="84">
        <f>IFERROR(__xludf.DUMMYFUNCTION("""COMPUTED_VALUE"""),1000.0)</f>
        <v>1000</v>
      </c>
      <c r="T13" s="84" t="str">
        <f>IFERROR(__xludf.DUMMYFUNCTION("""COMPUTED_VALUE"""),"Sinkable")</f>
        <v>Sinkable</v>
      </c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84" t="str">
        <f>IFERROR(__xludf.DUMMYFUNCTION("""COMPUTED_VALUE"""),"YPF")</f>
        <v>YPF</v>
      </c>
      <c r="AI13" s="86" t="str">
        <f>IFERROR(__xludf.DUMMYFUNCTION("""COMPUTED_VALUE"""),"YMCQD")</f>
        <v>YMCQD</v>
      </c>
      <c r="AJ13" s="81">
        <f>IFERROR(__xludf.DUMMYFUNCTION("""COMPUTED_VALUE"""),0.03593247455932826)</f>
        <v>0.03593247456</v>
      </c>
      <c r="AK13" s="87">
        <f>IFERROR(__xludf.DUMMYFUNCTION("""COMPUTED_VALUE"""),101.40400000000001)</f>
        <v>101.404</v>
      </c>
      <c r="AL13" s="88">
        <f>IFERROR(__xludf.DUMMYFUNCTION("""COMPUTED_VALUE"""),100.4)</f>
        <v>100.4</v>
      </c>
      <c r="AM13" s="82">
        <f>IFERROR(__xludf.DUMMYFUNCTION("""COMPUTED_VALUE"""),0.5317221760330726)</f>
        <v>0.531722176</v>
      </c>
      <c r="AN13" s="83">
        <f>IFERROR(__xludf.DUMMYFUNCTION("""COMPUTED_VALUE"""),46066.0)</f>
        <v>46066</v>
      </c>
      <c r="AO13" s="84" t="str">
        <f>IFERROR(__xludf.DUMMYFUNCTION("""COMPUTED_VALUE"""),"Argentina")</f>
        <v>Argentina</v>
      </c>
      <c r="AP13" s="83" t="str">
        <f>IFERROR(__xludf.DUMMYFUNCTION("""COMPUTED_VALUE"""),"Semestral")</f>
        <v>Semestral</v>
      </c>
      <c r="AQ13" s="89">
        <f>IFERROR(__xludf.DUMMYFUNCTION("""COMPUTED_VALUE"""),1.0)</f>
        <v>1</v>
      </c>
      <c r="AR13" s="83" t="str">
        <f>IFERROR(__xludf.DUMMYFUNCTION("""COMPUTED_VALUE"""),"Bullet")</f>
        <v>Bullet</v>
      </c>
      <c r="AS13" s="73"/>
      <c r="AT13" s="73"/>
      <c r="AU13" s="73"/>
      <c r="AV13" s="73"/>
      <c r="AW13" s="73"/>
      <c r="AX13" s="73"/>
      <c r="AY13" s="73"/>
      <c r="AZ13" s="73"/>
      <c r="BA13" s="73"/>
      <c r="BB13" s="73"/>
    </row>
    <row r="14">
      <c r="A14" s="73"/>
      <c r="B14" s="73"/>
      <c r="C14" s="73"/>
      <c r="D14" s="73"/>
      <c r="E14" s="73"/>
      <c r="F14" s="73"/>
      <c r="G14" s="73"/>
      <c r="H14" s="73"/>
      <c r="I14" s="73"/>
      <c r="J14" s="84" t="str">
        <f>IFERROR(__xludf.DUMMYFUNCTION("""COMPUTED_VALUE"""),"Arcor")</f>
        <v>Arcor</v>
      </c>
      <c r="K14" s="86" t="str">
        <f>IFERROR(__xludf.DUMMYFUNCTION("""COMPUTED_VALUE"""),"RCCJD")</f>
        <v>RCCJD</v>
      </c>
      <c r="L14" s="81">
        <f>IFERROR(__xludf.DUMMYFUNCTION("""COMPUTED_VALUE"""),0.0627191234117822)</f>
        <v>0.06271912341</v>
      </c>
      <c r="M14" s="87">
        <f>IFERROR(__xludf.DUMMYFUNCTION("""COMPUTED_VALUE"""),74.8814)</f>
        <v>74.8814</v>
      </c>
      <c r="N14" s="84">
        <f>IFERROR(__xludf.DUMMYFUNCTION("""COMPUTED_VALUE"""),74.14)</f>
        <v>74.14</v>
      </c>
      <c r="O14" s="82">
        <f>IFERROR(__xludf.DUMMYFUNCTION("""COMPUTED_VALUE"""),1.0973595898965869)</f>
        <v>1.09735959</v>
      </c>
      <c r="P14" s="83">
        <f>IFERROR(__xludf.DUMMYFUNCTION("""COMPUTED_VALUE"""),46669.0)</f>
        <v>46669</v>
      </c>
      <c r="Q14" s="84" t="str">
        <f>IFERROR(__xludf.DUMMYFUNCTION("""COMPUTED_VALUE"""),"NY")</f>
        <v>NY</v>
      </c>
      <c r="R14" s="84" t="str">
        <f>IFERROR(__xludf.DUMMYFUNCTION("""COMPUTED_VALUE"""),"Semestral")</f>
        <v>Semestral</v>
      </c>
      <c r="S14" s="84">
        <f>IFERROR(__xludf.DUMMYFUNCTION("""COMPUTED_VALUE"""),1.0)</f>
        <v>1</v>
      </c>
      <c r="T14" s="84" t="str">
        <f>IFERROR(__xludf.DUMMYFUNCTION("""COMPUTED_VALUE"""),"Sinkable")</f>
        <v>Sinkable</v>
      </c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 t="str">
        <f>IFERROR(__xludf.DUMMYFUNCTION("""COMPUTED_VALUE"""),"Poco volumen")</f>
        <v>Poco volumen</v>
      </c>
      <c r="AH14" s="84" t="str">
        <f>IFERROR(__xludf.DUMMYFUNCTION("""COMPUTED_VALUE"""),"CGC")</f>
        <v>CGC</v>
      </c>
      <c r="AI14" s="86" t="str">
        <f>IFERROR(__xludf.DUMMYFUNCTION("""COMPUTED_VALUE"""),"CP34D")</f>
        <v>CP34D</v>
      </c>
      <c r="AJ14" s="81">
        <f>IFERROR(__xludf.DUMMYFUNCTION("""COMPUTED_VALUE"""),0.24016879851896838)</f>
        <v>0.2401687985</v>
      </c>
      <c r="AK14" s="87">
        <f>IFERROR(__xludf.DUMMYFUNCTION("""COMPUTED_VALUE"""),94.94)</f>
        <v>94.94</v>
      </c>
      <c r="AL14" s="88">
        <f>IFERROR(__xludf.DUMMYFUNCTION("""COMPUTED_VALUE"""),94.0)</f>
        <v>94</v>
      </c>
      <c r="AM14" s="82">
        <f>IFERROR(__xludf.DUMMYFUNCTION("""COMPUTED_VALUE"""),0.4956814258318886)</f>
        <v>0.4956814258</v>
      </c>
      <c r="AN14" s="83">
        <f>IFERROR(__xludf.DUMMYFUNCTION("""COMPUTED_VALUE"""),46076.0)</f>
        <v>46076</v>
      </c>
      <c r="AO14" s="84" t="str">
        <f>IFERROR(__xludf.DUMMYFUNCTION("""COMPUTED_VALUE"""),"Argentina")</f>
        <v>Argentina</v>
      </c>
      <c r="AP14" s="83" t="str">
        <f>IFERROR(__xludf.DUMMYFUNCTION("""COMPUTED_VALUE"""),"Semestral")</f>
        <v>Semestral</v>
      </c>
      <c r="AQ14" s="89">
        <f>IFERROR(__xludf.DUMMYFUNCTION("""COMPUTED_VALUE"""),1.0)</f>
        <v>1</v>
      </c>
      <c r="AR14" s="83" t="str">
        <f>IFERROR(__xludf.DUMMYFUNCTION("""COMPUTED_VALUE"""),"Bullet")</f>
        <v>Bullet</v>
      </c>
      <c r="AS14" s="73"/>
      <c r="AT14" s="73"/>
      <c r="AU14" s="73"/>
      <c r="AV14" s="73"/>
      <c r="AW14" s="73"/>
      <c r="AX14" s="73"/>
      <c r="AY14" s="73"/>
      <c r="AZ14" s="73"/>
      <c r="BA14" s="73"/>
      <c r="BB14" s="73"/>
    </row>
    <row r="15">
      <c r="A15" s="73"/>
      <c r="B15" s="73"/>
      <c r="C15" s="73"/>
      <c r="D15" s="73"/>
      <c r="E15" s="73"/>
      <c r="F15" s="73"/>
      <c r="G15" s="73"/>
      <c r="H15" s="73" t="str">
        <f>C8/D8</f>
        <v>#DIV/0!</v>
      </c>
      <c r="I15" s="73"/>
      <c r="J15" s="84" t="str">
        <f>IFERROR(__xludf.DUMMYFUNCTION("""COMPUTED_VALUE"""),"Irsa")</f>
        <v>Irsa</v>
      </c>
      <c r="K15" s="86" t="str">
        <f>IFERROR(__xludf.DUMMYFUNCTION("""COMPUTED_VALUE"""),"IRCFD")</f>
        <v>IRCFD</v>
      </c>
      <c r="L15" s="81">
        <f>IFERROR(__xludf.DUMMYFUNCTION("""COMPUTED_VALUE"""),0.05316579719864441)</f>
        <v>0.0531657972</v>
      </c>
      <c r="M15" s="87">
        <f>IFERROR(__xludf.DUMMYFUNCTION("""COMPUTED_VALUE"""),69.993)</f>
        <v>69.993</v>
      </c>
      <c r="N15" s="84">
        <f>IFERROR(__xludf.DUMMYFUNCTION("""COMPUTED_VALUE"""),69.3)</f>
        <v>69.3</v>
      </c>
      <c r="O15" s="82">
        <f>IFERROR(__xludf.DUMMYFUNCTION("""COMPUTED_VALUE"""),1.8924751446872365)</f>
        <v>1.892475145</v>
      </c>
      <c r="P15" s="83">
        <f>IFERROR(__xludf.DUMMYFUNCTION("""COMPUTED_VALUE"""),46926.0)</f>
        <v>46926</v>
      </c>
      <c r="Q15" s="84" t="str">
        <f>IFERROR(__xludf.DUMMYFUNCTION("""COMPUTED_VALUE"""),"NY")</f>
        <v>NY</v>
      </c>
      <c r="R15" s="84" t="str">
        <f>IFERROR(__xludf.DUMMYFUNCTION("""COMPUTED_VALUE"""),"Semestral")</f>
        <v>Semestral</v>
      </c>
      <c r="S15" s="84">
        <f>IFERROR(__xludf.DUMMYFUNCTION("""COMPUTED_VALUE"""),1.0)</f>
        <v>1</v>
      </c>
      <c r="T15" s="84" t="str">
        <f>IFERROR(__xludf.DUMMYFUNCTION("""COMPUTED_VALUE"""),"Sinkable")</f>
        <v>Sinkable</v>
      </c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84" t="str">
        <f>IFERROR(__xludf.DUMMYFUNCTION("""COMPUTED_VALUE"""),"Cresud")</f>
        <v>Cresud</v>
      </c>
      <c r="AI15" s="86" t="str">
        <f>IFERROR(__xludf.DUMMYFUNCTION("""COMPUTED_VALUE"""),"CS38D")</f>
        <v>CS38D</v>
      </c>
      <c r="AJ15" s="81">
        <f>IFERROR(__xludf.DUMMYFUNCTION("""COMPUTED_VALUE"""),-0.014857966070860153)</f>
        <v>-0.01485796607</v>
      </c>
      <c r="AK15" s="87">
        <f>IFERROR(__xludf.DUMMYFUNCTION("""COMPUTED_VALUE"""),106.25200000000001)</f>
        <v>106.252</v>
      </c>
      <c r="AL15" s="88">
        <f>IFERROR(__xludf.DUMMYFUNCTION("""COMPUTED_VALUE"""),105.2)</f>
        <v>105.2</v>
      </c>
      <c r="AM15" s="82">
        <f>IFERROR(__xludf.DUMMYFUNCTION("""COMPUTED_VALUE"""),0.5929801667873384)</f>
        <v>0.5929801668</v>
      </c>
      <c r="AN15" s="83" t="str">
        <f>IFERROR(__xludf.DUMMYFUNCTION("""COMPUTED_VALUE"""),"#N/A")</f>
        <v>#N/A</v>
      </c>
      <c r="AO15" s="84" t="str">
        <f>IFERROR(__xludf.DUMMYFUNCTION("""COMPUTED_VALUE"""),"Argentina")</f>
        <v>Argentina</v>
      </c>
      <c r="AP15" s="83" t="str">
        <f>IFERROR(__xludf.DUMMYFUNCTION("""COMPUTED_VALUE"""),"#N/A")</f>
        <v>#N/A</v>
      </c>
      <c r="AQ15" s="89">
        <f>IFERROR(__xludf.DUMMYFUNCTION("""COMPUTED_VALUE"""),1.0)</f>
        <v>1</v>
      </c>
      <c r="AR15" s="83" t="str">
        <f>IFERROR(__xludf.DUMMYFUNCTION("""COMPUTED_VALUE"""),"#N/A")</f>
        <v>#N/A</v>
      </c>
      <c r="AS15" s="73"/>
      <c r="AT15" s="73"/>
      <c r="AU15" s="73"/>
      <c r="AV15" s="73"/>
      <c r="AW15" s="73"/>
      <c r="AX15" s="73"/>
      <c r="AY15" s="73"/>
      <c r="AZ15" s="73"/>
      <c r="BA15" s="73"/>
      <c r="BB15" s="73"/>
    </row>
    <row r="16">
      <c r="A16" s="73"/>
      <c r="B16" s="73"/>
      <c r="C16" s="73"/>
      <c r="D16" s="73"/>
      <c r="E16" s="73"/>
      <c r="F16" s="73"/>
      <c r="G16" s="73"/>
      <c r="H16" s="73"/>
      <c r="I16" s="73"/>
      <c r="J16" s="84" t="str">
        <f>IFERROR(__xludf.DUMMYFUNCTION("""COMPUTED_VALUE"""),"Capex")</f>
        <v>Capex</v>
      </c>
      <c r="K16" s="86" t="str">
        <f>IFERROR(__xludf.DUMMYFUNCTION("""COMPUTED_VALUE"""),"CAC5D")</f>
        <v>CAC5D</v>
      </c>
      <c r="L16" s="81">
        <f>IFERROR(__xludf.DUMMYFUNCTION("""COMPUTED_VALUE"""),0.05412252687215386)</f>
        <v>0.05412252687</v>
      </c>
      <c r="M16" s="87">
        <f>IFERROR(__xludf.DUMMYFUNCTION("""COMPUTED_VALUE"""),95.95)</f>
        <v>95.95</v>
      </c>
      <c r="N16" s="84">
        <f>IFERROR(__xludf.DUMMYFUNCTION("""COMPUTED_VALUE"""),95.0)</f>
        <v>95</v>
      </c>
      <c r="O16" s="82">
        <f>IFERROR(__xludf.DUMMYFUNCTION("""COMPUTED_VALUE"""),1.408114306552016)</f>
        <v>1.408114307</v>
      </c>
      <c r="P16" s="83">
        <f>IFERROR(__xludf.DUMMYFUNCTION("""COMPUTED_VALUE"""),46990.0)</f>
        <v>46990</v>
      </c>
      <c r="Q16" s="84" t="str">
        <f>IFERROR(__xludf.DUMMYFUNCTION("""COMPUTED_VALUE"""),"NY")</f>
        <v>NY</v>
      </c>
      <c r="R16" s="84" t="str">
        <f>IFERROR(__xludf.DUMMYFUNCTION("""COMPUTED_VALUE"""),"Semestral")</f>
        <v>Semestral</v>
      </c>
      <c r="S16" s="84">
        <f>IFERROR(__xludf.DUMMYFUNCTION("""COMPUTED_VALUE"""),1.0)</f>
        <v>1</v>
      </c>
      <c r="T16" s="84" t="str">
        <f>IFERROR(__xludf.DUMMYFUNCTION("""COMPUTED_VALUE"""),"Sinkable")</f>
        <v>Sinkable</v>
      </c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 t="str">
        <f>IFERROR(__xludf.DUMMYFUNCTION("""COMPUTED_VALUE"""),"Poco volumen")</f>
        <v>Poco volumen</v>
      </c>
      <c r="AH16" s="84" t="str">
        <f>IFERROR(__xludf.DUMMYFUNCTION("""COMPUTED_VALUE"""),"Loma Negra")</f>
        <v>Loma Negra</v>
      </c>
      <c r="AI16" s="86" t="str">
        <f>IFERROR(__xludf.DUMMYFUNCTION("""COMPUTED_VALUE"""),"LOC3D")</f>
        <v>LOC3D</v>
      </c>
      <c r="AJ16" s="81">
        <f>IFERROR(__xludf.DUMMYFUNCTION("""COMPUTED_VALUE"""),0.06218702948265073)</f>
        <v>0.06218702948</v>
      </c>
      <c r="AK16" s="87">
        <f>IFERROR(__xludf.DUMMYFUNCTION("""COMPUTED_VALUE"""),103.6765)</f>
        <v>103.6765</v>
      </c>
      <c r="AL16" s="88">
        <f>IFERROR(__xludf.DUMMYFUNCTION("""COMPUTED_VALUE"""),102.65)</f>
        <v>102.65</v>
      </c>
      <c r="AM16" s="82">
        <f>IFERROR(__xludf.DUMMYFUNCTION("""COMPUTED_VALUE"""),0.5807055552329794)</f>
        <v>0.5807055552</v>
      </c>
      <c r="AN16" s="83">
        <f>IFERROR(__xludf.DUMMYFUNCTION("""COMPUTED_VALUE"""),46092.0)</f>
        <v>46092</v>
      </c>
      <c r="AO16" s="84" t="str">
        <f>IFERROR(__xludf.DUMMYFUNCTION("""COMPUTED_VALUE"""),"Argentina")</f>
        <v>Argentina</v>
      </c>
      <c r="AP16" s="83" t="str">
        <f>IFERROR(__xludf.DUMMYFUNCTION("""COMPUTED_VALUE"""),"Semestral")</f>
        <v>Semestral</v>
      </c>
      <c r="AQ16" s="89">
        <f>IFERROR(__xludf.DUMMYFUNCTION("""COMPUTED_VALUE"""),50.0)</f>
        <v>50</v>
      </c>
      <c r="AR16" s="83" t="str">
        <f>IFERROR(__xludf.DUMMYFUNCTION("""COMPUTED_VALUE"""),"Bullet")</f>
        <v>Bullet</v>
      </c>
      <c r="AS16" s="73"/>
      <c r="AT16" s="73"/>
      <c r="AU16" s="73"/>
      <c r="AV16" s="73"/>
      <c r="AW16" s="73"/>
      <c r="AX16" s="73"/>
      <c r="AY16" s="73"/>
      <c r="AZ16" s="73"/>
      <c r="BA16" s="73"/>
      <c r="BB16" s="73"/>
    </row>
    <row r="17">
      <c r="A17" s="73"/>
      <c r="B17" s="75" t="s">
        <v>2561</v>
      </c>
      <c r="C17" s="73"/>
      <c r="D17" s="73"/>
      <c r="E17" s="73"/>
      <c r="F17" s="73"/>
      <c r="G17" s="73"/>
      <c r="H17" s="73"/>
      <c r="I17" s="73"/>
      <c r="J17" s="84" t="str">
        <f>IFERROR(__xludf.DUMMYFUNCTION("""COMPUTED_VALUE"""),"Galicia")</f>
        <v>Galicia</v>
      </c>
      <c r="K17" s="86" t="str">
        <f>IFERROR(__xludf.DUMMYFUNCTION("""COMPUTED_VALUE"""),"BYCHD")</f>
        <v>BYCHD</v>
      </c>
      <c r="L17" s="81">
        <f>IFERROR(__xludf.DUMMYFUNCTION("""COMPUTED_VALUE"""),0.061390156008728686)</f>
        <v>0.06139015601</v>
      </c>
      <c r="M17" s="87">
        <f>IFERROR(__xludf.DUMMYFUNCTION("""COMPUTED_VALUE"""),107.2115)</f>
        <v>107.2115</v>
      </c>
      <c r="N17" s="84">
        <f>IFERROR(__xludf.DUMMYFUNCTION("""COMPUTED_VALUE"""),106.15)</f>
        <v>106.15</v>
      </c>
      <c r="O17" s="82">
        <f>IFERROR(__xludf.DUMMYFUNCTION("""COMPUTED_VALUE"""),2.7616589887417677)</f>
        <v>2.761658989</v>
      </c>
      <c r="P17" s="83">
        <f>IFERROR(__xludf.DUMMYFUNCTION("""COMPUTED_VALUE"""),47036.0)</f>
        <v>47036</v>
      </c>
      <c r="Q17" s="84" t="str">
        <f>IFERROR(__xludf.DUMMYFUNCTION("""COMPUTED_VALUE"""),"NY")</f>
        <v>NY</v>
      </c>
      <c r="R17" s="84" t="str">
        <f>IFERROR(__xludf.DUMMYFUNCTION("""COMPUTED_VALUE"""),"Semestral")</f>
        <v>Semestral</v>
      </c>
      <c r="S17" s="84">
        <f>IFERROR(__xludf.DUMMYFUNCTION("""COMPUTED_VALUE"""),2000.0)</f>
        <v>2000</v>
      </c>
      <c r="T17" s="84" t="str">
        <f>IFERROR(__xludf.DUMMYFUNCTION("""COMPUTED_VALUE"""),"Bullet")</f>
        <v>Bullet</v>
      </c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 t="str">
        <f>IFERROR(__xludf.DUMMYFUNCTION("""COMPUTED_VALUE"""),"Poco volumen")</f>
        <v>Poco volumen</v>
      </c>
      <c r="AH17" s="84" t="str">
        <f>IFERROR(__xludf.DUMMYFUNCTION("""COMPUTED_VALUE"""),"Central Puerto")</f>
        <v>Central Puerto</v>
      </c>
      <c r="AI17" s="86" t="str">
        <f>IFERROR(__xludf.DUMMYFUNCTION("""COMPUTED_VALUE"""),"NPCAD")</f>
        <v>NPCAD</v>
      </c>
      <c r="AJ17" s="81">
        <f>IFERROR(__xludf.DUMMYFUNCTION("""COMPUTED_VALUE"""),0.047370524985383376)</f>
        <v>0.04737052499</v>
      </c>
      <c r="AK17" s="87">
        <f>IFERROR(__xludf.DUMMYFUNCTION("""COMPUTED_VALUE"""),104.03)</f>
        <v>104.03</v>
      </c>
      <c r="AL17" s="88">
        <f>IFERROR(__xludf.DUMMYFUNCTION("""COMPUTED_VALUE"""),103.0)</f>
        <v>103</v>
      </c>
      <c r="AM17" s="82">
        <f>IFERROR(__xludf.DUMMYFUNCTION("""COMPUTED_VALUE"""),0.5941162442224194)</f>
        <v>0.5941162442</v>
      </c>
      <c r="AN17" s="83">
        <f>IFERROR(__xludf.DUMMYFUNCTION("""COMPUTED_VALUE"""),46095.0)</f>
        <v>46095</v>
      </c>
      <c r="AO17" s="84" t="str">
        <f>IFERROR(__xludf.DUMMYFUNCTION("""COMPUTED_VALUE"""),"Argentina")</f>
        <v>Argentina</v>
      </c>
      <c r="AP17" s="83" t="str">
        <f>IFERROR(__xludf.DUMMYFUNCTION("""COMPUTED_VALUE"""),"Semestral")</f>
        <v>Semestral</v>
      </c>
      <c r="AQ17" s="89">
        <f>IFERROR(__xludf.DUMMYFUNCTION("""COMPUTED_VALUE"""),1.0)</f>
        <v>1</v>
      </c>
      <c r="AR17" s="83" t="str">
        <f>IFERROR(__xludf.DUMMYFUNCTION("""COMPUTED_VALUE"""),"Bullet")</f>
        <v>Bullet</v>
      </c>
      <c r="AS17" s="73"/>
      <c r="AT17" s="73"/>
      <c r="AU17" s="73"/>
      <c r="AV17" s="73"/>
      <c r="AW17" s="73"/>
      <c r="AX17" s="73"/>
      <c r="AY17" s="73"/>
      <c r="AZ17" s="73"/>
      <c r="BA17" s="73"/>
      <c r="BB17" s="73"/>
    </row>
    <row r="18">
      <c r="A18" s="73"/>
      <c r="B18" s="76" t="str">
        <f t="shared" ref="B18:C18" si="8">B5</f>
        <v>Ticker</v>
      </c>
      <c r="C18" s="76" t="str">
        <f t="shared" si="8"/>
        <v>TIR</v>
      </c>
      <c r="D18" s="77" t="s">
        <v>2556</v>
      </c>
      <c r="E18" s="78" t="s">
        <v>2557</v>
      </c>
      <c r="F18" s="77" t="s">
        <v>2556</v>
      </c>
      <c r="G18" s="77" t="s">
        <v>2559</v>
      </c>
      <c r="H18" s="77" t="s">
        <v>2560</v>
      </c>
      <c r="I18" s="73"/>
      <c r="J18" s="84" t="str">
        <f>IFERROR(__xludf.DUMMYFUNCTION("""COMPUTED_VALUE"""),"Banco Macro")</f>
        <v>Banco Macro</v>
      </c>
      <c r="K18" s="84" t="str">
        <f>IFERROR(__xludf.DUMMYFUNCTION("""COMPUTED_VALUE"""),"BACGD")</f>
        <v>BACGD</v>
      </c>
      <c r="L18" s="81">
        <f>IFERROR(__xludf.DUMMYFUNCTION("""COMPUTED_VALUE"""),0.07186858397715468)</f>
        <v>0.07186858398</v>
      </c>
      <c r="M18" s="87">
        <f>IFERROR(__xludf.DUMMYFUNCTION("""COMPUTED_VALUE"""),103.87849999999999)</f>
        <v>103.8785</v>
      </c>
      <c r="N18" s="84">
        <f>IFERROR(__xludf.DUMMYFUNCTION("""COMPUTED_VALUE"""),102.85)</f>
        <v>102.85</v>
      </c>
      <c r="O18" s="82">
        <f>IFERROR(__xludf.DUMMYFUNCTION("""COMPUTED_VALUE"""),3.3017038243242203)</f>
        <v>3.301703824</v>
      </c>
      <c r="P18" s="83">
        <f>IFERROR(__xludf.DUMMYFUNCTION("""COMPUTED_VALUE"""),47292.0)</f>
        <v>47292</v>
      </c>
      <c r="Q18" s="84" t="str">
        <f>IFERROR(__xludf.DUMMYFUNCTION("""COMPUTED_VALUE"""),"NY")</f>
        <v>NY</v>
      </c>
      <c r="R18" s="84" t="str">
        <f>IFERROR(__xludf.DUMMYFUNCTION("""COMPUTED_VALUE"""),"Semestral")</f>
        <v>Semestral</v>
      </c>
      <c r="S18" s="84">
        <f>IFERROR(__xludf.DUMMYFUNCTION("""COMPUTED_VALUE"""),1000.0)</f>
        <v>1000</v>
      </c>
      <c r="T18" s="84" t="str">
        <f>IFERROR(__xludf.DUMMYFUNCTION("""COMPUTED_VALUE"""),"Bullet")</f>
        <v>Bullet</v>
      </c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84" t="str">
        <f>IFERROR(__xludf.DUMMYFUNCTION("""COMPUTED_VALUE"""),"Tecpetrol")</f>
        <v>Tecpetrol</v>
      </c>
      <c r="AI18" s="86" t="str">
        <f>IFERROR(__xludf.DUMMYFUNCTION("""COMPUTED_VALUE"""),"TTC7D")</f>
        <v>TTC7D</v>
      </c>
      <c r="AJ18" s="81">
        <f>IFERROR(__xludf.DUMMYFUNCTION("""COMPUTED_VALUE"""),0.04242125136002378)</f>
        <v>0.04242125136</v>
      </c>
      <c r="AK18" s="87">
        <f>IFERROR(__xludf.DUMMYFUNCTION("""COMPUTED_VALUE"""),102.8685)</f>
        <v>102.8685</v>
      </c>
      <c r="AL18" s="88">
        <f>IFERROR(__xludf.DUMMYFUNCTION("""COMPUTED_VALUE"""),101.85)</f>
        <v>101.85</v>
      </c>
      <c r="AM18" s="82">
        <f>IFERROR(__xludf.DUMMYFUNCTION("""COMPUTED_VALUE"""),0.7023622759929736)</f>
        <v>0.702362276</v>
      </c>
      <c r="AN18" s="83">
        <f>IFERROR(__xludf.DUMMYFUNCTION("""COMPUTED_VALUE"""),46134.0)</f>
        <v>46134</v>
      </c>
      <c r="AO18" s="84" t="str">
        <f>IFERROR(__xludf.DUMMYFUNCTION("""COMPUTED_VALUE"""),"Argentina")</f>
        <v>Argentina</v>
      </c>
      <c r="AP18" s="83" t="str">
        <f>IFERROR(__xludf.DUMMYFUNCTION("""COMPUTED_VALUE"""),"Semestral")</f>
        <v>Semestral</v>
      </c>
      <c r="AQ18" s="89">
        <f>IFERROR(__xludf.DUMMYFUNCTION("""COMPUTED_VALUE"""),1.0)</f>
        <v>1</v>
      </c>
      <c r="AR18" s="83" t="str">
        <f>IFERROR(__xludf.DUMMYFUNCTION("""COMPUTED_VALUE"""),"Bullet")</f>
        <v>Bullet</v>
      </c>
      <c r="AS18" s="73"/>
      <c r="AT18" s="73"/>
      <c r="AU18" s="73"/>
      <c r="AV18" s="73"/>
      <c r="AW18" s="73"/>
      <c r="AX18" s="73"/>
      <c r="AY18" s="73"/>
      <c r="AZ18" s="73"/>
      <c r="BA18" s="73"/>
      <c r="BB18" s="73"/>
    </row>
    <row r="19">
      <c r="A19" s="73"/>
      <c r="B19" s="80" t="s">
        <v>518</v>
      </c>
      <c r="C19" s="81">
        <f t="shared" ref="C19:C20" si="9">VLOOKUP(B19,$K$6:$T$32,2,0)</f>
        <v>0.08645098132</v>
      </c>
      <c r="D19" s="82">
        <f t="shared" ref="D19:D20" si="10">VLOOKUP(B19,$K$6:$T$32,5,0)</f>
        <v>3.350488383</v>
      </c>
      <c r="E19" s="83">
        <f t="shared" ref="E19:E20" si="11">VLOOKUP(B19,$K$6:$T$32,6,0)</f>
        <v>47780</v>
      </c>
      <c r="F19" s="82">
        <f t="shared" ref="F19:F20" si="12">D19</f>
        <v>3.350488383</v>
      </c>
      <c r="G19" s="85">
        <f t="shared" ref="G19:G20" si="13">F19/$G$23</f>
        <v>0.3923878171</v>
      </c>
      <c r="H19" s="84">
        <f t="shared" ref="H19:H20" si="14">VLOOKUP(B19,$K$6:$T$32,9,0)</f>
        <v>100</v>
      </c>
      <c r="I19" s="73"/>
      <c r="J19" s="84" t="str">
        <f>IFERROR(__xludf.DUMMYFUNCTION("""COMPUTED_VALUE"""),"YPF")</f>
        <v>YPF</v>
      </c>
      <c r="K19" s="86" t="str">
        <f>IFERROR(__xludf.DUMMYFUNCTION("""COMPUTED_VALUE"""),"YMCID")</f>
        <v>YMCID</v>
      </c>
      <c r="L19" s="81">
        <f>IFERROR(__xludf.DUMMYFUNCTION("""COMPUTED_VALUE"""),0.06737945468575661)</f>
        <v>0.06737945469</v>
      </c>
      <c r="M19" s="87">
        <f>IFERROR(__xludf.DUMMYFUNCTION("""COMPUTED_VALUE"""),105.848)</f>
        <v>105.848</v>
      </c>
      <c r="N19" s="84">
        <f>IFERROR(__xludf.DUMMYFUNCTION("""COMPUTED_VALUE"""),104.8)</f>
        <v>104.8</v>
      </c>
      <c r="O19" s="82">
        <f>IFERROR(__xludf.DUMMYFUNCTION("""COMPUTED_VALUE"""),2.135558054844582)</f>
        <v>2.135558055</v>
      </c>
      <c r="P19" s="83">
        <f>IFERROR(__xludf.DUMMYFUNCTION("""COMPUTED_VALUE"""),47299.0)</f>
        <v>47299</v>
      </c>
      <c r="Q19" s="84" t="str">
        <f>IFERROR(__xludf.DUMMYFUNCTION("""COMPUTED_VALUE"""),"NY")</f>
        <v>NY</v>
      </c>
      <c r="R19" s="84" t="str">
        <f>IFERROR(__xludf.DUMMYFUNCTION("""COMPUTED_VALUE"""),"Semestral")</f>
        <v>Semestral</v>
      </c>
      <c r="S19" s="84">
        <f>IFERROR(__xludf.DUMMYFUNCTION("""COMPUTED_VALUE"""),1.0)</f>
        <v>1</v>
      </c>
      <c r="T19" s="84" t="str">
        <f>IFERROR(__xludf.DUMMYFUNCTION("""COMPUTED_VALUE"""),"Sinkable")</f>
        <v>Sinkable</v>
      </c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84" t="str">
        <f>IFERROR(__xludf.DUMMYFUNCTION("""COMPUTED_VALUE"""),"YPF")</f>
        <v>YPF</v>
      </c>
      <c r="AI19" s="86" t="str">
        <f>IFERROR(__xludf.DUMMYFUNCTION("""COMPUTED_VALUE"""),"YMCVD")</f>
        <v>YMCVD</v>
      </c>
      <c r="AJ19" s="81">
        <f>IFERROR(__xludf.DUMMYFUNCTION("""COMPUTED_VALUE"""),0.06621341185771161)</f>
        <v>0.06621341186</v>
      </c>
      <c r="AK19" s="87">
        <f>IFERROR(__xludf.DUMMYFUNCTION("""COMPUTED_VALUE"""),102.11099999999999)</f>
        <v>102.111</v>
      </c>
      <c r="AL19" s="88">
        <f>IFERROR(__xludf.DUMMYFUNCTION("""COMPUTED_VALUE"""),101.1)</f>
        <v>101.1</v>
      </c>
      <c r="AM19" s="82">
        <f>IFERROR(__xludf.DUMMYFUNCTION("""COMPUTED_VALUE"""),0.7814818828889353)</f>
        <v>0.7814818829</v>
      </c>
      <c r="AN19" s="83">
        <f>IFERROR(__xludf.DUMMYFUNCTION("""COMPUTED_VALUE"""),46168.0)</f>
        <v>46168</v>
      </c>
      <c r="AO19" s="84" t="str">
        <f>IFERROR(__xludf.DUMMYFUNCTION("""COMPUTED_VALUE"""),"Argentina")</f>
        <v>Argentina</v>
      </c>
      <c r="AP19" s="83" t="str">
        <f>IFERROR(__xludf.DUMMYFUNCTION("""COMPUTED_VALUE"""),"Trimestral")</f>
        <v>Trimestral</v>
      </c>
      <c r="AQ19" s="89">
        <f>IFERROR(__xludf.DUMMYFUNCTION("""COMPUTED_VALUE"""),1.0)</f>
        <v>1</v>
      </c>
      <c r="AR19" s="83" t="str">
        <f>IFERROR(__xludf.DUMMYFUNCTION("""COMPUTED_VALUE"""),"Bullet")</f>
        <v>Bullet</v>
      </c>
      <c r="AS19" s="73"/>
      <c r="AT19" s="73"/>
      <c r="AU19" s="73"/>
      <c r="AV19" s="73"/>
      <c r="AW19" s="73"/>
      <c r="AX19" s="73"/>
      <c r="AY19" s="73"/>
      <c r="AZ19" s="73"/>
      <c r="BA19" s="73"/>
      <c r="BB19" s="73"/>
    </row>
    <row r="20">
      <c r="A20" s="73"/>
      <c r="B20" s="80" t="s">
        <v>1596</v>
      </c>
      <c r="C20" s="81">
        <f t="shared" si="9"/>
        <v>0.08753378101</v>
      </c>
      <c r="D20" s="82">
        <f t="shared" si="10"/>
        <v>5.188228257</v>
      </c>
      <c r="E20" s="83">
        <f t="shared" si="11"/>
        <v>48726</v>
      </c>
      <c r="F20" s="82">
        <f t="shared" si="12"/>
        <v>5.188228257</v>
      </c>
      <c r="G20" s="85">
        <f t="shared" si="13"/>
        <v>0.6076121829</v>
      </c>
      <c r="H20" s="84">
        <f t="shared" si="14"/>
        <v>1000</v>
      </c>
      <c r="I20" s="73"/>
      <c r="J20" s="84" t="str">
        <f>IFERROR(__xludf.DUMMYFUNCTION("""COMPUTED_VALUE"""),"Edenor")</f>
        <v>Edenor</v>
      </c>
      <c r="K20" s="86" t="str">
        <f>IFERROR(__xludf.DUMMYFUNCTION("""COMPUTED_VALUE"""),"DNC7D")</f>
        <v>DNC7D</v>
      </c>
      <c r="L20" s="81">
        <f>IFERROR(__xludf.DUMMYFUNCTION("""COMPUTED_VALUE"""),0.0864509813184443)</f>
        <v>0.08645098132</v>
      </c>
      <c r="M20" s="87">
        <f>IFERROR(__xludf.DUMMYFUNCTION("""COMPUTED_VALUE"""),107.0095)</f>
        <v>107.0095</v>
      </c>
      <c r="N20" s="84">
        <f>IFERROR(__xludf.DUMMYFUNCTION("""COMPUTED_VALUE"""),105.95)</f>
        <v>105.95</v>
      </c>
      <c r="O20" s="82">
        <f>IFERROR(__xludf.DUMMYFUNCTION("""COMPUTED_VALUE"""),3.3504883832088437)</f>
        <v>3.350488383</v>
      </c>
      <c r="P20" s="83">
        <f>IFERROR(__xludf.DUMMYFUNCTION("""COMPUTED_VALUE"""),47780.0)</f>
        <v>47780</v>
      </c>
      <c r="Q20" s="84" t="str">
        <f>IFERROR(__xludf.DUMMYFUNCTION("""COMPUTED_VALUE"""),"NY")</f>
        <v>NY</v>
      </c>
      <c r="R20" s="84" t="str">
        <f>IFERROR(__xludf.DUMMYFUNCTION("""COMPUTED_VALUE"""),"Semestral")</f>
        <v>Semestral</v>
      </c>
      <c r="S20" s="84">
        <f>IFERROR(__xludf.DUMMYFUNCTION("""COMPUTED_VALUE"""),100.0)</f>
        <v>100</v>
      </c>
      <c r="T20" s="84" t="str">
        <f>IFERROR(__xludf.DUMMYFUNCTION("""COMPUTED_VALUE"""),"Sinkable")</f>
        <v>Sinkable</v>
      </c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84" t="str">
        <f>IFERROR(__xludf.DUMMYFUNCTION("""COMPUTED_VALUE"""),"Balanz")</f>
        <v>Balanz</v>
      </c>
      <c r="AI20" s="86" t="str">
        <f>IFERROR(__xludf.DUMMYFUNCTION("""COMPUTED_VALUE"""),"NBS1D")</f>
        <v>NBS1D</v>
      </c>
      <c r="AJ20" s="81">
        <f>IFERROR(__xludf.DUMMYFUNCTION("""COMPUTED_VALUE"""),0.044497209491579384)</f>
        <v>0.04449720949</v>
      </c>
      <c r="AK20" s="87">
        <f>IFERROR(__xludf.DUMMYFUNCTION("""COMPUTED_VALUE"""),101.202)</f>
        <v>101.202</v>
      </c>
      <c r="AL20" s="88">
        <f>IFERROR(__xludf.DUMMYFUNCTION("""COMPUTED_VALUE"""),100.2)</f>
        <v>100.2</v>
      </c>
      <c r="AM20" s="82">
        <f>IFERROR(__xludf.DUMMYFUNCTION("""COMPUTED_VALUE"""),0.8318283499219159)</f>
        <v>0.8318283499</v>
      </c>
      <c r="AN20" s="83">
        <f>IFERROR(__xludf.DUMMYFUNCTION("""COMPUTED_VALUE"""),46179.0)</f>
        <v>46179</v>
      </c>
      <c r="AO20" s="84" t="str">
        <f>IFERROR(__xludf.DUMMYFUNCTION("""COMPUTED_VALUE"""),"Argentina")</f>
        <v>Argentina</v>
      </c>
      <c r="AP20" s="83" t="str">
        <f>IFERROR(__xludf.DUMMYFUNCTION("""COMPUTED_VALUE"""),"Cuatrimestral")</f>
        <v>Cuatrimestral</v>
      </c>
      <c r="AQ20" s="89">
        <f>IFERROR(__xludf.DUMMYFUNCTION("""COMPUTED_VALUE"""),1.0)</f>
        <v>1</v>
      </c>
      <c r="AR20" s="83" t="str">
        <f>IFERROR(__xludf.DUMMYFUNCTION("""COMPUTED_VALUE"""),"Bullet")</f>
        <v>Bullet</v>
      </c>
      <c r="AS20" s="73"/>
      <c r="AT20" s="73"/>
      <c r="AU20" s="73"/>
      <c r="AV20" s="73"/>
      <c r="AW20" s="73"/>
      <c r="AX20" s="73"/>
      <c r="AY20" s="73"/>
      <c r="AZ20" s="73"/>
      <c r="BA20" s="73"/>
      <c r="BB20" s="73"/>
    </row>
    <row r="21">
      <c r="A21" s="73"/>
      <c r="B21" s="92"/>
      <c r="C21" s="84"/>
      <c r="D21" s="84"/>
      <c r="E21" s="84"/>
      <c r="F21" s="84"/>
      <c r="G21" s="85"/>
      <c r="H21" s="84"/>
      <c r="I21" s="73"/>
      <c r="J21" s="84" t="str">
        <f>IFERROR(__xludf.DUMMYFUNCTION("""COMPUTED_VALUE"""),"MSU Energy")</f>
        <v>MSU Energy</v>
      </c>
      <c r="K21" s="86" t="str">
        <f>IFERROR(__xludf.DUMMYFUNCTION("""COMPUTED_VALUE"""),"RUCDD")</f>
        <v>RUCDD</v>
      </c>
      <c r="L21" s="81" t="str">
        <f>IFERROR(__xludf.DUMMYFUNCTION("""COMPUTED_VALUE"""),"#NUM!")</f>
        <v>#NUM!</v>
      </c>
      <c r="M21" s="87">
        <f>IFERROR(__xludf.DUMMYFUNCTION("""COMPUTED_VALUE"""),0.0)</f>
        <v>0</v>
      </c>
      <c r="N21" s="84"/>
      <c r="O21" s="82" t="str">
        <f>IFERROR(__xludf.DUMMYFUNCTION("""COMPUTED_VALUE"""),"#NUM!")</f>
        <v>#NUM!</v>
      </c>
      <c r="P21" s="83">
        <f>IFERROR(__xludf.DUMMYFUNCTION("""COMPUTED_VALUE"""),47822.0)</f>
        <v>47822</v>
      </c>
      <c r="Q21" s="84" t="str">
        <f>IFERROR(__xludf.DUMMYFUNCTION("""COMPUTED_VALUE"""),"NY")</f>
        <v>NY</v>
      </c>
      <c r="R21" s="84" t="str">
        <f>IFERROR(__xludf.DUMMYFUNCTION("""COMPUTED_VALUE"""),"Semestral")</f>
        <v>Semestral</v>
      </c>
      <c r="S21" s="84">
        <f>IFERROR(__xludf.DUMMYFUNCTION("""COMPUTED_VALUE"""),1.0)</f>
        <v>1</v>
      </c>
      <c r="T21" s="84" t="str">
        <f>IFERROR(__xludf.DUMMYFUNCTION("""COMPUTED_VALUE"""),"Sinkable")</f>
        <v>Sinkable</v>
      </c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 t="str">
        <f>IFERROR(__xludf.DUMMYFUNCTION("""COMPUTED_VALUE"""),"Edenor")</f>
        <v>Edenor</v>
      </c>
      <c r="AI21" s="73" t="str">
        <f>IFERROR(__xludf.DUMMYFUNCTION("""COMPUTED_VALUE"""),"DNC5D")</f>
        <v>DNC5D</v>
      </c>
      <c r="AJ21" s="93">
        <f>IFERROR(__xludf.DUMMYFUNCTION("""COMPUTED_VALUE"""),0.08008274232638138)</f>
        <v>0.08008274233</v>
      </c>
      <c r="AK21" s="94">
        <f>IFERROR(__xludf.DUMMYFUNCTION("""COMPUTED_VALUE"""),108.878)</f>
        <v>108.878</v>
      </c>
      <c r="AL21" s="95">
        <f>IFERROR(__xludf.DUMMYFUNCTION("""COMPUTED_VALUE"""),107.8)</f>
        <v>107.8</v>
      </c>
      <c r="AM21" s="96">
        <f>IFERROR(__xludf.DUMMYFUNCTION("""COMPUTED_VALUE"""),2.527025373278275)</f>
        <v>2.527025373</v>
      </c>
      <c r="AN21" s="97">
        <f>IFERROR(__xludf.DUMMYFUNCTION("""COMPUTED_VALUE"""),46970.0)</f>
        <v>46970</v>
      </c>
      <c r="AO21" s="73" t="str">
        <f>IFERROR(__xludf.DUMMYFUNCTION("""COMPUTED_VALUE"""),"Argentina")</f>
        <v>Argentina</v>
      </c>
      <c r="AP21" s="73" t="str">
        <f>IFERROR(__xludf.DUMMYFUNCTION("""COMPUTED_VALUE"""),"Semestral")</f>
        <v>Semestral</v>
      </c>
      <c r="AQ21" s="98">
        <f>IFERROR(__xludf.DUMMYFUNCTION("""COMPUTED_VALUE"""),1.0)</f>
        <v>1</v>
      </c>
      <c r="AR21" s="97" t="str">
        <f>IFERROR(__xludf.DUMMYFUNCTION("""COMPUTED_VALUE"""),"Bullet")</f>
        <v>Bullet</v>
      </c>
      <c r="AS21" s="73"/>
      <c r="AT21" s="73"/>
      <c r="AU21" s="73"/>
      <c r="AV21" s="73"/>
      <c r="AW21" s="73"/>
      <c r="AX21" s="73"/>
      <c r="AY21" s="73"/>
      <c r="AZ21" s="73"/>
      <c r="BA21" s="73"/>
      <c r="BB21" s="73"/>
    </row>
    <row r="22">
      <c r="A22" s="73"/>
      <c r="B22" s="92"/>
      <c r="C22" s="99"/>
      <c r="D22" s="100"/>
      <c r="E22" s="101"/>
      <c r="F22" s="100"/>
      <c r="G22" s="85"/>
      <c r="H22" s="102"/>
      <c r="I22" s="73"/>
      <c r="J22" s="84" t="str">
        <f>IFERROR(__xludf.DUMMYFUNCTION("""COMPUTED_VALUE"""),"Telecom")</f>
        <v>Telecom</v>
      </c>
      <c r="K22" s="86" t="str">
        <f>IFERROR(__xludf.DUMMYFUNCTION("""COMPUTED_VALUE"""),"TLCMD")</f>
        <v>TLCMD</v>
      </c>
      <c r="L22" s="81">
        <f>IFERROR(__xludf.DUMMYFUNCTION("""COMPUTED_VALUE"""),0.08253208356365863)</f>
        <v>0.08253208356</v>
      </c>
      <c r="M22" s="87">
        <f>IFERROR(__xludf.DUMMYFUNCTION("""COMPUTED_VALUE"""),105.94900000000001)</f>
        <v>105.949</v>
      </c>
      <c r="N22" s="84">
        <f>IFERROR(__xludf.DUMMYFUNCTION("""COMPUTED_VALUE"""),104.9)</f>
        <v>104.9</v>
      </c>
      <c r="O22" s="82">
        <f>IFERROR(__xludf.DUMMYFUNCTION("""COMPUTED_VALUE"""),3.9279385644641507)</f>
        <v>3.927938564</v>
      </c>
      <c r="P22" s="83">
        <f>IFERROR(__xludf.DUMMYFUNCTION("""COMPUTED_VALUE"""),48047.0)</f>
        <v>48047</v>
      </c>
      <c r="Q22" s="84" t="str">
        <f>IFERROR(__xludf.DUMMYFUNCTION("""COMPUTED_VALUE"""),"NY")</f>
        <v>NY</v>
      </c>
      <c r="R22" s="84" t="str">
        <f>IFERROR(__xludf.DUMMYFUNCTION("""COMPUTED_VALUE"""),"Semestral")</f>
        <v>Semestral</v>
      </c>
      <c r="S22" s="84">
        <f>IFERROR(__xludf.DUMMYFUNCTION("""COMPUTED_VALUE"""),1000.0)</f>
        <v>1000</v>
      </c>
      <c r="T22" s="84" t="str">
        <f>IFERROR(__xludf.DUMMYFUNCTION("""COMPUTED_VALUE"""),"Sinkable")</f>
        <v>Sinkable</v>
      </c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</row>
    <row r="23">
      <c r="A23" s="73"/>
      <c r="B23" s="73"/>
      <c r="C23" s="73"/>
      <c r="D23" s="73"/>
      <c r="E23" s="73"/>
      <c r="F23" s="73"/>
      <c r="G23" s="96">
        <f>SUM(F19:F22)</f>
        <v>8.53871664</v>
      </c>
      <c r="H23" s="73"/>
      <c r="I23" s="73"/>
      <c r="J23" s="84" t="str">
        <f>IFERROR(__xludf.DUMMYFUNCTION("""COMPUTED_VALUE"""),"TGS")</f>
        <v>TGS</v>
      </c>
      <c r="K23" s="86" t="str">
        <f>IFERROR(__xludf.DUMMYFUNCTION("""COMPUTED_VALUE"""),"TSC3D")</f>
        <v>TSC3D</v>
      </c>
      <c r="L23" s="81">
        <f>IFERROR(__xludf.DUMMYFUNCTION("""COMPUTED_VALUE"""),0.06979918316081146)</f>
        <v>0.06979918316</v>
      </c>
      <c r="M23" s="87">
        <f>IFERROR(__xludf.DUMMYFUNCTION("""COMPUTED_VALUE"""),108.01950000000001)</f>
        <v>108.0195</v>
      </c>
      <c r="N23" s="84">
        <f>IFERROR(__xludf.DUMMYFUNCTION("""COMPUTED_VALUE"""),106.95)</f>
        <v>106.95</v>
      </c>
      <c r="O23" s="82">
        <f>IFERROR(__xludf.DUMMYFUNCTION("""COMPUTED_VALUE"""),4.701548073189311)</f>
        <v>4.701548073</v>
      </c>
      <c r="P23" s="83">
        <f>IFERROR(__xludf.DUMMYFUNCTION("""COMPUTED_VALUE"""),48053.0)</f>
        <v>48053</v>
      </c>
      <c r="Q23" s="84" t="str">
        <f>IFERROR(__xludf.DUMMYFUNCTION("""COMPUTED_VALUE"""),"NY")</f>
        <v>NY</v>
      </c>
      <c r="R23" s="84" t="str">
        <f>IFERROR(__xludf.DUMMYFUNCTION("""COMPUTED_VALUE"""),"Semestral")</f>
        <v>Semestral</v>
      </c>
      <c r="S23" s="84">
        <f>IFERROR(__xludf.DUMMYFUNCTION("""COMPUTED_VALUE"""),10000.0)</f>
        <v>10000</v>
      </c>
      <c r="T23" s="84" t="str">
        <f>IFERROR(__xludf.DUMMYFUNCTION("""COMPUTED_VALUE"""),"Bullet")</f>
        <v>Bullet</v>
      </c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</row>
    <row r="24">
      <c r="A24" s="73"/>
      <c r="B24" s="73"/>
      <c r="C24" s="73"/>
      <c r="D24" s="73"/>
      <c r="E24" s="73"/>
      <c r="F24" s="73"/>
      <c r="G24" s="73"/>
      <c r="H24" s="73"/>
      <c r="I24" s="73"/>
      <c r="J24" s="84" t="str">
        <f>IFERROR(__xludf.DUMMYFUNCTION("""COMPUTED_VALUE"""),"Arcor")</f>
        <v>Arcor</v>
      </c>
      <c r="K24" s="86" t="str">
        <f>IFERROR(__xludf.DUMMYFUNCTION("""COMPUTED_VALUE"""),"ARC1D")</f>
        <v>ARC1D</v>
      </c>
      <c r="L24" s="81">
        <f>IFERROR(__xludf.DUMMYFUNCTION("""COMPUTED_VALUE"""),0.064495045593399)</f>
        <v>0.06449504559</v>
      </c>
      <c r="M24" s="87">
        <f>IFERROR(__xludf.DUMMYFUNCTION("""COMPUTED_VALUE"""),109.58500000000001)</f>
        <v>109.585</v>
      </c>
      <c r="N24" s="84">
        <f>IFERROR(__xludf.DUMMYFUNCTION("""COMPUTED_VALUE"""),108.5)</f>
        <v>108.5</v>
      </c>
      <c r="O24" s="82">
        <f>IFERROR(__xludf.DUMMYFUNCTION("""COMPUTED_VALUE"""),3.2750994050794198)</f>
        <v>3.275099405</v>
      </c>
      <c r="P24" s="83">
        <f>IFERROR(__xludf.DUMMYFUNCTION("""COMPUTED_VALUE"""),48061.0)</f>
        <v>48061</v>
      </c>
      <c r="Q24" s="84" t="str">
        <f>IFERROR(__xludf.DUMMYFUNCTION("""COMPUTED_VALUE"""),"NY")</f>
        <v>NY</v>
      </c>
      <c r="R24" s="84" t="str">
        <f>IFERROR(__xludf.DUMMYFUNCTION("""COMPUTED_VALUE"""),"Trimestral")</f>
        <v>Trimestral</v>
      </c>
      <c r="S24" s="84">
        <f>IFERROR(__xludf.DUMMYFUNCTION("""COMPUTED_VALUE"""),1000.0)</f>
        <v>1000</v>
      </c>
      <c r="T24" s="84" t="str">
        <f>IFERROR(__xludf.DUMMYFUNCTION("""COMPUTED_VALUE"""),"Sinkable")</f>
        <v>Sinkable</v>
      </c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</row>
    <row r="25">
      <c r="A25" s="73"/>
      <c r="B25" s="75" t="s">
        <v>2562</v>
      </c>
      <c r="C25" s="73"/>
      <c r="D25" s="73"/>
      <c r="E25" s="73"/>
      <c r="F25" s="73"/>
      <c r="G25" s="73"/>
      <c r="H25" s="73"/>
      <c r="I25" s="73"/>
      <c r="J25" s="84" t="str">
        <f>IFERROR(__xludf.DUMMYFUNCTION("""COMPUTED_VALUE"""),"Pampa energia")</f>
        <v>Pampa energia</v>
      </c>
      <c r="K25" s="86" t="str">
        <f>IFERROR(__xludf.DUMMYFUNCTION("""COMPUTED_VALUE"""),"MGCMD")</f>
        <v>MGCMD</v>
      </c>
      <c r="L25" s="81">
        <f>IFERROR(__xludf.DUMMYFUNCTION("""COMPUTED_VALUE"""),0.07364607514779321)</f>
        <v>0.07364607515</v>
      </c>
      <c r="M25" s="87">
        <f>IFERROR(__xludf.DUMMYFUNCTION("""COMPUTED_VALUE"""),106.555)</f>
        <v>106.555</v>
      </c>
      <c r="N25" s="84">
        <f>IFERROR(__xludf.DUMMYFUNCTION("""COMPUTED_VALUE"""),105.5)</f>
        <v>105.5</v>
      </c>
      <c r="O25" s="82">
        <f>IFERROR(__xludf.DUMMYFUNCTION("""COMPUTED_VALUE"""),4.675650268594942)</f>
        <v>4.675650269</v>
      </c>
      <c r="P25" s="83">
        <f>IFERROR(__xludf.DUMMYFUNCTION("""COMPUTED_VALUE"""),48101.0)</f>
        <v>48101</v>
      </c>
      <c r="Q25" s="84" t="str">
        <f>IFERROR(__xludf.DUMMYFUNCTION("""COMPUTED_VALUE"""),"NY")</f>
        <v>NY</v>
      </c>
      <c r="R25" s="84" t="str">
        <f>IFERROR(__xludf.DUMMYFUNCTION("""COMPUTED_VALUE"""),"Semestral")</f>
        <v>Semestral</v>
      </c>
      <c r="S25" s="84">
        <f>IFERROR(__xludf.DUMMYFUNCTION("""COMPUTED_VALUE"""),10000.0)</f>
        <v>10000</v>
      </c>
      <c r="T25" s="84" t="str">
        <f>IFERROR(__xludf.DUMMYFUNCTION("""COMPUTED_VALUE"""),"Bullet")</f>
        <v>Bullet</v>
      </c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</row>
    <row r="26">
      <c r="A26" s="73"/>
      <c r="B26" s="76" t="str">
        <f>B13</f>
        <v/>
      </c>
      <c r="C26" s="77" t="s">
        <v>2563</v>
      </c>
      <c r="D26" s="77" t="s">
        <v>2556</v>
      </c>
      <c r="E26" s="78" t="s">
        <v>2557</v>
      </c>
      <c r="F26" s="77" t="s">
        <v>2556</v>
      </c>
      <c r="G26" s="77" t="s">
        <v>2559</v>
      </c>
      <c r="H26" s="77" t="s">
        <v>2560</v>
      </c>
      <c r="I26" s="73"/>
      <c r="J26" s="84" t="str">
        <f>IFERROR(__xludf.DUMMYFUNCTION("""COMPUTED_VALUE"""),"YPF")</f>
        <v>YPF</v>
      </c>
      <c r="K26" s="86" t="str">
        <f>IFERROR(__xludf.DUMMYFUNCTION("""COMPUTED_VALUE"""),"YMCXD")</f>
        <v>YMCXD</v>
      </c>
      <c r="L26" s="81">
        <f>IFERROR(__xludf.DUMMYFUNCTION("""COMPUTED_VALUE"""),0.07847989054708908)</f>
        <v>0.07847989055</v>
      </c>
      <c r="M26" s="87">
        <f>IFERROR(__xludf.DUMMYFUNCTION("""COMPUTED_VALUE"""),107.96900000000001)</f>
        <v>107.969</v>
      </c>
      <c r="N26" s="84">
        <f>IFERROR(__xludf.DUMMYFUNCTION("""COMPUTED_VALUE"""),106.9)</f>
        <v>106.9</v>
      </c>
      <c r="O26" s="82">
        <f>IFERROR(__xludf.DUMMYFUNCTION("""COMPUTED_VALUE"""),4.209652154960719)</f>
        <v>4.209652155</v>
      </c>
      <c r="P26" s="83">
        <f>IFERROR(__xludf.DUMMYFUNCTION("""COMPUTED_VALUE"""),48102.0)</f>
        <v>48102</v>
      </c>
      <c r="Q26" s="84" t="str">
        <f>IFERROR(__xludf.DUMMYFUNCTION("""COMPUTED_VALUE"""),"NY")</f>
        <v>NY</v>
      </c>
      <c r="R26" s="84" t="str">
        <f>IFERROR(__xludf.DUMMYFUNCTION("""COMPUTED_VALUE"""),"Semestral")</f>
        <v>Semestral</v>
      </c>
      <c r="S26" s="84">
        <f>IFERROR(__xludf.DUMMYFUNCTION("""COMPUTED_VALUE"""),1.0)</f>
        <v>1</v>
      </c>
      <c r="T26" s="84" t="str">
        <f>IFERROR(__xludf.DUMMYFUNCTION("""COMPUTED_VALUE"""),"Sinkable")</f>
        <v>Sinkable</v>
      </c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</row>
    <row r="27">
      <c r="A27" s="73"/>
      <c r="B27" s="80"/>
      <c r="C27" s="84"/>
      <c r="D27" s="84"/>
      <c r="E27" s="84"/>
      <c r="F27" s="80"/>
      <c r="G27" s="85"/>
      <c r="H27" s="84"/>
      <c r="I27" s="73"/>
      <c r="J27" s="84" t="str">
        <f>IFERROR(__xludf.DUMMYFUNCTION("""COMPUTED_VALUE"""),"Pan American Energy")</f>
        <v>Pan American Energy</v>
      </c>
      <c r="K27" s="86" t="str">
        <f>IFERROR(__xludf.DUMMYFUNCTION("""COMPUTED_VALUE"""),"PNXCD")</f>
        <v>PNXCD</v>
      </c>
      <c r="L27" s="81">
        <f>IFERROR(__xludf.DUMMYFUNCTION("""COMPUTED_VALUE"""),0.06709064875479964)</f>
        <v>0.06709064875</v>
      </c>
      <c r="M27" s="87">
        <f>IFERROR(__xludf.DUMMYFUNCTION("""COMPUTED_VALUE"""),110.99900000000001)</f>
        <v>110.999</v>
      </c>
      <c r="N27" s="84">
        <f>IFERROR(__xludf.DUMMYFUNCTION("""COMPUTED_VALUE"""),109.9)</f>
        <v>109.9</v>
      </c>
      <c r="O27" s="82">
        <f>IFERROR(__xludf.DUMMYFUNCTION("""COMPUTED_VALUE"""),4.479835629158774)</f>
        <v>4.479835629</v>
      </c>
      <c r="P27" s="83">
        <f>IFERROR(__xludf.DUMMYFUNCTION("""COMPUTED_VALUE"""),48334.0)</f>
        <v>48334</v>
      </c>
      <c r="Q27" s="84" t="str">
        <f>IFERROR(__xludf.DUMMYFUNCTION("""COMPUTED_VALUE"""),"NY")</f>
        <v>NY</v>
      </c>
      <c r="R27" s="84" t="str">
        <f>IFERROR(__xludf.DUMMYFUNCTION("""COMPUTED_VALUE"""),"Semestral")</f>
        <v>Semestral</v>
      </c>
      <c r="S27" s="84">
        <f>IFERROR(__xludf.DUMMYFUNCTION("""COMPUTED_VALUE"""),1000.0)</f>
        <v>1000</v>
      </c>
      <c r="T27" s="84" t="str">
        <f>IFERROR(__xludf.DUMMYFUNCTION("""COMPUTED_VALUE"""),"Sinkable")</f>
        <v>Sinkable</v>
      </c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</row>
    <row r="28">
      <c r="A28" s="73"/>
      <c r="B28" s="80"/>
      <c r="C28" s="84"/>
      <c r="D28" s="84"/>
      <c r="E28" s="84"/>
      <c r="F28" s="80"/>
      <c r="G28" s="85"/>
      <c r="H28" s="84"/>
      <c r="I28" s="73"/>
      <c r="J28" s="84" t="str">
        <f>IFERROR(__xludf.DUMMYFUNCTION("""COMPUTED_VALUE"""),"YPF Luz")</f>
        <v>YPF Luz</v>
      </c>
      <c r="K28" s="86" t="str">
        <f>IFERROR(__xludf.DUMMYFUNCTION("""COMPUTED_VALUE"""),"YFCJD")</f>
        <v>YFCJD</v>
      </c>
      <c r="L28" s="81">
        <f>IFERROR(__xludf.DUMMYFUNCTION("""COMPUTED_VALUE"""),0.07559056680215279)</f>
        <v>0.0755905668</v>
      </c>
      <c r="M28" s="87">
        <f>IFERROR(__xludf.DUMMYFUNCTION("""COMPUTED_VALUE"""),104.43400000000001)</f>
        <v>104.434</v>
      </c>
      <c r="N28" s="84">
        <f>IFERROR(__xludf.DUMMYFUNCTION("""COMPUTED_VALUE"""),103.4)</f>
        <v>103.4</v>
      </c>
      <c r="O28" s="82">
        <f>IFERROR(__xludf.DUMMYFUNCTION("""COMPUTED_VALUE"""),4.7614736181003225)</f>
        <v>4.761473618</v>
      </c>
      <c r="P28" s="83">
        <f>IFERROR(__xludf.DUMMYFUNCTION("""COMPUTED_VALUE"""),48503.0)</f>
        <v>48503</v>
      </c>
      <c r="Q28" s="84" t="str">
        <f>IFERROR(__xludf.DUMMYFUNCTION("""COMPUTED_VALUE"""),"NY")</f>
        <v>NY</v>
      </c>
      <c r="R28" s="84" t="str">
        <f>IFERROR(__xludf.DUMMYFUNCTION("""COMPUTED_VALUE"""),"Semestral")</f>
        <v>Semestral</v>
      </c>
      <c r="S28" s="84">
        <f>IFERROR(__xludf.DUMMYFUNCTION("""COMPUTED_VALUE"""),1000.0)</f>
        <v>1000</v>
      </c>
      <c r="T28" s="84" t="str">
        <f>IFERROR(__xludf.DUMMYFUNCTION("""COMPUTED_VALUE"""),"Sinkable")</f>
        <v>Sinkable</v>
      </c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</row>
    <row r="29">
      <c r="A29" s="73"/>
      <c r="B29" s="80"/>
      <c r="C29" s="84"/>
      <c r="D29" s="84"/>
      <c r="E29" s="84"/>
      <c r="F29" s="80"/>
      <c r="G29" s="85"/>
      <c r="H29" s="84"/>
      <c r="I29" s="73"/>
      <c r="J29" s="84" t="str">
        <f>IFERROR(__xludf.DUMMYFUNCTION("""COMPUTED_VALUE"""),"Tecpetrol")</f>
        <v>Tecpetrol</v>
      </c>
      <c r="K29" s="86" t="str">
        <f>IFERROR(__xludf.DUMMYFUNCTION("""COMPUTED_VALUE"""),"TTCAD")</f>
        <v>TTCAD</v>
      </c>
      <c r="L29" s="81">
        <f>IFERROR(__xludf.DUMMYFUNCTION("""COMPUTED_VALUE"""),0.06747780327668798)</f>
        <v>0.06747780328</v>
      </c>
      <c r="M29" s="87">
        <f>IFERROR(__xludf.DUMMYFUNCTION("""COMPUTED_VALUE"""),105.1915)</f>
        <v>105.1915</v>
      </c>
      <c r="N29" s="84">
        <f>IFERROR(__xludf.DUMMYFUNCTION("""COMPUTED_VALUE"""),104.15)</f>
        <v>104.15</v>
      </c>
      <c r="O29" s="82">
        <f>IFERROR(__xludf.DUMMYFUNCTION("""COMPUTED_VALUE"""),5.094415695916324)</f>
        <v>5.094415696</v>
      </c>
      <c r="P29" s="83">
        <f>IFERROR(__xludf.DUMMYFUNCTION("""COMPUTED_VALUE"""),48601.0)</f>
        <v>48601</v>
      </c>
      <c r="Q29" s="84" t="str">
        <f>IFERROR(__xludf.DUMMYFUNCTION("""COMPUTED_VALUE"""),"NY")</f>
        <v>NY</v>
      </c>
      <c r="R29" s="84" t="str">
        <f>IFERROR(__xludf.DUMMYFUNCTION("""COMPUTED_VALUE"""),"Semestral")</f>
        <v>Semestral</v>
      </c>
      <c r="S29" s="84">
        <f>IFERROR(__xludf.DUMMYFUNCTION("""COMPUTED_VALUE"""),1000.0)</f>
        <v>1000</v>
      </c>
      <c r="T29" s="84" t="str">
        <f>IFERROR(__xludf.DUMMYFUNCTION("""COMPUTED_VALUE"""),"Sinkable")</f>
        <v>Sinkable</v>
      </c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</row>
    <row r="30">
      <c r="A30" s="73"/>
      <c r="B30" s="92"/>
      <c r="C30" s="99"/>
      <c r="D30" s="100"/>
      <c r="E30" s="101"/>
      <c r="F30" s="80"/>
      <c r="G30" s="85"/>
      <c r="H30" s="102"/>
      <c r="I30" s="73"/>
      <c r="J30" s="84" t="str">
        <f>IFERROR(__xludf.DUMMYFUNCTION("""COMPUTED_VALUE"""),"Telecom")</f>
        <v>Telecom</v>
      </c>
      <c r="K30" s="86" t="str">
        <f>IFERROR(__xludf.DUMMYFUNCTION("""COMPUTED_VALUE"""),"TLCPD")</f>
        <v>TLCPD</v>
      </c>
      <c r="L30" s="81">
        <f>IFERROR(__xludf.DUMMYFUNCTION("""COMPUTED_VALUE"""),0.08753378101214111)</f>
        <v>0.08753378101</v>
      </c>
      <c r="M30" s="87">
        <f>IFERROR(__xludf.DUMMYFUNCTION("""COMPUTED_VALUE"""),106.555)</f>
        <v>106.555</v>
      </c>
      <c r="N30" s="84">
        <f>IFERROR(__xludf.DUMMYFUNCTION("""COMPUTED_VALUE"""),105.5)</f>
        <v>105.5</v>
      </c>
      <c r="O30" s="82">
        <f>IFERROR(__xludf.DUMMYFUNCTION("""COMPUTED_VALUE"""),5.1882282565565365)</f>
        <v>5.188228257</v>
      </c>
      <c r="P30" s="83">
        <f>IFERROR(__xludf.DUMMYFUNCTION("""COMPUTED_VALUE"""),48726.0)</f>
        <v>48726</v>
      </c>
      <c r="Q30" s="84" t="str">
        <f>IFERROR(__xludf.DUMMYFUNCTION("""COMPUTED_VALUE"""),"NY")</f>
        <v>NY</v>
      </c>
      <c r="R30" s="84" t="str">
        <f>IFERROR(__xludf.DUMMYFUNCTION("""COMPUTED_VALUE"""),"Semestral")</f>
        <v>Semestral</v>
      </c>
      <c r="S30" s="84">
        <f>IFERROR(__xludf.DUMMYFUNCTION("""COMPUTED_VALUE"""),1000.0)</f>
        <v>1000</v>
      </c>
      <c r="T30" s="84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</row>
    <row r="31">
      <c r="A31" s="73"/>
      <c r="B31" s="73"/>
      <c r="C31" s="73"/>
      <c r="D31" s="73"/>
      <c r="E31" s="73"/>
      <c r="F31" s="73">
        <f>SUM(F27:F30)</f>
        <v>0</v>
      </c>
      <c r="G31" s="73"/>
      <c r="H31" s="73"/>
      <c r="I31" s="73"/>
      <c r="J31" s="84" t="str">
        <f>IFERROR(__xludf.DUMMYFUNCTION("""COMPUTED_VALUE"""),"YPF")</f>
        <v>YPF</v>
      </c>
      <c r="K31" s="86" t="str">
        <f>IFERROR(__xludf.DUMMYFUNCTION("""COMPUTED_VALUE"""),"YMCJD")</f>
        <v>YMCJD</v>
      </c>
      <c r="L31" s="81">
        <f>IFERROR(__xludf.DUMMYFUNCTION("""COMPUTED_VALUE"""),0.07758465441323845)</f>
        <v>0.07758465441</v>
      </c>
      <c r="M31" s="87">
        <f>IFERROR(__xludf.DUMMYFUNCTION("""COMPUTED_VALUE"""),99.0406)</f>
        <v>99.0406</v>
      </c>
      <c r="N31" s="84">
        <f>IFERROR(__xludf.DUMMYFUNCTION("""COMPUTED_VALUE"""),98.06)</f>
        <v>98.06</v>
      </c>
      <c r="O31" s="82">
        <f>IFERROR(__xludf.DUMMYFUNCTION("""COMPUTED_VALUE"""),5.207067142402761)</f>
        <v>5.207067142</v>
      </c>
      <c r="P31" s="83">
        <f>IFERROR(__xludf.DUMMYFUNCTION("""COMPUTED_VALUE"""),48852.0)</f>
        <v>48852</v>
      </c>
      <c r="Q31" s="84" t="str">
        <f>IFERROR(__xludf.DUMMYFUNCTION("""COMPUTED_VALUE"""),"NY")</f>
        <v>NY</v>
      </c>
      <c r="R31" s="84" t="str">
        <f>IFERROR(__xludf.DUMMYFUNCTION("""COMPUTED_VALUE"""),"Semestral")</f>
        <v>Semestral</v>
      </c>
      <c r="S31" s="84">
        <f>IFERROR(__xludf.DUMMYFUNCTION("""COMPUTED_VALUE"""),1.0)</f>
        <v>1</v>
      </c>
      <c r="T31" s="84" t="str">
        <f>IFERROR(__xludf.DUMMYFUNCTION("""COMPUTED_VALUE"""),"Sinkable")</f>
        <v>Sinkable</v>
      </c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</row>
    <row r="32">
      <c r="A32" s="73"/>
      <c r="B32" s="73"/>
      <c r="C32" s="73"/>
      <c r="D32" s="73"/>
      <c r="E32" s="73"/>
      <c r="F32" s="73"/>
      <c r="G32" s="73"/>
      <c r="H32" s="73"/>
      <c r="I32" s="73"/>
      <c r="J32" s="84" t="str">
        <f>IFERROR(__xludf.DUMMYFUNCTION("""COMPUTED_VALUE"""),"YPF")</f>
        <v>YPF</v>
      </c>
      <c r="K32" s="86" t="str">
        <f>IFERROR(__xludf.DUMMYFUNCTION("""COMPUTED_VALUE"""),"YM34D")</f>
        <v>YM34D</v>
      </c>
      <c r="L32" s="81">
        <f>IFERROR(__xludf.DUMMYFUNCTION("""COMPUTED_VALUE"""),0.08047063330458076)</f>
        <v>0.0804706333</v>
      </c>
      <c r="M32" s="87">
        <f>IFERROR(__xludf.DUMMYFUNCTION("""COMPUTED_VALUE"""),102.2625)</f>
        <v>102.2625</v>
      </c>
      <c r="N32" s="84">
        <f>IFERROR(__xludf.DUMMYFUNCTION("""COMPUTED_VALUE"""),101.25)</f>
        <v>101.25</v>
      </c>
      <c r="O32" s="82">
        <f>IFERROR(__xludf.DUMMYFUNCTION("""COMPUTED_VALUE"""),5.554640778336267)</f>
        <v>5.554640778</v>
      </c>
      <c r="P32" s="83">
        <f>IFERROR(__xludf.DUMMYFUNCTION("""COMPUTED_VALUE"""),48961.0)</f>
        <v>48961</v>
      </c>
      <c r="Q32" s="84" t="str">
        <f>IFERROR(__xludf.DUMMYFUNCTION("""COMPUTED_VALUE"""),"NY")</f>
        <v>NY</v>
      </c>
      <c r="R32" s="84" t="str">
        <f>IFERROR(__xludf.DUMMYFUNCTION("""COMPUTED_VALUE"""),"Semestral")</f>
        <v>Semestral</v>
      </c>
      <c r="S32" s="84">
        <f>IFERROR(__xludf.DUMMYFUNCTION("""COMPUTED_VALUE"""),1.0)</f>
        <v>1</v>
      </c>
      <c r="T32" s="84" t="str">
        <f>IFERROR(__xludf.DUMMYFUNCTION("""COMPUTED_VALUE"""),"Sinkable")</f>
        <v>Sinkable</v>
      </c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</row>
    <row r="33">
      <c r="A33" s="73"/>
      <c r="B33" s="73"/>
      <c r="C33" s="73"/>
      <c r="D33" s="73"/>
      <c r="E33" s="73"/>
      <c r="F33" s="73"/>
      <c r="G33" s="73"/>
      <c r="H33" s="73"/>
      <c r="I33" s="73"/>
      <c r="J33" s="73" t="str">
        <f>IFERROR(__xludf.DUMMYFUNCTION("""COMPUTED_VALUE"""),"Pampa energia")</f>
        <v>Pampa energia</v>
      </c>
      <c r="K33" s="103" t="str">
        <f>IFERROR(__xludf.DUMMYFUNCTION("""COMPUTED_VALUE"""),"MGCOD")</f>
        <v>MGCOD</v>
      </c>
      <c r="L33" s="93">
        <f>IFERROR(__xludf.DUMMYFUNCTION("""COMPUTED_VALUE"""),0.07813105061693167)</f>
        <v>0.07813105062</v>
      </c>
      <c r="M33" s="94">
        <f>IFERROR(__xludf.DUMMYFUNCTION("""COMPUTED_VALUE"""),102.2625)</f>
        <v>102.2625</v>
      </c>
      <c r="N33" s="73">
        <f>IFERROR(__xludf.DUMMYFUNCTION("""COMPUTED_VALUE"""),101.25)</f>
        <v>101.25</v>
      </c>
      <c r="O33" s="96">
        <f>IFERROR(__xludf.DUMMYFUNCTION("""COMPUTED_VALUE"""),6.521290176472627)</f>
        <v>6.521290176</v>
      </c>
      <c r="P33" s="97">
        <f>IFERROR(__xludf.DUMMYFUNCTION("""COMPUTED_VALUE"""),49294.0)</f>
        <v>49294</v>
      </c>
      <c r="Q33" s="73" t="str">
        <f>IFERROR(__xludf.DUMMYFUNCTION("""COMPUTED_VALUE"""),"NY")</f>
        <v>NY</v>
      </c>
      <c r="R33" s="73" t="str">
        <f>IFERROR(__xludf.DUMMYFUNCTION("""COMPUTED_VALUE"""),"Semestral")</f>
        <v>Semestral</v>
      </c>
      <c r="S33" s="73">
        <f>IFERROR(__xludf.DUMMYFUNCTION("""COMPUTED_VALUE"""),10000.0)</f>
        <v>10000</v>
      </c>
      <c r="T33" s="73" t="str">
        <f>IFERROR(__xludf.DUMMYFUNCTION("""COMPUTED_VALUE"""),"Bullet")</f>
        <v>Bullet</v>
      </c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</row>
    <row r="34">
      <c r="A34" s="73"/>
      <c r="B34" s="73"/>
      <c r="C34" s="73"/>
      <c r="D34" s="73"/>
      <c r="E34" s="73"/>
      <c r="F34" s="73"/>
      <c r="G34" s="73"/>
      <c r="H34" s="73"/>
      <c r="I34" s="73"/>
      <c r="J34" s="73" t="str">
        <f>IFERROR(__xludf.DUMMYFUNCTION("""COMPUTED_VALUE"""),"IRSA")</f>
        <v>IRSA</v>
      </c>
      <c r="K34" s="103" t="str">
        <f>IFERROR(__xludf.DUMMYFUNCTION("""COMPUTED_VALUE"""),"IRCPD")</f>
        <v>IRCPD</v>
      </c>
      <c r="L34" s="93">
        <f>IFERROR(__xludf.DUMMYFUNCTION("""COMPUTED_VALUE"""),0.0798262506041448)</f>
        <v>0.0798262506</v>
      </c>
      <c r="M34" s="94">
        <f>IFERROR(__xludf.DUMMYFUNCTION("""COMPUTED_VALUE"""),103.62599999999999)</f>
        <v>103.626</v>
      </c>
      <c r="N34" s="73">
        <f>IFERROR(__xludf.DUMMYFUNCTION("""COMPUTED_VALUE"""),102.6)</f>
        <v>102.6</v>
      </c>
      <c r="O34" s="96">
        <f>IFERROR(__xludf.DUMMYFUNCTION("""COMPUTED_VALUE"""),6.0301850549817)</f>
        <v>6.030185055</v>
      </c>
      <c r="P34" s="97">
        <f>IFERROR(__xludf.DUMMYFUNCTION("""COMPUTED_VALUE"""),49399.0)</f>
        <v>49399</v>
      </c>
      <c r="Q34" s="73" t="str">
        <f>IFERROR(__xludf.DUMMYFUNCTION("""COMPUTED_VALUE"""),"NY")</f>
        <v>NY</v>
      </c>
      <c r="R34" s="73" t="str">
        <f>IFERROR(__xludf.DUMMYFUNCTION("""COMPUTED_VALUE"""),"Semestral")</f>
        <v>Semestral</v>
      </c>
      <c r="S34" s="73">
        <f>IFERROR(__xludf.DUMMYFUNCTION("""COMPUTED_VALUE"""),1.0)</f>
        <v>1</v>
      </c>
      <c r="T34" s="73" t="str">
        <f>IFERROR(__xludf.DUMMYFUNCTION("""COMPUTED_VALUE"""),"Skinable")</f>
        <v>Skinable</v>
      </c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</row>
    <row r="35">
      <c r="A35" s="73"/>
      <c r="B35" s="73"/>
      <c r="C35" s="73"/>
      <c r="D35" s="73"/>
      <c r="E35" s="73"/>
      <c r="F35" s="73"/>
      <c r="G35" s="73"/>
      <c r="H35" s="73"/>
      <c r="I35" s="73"/>
      <c r="J35" s="73" t="str">
        <f>IFERROR(__xludf.DUMMYFUNCTION("""COMPUTED_VALUE"""),"Vista Energy")</f>
        <v>Vista Energy</v>
      </c>
      <c r="K35" s="73" t="str">
        <f>IFERROR(__xludf.DUMMYFUNCTION("""COMPUTED_VALUE"""),"VSCVD")</f>
        <v>VSCVD</v>
      </c>
      <c r="L35" s="93">
        <f>IFERROR(__xludf.DUMMYFUNCTION("""COMPUTED_VALUE"""),0.07637185418434951)</f>
        <v>0.07637185418</v>
      </c>
      <c r="M35" s="94">
        <f>IFERROR(__xludf.DUMMYFUNCTION("""COMPUTED_VALUE"""),106.4035)</f>
        <v>106.4035</v>
      </c>
      <c r="N35" s="73">
        <f>IFERROR(__xludf.DUMMYFUNCTION("""COMPUTED_VALUE"""),105.35)</f>
        <v>105.35</v>
      </c>
      <c r="O35" s="96">
        <f>IFERROR(__xludf.DUMMYFUNCTION("""COMPUTED_VALUE"""),5.133862610717182)</f>
        <v>5.133862611</v>
      </c>
      <c r="P35" s="97">
        <f>IFERROR(__xludf.DUMMYFUNCTION("""COMPUTED_VALUE"""),48740.0)</f>
        <v>48740</v>
      </c>
      <c r="Q35" s="73" t="str">
        <f>IFERROR(__xludf.DUMMYFUNCTION("""COMPUTED_VALUE"""),"NY")</f>
        <v>NY</v>
      </c>
      <c r="R35" s="73" t="str">
        <f>IFERROR(__xludf.DUMMYFUNCTION("""COMPUTED_VALUE"""),"Semestral")</f>
        <v>Semestral</v>
      </c>
      <c r="S35" s="73">
        <f>IFERROR(__xludf.DUMMYFUNCTION("""COMPUTED_VALUE"""),1000.0)</f>
        <v>1000</v>
      </c>
      <c r="T35" s="73" t="str">
        <f>IFERROR(__xludf.DUMMYFUNCTION("""COMPUTED_VALUE"""),"Skinable")</f>
        <v>Skinable</v>
      </c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</row>
    <row r="36">
      <c r="A36" s="73"/>
      <c r="B36" s="73"/>
      <c r="C36" s="73"/>
      <c r="D36" s="73"/>
      <c r="E36" s="73"/>
      <c r="F36" s="73"/>
      <c r="G36" s="73"/>
      <c r="H36" s="73"/>
      <c r="I36" s="73"/>
      <c r="J36" s="73" t="str">
        <f>IFERROR(__xludf.DUMMYFUNCTION("""COMPUTED_VALUE"""),"Vista Energy")</f>
        <v>Vista Energy</v>
      </c>
      <c r="K36" s="103" t="str">
        <f>IFERROR(__xludf.DUMMYFUNCTION("""COMPUTED_VALUE"""),"VSCTD")</f>
        <v>VSCTD</v>
      </c>
      <c r="L36" s="93">
        <f>IFERROR(__xludf.DUMMYFUNCTION("""COMPUTED_VALUE"""),0.0783974959435003)</f>
        <v>0.07839749594</v>
      </c>
      <c r="M36" s="94">
        <f>IFERROR(__xludf.DUMMYFUNCTION("""COMPUTED_VALUE"""),100.4849)</f>
        <v>100.4849</v>
      </c>
      <c r="N36" s="73">
        <f>IFERROR(__xludf.DUMMYFUNCTION("""COMPUTED_VALUE"""),99.49)</f>
        <v>99.49</v>
      </c>
      <c r="O36" s="96">
        <f>IFERROR(__xludf.DUMMYFUNCTION("""COMPUTED_VALUE"""),6.534560548942593)</f>
        <v>6.534560549</v>
      </c>
      <c r="P36" s="97">
        <f>IFERROR(__xludf.DUMMYFUNCTION("""COMPUTED_VALUE"""),49653.0)</f>
        <v>49653</v>
      </c>
      <c r="Q36" s="73" t="str">
        <f>IFERROR(__xludf.DUMMYFUNCTION("""COMPUTED_VALUE"""),"NY")</f>
        <v>NY</v>
      </c>
      <c r="R36" s="73" t="str">
        <f>IFERROR(__xludf.DUMMYFUNCTION("""COMPUTED_VALUE"""),"Semestral")</f>
        <v>Semestral</v>
      </c>
      <c r="S36" s="73">
        <f>IFERROR(__xludf.DUMMYFUNCTION("""COMPUTED_VALUE"""),10000.0)</f>
        <v>10000</v>
      </c>
      <c r="T36" s="73" t="str">
        <f>IFERROR(__xludf.DUMMYFUNCTION("""COMPUTED_VALUE"""),"Sinkable")</f>
        <v>Sinkable</v>
      </c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</row>
    <row r="37">
      <c r="A37" s="73"/>
      <c r="B37" s="73"/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</row>
    <row r="38">
      <c r="A38" s="73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</row>
    <row r="39">
      <c r="A39" s="73"/>
      <c r="B39" s="73"/>
      <c r="C39" s="73"/>
      <c r="D39" s="7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</row>
    <row r="40">
      <c r="A40" s="73"/>
      <c r="B40" s="73"/>
      <c r="C40" s="73"/>
      <c r="D40" s="73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</row>
    <row r="41">
      <c r="A41" s="73"/>
      <c r="B41" s="73"/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</row>
    <row r="42">
      <c r="A42" s="73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</row>
    <row r="43">
      <c r="A43" s="73"/>
      <c r="B43" s="73"/>
      <c r="C43" s="73"/>
      <c r="D43" s="73"/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</row>
    <row r="44">
      <c r="A44" s="73"/>
      <c r="B44" s="73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</row>
    <row r="45">
      <c r="A45" s="73"/>
      <c r="B45" s="73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</row>
    <row r="46">
      <c r="A46" s="73"/>
      <c r="B46" s="73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</row>
    <row r="47">
      <c r="A47" s="73"/>
      <c r="B47" s="73"/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73"/>
      <c r="AW47" s="73"/>
      <c r="AX47" s="73"/>
      <c r="AY47" s="73"/>
      <c r="AZ47" s="73"/>
      <c r="BA47" s="73"/>
      <c r="BB47" s="73"/>
    </row>
    <row r="48">
      <c r="A48" s="73"/>
      <c r="B48" s="73"/>
      <c r="C48" s="73"/>
      <c r="D48" s="73"/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</row>
    <row r="49">
      <c r="A49" s="73"/>
      <c r="B49" s="73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</row>
    <row r="50">
      <c r="A50" s="73"/>
      <c r="B50" s="73"/>
      <c r="C50" s="73"/>
      <c r="D50" s="7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</row>
    <row r="51">
      <c r="A51" s="73"/>
      <c r="B51" s="73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</row>
    <row r="52">
      <c r="A52" s="73"/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</row>
    <row r="53">
      <c r="A53" s="73"/>
      <c r="B53" s="73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</row>
    <row r="54">
      <c r="A54" s="73"/>
      <c r="B54" s="73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</row>
    <row r="55">
      <c r="A55" s="73"/>
      <c r="B55" s="73"/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</row>
    <row r="56">
      <c r="A56" s="73"/>
      <c r="B56" s="73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</row>
    <row r="57">
      <c r="A57" s="73"/>
      <c r="B57" s="73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</row>
    <row r="58">
      <c r="A58" s="73"/>
      <c r="B58" s="73"/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</row>
    <row r="59">
      <c r="A59" s="73"/>
      <c r="B59" s="73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</row>
    <row r="60">
      <c r="A60" s="73"/>
      <c r="B60" s="73"/>
      <c r="C60" s="73"/>
      <c r="D60" s="73"/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</row>
    <row r="61">
      <c r="A61" s="73"/>
      <c r="B61" s="73"/>
      <c r="C61" s="73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</row>
    <row r="62">
      <c r="A62" s="73"/>
      <c r="B62" s="73"/>
      <c r="C62" s="73"/>
      <c r="D62" s="73"/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</row>
    <row r="63">
      <c r="A63" s="73"/>
      <c r="B63" s="73"/>
      <c r="C63" s="73"/>
      <c r="D63" s="73"/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</row>
    <row r="64">
      <c r="A64" s="73"/>
      <c r="B64" s="73"/>
      <c r="C64" s="73"/>
      <c r="D64" s="73"/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</row>
    <row r="65">
      <c r="A65" s="73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</row>
    <row r="66">
      <c r="A66" s="73"/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</row>
    <row r="67">
      <c r="A67" s="73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</row>
    <row r="68">
      <c r="A68" s="73"/>
      <c r="B68" s="73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</row>
    <row r="69">
      <c r="A69" s="73"/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</row>
    <row r="70">
      <c r="A70" s="73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</row>
    <row r="71">
      <c r="A71" s="73"/>
      <c r="B71" s="73"/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</row>
    <row r="72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</row>
    <row r="73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</row>
    <row r="74">
      <c r="A74" s="73"/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</row>
    <row r="75">
      <c r="A75" s="73"/>
      <c r="B75" s="73"/>
      <c r="C75" s="73"/>
      <c r="D75" s="73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</row>
    <row r="76">
      <c r="A76" s="73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>
        <f>IFERROR(__xludf.DUMMYFUNCTION("""COMPUTED_VALUE"""),2.143222506393862)</f>
        <v>2.143222506</v>
      </c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</row>
    <row r="77">
      <c r="A77" s="73"/>
      <c r="B77" s="73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3">
        <f>IFERROR(__xludf.DUMMYFUNCTION("""COMPUTED_VALUE"""),1.7306967984934087)</f>
        <v>1.730696798</v>
      </c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</row>
    <row r="78">
      <c r="A78" s="73"/>
      <c r="B78" s="73"/>
      <c r="C78" s="73"/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</row>
    <row r="79">
      <c r="A79" s="73"/>
      <c r="B79" s="73"/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</row>
    <row r="80">
      <c r="A80" s="73"/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</row>
    <row r="81">
      <c r="A81" s="73"/>
      <c r="B81" s="73"/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</row>
    <row r="82">
      <c r="A82" s="73"/>
      <c r="B82" s="73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</row>
    <row r="83">
      <c r="A83" s="73"/>
      <c r="B83" s="73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</row>
    <row r="84">
      <c r="A84" s="73"/>
      <c r="B84" s="73"/>
      <c r="C84" s="73"/>
      <c r="D84" s="73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</row>
    <row r="85">
      <c r="A85" s="73"/>
      <c r="B85" s="73"/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</row>
    <row r="86">
      <c r="A86" s="73"/>
      <c r="B86" s="73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</row>
    <row r="87">
      <c r="A87" s="73"/>
      <c r="B87" s="73"/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</row>
    <row r="88">
      <c r="A88" s="73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</row>
    <row r="89">
      <c r="A89" s="73"/>
      <c r="B89" s="73"/>
      <c r="C89" s="73"/>
      <c r="D89" s="73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</row>
    <row r="90">
      <c r="A90" s="73"/>
      <c r="B90" s="73"/>
      <c r="C90" s="73"/>
      <c r="D90" s="73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</row>
    <row r="91">
      <c r="A91" s="73"/>
      <c r="B91" s="73"/>
      <c r="C91" s="73"/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</row>
    <row r="92">
      <c r="A92" s="73"/>
      <c r="B92" s="73"/>
      <c r="C92" s="73"/>
      <c r="D92" s="73"/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</row>
    <row r="93">
      <c r="A93" s="73"/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</row>
    <row r="94">
      <c r="A94" s="73"/>
      <c r="B94" s="73"/>
      <c r="C94" s="73"/>
      <c r="D94" s="73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</row>
    <row r="95">
      <c r="A95" s="73"/>
      <c r="B95" s="73"/>
      <c r="C95" s="73"/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</row>
    <row r="96">
      <c r="A96" s="73"/>
      <c r="B96" s="73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</row>
    <row r="97">
      <c r="A97" s="73"/>
      <c r="B97" s="73"/>
      <c r="C97" s="73"/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</row>
    <row r="98">
      <c r="A98" s="73"/>
      <c r="B98" s="73"/>
      <c r="C98" s="73"/>
      <c r="D98" s="73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</row>
    <row r="99">
      <c r="A99" s="73"/>
      <c r="B99" s="73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</row>
    <row r="100">
      <c r="A100" s="73"/>
      <c r="B100" s="73"/>
      <c r="C100" s="73"/>
      <c r="D100" s="73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</row>
    <row r="101">
      <c r="A101" s="73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</row>
    <row r="102">
      <c r="A102" s="73"/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</row>
    <row r="103">
      <c r="A103" s="73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</row>
    <row r="104">
      <c r="A104" s="73"/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</row>
    <row r="105">
      <c r="A105" s="73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</row>
    <row r="106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</row>
    <row r="107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</row>
    <row r="108">
      <c r="A108" s="73"/>
      <c r="B108" s="73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</row>
    <row r="109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O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</row>
    <row r="110">
      <c r="A110" s="73"/>
      <c r="B110" s="73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</row>
    <row r="111">
      <c r="A111" s="73"/>
      <c r="B111" s="73"/>
      <c r="C111" s="73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O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</row>
    <row r="112">
      <c r="A112" s="73"/>
      <c r="B112" s="73"/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</row>
    <row r="113">
      <c r="A113" s="73"/>
      <c r="B113" s="73"/>
      <c r="C113" s="73"/>
      <c r="D113" s="73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</row>
    <row r="114">
      <c r="A114" s="73"/>
      <c r="B114" s="73"/>
      <c r="C114" s="73"/>
      <c r="D114" s="73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</row>
    <row r="115">
      <c r="A115" s="73"/>
      <c r="B115" s="73"/>
      <c r="C115" s="73"/>
      <c r="D115" s="73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O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</row>
    <row r="116">
      <c r="A116" s="73"/>
      <c r="B116" s="73"/>
      <c r="C116" s="73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O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</row>
    <row r="117">
      <c r="A117" s="73"/>
      <c r="B117" s="73"/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O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</row>
    <row r="118">
      <c r="A118" s="73"/>
      <c r="B118" s="73"/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</row>
    <row r="119">
      <c r="A119" s="73"/>
      <c r="B119" s="73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O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</row>
    <row r="120">
      <c r="A120" s="73"/>
      <c r="B120" s="73"/>
      <c r="C120" s="73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</row>
    <row r="121">
      <c r="A121" s="73"/>
      <c r="B121" s="73"/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</row>
    <row r="122">
      <c r="A122" s="73"/>
      <c r="B122" s="73"/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O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</row>
    <row r="123">
      <c r="A123" s="73"/>
      <c r="B123" s="73"/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</row>
    <row r="124">
      <c r="A124" s="73"/>
      <c r="B124" s="73"/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</row>
    <row r="125">
      <c r="A125" s="73"/>
      <c r="B125" s="73"/>
      <c r="C125" s="73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O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</row>
    <row r="126">
      <c r="A126" s="73"/>
      <c r="B126" s="73"/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</row>
    <row r="127">
      <c r="A127" s="73"/>
      <c r="B127" s="73"/>
      <c r="C127" s="73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O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</row>
    <row r="128">
      <c r="A128" s="73"/>
      <c r="B128" s="73"/>
      <c r="C128" s="73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</row>
    <row r="129">
      <c r="A129" s="73"/>
      <c r="B129" s="73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O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</row>
    <row r="130">
      <c r="A130" s="73"/>
      <c r="B130" s="73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</row>
    <row r="131">
      <c r="A131" s="73"/>
      <c r="B131" s="73"/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</row>
    <row r="132">
      <c r="A132" s="73"/>
      <c r="B132" s="73"/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</row>
    <row r="133">
      <c r="A133" s="73"/>
      <c r="B133" s="73"/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</row>
    <row r="134">
      <c r="A134" s="73"/>
      <c r="B134" s="73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</row>
    <row r="135">
      <c r="A135" s="73"/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  <c r="AI135" s="73"/>
      <c r="AJ135" s="73"/>
      <c r="AK135" s="73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</row>
    <row r="136">
      <c r="A136" s="73"/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  <c r="AI136" s="73"/>
      <c r="AJ136" s="73"/>
      <c r="AK136" s="73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</row>
    <row r="137">
      <c r="A137" s="73"/>
      <c r="B137" s="73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</row>
    <row r="138">
      <c r="A138" s="73"/>
      <c r="B138" s="73"/>
      <c r="C138" s="73"/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  <c r="AI138" s="73"/>
      <c r="AJ138" s="73"/>
      <c r="AK138" s="73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</row>
    <row r="139">
      <c r="A139" s="73"/>
      <c r="B139" s="73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</row>
    <row r="140">
      <c r="A140" s="73"/>
      <c r="B140" s="73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</row>
    <row r="141">
      <c r="A141" s="73"/>
      <c r="B141" s="73"/>
      <c r="C141" s="73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</row>
    <row r="142">
      <c r="A142" s="73"/>
      <c r="B142" s="73"/>
      <c r="C142" s="73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</row>
    <row r="143">
      <c r="A143" s="73"/>
      <c r="B143" s="73"/>
      <c r="C143" s="73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K143" s="73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</row>
    <row r="144">
      <c r="A144" s="73"/>
      <c r="B144" s="73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  <c r="AI144" s="73"/>
      <c r="AJ144" s="73"/>
      <c r="AK144" s="73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</row>
    <row r="145">
      <c r="A145" s="73"/>
      <c r="B145" s="73"/>
      <c r="C145" s="73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3"/>
      <c r="AK145" s="73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</row>
    <row r="146">
      <c r="A146" s="73"/>
      <c r="B146" s="73"/>
      <c r="C146" s="73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</row>
    <row r="147">
      <c r="A147" s="73"/>
      <c r="B147" s="73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  <c r="AI147" s="73"/>
      <c r="AJ147" s="73"/>
      <c r="AK147" s="73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</row>
    <row r="148">
      <c r="A148" s="73"/>
      <c r="B148" s="73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</row>
    <row r="149">
      <c r="A149" s="73"/>
      <c r="B149" s="73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</row>
    <row r="150">
      <c r="A150" s="73"/>
      <c r="B150" s="73"/>
      <c r="C150" s="73"/>
      <c r="D150" s="73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  <c r="AI150" s="73"/>
      <c r="AJ150" s="73"/>
      <c r="AK150" s="73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</row>
    <row r="151">
      <c r="A151" s="73"/>
      <c r="B151" s="73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  <c r="AI151" s="73"/>
      <c r="AJ151" s="73"/>
      <c r="AK151" s="73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73"/>
      <c r="BB151" s="73"/>
    </row>
    <row r="152">
      <c r="A152" s="73"/>
      <c r="B152" s="73"/>
      <c r="C152" s="73"/>
      <c r="D152" s="73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K152" s="73"/>
      <c r="AL152" s="73"/>
      <c r="AM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</row>
    <row r="153">
      <c r="A153" s="73"/>
      <c r="B153" s="73"/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  <c r="AI153" s="73"/>
      <c r="AJ153" s="73"/>
      <c r="AK153" s="73"/>
      <c r="AL153" s="73"/>
      <c r="AM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</row>
    <row r="154">
      <c r="A154" s="73"/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</row>
    <row r="155">
      <c r="A155" s="73"/>
      <c r="B155" s="73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</row>
    <row r="156">
      <c r="A156" s="73"/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</row>
    <row r="157">
      <c r="A157" s="73"/>
      <c r="B157" s="73"/>
      <c r="C157" s="73"/>
      <c r="D157" s="73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K157" s="73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3"/>
      <c r="BB157" s="73"/>
    </row>
    <row r="158">
      <c r="A158" s="73"/>
      <c r="B158" s="73"/>
      <c r="C158" s="73"/>
      <c r="D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K158" s="73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73"/>
    </row>
    <row r="159">
      <c r="A159" s="73"/>
      <c r="B159" s="73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73"/>
    </row>
    <row r="160">
      <c r="A160" s="73"/>
      <c r="B160" s="73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</row>
    <row r="161">
      <c r="A161" s="73"/>
      <c r="B161" s="73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  <c r="BB161" s="73"/>
    </row>
    <row r="162">
      <c r="A162" s="73"/>
      <c r="B162" s="73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  <c r="BB162" s="73"/>
    </row>
    <row r="163">
      <c r="A163" s="73"/>
      <c r="B163" s="73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  <c r="BB163" s="73"/>
    </row>
    <row r="164">
      <c r="A164" s="73"/>
      <c r="B164" s="73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</row>
    <row r="165">
      <c r="A165" s="73"/>
      <c r="B165" s="73"/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73"/>
    </row>
    <row r="166">
      <c r="A166" s="73"/>
      <c r="B166" s="73"/>
      <c r="C166" s="73"/>
      <c r="D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  <c r="AK166" s="73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73"/>
    </row>
    <row r="167">
      <c r="A167" s="73"/>
      <c r="B167" s="73"/>
      <c r="C167" s="73"/>
      <c r="D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73"/>
    </row>
    <row r="168">
      <c r="A168" s="73"/>
      <c r="B168" s="73"/>
      <c r="C168" s="73"/>
      <c r="D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</row>
    <row r="169">
      <c r="A169" s="73"/>
      <c r="B169" s="73"/>
      <c r="C169" s="73"/>
      <c r="D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</row>
    <row r="170">
      <c r="A170" s="73"/>
      <c r="B170" s="73"/>
      <c r="C170" s="73"/>
      <c r="D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</row>
    <row r="171">
      <c r="A171" s="73"/>
      <c r="B171" s="73"/>
      <c r="C171" s="73"/>
      <c r="D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</row>
    <row r="172">
      <c r="A172" s="73"/>
      <c r="B172" s="73"/>
      <c r="C172" s="73"/>
      <c r="D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</row>
    <row r="173">
      <c r="A173" s="73"/>
      <c r="B173" s="73"/>
      <c r="C173" s="73"/>
      <c r="D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</row>
    <row r="174">
      <c r="A174" s="73"/>
      <c r="B174" s="73"/>
      <c r="C174" s="73"/>
      <c r="D174" s="73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73"/>
      <c r="AJ174" s="73"/>
      <c r="AK174" s="73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73"/>
    </row>
    <row r="175">
      <c r="A175" s="73"/>
      <c r="B175" s="73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K175" s="73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</row>
    <row r="176">
      <c r="A176" s="73"/>
      <c r="B176" s="73"/>
      <c r="C176" s="73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K176" s="73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73"/>
    </row>
    <row r="177">
      <c r="A177" s="73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</row>
    <row r="178">
      <c r="A178" s="73"/>
      <c r="B178" s="73"/>
      <c r="C178" s="73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</row>
    <row r="179">
      <c r="A179" s="73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</row>
    <row r="180">
      <c r="A180" s="73"/>
      <c r="B180" s="73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73"/>
      <c r="AJ180" s="73"/>
      <c r="AK180" s="73"/>
      <c r="AL180" s="73"/>
      <c r="AM180" s="73"/>
      <c r="AN180" s="73"/>
      <c r="AO180" s="73"/>
      <c r="AP180" s="73"/>
      <c r="AQ180" s="73"/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73"/>
    </row>
    <row r="181">
      <c r="A181" s="73"/>
      <c r="B181" s="73"/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73"/>
    </row>
    <row r="182">
      <c r="A182" s="73"/>
      <c r="B182" s="73"/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73"/>
    </row>
    <row r="183">
      <c r="A183" s="73"/>
      <c r="B183" s="73"/>
      <c r="C183" s="73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  <c r="BB183" s="73"/>
    </row>
    <row r="184">
      <c r="A184" s="73"/>
      <c r="B184" s="73"/>
      <c r="C184" s="73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  <c r="AI184" s="73"/>
      <c r="AJ184" s="73"/>
      <c r="AK184" s="73"/>
      <c r="AL184" s="73"/>
      <c r="AM184" s="73"/>
      <c r="AN184" s="73"/>
      <c r="AO184" s="73"/>
      <c r="AP184" s="73"/>
      <c r="AQ184" s="73"/>
      <c r="AR184" s="73"/>
      <c r="AS184" s="73"/>
      <c r="AT184" s="73"/>
      <c r="AU184" s="73"/>
      <c r="AV184" s="73"/>
      <c r="AW184" s="73"/>
      <c r="AX184" s="73"/>
      <c r="AY184" s="73"/>
      <c r="AZ184" s="73"/>
      <c r="BA184" s="73"/>
      <c r="BB184" s="73"/>
    </row>
    <row r="185">
      <c r="A185" s="73"/>
      <c r="B185" s="73"/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  <c r="AI185" s="73"/>
      <c r="AJ185" s="73"/>
      <c r="AK185" s="73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73"/>
    </row>
    <row r="186">
      <c r="A186" s="73"/>
      <c r="B186" s="73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  <c r="AI186" s="73"/>
      <c r="AJ186" s="73"/>
      <c r="AK186" s="73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73"/>
      <c r="BB186" s="73"/>
    </row>
    <row r="187">
      <c r="A187" s="73"/>
      <c r="B187" s="73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3"/>
      <c r="AP187" s="73"/>
      <c r="AQ187" s="73"/>
      <c r="AR187" s="73"/>
      <c r="AS187" s="73"/>
      <c r="AT187" s="73"/>
      <c r="AU187" s="73"/>
      <c r="AV187" s="73"/>
      <c r="AW187" s="73"/>
      <c r="AX187" s="73"/>
      <c r="AY187" s="73"/>
      <c r="AZ187" s="73"/>
      <c r="BA187" s="73"/>
      <c r="BB187" s="73"/>
    </row>
    <row r="188">
      <c r="A188" s="73"/>
      <c r="B188" s="73"/>
      <c r="C188" s="73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/>
      <c r="AJ188" s="73"/>
      <c r="AK188" s="73"/>
      <c r="AL188" s="73"/>
      <c r="AM188" s="73"/>
      <c r="AN188" s="73"/>
      <c r="AO188" s="73"/>
      <c r="AP188" s="73"/>
      <c r="AQ188" s="73"/>
      <c r="AR188" s="73"/>
      <c r="AS188" s="73"/>
      <c r="AT188" s="73"/>
      <c r="AU188" s="73"/>
      <c r="AV188" s="73"/>
      <c r="AW188" s="73"/>
      <c r="AX188" s="73"/>
      <c r="AY188" s="73"/>
      <c r="AZ188" s="73"/>
      <c r="BA188" s="73"/>
      <c r="BB188" s="73"/>
    </row>
    <row r="189">
      <c r="A189" s="73"/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  <c r="BB189" s="73"/>
    </row>
    <row r="190">
      <c r="A190" s="73"/>
      <c r="B190" s="73"/>
      <c r="C190" s="73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73"/>
      <c r="AT190" s="73"/>
      <c r="AU190" s="73"/>
      <c r="AV190" s="73"/>
      <c r="AW190" s="73"/>
      <c r="AX190" s="73"/>
      <c r="AY190" s="73"/>
      <c r="AZ190" s="73"/>
      <c r="BA190" s="73"/>
      <c r="BB190" s="73"/>
    </row>
    <row r="191">
      <c r="A191" s="73"/>
      <c r="B191" s="73"/>
      <c r="C191" s="73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  <c r="BB191" s="73"/>
    </row>
    <row r="192">
      <c r="A192" s="73"/>
      <c r="B192" s="73"/>
      <c r="C192" s="73"/>
      <c r="D192" s="73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  <c r="BB192" s="73"/>
    </row>
    <row r="193">
      <c r="A193" s="73"/>
      <c r="B193" s="73"/>
      <c r="C193" s="73"/>
      <c r="D193" s="73"/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  <c r="AL193" s="73"/>
      <c r="AM193" s="73"/>
      <c r="AN193" s="73"/>
      <c r="AO193" s="73"/>
      <c r="AP193" s="73"/>
      <c r="AQ193" s="73"/>
      <c r="AR193" s="73"/>
      <c r="AS193" s="73"/>
      <c r="AT193" s="73"/>
      <c r="AU193" s="73"/>
      <c r="AV193" s="73"/>
      <c r="AW193" s="73"/>
      <c r="AX193" s="73"/>
      <c r="AY193" s="73"/>
      <c r="AZ193" s="73"/>
      <c r="BA193" s="73"/>
      <c r="BB193" s="73"/>
    </row>
    <row r="194">
      <c r="A194" s="73"/>
      <c r="B194" s="73"/>
      <c r="C194" s="73"/>
      <c r="D194" s="73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/>
      <c r="AL194" s="73"/>
      <c r="AM194" s="73"/>
      <c r="AN194" s="73"/>
      <c r="AO194" s="73"/>
      <c r="AP194" s="73"/>
      <c r="AQ194" s="73"/>
      <c r="AR194" s="73"/>
      <c r="AS194" s="73"/>
      <c r="AT194" s="73"/>
      <c r="AU194" s="73"/>
      <c r="AV194" s="73"/>
      <c r="AW194" s="73"/>
      <c r="AX194" s="73"/>
      <c r="AY194" s="73"/>
      <c r="AZ194" s="73"/>
      <c r="BA194" s="73"/>
      <c r="BB194" s="73"/>
    </row>
    <row r="195">
      <c r="A195" s="73"/>
      <c r="B195" s="73"/>
      <c r="C195" s="73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K195" s="73"/>
      <c r="AL195" s="73"/>
      <c r="AM195" s="73"/>
      <c r="AN195" s="73"/>
      <c r="AO195" s="73"/>
      <c r="AP195" s="73"/>
      <c r="AQ195" s="73"/>
      <c r="AR195" s="73"/>
      <c r="AS195" s="73"/>
      <c r="AT195" s="73"/>
      <c r="AU195" s="73"/>
      <c r="AV195" s="73"/>
      <c r="AW195" s="73"/>
      <c r="AX195" s="73"/>
      <c r="AY195" s="73"/>
      <c r="AZ195" s="73"/>
      <c r="BA195" s="73"/>
      <c r="BB195" s="73"/>
    </row>
    <row r="196">
      <c r="A196" s="73"/>
      <c r="B196" s="73"/>
      <c r="C196" s="73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K196" s="73"/>
      <c r="AL196" s="73"/>
      <c r="AM196" s="73"/>
      <c r="AN196" s="73"/>
      <c r="AO196" s="73"/>
      <c r="AP196" s="73"/>
      <c r="AQ196" s="73"/>
      <c r="AR196" s="73"/>
      <c r="AS196" s="73"/>
      <c r="AT196" s="73"/>
      <c r="AU196" s="73"/>
      <c r="AV196" s="73"/>
      <c r="AW196" s="73"/>
      <c r="AX196" s="73"/>
      <c r="AY196" s="73"/>
      <c r="AZ196" s="73"/>
      <c r="BA196" s="73"/>
      <c r="BB196" s="73"/>
    </row>
    <row r="197">
      <c r="A197" s="73"/>
      <c r="B197" s="73"/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  <c r="AI197" s="73"/>
      <c r="AJ197" s="73"/>
      <c r="AK197" s="73"/>
      <c r="AL197" s="73"/>
      <c r="AM197" s="73"/>
      <c r="AN197" s="73"/>
      <c r="AO197" s="73"/>
      <c r="AP197" s="73"/>
      <c r="AQ197" s="73"/>
      <c r="AR197" s="73"/>
      <c r="AS197" s="73"/>
      <c r="AT197" s="73"/>
      <c r="AU197" s="73"/>
      <c r="AV197" s="73"/>
      <c r="AW197" s="73"/>
      <c r="AX197" s="73"/>
      <c r="AY197" s="73"/>
      <c r="AZ197" s="73"/>
      <c r="BA197" s="73"/>
      <c r="BB197" s="73"/>
    </row>
    <row r="198">
      <c r="A198" s="73"/>
      <c r="B198" s="73"/>
      <c r="C198" s="73"/>
      <c r="D198" s="73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3"/>
      <c r="AP198" s="73"/>
      <c r="AQ198" s="73"/>
      <c r="AR198" s="73"/>
      <c r="AS198" s="73"/>
      <c r="AT198" s="73"/>
      <c r="AU198" s="73"/>
      <c r="AV198" s="73"/>
      <c r="AW198" s="73"/>
      <c r="AX198" s="73"/>
      <c r="AY198" s="73"/>
      <c r="AZ198" s="73"/>
      <c r="BA198" s="73"/>
      <c r="BB198" s="73"/>
    </row>
    <row r="199">
      <c r="A199" s="73"/>
      <c r="B199" s="73"/>
      <c r="C199" s="73"/>
      <c r="D199" s="73"/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/>
      <c r="AL199" s="73"/>
      <c r="AM199" s="73"/>
      <c r="AN199" s="73"/>
      <c r="AO199" s="73"/>
      <c r="AP199" s="73"/>
      <c r="AQ199" s="73"/>
      <c r="AR199" s="73"/>
      <c r="AS199" s="73"/>
      <c r="AT199" s="73"/>
      <c r="AU199" s="73"/>
      <c r="AV199" s="73"/>
      <c r="AW199" s="73"/>
      <c r="AX199" s="73"/>
      <c r="AY199" s="73"/>
      <c r="AZ199" s="73"/>
      <c r="BA199" s="73"/>
      <c r="BB199" s="73"/>
    </row>
    <row r="200">
      <c r="A200" s="73"/>
      <c r="B200" s="73"/>
      <c r="C200" s="73"/>
      <c r="D200" s="73"/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K200" s="73"/>
      <c r="AL200" s="73"/>
      <c r="AM200" s="73"/>
      <c r="AN200" s="73"/>
      <c r="AO200" s="73"/>
      <c r="AP200" s="73"/>
      <c r="AQ200" s="73"/>
      <c r="AR200" s="73"/>
      <c r="AS200" s="73"/>
      <c r="AT200" s="73"/>
      <c r="AU200" s="73"/>
      <c r="AV200" s="73"/>
      <c r="AW200" s="73"/>
      <c r="AX200" s="73"/>
      <c r="AY200" s="73"/>
      <c r="AZ200" s="73"/>
      <c r="BA200" s="73"/>
      <c r="BB200" s="73"/>
    </row>
    <row r="201">
      <c r="A201" s="73"/>
      <c r="B201" s="73"/>
      <c r="C201" s="73"/>
      <c r="D201" s="73"/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K201" s="73"/>
      <c r="AL201" s="73"/>
      <c r="AM201" s="73"/>
      <c r="AN201" s="73"/>
      <c r="AO201" s="73"/>
      <c r="AP201" s="73"/>
      <c r="AQ201" s="73"/>
      <c r="AR201" s="73"/>
      <c r="AS201" s="73"/>
      <c r="AT201" s="73"/>
      <c r="AU201" s="73"/>
      <c r="AV201" s="73"/>
      <c r="AW201" s="73"/>
      <c r="AX201" s="73"/>
      <c r="AY201" s="73"/>
      <c r="AZ201" s="73"/>
      <c r="BA201" s="73"/>
      <c r="BB201" s="73"/>
    </row>
    <row r="202">
      <c r="A202" s="73"/>
      <c r="B202" s="73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  <c r="BB202" s="73"/>
    </row>
    <row r="203">
      <c r="A203" s="73"/>
      <c r="B203" s="73"/>
      <c r="C203" s="73"/>
      <c r="D203" s="73"/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/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  <c r="BB203" s="73"/>
    </row>
    <row r="204">
      <c r="A204" s="73"/>
      <c r="B204" s="73"/>
      <c r="C204" s="73"/>
      <c r="D204" s="73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  <c r="BB204" s="73"/>
    </row>
    <row r="205">
      <c r="A205" s="73"/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K205" s="73"/>
      <c r="AL205" s="73"/>
      <c r="AM205" s="73"/>
      <c r="AN205" s="73"/>
      <c r="AO205" s="73"/>
      <c r="AP205" s="73"/>
      <c r="AQ205" s="73"/>
      <c r="AR205" s="73"/>
      <c r="AS205" s="73"/>
      <c r="AT205" s="73"/>
      <c r="AU205" s="73"/>
      <c r="AV205" s="73"/>
      <c r="AW205" s="73"/>
      <c r="AX205" s="73"/>
      <c r="AY205" s="73"/>
      <c r="AZ205" s="73"/>
      <c r="BA205" s="73"/>
      <c r="BB205" s="73"/>
    </row>
    <row r="206">
      <c r="A206" s="73"/>
      <c r="B206" s="73"/>
      <c r="C206" s="73"/>
      <c r="D206" s="73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  <c r="AI206" s="73"/>
      <c r="AJ206" s="73"/>
      <c r="AK206" s="73"/>
      <c r="AL206" s="73"/>
      <c r="AM206" s="73"/>
      <c r="AN206" s="73"/>
      <c r="AO206" s="73"/>
      <c r="AP206" s="73"/>
      <c r="AQ206" s="73"/>
      <c r="AR206" s="73"/>
      <c r="AS206" s="73"/>
      <c r="AT206" s="73"/>
      <c r="AU206" s="73"/>
      <c r="AV206" s="73"/>
      <c r="AW206" s="73"/>
      <c r="AX206" s="73"/>
      <c r="AY206" s="73"/>
      <c r="AZ206" s="73"/>
      <c r="BA206" s="73"/>
      <c r="BB206" s="73"/>
    </row>
    <row r="207">
      <c r="A207" s="73"/>
      <c r="B207" s="73"/>
      <c r="C207" s="73"/>
      <c r="D207" s="73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/>
      <c r="AL207" s="73"/>
      <c r="AM207" s="73"/>
      <c r="AN207" s="73"/>
      <c r="AO207" s="73"/>
      <c r="AP207" s="73"/>
      <c r="AQ207" s="73"/>
      <c r="AR207" s="73"/>
      <c r="AS207" s="73"/>
      <c r="AT207" s="73"/>
      <c r="AU207" s="73"/>
      <c r="AV207" s="73"/>
      <c r="AW207" s="73"/>
      <c r="AX207" s="73"/>
      <c r="AY207" s="73"/>
      <c r="AZ207" s="73"/>
      <c r="BA207" s="73"/>
      <c r="BB207" s="73"/>
    </row>
    <row r="208">
      <c r="A208" s="73"/>
      <c r="B208" s="73"/>
      <c r="C208" s="73"/>
      <c r="D208" s="73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/>
      <c r="AL208" s="73"/>
      <c r="AM208" s="73"/>
      <c r="AN208" s="73"/>
      <c r="AO208" s="73"/>
      <c r="AP208" s="73"/>
      <c r="AQ208" s="73"/>
      <c r="AR208" s="73"/>
      <c r="AS208" s="73"/>
      <c r="AT208" s="73"/>
      <c r="AU208" s="73"/>
      <c r="AV208" s="73"/>
      <c r="AW208" s="73"/>
      <c r="AX208" s="73"/>
      <c r="AY208" s="73"/>
      <c r="AZ208" s="73"/>
      <c r="BA208" s="73"/>
      <c r="BB208" s="73"/>
    </row>
    <row r="209">
      <c r="A209" s="73"/>
      <c r="B209" s="73"/>
      <c r="C209" s="73"/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K209" s="73"/>
      <c r="AL209" s="73"/>
      <c r="AM209" s="73"/>
      <c r="AN209" s="73"/>
      <c r="AO209" s="73"/>
      <c r="AP209" s="73"/>
      <c r="AQ209" s="73"/>
      <c r="AR209" s="73"/>
      <c r="AS209" s="73"/>
      <c r="AT209" s="73"/>
      <c r="AU209" s="73"/>
      <c r="AV209" s="73"/>
      <c r="AW209" s="73"/>
      <c r="AX209" s="73"/>
      <c r="AY209" s="73"/>
      <c r="AZ209" s="73"/>
      <c r="BA209" s="73"/>
      <c r="BB209" s="73"/>
    </row>
    <row r="210">
      <c r="A210" s="73"/>
      <c r="B210" s="73"/>
      <c r="C210" s="73"/>
      <c r="D210" s="73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K210" s="73"/>
      <c r="AL210" s="73"/>
      <c r="AM210" s="73"/>
      <c r="AN210" s="73"/>
      <c r="AO210" s="73"/>
      <c r="AP210" s="73"/>
      <c r="AQ210" s="73"/>
      <c r="AR210" s="73"/>
      <c r="AS210" s="73"/>
      <c r="AT210" s="73"/>
      <c r="AU210" s="73"/>
      <c r="AV210" s="73"/>
      <c r="AW210" s="73"/>
      <c r="AX210" s="73"/>
      <c r="AY210" s="73"/>
      <c r="AZ210" s="73"/>
      <c r="BA210" s="73"/>
      <c r="BB210" s="73"/>
    </row>
    <row r="211">
      <c r="A211" s="73"/>
      <c r="B211" s="73"/>
      <c r="C211" s="73"/>
      <c r="D211" s="73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K211" s="73"/>
      <c r="AL211" s="73"/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3"/>
      <c r="AY211" s="73"/>
      <c r="AZ211" s="73"/>
      <c r="BA211" s="73"/>
      <c r="BB211" s="73"/>
    </row>
    <row r="212">
      <c r="A212" s="73"/>
      <c r="B212" s="73"/>
      <c r="C212" s="73"/>
      <c r="D212" s="73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  <c r="BB212" s="73"/>
    </row>
    <row r="213">
      <c r="A213" s="73"/>
      <c r="B213" s="73"/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73"/>
      <c r="BB213" s="73"/>
    </row>
    <row r="214">
      <c r="A214" s="73"/>
      <c r="B214" s="73"/>
      <c r="C214" s="73"/>
      <c r="D214" s="73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  <c r="BB214" s="73"/>
    </row>
    <row r="215">
      <c r="A215" s="73"/>
      <c r="B215" s="73"/>
      <c r="C215" s="73"/>
      <c r="D215" s="73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73"/>
    </row>
    <row r="216">
      <c r="A216" s="73"/>
      <c r="B216" s="73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  <c r="BB216" s="73"/>
    </row>
    <row r="217">
      <c r="A217" s="73"/>
      <c r="B217" s="73"/>
      <c r="C217" s="73"/>
      <c r="D217" s="73"/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  <c r="AI217" s="73"/>
      <c r="AJ217" s="73"/>
      <c r="AK217" s="73"/>
      <c r="AL217" s="73"/>
      <c r="AM217" s="73"/>
      <c r="AN217" s="73"/>
      <c r="AO217" s="73"/>
      <c r="AP217" s="73"/>
      <c r="AQ217" s="73"/>
      <c r="AR217" s="73"/>
      <c r="AS217" s="73"/>
      <c r="AT217" s="73"/>
      <c r="AU217" s="73"/>
      <c r="AV217" s="73"/>
      <c r="AW217" s="73"/>
      <c r="AX217" s="73"/>
      <c r="AY217" s="73"/>
      <c r="AZ217" s="73"/>
      <c r="BA217" s="73"/>
      <c r="BB217" s="73"/>
    </row>
    <row r="218">
      <c r="A218" s="73"/>
      <c r="B218" s="73"/>
      <c r="C218" s="73"/>
      <c r="D218" s="73"/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  <c r="AI218" s="73"/>
      <c r="AJ218" s="73"/>
      <c r="AK218" s="73"/>
      <c r="AL218" s="73"/>
      <c r="AM218" s="73"/>
      <c r="AN218" s="73"/>
      <c r="AO218" s="73"/>
      <c r="AP218" s="73"/>
      <c r="AQ218" s="73"/>
      <c r="AR218" s="73"/>
      <c r="AS218" s="73"/>
      <c r="AT218" s="73"/>
      <c r="AU218" s="73"/>
      <c r="AV218" s="73"/>
      <c r="AW218" s="73"/>
      <c r="AX218" s="73"/>
      <c r="AY218" s="73"/>
      <c r="AZ218" s="73"/>
      <c r="BA218" s="73"/>
      <c r="BB218" s="73"/>
    </row>
    <row r="219">
      <c r="A219" s="73"/>
      <c r="B219" s="73"/>
      <c r="C219" s="73"/>
      <c r="D219" s="73"/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K219" s="73"/>
      <c r="AL219" s="73"/>
      <c r="AM219" s="73"/>
      <c r="AN219" s="73"/>
      <c r="AO219" s="73"/>
      <c r="AP219" s="73"/>
      <c r="AQ219" s="73"/>
      <c r="AR219" s="73"/>
      <c r="AS219" s="73"/>
      <c r="AT219" s="73"/>
      <c r="AU219" s="73"/>
      <c r="AV219" s="73"/>
      <c r="AW219" s="73"/>
      <c r="AX219" s="73"/>
      <c r="AY219" s="73"/>
      <c r="AZ219" s="73"/>
      <c r="BA219" s="73"/>
      <c r="BB219" s="73"/>
    </row>
    <row r="220">
      <c r="A220" s="73"/>
      <c r="B220" s="73"/>
      <c r="C220" s="73"/>
      <c r="D220" s="73"/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  <c r="AI220" s="73"/>
      <c r="AJ220" s="73"/>
      <c r="AK220" s="73"/>
      <c r="AL220" s="73"/>
      <c r="AM220" s="73"/>
      <c r="AN220" s="73"/>
      <c r="AO220" s="73"/>
      <c r="AP220" s="73"/>
      <c r="AQ220" s="73"/>
      <c r="AR220" s="73"/>
      <c r="AS220" s="73"/>
      <c r="AT220" s="73"/>
      <c r="AU220" s="73"/>
      <c r="AV220" s="73"/>
      <c r="AW220" s="73"/>
      <c r="AX220" s="73"/>
      <c r="AY220" s="73"/>
      <c r="AZ220" s="73"/>
      <c r="BA220" s="73"/>
      <c r="BB220" s="73"/>
    </row>
    <row r="221">
      <c r="A221" s="73"/>
      <c r="B221" s="73"/>
      <c r="C221" s="73"/>
      <c r="D221" s="73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K221" s="73"/>
      <c r="AL221" s="73"/>
      <c r="AM221" s="73"/>
      <c r="AN221" s="73"/>
      <c r="AO221" s="73"/>
      <c r="AP221" s="73"/>
      <c r="AQ221" s="73"/>
      <c r="AR221" s="73"/>
      <c r="AS221" s="73"/>
      <c r="AT221" s="73"/>
      <c r="AU221" s="73"/>
      <c r="AV221" s="73"/>
      <c r="AW221" s="73"/>
      <c r="AX221" s="73"/>
      <c r="AY221" s="73"/>
      <c r="AZ221" s="73"/>
      <c r="BA221" s="73"/>
      <c r="BB221" s="73"/>
    </row>
    <row r="222">
      <c r="A222" s="73"/>
      <c r="B222" s="73"/>
      <c r="C222" s="73"/>
      <c r="D222" s="73"/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K222" s="73"/>
      <c r="AL222" s="73"/>
      <c r="AM222" s="73"/>
      <c r="AN222" s="73"/>
      <c r="AO222" s="73"/>
      <c r="AP222" s="73"/>
      <c r="AQ222" s="73"/>
      <c r="AR222" s="73"/>
      <c r="AS222" s="73"/>
      <c r="AT222" s="73"/>
      <c r="AU222" s="73"/>
      <c r="AV222" s="73"/>
      <c r="AW222" s="73"/>
      <c r="AX222" s="73"/>
      <c r="AY222" s="73"/>
      <c r="AZ222" s="73"/>
      <c r="BA222" s="73"/>
      <c r="BB222" s="73"/>
    </row>
    <row r="223">
      <c r="A223" s="73"/>
      <c r="B223" s="73"/>
      <c r="C223" s="73"/>
      <c r="D223" s="73"/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K223" s="73"/>
      <c r="AL223" s="73"/>
      <c r="AM223" s="73"/>
      <c r="AN223" s="73"/>
      <c r="AO223" s="73"/>
      <c r="AP223" s="73"/>
      <c r="AQ223" s="73"/>
      <c r="AR223" s="73"/>
      <c r="AS223" s="73"/>
      <c r="AT223" s="73"/>
      <c r="AU223" s="73"/>
      <c r="AV223" s="73"/>
      <c r="AW223" s="73"/>
      <c r="AX223" s="73"/>
      <c r="AY223" s="73"/>
      <c r="AZ223" s="73"/>
      <c r="BA223" s="73"/>
      <c r="BB223" s="73"/>
    </row>
    <row r="224">
      <c r="A224" s="73"/>
      <c r="B224" s="73"/>
      <c r="C224" s="73"/>
      <c r="D224" s="73"/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K224" s="73"/>
      <c r="AL224" s="73"/>
      <c r="AM224" s="73"/>
      <c r="AN224" s="73"/>
      <c r="AO224" s="73"/>
      <c r="AP224" s="73"/>
      <c r="AQ224" s="73"/>
      <c r="AR224" s="73"/>
      <c r="AS224" s="73"/>
      <c r="AT224" s="73"/>
      <c r="AU224" s="73"/>
      <c r="AV224" s="73"/>
      <c r="AW224" s="73"/>
      <c r="AX224" s="73"/>
      <c r="AY224" s="73"/>
      <c r="AZ224" s="73"/>
      <c r="BA224" s="73"/>
      <c r="BB224" s="73"/>
    </row>
    <row r="225">
      <c r="A225" s="73"/>
      <c r="B225" s="73"/>
      <c r="C225" s="73"/>
      <c r="D225" s="73"/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  <c r="AI225" s="73"/>
      <c r="AJ225" s="73"/>
      <c r="AK225" s="73"/>
      <c r="AL225" s="73"/>
      <c r="AM225" s="73"/>
      <c r="AN225" s="73"/>
      <c r="AO225" s="73"/>
      <c r="AP225" s="73"/>
      <c r="AQ225" s="73"/>
      <c r="AR225" s="73"/>
      <c r="AS225" s="73"/>
      <c r="AT225" s="73"/>
      <c r="AU225" s="73"/>
      <c r="AV225" s="73"/>
      <c r="AW225" s="73"/>
      <c r="AX225" s="73"/>
      <c r="AY225" s="73"/>
      <c r="AZ225" s="73"/>
      <c r="BA225" s="73"/>
      <c r="BB225" s="73"/>
    </row>
    <row r="226">
      <c r="A226" s="73"/>
      <c r="B226" s="73"/>
      <c r="C226" s="73"/>
      <c r="D226" s="73"/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K226" s="73"/>
      <c r="AL226" s="73"/>
      <c r="AM226" s="73"/>
      <c r="AN226" s="73"/>
      <c r="AO226" s="73"/>
      <c r="AP226" s="73"/>
      <c r="AQ226" s="73"/>
      <c r="AR226" s="73"/>
      <c r="AS226" s="73"/>
      <c r="AT226" s="73"/>
      <c r="AU226" s="73"/>
      <c r="AV226" s="73"/>
      <c r="AW226" s="73"/>
      <c r="AX226" s="73"/>
      <c r="AY226" s="73"/>
      <c r="AZ226" s="73"/>
      <c r="BA226" s="73"/>
      <c r="BB226" s="73"/>
    </row>
    <row r="227">
      <c r="A227" s="73"/>
      <c r="B227" s="73"/>
      <c r="C227" s="73"/>
      <c r="D227" s="73"/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K227" s="73"/>
      <c r="AL227" s="73"/>
      <c r="AM227" s="73"/>
      <c r="AN227" s="73"/>
      <c r="AO227" s="73"/>
      <c r="AP227" s="73"/>
      <c r="AQ227" s="73"/>
      <c r="AR227" s="73"/>
      <c r="AS227" s="73"/>
      <c r="AT227" s="73"/>
      <c r="AU227" s="73"/>
      <c r="AV227" s="73"/>
      <c r="AW227" s="73"/>
      <c r="AX227" s="73"/>
      <c r="AY227" s="73"/>
      <c r="AZ227" s="73"/>
      <c r="BA227" s="73"/>
      <c r="BB227" s="73"/>
    </row>
    <row r="228">
      <c r="A228" s="73"/>
      <c r="B228" s="73"/>
      <c r="C228" s="73"/>
      <c r="D228" s="73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</row>
    <row r="229">
      <c r="A229" s="73"/>
      <c r="B229" s="73"/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K229" s="73"/>
      <c r="AL229" s="73"/>
      <c r="AM229" s="73"/>
      <c r="AN229" s="73"/>
      <c r="AO229" s="73"/>
      <c r="AP229" s="73"/>
      <c r="AQ229" s="73"/>
      <c r="AR229" s="73"/>
      <c r="AS229" s="73"/>
      <c r="AT229" s="73"/>
      <c r="AU229" s="73"/>
      <c r="AV229" s="73"/>
      <c r="AW229" s="73"/>
      <c r="AX229" s="73"/>
      <c r="AY229" s="73"/>
      <c r="AZ229" s="73"/>
      <c r="BA229" s="73"/>
      <c r="BB229" s="73"/>
    </row>
    <row r="230">
      <c r="A230" s="73"/>
      <c r="B230" s="73"/>
      <c r="C230" s="73"/>
      <c r="D230" s="73"/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  <c r="AI230" s="73"/>
      <c r="AJ230" s="73"/>
      <c r="AK230" s="73"/>
      <c r="AL230" s="73"/>
      <c r="AM230" s="73"/>
      <c r="AN230" s="73"/>
      <c r="AO230" s="73"/>
      <c r="AP230" s="73"/>
      <c r="AQ230" s="73"/>
      <c r="AR230" s="73"/>
      <c r="AS230" s="73"/>
      <c r="AT230" s="73"/>
      <c r="AU230" s="73"/>
      <c r="AV230" s="73"/>
      <c r="AW230" s="73"/>
      <c r="AX230" s="73"/>
      <c r="AY230" s="73"/>
      <c r="AZ230" s="73"/>
      <c r="BA230" s="73"/>
      <c r="BB230" s="73"/>
    </row>
    <row r="231">
      <c r="A231" s="73"/>
      <c r="B231" s="73"/>
      <c r="C231" s="73"/>
      <c r="D231" s="73"/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</row>
    <row r="232">
      <c r="A232" s="73"/>
      <c r="B232" s="73"/>
      <c r="C232" s="73"/>
      <c r="D232" s="73"/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  <c r="AL232" s="73"/>
      <c r="AM232" s="73"/>
      <c r="AN232" s="73"/>
      <c r="AO232" s="73"/>
      <c r="AP232" s="7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  <c r="BB232" s="73"/>
    </row>
    <row r="233">
      <c r="A233" s="73"/>
      <c r="B233" s="73"/>
      <c r="C233" s="73"/>
      <c r="D233" s="73"/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K233" s="73"/>
      <c r="AL233" s="73"/>
      <c r="AM233" s="73"/>
      <c r="AN233" s="73"/>
      <c r="AO233" s="73"/>
      <c r="AP233" s="73"/>
      <c r="AQ233" s="73"/>
      <c r="AR233" s="73"/>
      <c r="AS233" s="73"/>
      <c r="AT233" s="73"/>
      <c r="AU233" s="73"/>
      <c r="AV233" s="73"/>
      <c r="AW233" s="73"/>
      <c r="AX233" s="73"/>
      <c r="AY233" s="73"/>
      <c r="AZ233" s="73"/>
      <c r="BA233" s="73"/>
      <c r="BB233" s="73"/>
    </row>
    <row r="234">
      <c r="A234" s="73"/>
      <c r="B234" s="73"/>
      <c r="C234" s="73"/>
      <c r="D234" s="73"/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  <c r="BB234" s="73"/>
    </row>
    <row r="235">
      <c r="A235" s="73"/>
      <c r="B235" s="73"/>
      <c r="C235" s="73"/>
      <c r="D235" s="73"/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  <c r="BB235" s="73"/>
    </row>
    <row r="236">
      <c r="A236" s="73"/>
      <c r="B236" s="73"/>
      <c r="C236" s="73"/>
      <c r="D236" s="73"/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  <c r="BB236" s="73"/>
    </row>
    <row r="237">
      <c r="A237" s="73"/>
      <c r="B237" s="73"/>
      <c r="C237" s="73"/>
      <c r="D237" s="73"/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</row>
    <row r="238">
      <c r="A238" s="73"/>
      <c r="B238" s="73"/>
      <c r="C238" s="73"/>
      <c r="D238" s="73"/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</row>
    <row r="239">
      <c r="A239" s="73"/>
      <c r="B239" s="73"/>
      <c r="C239" s="73"/>
      <c r="D239" s="73"/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</row>
    <row r="240">
      <c r="A240" s="73"/>
      <c r="B240" s="73"/>
      <c r="C240" s="73"/>
      <c r="D240" s="73"/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</row>
    <row r="241">
      <c r="A241" s="73"/>
      <c r="B241" s="73"/>
      <c r="C241" s="73"/>
      <c r="D241" s="73"/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</row>
    <row r="242">
      <c r="A242" s="73"/>
      <c r="B242" s="73"/>
      <c r="C242" s="73"/>
      <c r="D242" s="73"/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</row>
    <row r="243">
      <c r="A243" s="73"/>
      <c r="B243" s="73"/>
      <c r="C243" s="73"/>
      <c r="D243" s="73"/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</row>
    <row r="244">
      <c r="A244" s="73"/>
      <c r="B244" s="73"/>
      <c r="C244" s="73"/>
      <c r="D244" s="73"/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</row>
    <row r="245">
      <c r="A245" s="73"/>
      <c r="B245" s="73"/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  <c r="BB245" s="73"/>
    </row>
    <row r="246">
      <c r="A246" s="73"/>
      <c r="B246" s="73"/>
      <c r="C246" s="73"/>
      <c r="D246" s="73"/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</row>
    <row r="247">
      <c r="A247" s="73"/>
      <c r="B247" s="73"/>
      <c r="C247" s="73"/>
      <c r="D247" s="73"/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  <c r="AI247" s="73"/>
      <c r="AJ247" s="73"/>
      <c r="AK247" s="73"/>
      <c r="AL247" s="73"/>
      <c r="AM247" s="73"/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</row>
    <row r="248">
      <c r="A248" s="73"/>
      <c r="B248" s="73"/>
      <c r="C248" s="73"/>
      <c r="D248" s="73"/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</row>
    <row r="249">
      <c r="A249" s="73"/>
      <c r="B249" s="73"/>
      <c r="C249" s="73"/>
      <c r="D249" s="73"/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</row>
    <row r="250">
      <c r="A250" s="73"/>
      <c r="B250" s="73"/>
      <c r="C250" s="73"/>
      <c r="D250" s="73"/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</row>
    <row r="251">
      <c r="A251" s="73"/>
      <c r="B251" s="73"/>
      <c r="C251" s="73"/>
      <c r="D251" s="73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K251" s="73"/>
      <c r="AL251" s="73"/>
      <c r="AM251" s="73"/>
      <c r="AN251" s="73"/>
      <c r="AO251" s="73"/>
      <c r="AP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73"/>
      <c r="BB251" s="73"/>
    </row>
    <row r="252">
      <c r="A252" s="73"/>
      <c r="B252" s="73"/>
      <c r="C252" s="73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K252" s="73"/>
      <c r="AL252" s="73"/>
      <c r="AM252" s="73"/>
      <c r="AN252" s="73"/>
      <c r="AO252" s="73"/>
      <c r="AP252" s="73"/>
      <c r="AQ252" s="73"/>
      <c r="AR252" s="73"/>
      <c r="AS252" s="73"/>
      <c r="AT252" s="73"/>
      <c r="AU252" s="73"/>
      <c r="AV252" s="73"/>
      <c r="AW252" s="73"/>
      <c r="AX252" s="73"/>
      <c r="AY252" s="73"/>
      <c r="AZ252" s="73"/>
      <c r="BA252" s="73"/>
      <c r="BB252" s="73"/>
    </row>
    <row r="253">
      <c r="A253" s="73"/>
      <c r="B253" s="73"/>
      <c r="C253" s="73"/>
      <c r="D253" s="73"/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K253" s="73"/>
      <c r="AL253" s="73"/>
      <c r="AM253" s="73"/>
      <c r="AN253" s="73"/>
      <c r="AO253" s="73"/>
      <c r="AP253" s="73"/>
      <c r="AQ253" s="73"/>
      <c r="AR253" s="73"/>
      <c r="AS253" s="73"/>
      <c r="AT253" s="73"/>
      <c r="AU253" s="73"/>
      <c r="AV253" s="73"/>
      <c r="AW253" s="73"/>
      <c r="AX253" s="73"/>
      <c r="AY253" s="73"/>
      <c r="AZ253" s="73"/>
      <c r="BA253" s="73"/>
      <c r="BB253" s="73"/>
    </row>
    <row r="254">
      <c r="A254" s="73"/>
      <c r="B254" s="73"/>
      <c r="C254" s="73"/>
      <c r="D254" s="73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  <c r="AL254" s="73"/>
      <c r="AM254" s="73"/>
      <c r="AN254" s="73"/>
      <c r="AO254" s="73"/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73"/>
    </row>
    <row r="255">
      <c r="A255" s="73"/>
      <c r="B255" s="73"/>
      <c r="C255" s="73"/>
      <c r="D255" s="73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  <c r="AL255" s="73"/>
      <c r="AM255" s="73"/>
      <c r="AN255" s="73"/>
      <c r="AO255" s="73"/>
      <c r="AP255" s="73"/>
      <c r="AQ255" s="73"/>
      <c r="AR255" s="73"/>
      <c r="AS255" s="73"/>
      <c r="AT255" s="73"/>
      <c r="AU255" s="73"/>
      <c r="AV255" s="73"/>
      <c r="AW255" s="73"/>
      <c r="AX255" s="73"/>
      <c r="AY255" s="73"/>
      <c r="AZ255" s="73"/>
      <c r="BA255" s="73"/>
      <c r="BB255" s="73"/>
    </row>
    <row r="256">
      <c r="A256" s="73"/>
      <c r="B256" s="73"/>
      <c r="C256" s="73"/>
      <c r="D256" s="73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73"/>
    </row>
    <row r="257">
      <c r="A257" s="73"/>
      <c r="B257" s="73"/>
      <c r="C257" s="73"/>
      <c r="D257" s="73"/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73"/>
    </row>
    <row r="258">
      <c r="A258" s="73"/>
      <c r="B258" s="73"/>
      <c r="C258" s="73"/>
      <c r="D258" s="73"/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73"/>
    </row>
    <row r="259">
      <c r="A259" s="73"/>
      <c r="B259" s="73"/>
      <c r="C259" s="73"/>
      <c r="D259" s="73"/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/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73"/>
    </row>
    <row r="260">
      <c r="A260" s="73"/>
      <c r="B260" s="73"/>
      <c r="C260" s="73"/>
      <c r="D260" s="73"/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  <c r="AL260" s="73"/>
      <c r="AM260" s="73"/>
      <c r="AN260" s="73"/>
      <c r="AO260" s="73"/>
      <c r="AP260" s="73"/>
      <c r="AQ260" s="73"/>
      <c r="AR260" s="73"/>
      <c r="AS260" s="73"/>
      <c r="AT260" s="73"/>
      <c r="AU260" s="73"/>
      <c r="AV260" s="73"/>
      <c r="AW260" s="73"/>
      <c r="AX260" s="73"/>
      <c r="AY260" s="73"/>
      <c r="AZ260" s="73"/>
      <c r="BA260" s="73"/>
      <c r="BB260" s="73"/>
    </row>
    <row r="261">
      <c r="A261" s="73"/>
      <c r="B261" s="73"/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73"/>
      <c r="BB261" s="73"/>
    </row>
    <row r="262">
      <c r="A262" s="73"/>
      <c r="B262" s="73"/>
      <c r="C262" s="73"/>
      <c r="D262" s="73"/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  <c r="AL262" s="73"/>
      <c r="AM262" s="73"/>
      <c r="AN262" s="73"/>
      <c r="AO262" s="73"/>
      <c r="AP262" s="73"/>
      <c r="AQ262" s="73"/>
      <c r="AR262" s="73"/>
      <c r="AS262" s="73"/>
      <c r="AT262" s="73"/>
      <c r="AU262" s="73"/>
      <c r="AV262" s="73"/>
      <c r="AW262" s="73"/>
      <c r="AX262" s="73"/>
      <c r="AY262" s="73"/>
      <c r="AZ262" s="73"/>
      <c r="BA262" s="73"/>
      <c r="BB262" s="73"/>
    </row>
    <row r="263">
      <c r="A263" s="73"/>
      <c r="B263" s="73"/>
      <c r="C263" s="73"/>
      <c r="D263" s="73"/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  <c r="AL263" s="73"/>
      <c r="AM263" s="73"/>
      <c r="AN263" s="73"/>
      <c r="AO263" s="73"/>
      <c r="AP263" s="73"/>
      <c r="AQ263" s="73"/>
      <c r="AR263" s="73"/>
      <c r="AS263" s="73"/>
      <c r="AT263" s="73"/>
      <c r="AU263" s="73"/>
      <c r="AV263" s="73"/>
      <c r="AW263" s="73"/>
      <c r="AX263" s="73"/>
      <c r="AY263" s="73"/>
      <c r="AZ263" s="73"/>
      <c r="BA263" s="73"/>
      <c r="BB263" s="73"/>
    </row>
    <row r="264">
      <c r="A264" s="73"/>
      <c r="B264" s="73"/>
      <c r="C264" s="73"/>
      <c r="D264" s="73"/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  <c r="AL264" s="73"/>
      <c r="AM264" s="73"/>
      <c r="AN264" s="73"/>
      <c r="AO264" s="73"/>
      <c r="AP264" s="73"/>
      <c r="AQ264" s="73"/>
      <c r="AR264" s="73"/>
      <c r="AS264" s="73"/>
      <c r="AT264" s="73"/>
      <c r="AU264" s="73"/>
      <c r="AV264" s="73"/>
      <c r="AW264" s="73"/>
      <c r="AX264" s="73"/>
      <c r="AY264" s="73"/>
      <c r="AZ264" s="73"/>
      <c r="BA264" s="73"/>
      <c r="BB264" s="73"/>
    </row>
    <row r="265">
      <c r="A265" s="73"/>
      <c r="B265" s="73"/>
      <c r="C265" s="73"/>
      <c r="D265" s="73"/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  <c r="BB265" s="73"/>
    </row>
    <row r="266">
      <c r="A266" s="73"/>
      <c r="B266" s="73"/>
      <c r="C266" s="73"/>
      <c r="D266" s="73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  <c r="AL266" s="73"/>
      <c r="AM266" s="73"/>
      <c r="AN266" s="73"/>
      <c r="AO266" s="73"/>
      <c r="AP266" s="73"/>
      <c r="AQ266" s="73"/>
      <c r="AR266" s="73"/>
      <c r="AS266" s="73"/>
      <c r="AT266" s="73"/>
      <c r="AU266" s="73"/>
      <c r="AV266" s="73"/>
      <c r="AW266" s="73"/>
      <c r="AX266" s="73"/>
      <c r="AY266" s="73"/>
      <c r="AZ266" s="73"/>
      <c r="BA266" s="73"/>
      <c r="BB266" s="73"/>
    </row>
    <row r="267">
      <c r="A267" s="73"/>
      <c r="B267" s="73"/>
      <c r="C267" s="73"/>
      <c r="D267" s="73"/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73"/>
      <c r="BB267" s="73"/>
    </row>
    <row r="268">
      <c r="A268" s="73"/>
      <c r="B268" s="73"/>
      <c r="C268" s="73"/>
      <c r="D268" s="73"/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  <c r="BB268" s="73"/>
    </row>
    <row r="269">
      <c r="A269" s="73"/>
      <c r="B269" s="73"/>
      <c r="C269" s="73"/>
      <c r="D269" s="73"/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73"/>
      <c r="BB269" s="73"/>
    </row>
    <row r="270">
      <c r="A270" s="73"/>
      <c r="B270" s="73"/>
      <c r="C270" s="73"/>
      <c r="D270" s="73"/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  <c r="AL270" s="73"/>
      <c r="AM270" s="73"/>
      <c r="AN270" s="73"/>
      <c r="AO270" s="73"/>
      <c r="AP270" s="73"/>
      <c r="AQ270" s="73"/>
      <c r="AR270" s="73"/>
      <c r="AS270" s="73"/>
      <c r="AT270" s="73"/>
      <c r="AU270" s="73"/>
      <c r="AV270" s="73"/>
      <c r="AW270" s="73"/>
      <c r="AX270" s="73"/>
      <c r="AY270" s="73"/>
      <c r="AZ270" s="73"/>
      <c r="BA270" s="73"/>
      <c r="BB270" s="73"/>
    </row>
    <row r="271">
      <c r="A271" s="73"/>
      <c r="B271" s="73"/>
      <c r="C271" s="73"/>
      <c r="D271" s="73"/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  <c r="AL271" s="73"/>
      <c r="AM271" s="73"/>
      <c r="AN271" s="73"/>
      <c r="AO271" s="73"/>
      <c r="AP271" s="73"/>
      <c r="AQ271" s="73"/>
      <c r="AR271" s="73"/>
      <c r="AS271" s="73"/>
      <c r="AT271" s="73"/>
      <c r="AU271" s="73"/>
      <c r="AV271" s="73"/>
      <c r="AW271" s="73"/>
      <c r="AX271" s="73"/>
      <c r="AY271" s="73"/>
      <c r="AZ271" s="73"/>
      <c r="BA271" s="73"/>
      <c r="BB271" s="73"/>
    </row>
    <row r="272">
      <c r="A272" s="73"/>
      <c r="B272" s="73"/>
      <c r="C272" s="73"/>
      <c r="D272" s="73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  <c r="AL272" s="73"/>
      <c r="AM272" s="73"/>
      <c r="AN272" s="73"/>
      <c r="AO272" s="73"/>
      <c r="AP272" s="73"/>
      <c r="AQ272" s="73"/>
      <c r="AR272" s="73"/>
      <c r="AS272" s="73"/>
      <c r="AT272" s="73"/>
      <c r="AU272" s="73"/>
      <c r="AV272" s="73"/>
      <c r="AW272" s="73"/>
      <c r="AX272" s="73"/>
      <c r="AY272" s="73"/>
      <c r="AZ272" s="73"/>
      <c r="BA272" s="73"/>
      <c r="BB272" s="73"/>
    </row>
    <row r="273">
      <c r="A273" s="73"/>
      <c r="B273" s="73"/>
      <c r="C273" s="73"/>
      <c r="D273" s="73"/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  <c r="AL273" s="73"/>
      <c r="AM273" s="73"/>
      <c r="AN273" s="73"/>
      <c r="AO273" s="73"/>
      <c r="AP273" s="73"/>
      <c r="AQ273" s="73"/>
      <c r="AR273" s="73"/>
      <c r="AS273" s="73"/>
      <c r="AT273" s="73"/>
      <c r="AU273" s="73"/>
      <c r="AV273" s="73"/>
      <c r="AW273" s="73"/>
      <c r="AX273" s="73"/>
      <c r="AY273" s="73"/>
      <c r="AZ273" s="73"/>
      <c r="BA273" s="73"/>
      <c r="BB273" s="73"/>
    </row>
    <row r="274">
      <c r="A274" s="73"/>
      <c r="B274" s="73"/>
      <c r="C274" s="73"/>
      <c r="D274" s="73"/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  <c r="AL274" s="73"/>
      <c r="AM274" s="73"/>
      <c r="AN274" s="73"/>
      <c r="AO274" s="73"/>
      <c r="AP274" s="73"/>
      <c r="AQ274" s="73"/>
      <c r="AR274" s="73"/>
      <c r="AS274" s="73"/>
      <c r="AT274" s="73"/>
      <c r="AU274" s="73"/>
      <c r="AV274" s="73"/>
      <c r="AW274" s="73"/>
      <c r="AX274" s="73"/>
      <c r="AY274" s="73"/>
      <c r="AZ274" s="73"/>
      <c r="BA274" s="73"/>
      <c r="BB274" s="73"/>
    </row>
    <row r="275">
      <c r="A275" s="73"/>
      <c r="B275" s="73"/>
      <c r="C275" s="73"/>
      <c r="D275" s="73"/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3"/>
      <c r="BA275" s="73"/>
      <c r="BB275" s="73"/>
    </row>
    <row r="276">
      <c r="A276" s="73"/>
      <c r="B276" s="73"/>
      <c r="C276" s="73"/>
      <c r="D276" s="73"/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3"/>
      <c r="BA276" s="73"/>
      <c r="BB276" s="73"/>
    </row>
    <row r="277">
      <c r="A277" s="73"/>
      <c r="B277" s="73"/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  <c r="BB277" s="73"/>
    </row>
    <row r="278">
      <c r="A278" s="73"/>
      <c r="B278" s="73"/>
      <c r="C278" s="73"/>
      <c r="D278" s="73"/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</row>
    <row r="279">
      <c r="A279" s="73"/>
      <c r="B279" s="73"/>
      <c r="C279" s="73"/>
      <c r="D279" s="73"/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  <c r="BB279" s="73"/>
    </row>
    <row r="280">
      <c r="A280" s="73"/>
      <c r="B280" s="73"/>
      <c r="C280" s="73"/>
      <c r="D280" s="73"/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  <c r="AL280" s="73"/>
      <c r="AM280" s="73"/>
      <c r="AN280" s="73"/>
      <c r="AO280" s="73"/>
      <c r="AP280" s="73"/>
      <c r="AQ280" s="73"/>
      <c r="AR280" s="73"/>
      <c r="AS280" s="73"/>
      <c r="AT280" s="73"/>
      <c r="AU280" s="73"/>
      <c r="AV280" s="73"/>
      <c r="AW280" s="73"/>
      <c r="AX280" s="73"/>
      <c r="AY280" s="73"/>
      <c r="AZ280" s="73"/>
      <c r="BA280" s="73"/>
      <c r="BB280" s="73"/>
    </row>
    <row r="281">
      <c r="A281" s="73"/>
      <c r="B281" s="73"/>
      <c r="C281" s="73"/>
      <c r="D281" s="73"/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  <c r="AL281" s="73"/>
      <c r="AM281" s="73"/>
      <c r="AN281" s="73"/>
      <c r="AO281" s="73"/>
      <c r="AP281" s="73"/>
      <c r="AQ281" s="73"/>
      <c r="AR281" s="73"/>
      <c r="AS281" s="73"/>
      <c r="AT281" s="73"/>
      <c r="AU281" s="73"/>
      <c r="AV281" s="73"/>
      <c r="AW281" s="73"/>
      <c r="AX281" s="73"/>
      <c r="AY281" s="73"/>
      <c r="AZ281" s="73"/>
      <c r="BA281" s="73"/>
      <c r="BB281" s="73"/>
    </row>
    <row r="282">
      <c r="A282" s="73"/>
      <c r="B282" s="73"/>
      <c r="C282" s="73"/>
      <c r="D282" s="73"/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  <c r="AL282" s="73"/>
      <c r="AM282" s="73"/>
      <c r="AN282" s="73"/>
      <c r="AO282" s="73"/>
      <c r="AP282" s="73"/>
      <c r="AQ282" s="73"/>
      <c r="AR282" s="73"/>
      <c r="AS282" s="73"/>
      <c r="AT282" s="73"/>
      <c r="AU282" s="73"/>
      <c r="AV282" s="73"/>
      <c r="AW282" s="73"/>
      <c r="AX282" s="73"/>
      <c r="AY282" s="73"/>
      <c r="AZ282" s="73"/>
      <c r="BA282" s="73"/>
      <c r="BB282" s="73"/>
    </row>
    <row r="283">
      <c r="A283" s="73"/>
      <c r="B283" s="73"/>
      <c r="C283" s="73"/>
      <c r="D283" s="73"/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  <c r="AL283" s="73"/>
      <c r="AM283" s="73"/>
      <c r="AN283" s="73"/>
      <c r="AO283" s="73"/>
      <c r="AP283" s="73"/>
      <c r="AQ283" s="73"/>
      <c r="AR283" s="73"/>
      <c r="AS283" s="73"/>
      <c r="AT283" s="73"/>
      <c r="AU283" s="73"/>
      <c r="AV283" s="73"/>
      <c r="AW283" s="73"/>
      <c r="AX283" s="73"/>
      <c r="AY283" s="73"/>
      <c r="AZ283" s="73"/>
      <c r="BA283" s="73"/>
      <c r="BB283" s="73"/>
    </row>
    <row r="284">
      <c r="A284" s="73"/>
      <c r="B284" s="73"/>
      <c r="C284" s="73"/>
      <c r="D284" s="73"/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  <c r="AL284" s="73"/>
      <c r="AM284" s="73"/>
      <c r="AN284" s="73"/>
      <c r="AO284" s="73"/>
      <c r="AP284" s="73"/>
      <c r="AQ284" s="73"/>
      <c r="AR284" s="73"/>
      <c r="AS284" s="73"/>
      <c r="AT284" s="73"/>
      <c r="AU284" s="73"/>
      <c r="AV284" s="73"/>
      <c r="AW284" s="73"/>
      <c r="AX284" s="73"/>
      <c r="AY284" s="73"/>
      <c r="AZ284" s="73"/>
      <c r="BA284" s="73"/>
      <c r="BB284" s="73"/>
    </row>
    <row r="285">
      <c r="A285" s="73"/>
      <c r="B285" s="73"/>
      <c r="C285" s="73"/>
      <c r="D285" s="73"/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  <c r="BB285" s="73"/>
    </row>
    <row r="286">
      <c r="A286" s="73"/>
      <c r="B286" s="73"/>
      <c r="C286" s="73"/>
      <c r="D286" s="73"/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/>
      <c r="AO286" s="73"/>
      <c r="AP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73"/>
      <c r="BB286" s="73"/>
    </row>
    <row r="287">
      <c r="A287" s="73"/>
      <c r="B287" s="73"/>
      <c r="C287" s="73"/>
      <c r="D287" s="73"/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73"/>
    </row>
    <row r="288">
      <c r="A288" s="73"/>
      <c r="B288" s="73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  <c r="BB288" s="73"/>
    </row>
    <row r="289">
      <c r="A289" s="73"/>
      <c r="B289" s="73"/>
      <c r="C289" s="73"/>
      <c r="D289" s="73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  <c r="BB289" s="73"/>
    </row>
    <row r="290">
      <c r="A290" s="73"/>
      <c r="B290" s="73"/>
      <c r="C290" s="73"/>
      <c r="D290" s="73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73"/>
      <c r="BB290" s="73"/>
    </row>
    <row r="291">
      <c r="A291" s="73"/>
      <c r="B291" s="73"/>
      <c r="C291" s="73"/>
      <c r="D291" s="73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73"/>
      <c r="BB291" s="73"/>
    </row>
    <row r="292">
      <c r="A292" s="73"/>
      <c r="B292" s="73"/>
      <c r="C292" s="73"/>
      <c r="D292" s="73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73"/>
      <c r="BB292" s="73"/>
    </row>
    <row r="293">
      <c r="A293" s="73"/>
      <c r="B293" s="73"/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73"/>
      <c r="BB293" s="73"/>
    </row>
    <row r="294">
      <c r="A294" s="73"/>
      <c r="B294" s="73"/>
      <c r="C294" s="73"/>
      <c r="D294" s="73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73"/>
      <c r="BB294" s="73"/>
    </row>
    <row r="295">
      <c r="A295" s="73"/>
      <c r="B295" s="73"/>
      <c r="C295" s="73"/>
      <c r="D295" s="73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  <c r="BB295" s="73"/>
    </row>
    <row r="296">
      <c r="A296" s="73"/>
      <c r="B296" s="73"/>
      <c r="C296" s="73"/>
      <c r="D296" s="73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73"/>
      <c r="BB296" s="73"/>
    </row>
    <row r="297">
      <c r="A297" s="73"/>
      <c r="B297" s="73"/>
      <c r="C297" s="73"/>
      <c r="D297" s="73"/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  <c r="BB297" s="73"/>
    </row>
    <row r="298">
      <c r="A298" s="73"/>
      <c r="B298" s="73"/>
      <c r="C298" s="73"/>
      <c r="D298" s="73"/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73"/>
      <c r="BB298" s="73"/>
    </row>
    <row r="299">
      <c r="A299" s="73"/>
      <c r="B299" s="73"/>
      <c r="C299" s="73"/>
      <c r="D299" s="73"/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73"/>
    </row>
    <row r="300">
      <c r="A300" s="73"/>
      <c r="B300" s="73"/>
      <c r="C300" s="73"/>
      <c r="D300" s="73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  <c r="AL300" s="73"/>
      <c r="AM300" s="73"/>
      <c r="AN300" s="73"/>
      <c r="AO300" s="73"/>
      <c r="AP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73"/>
      <c r="BB300" s="73"/>
    </row>
    <row r="301">
      <c r="A301" s="73"/>
      <c r="B301" s="73"/>
      <c r="C301" s="73"/>
      <c r="D301" s="73"/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  <c r="AK301" s="73"/>
      <c r="AL301" s="73"/>
      <c r="AM301" s="73"/>
      <c r="AN301" s="73"/>
      <c r="AO301" s="73"/>
      <c r="AP301" s="73"/>
      <c r="AQ301" s="73"/>
      <c r="AR301" s="73"/>
      <c r="AS301" s="73"/>
      <c r="AT301" s="73"/>
      <c r="AU301" s="73"/>
      <c r="AV301" s="73"/>
      <c r="AW301" s="73"/>
      <c r="AX301" s="73"/>
      <c r="AY301" s="73"/>
      <c r="AZ301" s="73"/>
      <c r="BA301" s="73"/>
      <c r="BB301" s="73"/>
    </row>
    <row r="302">
      <c r="A302" s="73"/>
      <c r="B302" s="73"/>
      <c r="C302" s="73"/>
      <c r="D302" s="73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  <c r="AI302" s="73"/>
      <c r="AJ302" s="73"/>
      <c r="AK302" s="73"/>
      <c r="AL302" s="73"/>
      <c r="AM302" s="73"/>
      <c r="AN302" s="73"/>
      <c r="AO302" s="73"/>
      <c r="AP302" s="73"/>
      <c r="AQ302" s="73"/>
      <c r="AR302" s="73"/>
      <c r="AS302" s="73"/>
      <c r="AT302" s="73"/>
      <c r="AU302" s="73"/>
      <c r="AV302" s="73"/>
      <c r="AW302" s="73"/>
      <c r="AX302" s="73"/>
      <c r="AY302" s="73"/>
      <c r="AZ302" s="73"/>
      <c r="BA302" s="73"/>
      <c r="BB302" s="73"/>
    </row>
    <row r="303">
      <c r="A303" s="73"/>
      <c r="B303" s="73"/>
      <c r="C303" s="73"/>
      <c r="D303" s="73"/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73"/>
      <c r="AM303" s="73"/>
      <c r="AN303" s="73"/>
      <c r="AO303" s="73"/>
      <c r="AP303" s="73"/>
      <c r="AQ303" s="73"/>
      <c r="AR303" s="73"/>
      <c r="AS303" s="73"/>
      <c r="AT303" s="73"/>
      <c r="AU303" s="73"/>
      <c r="AV303" s="73"/>
      <c r="AW303" s="73"/>
      <c r="AX303" s="73"/>
      <c r="AY303" s="73"/>
      <c r="AZ303" s="73"/>
      <c r="BA303" s="73"/>
      <c r="BB303" s="73"/>
    </row>
    <row r="304">
      <c r="A304" s="73"/>
      <c r="B304" s="73"/>
      <c r="C304" s="73"/>
      <c r="D304" s="73"/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  <c r="AL304" s="73"/>
      <c r="AM304" s="73"/>
      <c r="AN304" s="73"/>
      <c r="AO304" s="73"/>
      <c r="AP304" s="73"/>
      <c r="AQ304" s="73"/>
      <c r="AR304" s="73"/>
      <c r="AS304" s="73"/>
      <c r="AT304" s="73"/>
      <c r="AU304" s="73"/>
      <c r="AV304" s="73"/>
      <c r="AW304" s="73"/>
      <c r="AX304" s="73"/>
      <c r="AY304" s="73"/>
      <c r="AZ304" s="73"/>
      <c r="BA304" s="73"/>
      <c r="BB304" s="73"/>
    </row>
    <row r="305">
      <c r="A305" s="73"/>
      <c r="B305" s="73"/>
      <c r="C305" s="73"/>
      <c r="D305" s="73"/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  <c r="BB305" s="73"/>
    </row>
    <row r="306">
      <c r="A306" s="73"/>
      <c r="B306" s="73"/>
      <c r="C306" s="73"/>
      <c r="D306" s="73"/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73"/>
      <c r="AM306" s="73"/>
      <c r="AN306" s="73"/>
      <c r="AO306" s="73"/>
      <c r="AP306" s="73"/>
      <c r="AQ306" s="73"/>
      <c r="AR306" s="73"/>
      <c r="AS306" s="73"/>
      <c r="AT306" s="73"/>
      <c r="AU306" s="73"/>
      <c r="AV306" s="73"/>
      <c r="AW306" s="73"/>
      <c r="AX306" s="73"/>
      <c r="AY306" s="73"/>
      <c r="AZ306" s="73"/>
      <c r="BA306" s="73"/>
      <c r="BB306" s="73"/>
    </row>
    <row r="307">
      <c r="A307" s="73"/>
      <c r="B307" s="73"/>
      <c r="C307" s="73"/>
      <c r="D307" s="73"/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  <c r="BB307" s="73"/>
    </row>
    <row r="308">
      <c r="A308" s="73"/>
      <c r="B308" s="73"/>
      <c r="C308" s="73"/>
      <c r="D308" s="73"/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/>
      <c r="AV308" s="73"/>
      <c r="AW308" s="73"/>
      <c r="AX308" s="73"/>
      <c r="AY308" s="73"/>
      <c r="AZ308" s="73"/>
      <c r="BA308" s="73"/>
      <c r="BB308" s="73"/>
    </row>
    <row r="309">
      <c r="A309" s="73"/>
      <c r="B309" s="73"/>
      <c r="C309" s="73"/>
      <c r="D309" s="73"/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  <c r="BB309" s="73"/>
    </row>
    <row r="310">
      <c r="A310" s="73"/>
      <c r="B310" s="73"/>
      <c r="C310" s="73"/>
      <c r="D310" s="73"/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  <c r="AI310" s="73"/>
      <c r="AJ310" s="73"/>
      <c r="AK310" s="73"/>
      <c r="AL310" s="73"/>
      <c r="AM310" s="73"/>
      <c r="AN310" s="73"/>
      <c r="AO310" s="73"/>
      <c r="AP310" s="73"/>
      <c r="AQ310" s="73"/>
      <c r="AR310" s="73"/>
      <c r="AS310" s="73"/>
      <c r="AT310" s="73"/>
      <c r="AU310" s="73"/>
      <c r="AV310" s="73"/>
      <c r="AW310" s="73"/>
      <c r="AX310" s="73"/>
      <c r="AY310" s="73"/>
      <c r="AZ310" s="73"/>
      <c r="BA310" s="73"/>
      <c r="BB310" s="73"/>
    </row>
    <row r="311">
      <c r="A311" s="73"/>
      <c r="B311" s="73"/>
      <c r="C311" s="73"/>
      <c r="D311" s="73"/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  <c r="AI311" s="73"/>
      <c r="AJ311" s="73"/>
      <c r="AK311" s="73"/>
      <c r="AL311" s="73"/>
      <c r="AM311" s="73"/>
      <c r="AN311" s="73"/>
      <c r="AO311" s="73"/>
      <c r="AP311" s="73"/>
      <c r="AQ311" s="73"/>
      <c r="AR311" s="73"/>
      <c r="AS311" s="73"/>
      <c r="AT311" s="73"/>
      <c r="AU311" s="73"/>
      <c r="AV311" s="73"/>
      <c r="AW311" s="73"/>
      <c r="AX311" s="73"/>
      <c r="AY311" s="73"/>
      <c r="AZ311" s="73"/>
      <c r="BA311" s="73"/>
      <c r="BB311" s="73"/>
    </row>
    <row r="312">
      <c r="A312" s="73"/>
      <c r="B312" s="73"/>
      <c r="C312" s="73"/>
      <c r="D312" s="73"/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  <c r="BB312" s="73"/>
    </row>
    <row r="313">
      <c r="A313" s="73"/>
      <c r="B313" s="73"/>
      <c r="C313" s="73"/>
      <c r="D313" s="73"/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  <c r="BB313" s="73"/>
    </row>
    <row r="314">
      <c r="A314" s="73"/>
      <c r="B314" s="73"/>
      <c r="C314" s="73"/>
      <c r="D314" s="73"/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  <c r="AI314" s="73"/>
      <c r="AJ314" s="73"/>
      <c r="AK314" s="73"/>
      <c r="AL314" s="73"/>
      <c r="AM314" s="73"/>
      <c r="AN314" s="73"/>
      <c r="AO314" s="73"/>
      <c r="AP314" s="73"/>
      <c r="AQ314" s="73"/>
      <c r="AR314" s="73"/>
      <c r="AS314" s="73"/>
      <c r="AT314" s="73"/>
      <c r="AU314" s="73"/>
      <c r="AV314" s="73"/>
      <c r="AW314" s="73"/>
      <c r="AX314" s="73"/>
      <c r="AY314" s="73"/>
      <c r="AZ314" s="73"/>
      <c r="BA314" s="73"/>
      <c r="BB314" s="73"/>
    </row>
    <row r="315">
      <c r="A315" s="73"/>
      <c r="B315" s="73"/>
      <c r="C315" s="73"/>
      <c r="D315" s="73"/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  <c r="AI315" s="73"/>
      <c r="AJ315" s="73"/>
      <c r="AK315" s="73"/>
      <c r="AL315" s="73"/>
      <c r="AM315" s="73"/>
      <c r="AN315" s="73"/>
      <c r="AO315" s="73"/>
      <c r="AP315" s="73"/>
      <c r="AQ315" s="73"/>
      <c r="AR315" s="73"/>
      <c r="AS315" s="73"/>
      <c r="AT315" s="73"/>
      <c r="AU315" s="73"/>
      <c r="AV315" s="73"/>
      <c r="AW315" s="73"/>
      <c r="AX315" s="73"/>
      <c r="AY315" s="73"/>
      <c r="AZ315" s="73"/>
      <c r="BA315" s="73"/>
      <c r="BB315" s="73"/>
    </row>
    <row r="316">
      <c r="A316" s="73"/>
      <c r="B316" s="73"/>
      <c r="C316" s="73"/>
      <c r="D316" s="73"/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  <c r="AI316" s="73"/>
      <c r="AJ316" s="73"/>
      <c r="AK316" s="73"/>
      <c r="AL316" s="73"/>
      <c r="AM316" s="73"/>
      <c r="AN316" s="73"/>
      <c r="AO316" s="73"/>
      <c r="AP316" s="73"/>
      <c r="AQ316" s="73"/>
      <c r="AR316" s="73"/>
      <c r="AS316" s="73"/>
      <c r="AT316" s="73"/>
      <c r="AU316" s="73"/>
      <c r="AV316" s="73"/>
      <c r="AW316" s="73"/>
      <c r="AX316" s="73"/>
      <c r="AY316" s="73"/>
      <c r="AZ316" s="73"/>
      <c r="BA316" s="73"/>
      <c r="BB316" s="73"/>
    </row>
    <row r="317">
      <c r="A317" s="73"/>
      <c r="B317" s="73"/>
      <c r="C317" s="73"/>
      <c r="D317" s="73"/>
      <c r="E317" s="73"/>
      <c r="F317" s="73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  <c r="AI317" s="73"/>
      <c r="AJ317" s="73"/>
      <c r="AK317" s="73"/>
      <c r="AL317" s="73"/>
      <c r="AM317" s="73"/>
      <c r="AN317" s="73"/>
      <c r="AO317" s="73"/>
      <c r="AP317" s="73"/>
      <c r="AQ317" s="73"/>
      <c r="AR317" s="73"/>
      <c r="AS317" s="73"/>
      <c r="AT317" s="73"/>
      <c r="AU317" s="73"/>
      <c r="AV317" s="73"/>
      <c r="AW317" s="73"/>
      <c r="AX317" s="73"/>
      <c r="AY317" s="73"/>
      <c r="AZ317" s="73"/>
      <c r="BA317" s="73"/>
      <c r="BB317" s="73"/>
    </row>
    <row r="318">
      <c r="A318" s="73"/>
      <c r="B318" s="73"/>
      <c r="C318" s="73"/>
      <c r="D318" s="73"/>
      <c r="E318" s="73"/>
      <c r="F318" s="73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  <c r="AI318" s="73"/>
      <c r="AJ318" s="73"/>
      <c r="AK318" s="73"/>
      <c r="AL318" s="73"/>
      <c r="AM318" s="73"/>
      <c r="AN318" s="73"/>
      <c r="AO318" s="73"/>
      <c r="AP318" s="73"/>
      <c r="AQ318" s="73"/>
      <c r="AR318" s="73"/>
      <c r="AS318" s="73"/>
      <c r="AT318" s="73"/>
      <c r="AU318" s="73"/>
      <c r="AV318" s="73"/>
      <c r="AW318" s="73"/>
      <c r="AX318" s="73"/>
      <c r="AY318" s="73"/>
      <c r="AZ318" s="73"/>
      <c r="BA318" s="73"/>
      <c r="BB318" s="73"/>
    </row>
    <row r="319">
      <c r="A319" s="73"/>
      <c r="B319" s="73"/>
      <c r="C319" s="73"/>
      <c r="D319" s="73"/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  <c r="AI319" s="73"/>
      <c r="AJ319" s="73"/>
      <c r="AK319" s="73"/>
      <c r="AL319" s="73"/>
      <c r="AM319" s="73"/>
      <c r="AN319" s="73"/>
      <c r="AO319" s="73"/>
      <c r="AP319" s="73"/>
      <c r="AQ319" s="73"/>
      <c r="AR319" s="73"/>
      <c r="AS319" s="73"/>
      <c r="AT319" s="73"/>
      <c r="AU319" s="73"/>
      <c r="AV319" s="73"/>
      <c r="AW319" s="73"/>
      <c r="AX319" s="73"/>
      <c r="AY319" s="73"/>
      <c r="AZ319" s="73"/>
      <c r="BA319" s="73"/>
      <c r="BB319" s="73"/>
    </row>
    <row r="320">
      <c r="A320" s="73"/>
      <c r="B320" s="73"/>
      <c r="C320" s="73"/>
      <c r="D320" s="73"/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</row>
    <row r="321">
      <c r="A321" s="73"/>
      <c r="B321" s="73"/>
      <c r="C321" s="73"/>
      <c r="D321" s="73"/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  <c r="AI321" s="73"/>
      <c r="AJ321" s="73"/>
      <c r="AK321" s="73"/>
      <c r="AL321" s="73"/>
      <c r="AM321" s="73"/>
      <c r="AN321" s="73"/>
      <c r="AO321" s="73"/>
      <c r="AP321" s="73"/>
      <c r="AQ321" s="73"/>
      <c r="AR321" s="73"/>
      <c r="AS321" s="73"/>
      <c r="AT321" s="73"/>
      <c r="AU321" s="73"/>
      <c r="AV321" s="73"/>
      <c r="AW321" s="73"/>
      <c r="AX321" s="73"/>
      <c r="AY321" s="73"/>
      <c r="AZ321" s="73"/>
      <c r="BA321" s="73"/>
      <c r="BB321" s="73"/>
    </row>
    <row r="322">
      <c r="A322" s="73"/>
      <c r="B322" s="73"/>
      <c r="C322" s="73"/>
      <c r="D322" s="73"/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  <c r="AK322" s="73"/>
      <c r="AL322" s="73"/>
      <c r="AM322" s="73"/>
      <c r="AN322" s="73"/>
      <c r="AO322" s="73"/>
      <c r="AP322" s="73"/>
      <c r="AQ322" s="73"/>
      <c r="AR322" s="73"/>
      <c r="AS322" s="73"/>
      <c r="AT322" s="73"/>
      <c r="AU322" s="73"/>
      <c r="AV322" s="73"/>
      <c r="AW322" s="73"/>
      <c r="AX322" s="73"/>
      <c r="AY322" s="73"/>
      <c r="AZ322" s="73"/>
      <c r="BA322" s="73"/>
      <c r="BB322" s="73"/>
    </row>
    <row r="323">
      <c r="A323" s="73"/>
      <c r="B323" s="73"/>
      <c r="C323" s="73"/>
      <c r="D323" s="73"/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  <c r="AI323" s="73"/>
      <c r="AJ323" s="73"/>
      <c r="AK323" s="73"/>
      <c r="AL323" s="73"/>
      <c r="AM323" s="73"/>
      <c r="AN323" s="73"/>
      <c r="AO323" s="73"/>
      <c r="AP323" s="73"/>
      <c r="AQ323" s="73"/>
      <c r="AR323" s="73"/>
      <c r="AS323" s="73"/>
      <c r="AT323" s="73"/>
      <c r="AU323" s="73"/>
      <c r="AV323" s="73"/>
      <c r="AW323" s="73"/>
      <c r="AX323" s="73"/>
      <c r="AY323" s="73"/>
      <c r="AZ323" s="73"/>
      <c r="BA323" s="73"/>
      <c r="BB323" s="73"/>
    </row>
    <row r="324">
      <c r="A324" s="73"/>
      <c r="B324" s="73"/>
      <c r="C324" s="73"/>
      <c r="D324" s="73"/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  <c r="AK324" s="73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  <c r="BB324" s="73"/>
    </row>
    <row r="325">
      <c r="A325" s="73"/>
      <c r="B325" s="73"/>
      <c r="C325" s="73"/>
      <c r="D325" s="73"/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  <c r="AI325" s="73"/>
      <c r="AJ325" s="73"/>
      <c r="AK325" s="73"/>
      <c r="AL325" s="73"/>
      <c r="AM325" s="73"/>
      <c r="AN325" s="73"/>
      <c r="AO325" s="73"/>
      <c r="AP325" s="73"/>
      <c r="AQ325" s="73"/>
      <c r="AR325" s="73"/>
      <c r="AS325" s="73"/>
      <c r="AT325" s="73"/>
      <c r="AU325" s="73"/>
      <c r="AV325" s="73"/>
      <c r="AW325" s="73"/>
      <c r="AX325" s="73"/>
      <c r="AY325" s="73"/>
      <c r="AZ325" s="73"/>
      <c r="BA325" s="73"/>
      <c r="BB325" s="73"/>
    </row>
    <row r="326">
      <c r="A326" s="73"/>
      <c r="B326" s="73"/>
      <c r="C326" s="73"/>
      <c r="D326" s="73"/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  <c r="AI326" s="73"/>
      <c r="AJ326" s="73"/>
      <c r="AK326" s="73"/>
      <c r="AL326" s="73"/>
      <c r="AM326" s="73"/>
      <c r="AN326" s="73"/>
      <c r="AO326" s="73"/>
      <c r="AP326" s="73"/>
      <c r="AQ326" s="73"/>
      <c r="AR326" s="73"/>
      <c r="AS326" s="73"/>
      <c r="AT326" s="73"/>
      <c r="AU326" s="73"/>
      <c r="AV326" s="73"/>
      <c r="AW326" s="73"/>
      <c r="AX326" s="73"/>
      <c r="AY326" s="73"/>
      <c r="AZ326" s="73"/>
      <c r="BA326" s="73"/>
      <c r="BB326" s="73"/>
    </row>
    <row r="327">
      <c r="A327" s="73"/>
      <c r="B327" s="73"/>
      <c r="C327" s="73"/>
      <c r="D327" s="73"/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  <c r="AI327" s="73"/>
      <c r="AJ327" s="73"/>
      <c r="AK327" s="73"/>
      <c r="AL327" s="73"/>
      <c r="AM327" s="73"/>
      <c r="AN327" s="73"/>
      <c r="AO327" s="73"/>
      <c r="AP327" s="73"/>
      <c r="AQ327" s="73"/>
      <c r="AR327" s="73"/>
      <c r="AS327" s="73"/>
      <c r="AT327" s="73"/>
      <c r="AU327" s="73"/>
      <c r="AV327" s="73"/>
      <c r="AW327" s="73"/>
      <c r="AX327" s="73"/>
      <c r="AY327" s="73"/>
      <c r="AZ327" s="73"/>
      <c r="BA327" s="73"/>
      <c r="BB327" s="73"/>
    </row>
    <row r="328">
      <c r="A328" s="73"/>
      <c r="B328" s="73"/>
      <c r="C328" s="73"/>
      <c r="D328" s="73"/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  <c r="AI328" s="73"/>
      <c r="AJ328" s="73"/>
      <c r="AK328" s="73"/>
      <c r="AL328" s="73"/>
      <c r="AM328" s="73"/>
      <c r="AN328" s="73"/>
      <c r="AO328" s="73"/>
      <c r="AP328" s="73"/>
      <c r="AQ328" s="73"/>
      <c r="AR328" s="73"/>
      <c r="AS328" s="73"/>
      <c r="AT328" s="73"/>
      <c r="AU328" s="73"/>
      <c r="AV328" s="73"/>
      <c r="AW328" s="73"/>
      <c r="AX328" s="73"/>
      <c r="AY328" s="73"/>
      <c r="AZ328" s="73"/>
      <c r="BA328" s="73"/>
      <c r="BB328" s="73"/>
    </row>
    <row r="329">
      <c r="A329" s="73"/>
      <c r="B329" s="73"/>
      <c r="C329" s="73"/>
      <c r="D329" s="73"/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</row>
    <row r="330">
      <c r="A330" s="73"/>
      <c r="B330" s="73"/>
      <c r="C330" s="73"/>
      <c r="D330" s="73"/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  <c r="BB330" s="73"/>
    </row>
    <row r="331">
      <c r="A331" s="73"/>
      <c r="B331" s="73"/>
      <c r="C331" s="73"/>
      <c r="D331" s="73"/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  <c r="AV331" s="73"/>
      <c r="AW331" s="73"/>
      <c r="AX331" s="73"/>
      <c r="AY331" s="73"/>
      <c r="AZ331" s="73"/>
      <c r="BA331" s="73"/>
      <c r="BB331" s="73"/>
    </row>
    <row r="332">
      <c r="A332" s="73"/>
      <c r="B332" s="73"/>
      <c r="C332" s="73"/>
      <c r="D332" s="73"/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73"/>
      <c r="AW332" s="73"/>
      <c r="AX332" s="73"/>
      <c r="AY332" s="73"/>
      <c r="AZ332" s="73"/>
      <c r="BA332" s="73"/>
      <c r="BB332" s="73"/>
    </row>
    <row r="333">
      <c r="A333" s="73"/>
      <c r="B333" s="73"/>
      <c r="C333" s="73"/>
      <c r="D333" s="73"/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  <c r="BB333" s="73"/>
    </row>
    <row r="334">
      <c r="A334" s="73"/>
      <c r="B334" s="73"/>
      <c r="C334" s="73"/>
      <c r="D334" s="73"/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  <c r="BB334" s="73"/>
    </row>
    <row r="335">
      <c r="A335" s="73"/>
      <c r="B335" s="73"/>
      <c r="C335" s="73"/>
      <c r="D335" s="73"/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</row>
    <row r="336">
      <c r="A336" s="73"/>
      <c r="B336" s="73"/>
      <c r="C336" s="73"/>
      <c r="D336" s="73"/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  <c r="AV336" s="73"/>
      <c r="AW336" s="73"/>
      <c r="AX336" s="73"/>
      <c r="AY336" s="73"/>
      <c r="AZ336" s="73"/>
      <c r="BA336" s="73"/>
      <c r="BB336" s="73"/>
    </row>
    <row r="337">
      <c r="A337" s="73"/>
      <c r="B337" s="73"/>
      <c r="C337" s="73"/>
      <c r="D337" s="73"/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</row>
    <row r="338">
      <c r="A338" s="73"/>
      <c r="B338" s="73"/>
      <c r="C338" s="73"/>
      <c r="D338" s="73"/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</row>
    <row r="339">
      <c r="A339" s="73"/>
      <c r="B339" s="73"/>
      <c r="C339" s="73"/>
      <c r="D339" s="73"/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</row>
    <row r="340">
      <c r="A340" s="73"/>
      <c r="B340" s="73"/>
      <c r="C340" s="73"/>
      <c r="D340" s="73"/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</row>
    <row r="341">
      <c r="A341" s="73"/>
      <c r="B341" s="73"/>
      <c r="C341" s="73"/>
      <c r="D341" s="73"/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</row>
    <row r="342">
      <c r="A342" s="73"/>
      <c r="B342" s="73"/>
      <c r="C342" s="73"/>
      <c r="D342" s="73"/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</row>
    <row r="343">
      <c r="A343" s="73"/>
      <c r="B343" s="73"/>
      <c r="C343" s="73"/>
      <c r="D343" s="73"/>
      <c r="E343" s="73"/>
      <c r="F343" s="73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  <c r="BB343" s="73"/>
    </row>
    <row r="344">
      <c r="A344" s="73"/>
      <c r="B344" s="73"/>
      <c r="C344" s="73"/>
      <c r="D344" s="73"/>
      <c r="E344" s="73"/>
      <c r="F344" s="73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</row>
    <row r="345">
      <c r="A345" s="73"/>
      <c r="B345" s="73"/>
      <c r="C345" s="73"/>
      <c r="D345" s="73"/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  <c r="AV345" s="73"/>
      <c r="AW345" s="73"/>
      <c r="AX345" s="73"/>
      <c r="AY345" s="73"/>
      <c r="AZ345" s="73"/>
      <c r="BA345" s="73"/>
      <c r="BB345" s="73"/>
    </row>
    <row r="346">
      <c r="A346" s="73"/>
      <c r="B346" s="73"/>
      <c r="C346" s="73"/>
      <c r="D346" s="73"/>
      <c r="E346" s="73"/>
      <c r="F346" s="73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  <c r="AV346" s="73"/>
      <c r="AW346" s="73"/>
      <c r="AX346" s="73"/>
      <c r="AY346" s="73"/>
      <c r="AZ346" s="73"/>
      <c r="BA346" s="73"/>
      <c r="BB346" s="73"/>
    </row>
    <row r="347">
      <c r="A347" s="73"/>
      <c r="B347" s="73"/>
      <c r="C347" s="73"/>
      <c r="D347" s="73"/>
      <c r="E347" s="73"/>
      <c r="F347" s="73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73"/>
      <c r="AW347" s="73"/>
      <c r="AX347" s="73"/>
      <c r="AY347" s="73"/>
      <c r="AZ347" s="73"/>
      <c r="BA347" s="73"/>
      <c r="BB347" s="73"/>
    </row>
    <row r="348">
      <c r="A348" s="73"/>
      <c r="B348" s="73"/>
      <c r="C348" s="73"/>
      <c r="D348" s="73"/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</row>
    <row r="349">
      <c r="A349" s="73"/>
      <c r="B349" s="73"/>
      <c r="C349" s="73"/>
      <c r="D349" s="73"/>
      <c r="E349" s="73"/>
      <c r="F349" s="73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</row>
    <row r="350">
      <c r="A350" s="73"/>
      <c r="B350" s="73"/>
      <c r="C350" s="73"/>
      <c r="D350" s="73"/>
      <c r="E350" s="73"/>
      <c r="F350" s="73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  <c r="AV350" s="73"/>
      <c r="AW350" s="73"/>
      <c r="AX350" s="73"/>
      <c r="AY350" s="73"/>
      <c r="AZ350" s="73"/>
      <c r="BA350" s="73"/>
      <c r="BB350" s="73"/>
    </row>
    <row r="351">
      <c r="A351" s="73"/>
      <c r="B351" s="73"/>
      <c r="C351" s="73"/>
      <c r="D351" s="73"/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  <c r="AS351" s="73"/>
      <c r="AT351" s="73"/>
      <c r="AU351" s="73"/>
      <c r="AV351" s="73"/>
      <c r="AW351" s="73"/>
      <c r="AX351" s="73"/>
      <c r="AY351" s="73"/>
      <c r="AZ351" s="73"/>
      <c r="BA351" s="73"/>
      <c r="BB351" s="73"/>
    </row>
    <row r="352">
      <c r="A352" s="73"/>
      <c r="B352" s="73"/>
      <c r="C352" s="73"/>
      <c r="D352" s="73"/>
      <c r="E352" s="73"/>
      <c r="F352" s="73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  <c r="AS352" s="73"/>
      <c r="AT352" s="73"/>
      <c r="AU352" s="73"/>
      <c r="AV352" s="73"/>
      <c r="AW352" s="73"/>
      <c r="AX352" s="73"/>
      <c r="AY352" s="73"/>
      <c r="AZ352" s="73"/>
      <c r="BA352" s="73"/>
      <c r="BB352" s="73"/>
    </row>
    <row r="353">
      <c r="A353" s="73"/>
      <c r="B353" s="73"/>
      <c r="C353" s="73"/>
      <c r="D353" s="73"/>
      <c r="E353" s="73"/>
      <c r="F353" s="73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  <c r="BB353" s="73"/>
    </row>
    <row r="354">
      <c r="A354" s="73"/>
      <c r="B354" s="73"/>
      <c r="C354" s="73"/>
      <c r="D354" s="73"/>
      <c r="E354" s="73"/>
      <c r="F354" s="73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  <c r="BB354" s="73"/>
    </row>
    <row r="355">
      <c r="A355" s="73"/>
      <c r="B355" s="73"/>
      <c r="C355" s="73"/>
      <c r="D355" s="73"/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  <c r="AS355" s="73"/>
      <c r="AT355" s="73"/>
      <c r="AU355" s="73"/>
      <c r="AV355" s="73"/>
      <c r="AW355" s="73"/>
      <c r="AX355" s="73"/>
      <c r="AY355" s="73"/>
      <c r="AZ355" s="73"/>
      <c r="BA355" s="73"/>
      <c r="BB355" s="73"/>
    </row>
    <row r="356">
      <c r="A356" s="73"/>
      <c r="B356" s="73"/>
      <c r="C356" s="73"/>
      <c r="D356" s="73"/>
      <c r="E356" s="73"/>
      <c r="F356" s="73"/>
      <c r="G356" s="73"/>
      <c r="H356" s="73"/>
      <c r="I356" s="73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  <c r="AS356" s="73"/>
      <c r="AT356" s="73"/>
      <c r="AU356" s="73"/>
      <c r="AV356" s="73"/>
      <c r="AW356" s="73"/>
      <c r="AX356" s="73"/>
      <c r="AY356" s="73"/>
      <c r="AZ356" s="73"/>
      <c r="BA356" s="73"/>
      <c r="BB356" s="73"/>
    </row>
    <row r="357">
      <c r="A357" s="73"/>
      <c r="B357" s="73"/>
      <c r="C357" s="73"/>
      <c r="D357" s="73"/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  <c r="AI357" s="73"/>
      <c r="AJ357" s="73"/>
      <c r="AK357" s="73"/>
      <c r="AL357" s="73"/>
      <c r="AM357" s="73"/>
      <c r="AN357" s="73"/>
      <c r="AO357" s="73"/>
      <c r="AP357" s="73"/>
      <c r="AQ357" s="73"/>
      <c r="AR357" s="73"/>
      <c r="AS357" s="73"/>
      <c r="AT357" s="73"/>
      <c r="AU357" s="73"/>
      <c r="AV357" s="73"/>
      <c r="AW357" s="73"/>
      <c r="AX357" s="73"/>
      <c r="AY357" s="73"/>
      <c r="AZ357" s="73"/>
      <c r="BA357" s="73"/>
      <c r="BB357" s="73"/>
    </row>
    <row r="358">
      <c r="A358" s="73"/>
      <c r="B358" s="73"/>
      <c r="C358" s="73"/>
      <c r="D358" s="73"/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  <c r="AI358" s="73"/>
      <c r="AJ358" s="73"/>
      <c r="AK358" s="73"/>
      <c r="AL358" s="73"/>
      <c r="AM358" s="73"/>
      <c r="AN358" s="73"/>
      <c r="AO358" s="73"/>
      <c r="AP358" s="73"/>
      <c r="AQ358" s="73"/>
      <c r="AR358" s="73"/>
      <c r="AS358" s="73"/>
      <c r="AT358" s="73"/>
      <c r="AU358" s="73"/>
      <c r="AV358" s="73"/>
      <c r="AW358" s="73"/>
      <c r="AX358" s="73"/>
      <c r="AY358" s="73"/>
      <c r="AZ358" s="73"/>
      <c r="BA358" s="73"/>
      <c r="BB358" s="73"/>
    </row>
    <row r="359">
      <c r="A359" s="73"/>
      <c r="B359" s="73"/>
      <c r="C359" s="73"/>
      <c r="D359" s="73"/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  <c r="AI359" s="73"/>
      <c r="AJ359" s="73"/>
      <c r="AK359" s="73"/>
      <c r="AL359" s="73"/>
      <c r="AM359" s="73"/>
      <c r="AN359" s="73"/>
      <c r="AO359" s="73"/>
      <c r="AP359" s="73"/>
      <c r="AQ359" s="73"/>
      <c r="AR359" s="73"/>
      <c r="AS359" s="73"/>
      <c r="AT359" s="73"/>
      <c r="AU359" s="73"/>
      <c r="AV359" s="73"/>
      <c r="AW359" s="73"/>
      <c r="AX359" s="73"/>
      <c r="AY359" s="73"/>
      <c r="AZ359" s="73"/>
      <c r="BA359" s="73"/>
      <c r="BB359" s="73"/>
    </row>
    <row r="360">
      <c r="A360" s="73"/>
      <c r="B360" s="73"/>
      <c r="C360" s="73"/>
      <c r="D360" s="73"/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  <c r="AI360" s="73"/>
      <c r="AJ360" s="73"/>
      <c r="AK360" s="73"/>
      <c r="AL360" s="73"/>
      <c r="AM360" s="73"/>
      <c r="AN360" s="73"/>
      <c r="AO360" s="73"/>
      <c r="AP360" s="73"/>
      <c r="AQ360" s="73"/>
      <c r="AR360" s="73"/>
      <c r="AS360" s="73"/>
      <c r="AT360" s="73"/>
      <c r="AU360" s="73"/>
      <c r="AV360" s="73"/>
      <c r="AW360" s="73"/>
      <c r="AX360" s="73"/>
      <c r="AY360" s="73"/>
      <c r="AZ360" s="73"/>
      <c r="BA360" s="73"/>
      <c r="BB360" s="73"/>
    </row>
    <row r="361">
      <c r="A361" s="73"/>
      <c r="B361" s="73"/>
      <c r="C361" s="73"/>
      <c r="D361" s="73"/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  <c r="BB361" s="73"/>
    </row>
    <row r="362">
      <c r="A362" s="73"/>
      <c r="B362" s="73"/>
      <c r="C362" s="73"/>
      <c r="D362" s="73"/>
      <c r="E362" s="73"/>
      <c r="F362" s="73"/>
      <c r="G362" s="73"/>
      <c r="H362" s="73"/>
      <c r="I362" s="73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  <c r="AI362" s="73"/>
      <c r="AJ362" s="73"/>
      <c r="AK362" s="73"/>
      <c r="AL362" s="73"/>
      <c r="AM362" s="73"/>
      <c r="AN362" s="73"/>
      <c r="AO362" s="73"/>
      <c r="AP362" s="73"/>
      <c r="AQ362" s="73"/>
      <c r="AR362" s="73"/>
      <c r="AS362" s="73"/>
      <c r="AT362" s="73"/>
      <c r="AU362" s="73"/>
      <c r="AV362" s="73"/>
      <c r="AW362" s="73"/>
      <c r="AX362" s="73"/>
      <c r="AY362" s="73"/>
      <c r="AZ362" s="73"/>
      <c r="BA362" s="73"/>
      <c r="BB362" s="73"/>
    </row>
    <row r="363">
      <c r="A363" s="73"/>
      <c r="B363" s="73"/>
      <c r="C363" s="73"/>
      <c r="D363" s="73"/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73"/>
      <c r="AW363" s="73"/>
      <c r="AX363" s="73"/>
      <c r="AY363" s="73"/>
      <c r="AZ363" s="73"/>
      <c r="BA363" s="73"/>
      <c r="BB363" s="73"/>
    </row>
    <row r="364">
      <c r="A364" s="73"/>
      <c r="B364" s="73"/>
      <c r="C364" s="73"/>
      <c r="D364" s="73"/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73"/>
      <c r="AW364" s="73"/>
      <c r="AX364" s="73"/>
      <c r="AY364" s="73"/>
      <c r="AZ364" s="73"/>
      <c r="BA364" s="73"/>
      <c r="BB364" s="73"/>
    </row>
    <row r="365">
      <c r="A365" s="73"/>
      <c r="B365" s="73"/>
      <c r="C365" s="73"/>
      <c r="D365" s="73"/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  <c r="BB365" s="73"/>
    </row>
    <row r="366">
      <c r="A366" s="73"/>
      <c r="B366" s="73"/>
      <c r="C366" s="73"/>
      <c r="D366" s="73"/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  <c r="AI366" s="73"/>
      <c r="AJ366" s="73"/>
      <c r="AK366" s="73"/>
      <c r="AL366" s="73"/>
      <c r="AM366" s="73"/>
      <c r="AN366" s="73"/>
      <c r="AO366" s="73"/>
      <c r="AP366" s="73"/>
      <c r="AQ366" s="73"/>
      <c r="AR366" s="73"/>
      <c r="AS366" s="73"/>
      <c r="AT366" s="73"/>
      <c r="AU366" s="73"/>
      <c r="AV366" s="73"/>
      <c r="AW366" s="73"/>
      <c r="AX366" s="73"/>
      <c r="AY366" s="73"/>
      <c r="AZ366" s="73"/>
      <c r="BA366" s="73"/>
      <c r="BB366" s="73"/>
    </row>
    <row r="367">
      <c r="A367" s="73"/>
      <c r="B367" s="73"/>
      <c r="C367" s="73"/>
      <c r="D367" s="73"/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  <c r="AI367" s="73"/>
      <c r="AJ367" s="73"/>
      <c r="AK367" s="73"/>
      <c r="AL367" s="73"/>
      <c r="AM367" s="73"/>
      <c r="AN367" s="73"/>
      <c r="AO367" s="73"/>
      <c r="AP367" s="73"/>
      <c r="AQ367" s="73"/>
      <c r="AR367" s="73"/>
      <c r="AS367" s="73"/>
      <c r="AT367" s="73"/>
      <c r="AU367" s="73"/>
      <c r="AV367" s="73"/>
      <c r="AW367" s="73"/>
      <c r="AX367" s="73"/>
      <c r="AY367" s="73"/>
      <c r="AZ367" s="73"/>
      <c r="BA367" s="73"/>
      <c r="BB367" s="73"/>
    </row>
    <row r="368">
      <c r="A368" s="73"/>
      <c r="B368" s="73"/>
      <c r="C368" s="73"/>
      <c r="D368" s="73"/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  <c r="AI368" s="73"/>
      <c r="AJ368" s="73"/>
      <c r="AK368" s="73"/>
      <c r="AL368" s="73"/>
      <c r="AM368" s="73"/>
      <c r="AN368" s="73"/>
      <c r="AO368" s="73"/>
      <c r="AP368" s="73"/>
      <c r="AQ368" s="73"/>
      <c r="AR368" s="73"/>
      <c r="AS368" s="73"/>
      <c r="AT368" s="73"/>
      <c r="AU368" s="73"/>
      <c r="AV368" s="73"/>
      <c r="AW368" s="73"/>
      <c r="AX368" s="73"/>
      <c r="AY368" s="73"/>
      <c r="AZ368" s="73"/>
      <c r="BA368" s="73"/>
      <c r="BB368" s="73"/>
    </row>
    <row r="369">
      <c r="A369" s="73"/>
      <c r="B369" s="73"/>
      <c r="C369" s="73"/>
      <c r="D369" s="73"/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  <c r="AI369" s="73"/>
      <c r="AJ369" s="73"/>
      <c r="AK369" s="73"/>
      <c r="AL369" s="73"/>
      <c r="AM369" s="73"/>
      <c r="AN369" s="73"/>
      <c r="AO369" s="73"/>
      <c r="AP369" s="73"/>
      <c r="AQ369" s="73"/>
      <c r="AR369" s="73"/>
      <c r="AS369" s="73"/>
      <c r="AT369" s="73"/>
      <c r="AU369" s="73"/>
      <c r="AV369" s="73"/>
      <c r="AW369" s="73"/>
      <c r="AX369" s="73"/>
      <c r="AY369" s="73"/>
      <c r="AZ369" s="73"/>
      <c r="BA369" s="73"/>
      <c r="BB369" s="73"/>
    </row>
    <row r="370">
      <c r="A370" s="73"/>
      <c r="B370" s="73"/>
      <c r="C370" s="73"/>
      <c r="D370" s="73"/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  <c r="AI370" s="73"/>
      <c r="AJ370" s="73"/>
      <c r="AK370" s="73"/>
      <c r="AL370" s="73"/>
      <c r="AM370" s="73"/>
      <c r="AN370" s="73"/>
      <c r="AO370" s="73"/>
      <c r="AP370" s="73"/>
      <c r="AQ370" s="73"/>
      <c r="AR370" s="73"/>
      <c r="AS370" s="73"/>
      <c r="AT370" s="73"/>
      <c r="AU370" s="73"/>
      <c r="AV370" s="73"/>
      <c r="AW370" s="73"/>
      <c r="AX370" s="73"/>
      <c r="AY370" s="73"/>
      <c r="AZ370" s="73"/>
      <c r="BA370" s="73"/>
      <c r="BB370" s="73"/>
    </row>
    <row r="371">
      <c r="A371" s="73"/>
      <c r="B371" s="73"/>
      <c r="C371" s="73"/>
      <c r="D371" s="73"/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  <c r="AI371" s="73"/>
      <c r="AJ371" s="73"/>
      <c r="AK371" s="73"/>
      <c r="AL371" s="73"/>
      <c r="AM371" s="73"/>
      <c r="AN371" s="73"/>
      <c r="AO371" s="73"/>
      <c r="AP371" s="73"/>
      <c r="AQ371" s="73"/>
      <c r="AR371" s="73"/>
      <c r="AS371" s="73"/>
      <c r="AT371" s="73"/>
      <c r="AU371" s="73"/>
      <c r="AV371" s="73"/>
      <c r="AW371" s="73"/>
      <c r="AX371" s="73"/>
      <c r="AY371" s="73"/>
      <c r="AZ371" s="73"/>
      <c r="BA371" s="73"/>
      <c r="BB371" s="73"/>
    </row>
    <row r="372">
      <c r="A372" s="73"/>
      <c r="B372" s="73"/>
      <c r="C372" s="73"/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  <c r="AI372" s="73"/>
      <c r="AJ372" s="73"/>
      <c r="AK372" s="73"/>
      <c r="AL372" s="73"/>
      <c r="AM372" s="73"/>
      <c r="AN372" s="73"/>
      <c r="AO372" s="73"/>
      <c r="AP372" s="73"/>
      <c r="AQ372" s="73"/>
      <c r="AR372" s="73"/>
      <c r="AS372" s="73"/>
      <c r="AT372" s="73"/>
      <c r="AU372" s="73"/>
      <c r="AV372" s="73"/>
      <c r="AW372" s="73"/>
      <c r="AX372" s="73"/>
      <c r="AY372" s="73"/>
      <c r="AZ372" s="73"/>
      <c r="BA372" s="73"/>
      <c r="BB372" s="73"/>
    </row>
    <row r="373">
      <c r="A373" s="73"/>
      <c r="B373" s="73"/>
      <c r="C373" s="73"/>
      <c r="D373" s="73"/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  <c r="AI373" s="73"/>
      <c r="AJ373" s="73"/>
      <c r="AK373" s="73"/>
      <c r="AL373" s="73"/>
      <c r="AM373" s="73"/>
      <c r="AN373" s="73"/>
      <c r="AO373" s="73"/>
      <c r="AP373" s="73"/>
      <c r="AQ373" s="73"/>
      <c r="AR373" s="73"/>
      <c r="AS373" s="73"/>
      <c r="AT373" s="73"/>
      <c r="AU373" s="73"/>
      <c r="AV373" s="73"/>
      <c r="AW373" s="73"/>
      <c r="AX373" s="73"/>
      <c r="AY373" s="73"/>
      <c r="AZ373" s="73"/>
      <c r="BA373" s="73"/>
      <c r="BB373" s="73"/>
    </row>
    <row r="374">
      <c r="A374" s="73"/>
      <c r="B374" s="73"/>
      <c r="C374" s="73"/>
      <c r="D374" s="73"/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  <c r="AI374" s="73"/>
      <c r="AJ374" s="73"/>
      <c r="AK374" s="73"/>
      <c r="AL374" s="73"/>
      <c r="AM374" s="73"/>
      <c r="AN374" s="73"/>
      <c r="AO374" s="73"/>
      <c r="AP374" s="73"/>
      <c r="AQ374" s="73"/>
      <c r="AR374" s="73"/>
      <c r="AS374" s="73"/>
      <c r="AT374" s="73"/>
      <c r="AU374" s="73"/>
      <c r="AV374" s="73"/>
      <c r="AW374" s="73"/>
      <c r="AX374" s="73"/>
      <c r="AY374" s="73"/>
      <c r="AZ374" s="73"/>
      <c r="BA374" s="73"/>
      <c r="BB374" s="73"/>
    </row>
    <row r="375">
      <c r="A375" s="73"/>
      <c r="B375" s="73"/>
      <c r="C375" s="73"/>
      <c r="D375" s="73"/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  <c r="AI375" s="73"/>
      <c r="AJ375" s="73"/>
      <c r="AK375" s="73"/>
      <c r="AL375" s="73"/>
      <c r="AM375" s="73"/>
      <c r="AN375" s="73"/>
      <c r="AO375" s="73"/>
      <c r="AP375" s="73"/>
      <c r="AQ375" s="73"/>
      <c r="AR375" s="73"/>
      <c r="AS375" s="73"/>
      <c r="AT375" s="73"/>
      <c r="AU375" s="73"/>
      <c r="AV375" s="73"/>
      <c r="AW375" s="73"/>
      <c r="AX375" s="73"/>
      <c r="AY375" s="73"/>
      <c r="AZ375" s="73"/>
      <c r="BA375" s="73"/>
      <c r="BB375" s="73"/>
    </row>
    <row r="376">
      <c r="A376" s="73"/>
      <c r="B376" s="73"/>
      <c r="C376" s="73"/>
      <c r="D376" s="73"/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  <c r="AI376" s="73"/>
      <c r="AJ376" s="73"/>
      <c r="AK376" s="73"/>
      <c r="AL376" s="73"/>
      <c r="AM376" s="73"/>
      <c r="AN376" s="73"/>
      <c r="AO376" s="73"/>
      <c r="AP376" s="73"/>
      <c r="AQ376" s="73"/>
      <c r="AR376" s="73"/>
      <c r="AS376" s="73"/>
      <c r="AT376" s="73"/>
      <c r="AU376" s="73"/>
      <c r="AV376" s="73"/>
      <c r="AW376" s="73"/>
      <c r="AX376" s="73"/>
      <c r="AY376" s="73"/>
      <c r="AZ376" s="73"/>
      <c r="BA376" s="73"/>
      <c r="BB376" s="73"/>
    </row>
    <row r="377">
      <c r="A377" s="73"/>
      <c r="B377" s="73"/>
      <c r="C377" s="73"/>
      <c r="D377" s="73"/>
      <c r="E377" s="73"/>
      <c r="F377" s="73"/>
      <c r="G377" s="73"/>
      <c r="H377" s="73"/>
      <c r="I377" s="73"/>
      <c r="J377" s="73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73"/>
      <c r="AA377" s="73"/>
      <c r="AB377" s="73"/>
      <c r="AC377" s="73"/>
      <c r="AD377" s="73"/>
      <c r="AE377" s="73"/>
      <c r="AF377" s="73"/>
      <c r="AG377" s="73"/>
      <c r="AH377" s="73"/>
      <c r="AI377" s="73"/>
      <c r="AJ377" s="73"/>
      <c r="AK377" s="73"/>
      <c r="AL377" s="73"/>
      <c r="AM377" s="73"/>
      <c r="AN377" s="73"/>
      <c r="AO377" s="73"/>
      <c r="AP377" s="73"/>
      <c r="AQ377" s="73"/>
      <c r="AR377" s="73"/>
      <c r="AS377" s="73"/>
      <c r="AT377" s="73"/>
      <c r="AU377" s="73"/>
      <c r="AV377" s="73"/>
      <c r="AW377" s="73"/>
      <c r="AX377" s="73"/>
      <c r="AY377" s="73"/>
      <c r="AZ377" s="73"/>
      <c r="BA377" s="73"/>
      <c r="BB377" s="73"/>
    </row>
    <row r="378">
      <c r="A378" s="73"/>
      <c r="B378" s="73"/>
      <c r="C378" s="73"/>
      <c r="D378" s="73"/>
      <c r="E378" s="73"/>
      <c r="F378" s="73"/>
      <c r="G378" s="73"/>
      <c r="H378" s="73"/>
      <c r="I378" s="73"/>
      <c r="J378" s="73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73"/>
      <c r="AA378" s="73"/>
      <c r="AB378" s="73"/>
      <c r="AC378" s="73"/>
      <c r="AD378" s="73"/>
      <c r="AE378" s="73"/>
      <c r="AF378" s="73"/>
      <c r="AG378" s="73"/>
      <c r="AH378" s="73"/>
      <c r="AI378" s="73"/>
      <c r="AJ378" s="73"/>
      <c r="AK378" s="73"/>
      <c r="AL378" s="73"/>
      <c r="AM378" s="73"/>
      <c r="AN378" s="73"/>
      <c r="AO378" s="73"/>
      <c r="AP378" s="73"/>
      <c r="AQ378" s="73"/>
      <c r="AR378" s="73"/>
      <c r="AS378" s="73"/>
      <c r="AT378" s="73"/>
      <c r="AU378" s="73"/>
      <c r="AV378" s="73"/>
      <c r="AW378" s="73"/>
      <c r="AX378" s="73"/>
      <c r="AY378" s="73"/>
      <c r="AZ378" s="73"/>
      <c r="BA378" s="73"/>
      <c r="BB378" s="73"/>
    </row>
    <row r="379">
      <c r="A379" s="73"/>
      <c r="B379" s="73"/>
      <c r="C379" s="73"/>
      <c r="D379" s="73"/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  <c r="AC379" s="73"/>
      <c r="AD379" s="73"/>
      <c r="AE379" s="73"/>
      <c r="AF379" s="73"/>
      <c r="AG379" s="73"/>
      <c r="AH379" s="73"/>
      <c r="AI379" s="73"/>
      <c r="AJ379" s="73"/>
      <c r="AK379" s="73"/>
      <c r="AL379" s="73"/>
      <c r="AM379" s="73"/>
      <c r="AN379" s="73"/>
      <c r="AO379" s="73"/>
      <c r="AP379" s="73"/>
      <c r="AQ379" s="73"/>
      <c r="AR379" s="73"/>
      <c r="AS379" s="73"/>
      <c r="AT379" s="73"/>
      <c r="AU379" s="73"/>
      <c r="AV379" s="73"/>
      <c r="AW379" s="73"/>
      <c r="AX379" s="73"/>
      <c r="AY379" s="73"/>
      <c r="AZ379" s="73"/>
      <c r="BA379" s="73"/>
      <c r="BB379" s="73"/>
    </row>
    <row r="380">
      <c r="A380" s="73"/>
      <c r="B380" s="73"/>
      <c r="C380" s="73"/>
      <c r="D380" s="73"/>
      <c r="E380" s="73"/>
      <c r="F380" s="73"/>
      <c r="G380" s="73"/>
      <c r="H380" s="73"/>
      <c r="I380" s="73"/>
      <c r="J380" s="73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73"/>
      <c r="AA380" s="73"/>
      <c r="AB380" s="73"/>
      <c r="AC380" s="73"/>
      <c r="AD380" s="73"/>
      <c r="AE380" s="73"/>
      <c r="AF380" s="73"/>
      <c r="AG380" s="73"/>
      <c r="AH380" s="73"/>
      <c r="AI380" s="73"/>
      <c r="AJ380" s="73"/>
      <c r="AK380" s="73"/>
      <c r="AL380" s="73"/>
      <c r="AM380" s="73"/>
      <c r="AN380" s="73"/>
      <c r="AO380" s="73"/>
      <c r="AP380" s="73"/>
      <c r="AQ380" s="73"/>
      <c r="AR380" s="73"/>
      <c r="AS380" s="73"/>
      <c r="AT380" s="73"/>
      <c r="AU380" s="73"/>
      <c r="AV380" s="73"/>
      <c r="AW380" s="73"/>
      <c r="AX380" s="73"/>
      <c r="AY380" s="73"/>
      <c r="AZ380" s="73"/>
      <c r="BA380" s="73"/>
      <c r="BB380" s="73"/>
    </row>
    <row r="381">
      <c r="A381" s="73"/>
      <c r="B381" s="73"/>
      <c r="C381" s="73"/>
      <c r="D381" s="73"/>
      <c r="E381" s="73"/>
      <c r="F381" s="73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  <c r="AI381" s="73"/>
      <c r="AJ381" s="73"/>
      <c r="AK381" s="73"/>
      <c r="AL381" s="73"/>
      <c r="AM381" s="73"/>
      <c r="AN381" s="73"/>
      <c r="AO381" s="73"/>
      <c r="AP381" s="73"/>
      <c r="AQ381" s="73"/>
      <c r="AR381" s="73"/>
      <c r="AS381" s="73"/>
      <c r="AT381" s="73"/>
      <c r="AU381" s="73"/>
      <c r="AV381" s="73"/>
      <c r="AW381" s="73"/>
      <c r="AX381" s="73"/>
      <c r="AY381" s="73"/>
      <c r="AZ381" s="73"/>
      <c r="BA381" s="73"/>
      <c r="BB381" s="73"/>
    </row>
    <row r="382">
      <c r="A382" s="73"/>
      <c r="B382" s="73"/>
      <c r="C382" s="73"/>
      <c r="D382" s="73"/>
      <c r="E382" s="73"/>
      <c r="F382" s="73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  <c r="AI382" s="73"/>
      <c r="AJ382" s="73"/>
      <c r="AK382" s="73"/>
      <c r="AL382" s="73"/>
      <c r="AM382" s="73"/>
      <c r="AN382" s="73"/>
      <c r="AO382" s="73"/>
      <c r="AP382" s="73"/>
      <c r="AQ382" s="73"/>
      <c r="AR382" s="73"/>
      <c r="AS382" s="73"/>
      <c r="AT382" s="73"/>
      <c r="AU382" s="73"/>
      <c r="AV382" s="73"/>
      <c r="AW382" s="73"/>
      <c r="AX382" s="73"/>
      <c r="AY382" s="73"/>
      <c r="AZ382" s="73"/>
      <c r="BA382" s="73"/>
      <c r="BB382" s="73"/>
    </row>
    <row r="383">
      <c r="A383" s="73"/>
      <c r="B383" s="73"/>
      <c r="C383" s="73"/>
      <c r="D383" s="73"/>
      <c r="E383" s="73"/>
      <c r="F383" s="73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  <c r="AI383" s="73"/>
      <c r="AJ383" s="73"/>
      <c r="AK383" s="73"/>
      <c r="AL383" s="73"/>
      <c r="AM383" s="73"/>
      <c r="AN383" s="73"/>
      <c r="AO383" s="73"/>
      <c r="AP383" s="73"/>
      <c r="AQ383" s="73"/>
      <c r="AR383" s="73"/>
      <c r="AS383" s="73"/>
      <c r="AT383" s="73"/>
      <c r="AU383" s="73"/>
      <c r="AV383" s="73"/>
      <c r="AW383" s="73"/>
      <c r="AX383" s="73"/>
      <c r="AY383" s="73"/>
      <c r="AZ383" s="73"/>
      <c r="BA383" s="73"/>
      <c r="BB383" s="73"/>
    </row>
    <row r="384">
      <c r="A384" s="73"/>
      <c r="B384" s="73"/>
      <c r="C384" s="73"/>
      <c r="D384" s="73"/>
      <c r="E384" s="73"/>
      <c r="F384" s="73"/>
      <c r="G384" s="73"/>
      <c r="H384" s="73"/>
      <c r="I384" s="73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  <c r="AI384" s="73"/>
      <c r="AJ384" s="73"/>
      <c r="AK384" s="73"/>
      <c r="AL384" s="73"/>
      <c r="AM384" s="73"/>
      <c r="AN384" s="73"/>
      <c r="AO384" s="73"/>
      <c r="AP384" s="73"/>
      <c r="AQ384" s="73"/>
      <c r="AR384" s="73"/>
      <c r="AS384" s="73"/>
      <c r="AT384" s="73"/>
      <c r="AU384" s="73"/>
      <c r="AV384" s="73"/>
      <c r="AW384" s="73"/>
      <c r="AX384" s="73"/>
      <c r="AY384" s="73"/>
      <c r="AZ384" s="73"/>
      <c r="BA384" s="73"/>
      <c r="BB384" s="73"/>
    </row>
    <row r="385">
      <c r="A385" s="73"/>
      <c r="B385" s="73"/>
      <c r="C385" s="73"/>
      <c r="D385" s="73"/>
      <c r="E385" s="73"/>
      <c r="F385" s="73"/>
      <c r="G385" s="73"/>
      <c r="H385" s="73"/>
      <c r="I385" s="73"/>
      <c r="J385" s="73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73"/>
      <c r="AA385" s="73"/>
      <c r="AB385" s="73"/>
      <c r="AC385" s="73"/>
      <c r="AD385" s="73"/>
      <c r="AE385" s="73"/>
      <c r="AF385" s="73"/>
      <c r="AG385" s="73"/>
      <c r="AH385" s="73"/>
      <c r="AI385" s="73"/>
      <c r="AJ385" s="73"/>
      <c r="AK385" s="73"/>
      <c r="AL385" s="73"/>
      <c r="AM385" s="73"/>
      <c r="AN385" s="73"/>
      <c r="AO385" s="73"/>
      <c r="AP385" s="73"/>
      <c r="AQ385" s="73"/>
      <c r="AR385" s="73"/>
      <c r="AS385" s="73"/>
      <c r="AT385" s="73"/>
      <c r="AU385" s="73"/>
      <c r="AV385" s="73"/>
      <c r="AW385" s="73"/>
      <c r="AX385" s="73"/>
      <c r="AY385" s="73"/>
      <c r="AZ385" s="73"/>
      <c r="BA385" s="73"/>
      <c r="BB385" s="73"/>
    </row>
    <row r="386">
      <c r="A386" s="73"/>
      <c r="B386" s="73"/>
      <c r="C386" s="73"/>
      <c r="D386" s="73"/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  <c r="AC386" s="73"/>
      <c r="AD386" s="73"/>
      <c r="AE386" s="73"/>
      <c r="AF386" s="73"/>
      <c r="AG386" s="73"/>
      <c r="AH386" s="73"/>
      <c r="AI386" s="73"/>
      <c r="AJ386" s="73"/>
      <c r="AK386" s="73"/>
      <c r="AL386" s="73"/>
      <c r="AM386" s="73"/>
      <c r="AN386" s="73"/>
      <c r="AO386" s="73"/>
      <c r="AP386" s="73"/>
      <c r="AQ386" s="73"/>
      <c r="AR386" s="73"/>
      <c r="AS386" s="73"/>
      <c r="AT386" s="73"/>
      <c r="AU386" s="73"/>
      <c r="AV386" s="73"/>
      <c r="AW386" s="73"/>
      <c r="AX386" s="73"/>
      <c r="AY386" s="73"/>
      <c r="AZ386" s="73"/>
      <c r="BA386" s="73"/>
      <c r="BB386" s="73"/>
    </row>
    <row r="387">
      <c r="A387" s="73"/>
      <c r="B387" s="73"/>
      <c r="C387" s="73"/>
      <c r="D387" s="73"/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  <c r="AC387" s="73"/>
      <c r="AD387" s="73"/>
      <c r="AE387" s="73"/>
      <c r="AF387" s="73"/>
      <c r="AG387" s="73"/>
      <c r="AH387" s="73"/>
      <c r="AI387" s="73"/>
      <c r="AJ387" s="73"/>
      <c r="AK387" s="73"/>
      <c r="AL387" s="73"/>
      <c r="AM387" s="73"/>
      <c r="AN387" s="73"/>
      <c r="AO387" s="73"/>
      <c r="AP387" s="73"/>
      <c r="AQ387" s="73"/>
      <c r="AR387" s="73"/>
      <c r="AS387" s="73"/>
      <c r="AT387" s="73"/>
      <c r="AU387" s="73"/>
      <c r="AV387" s="73"/>
      <c r="AW387" s="73"/>
      <c r="AX387" s="73"/>
      <c r="AY387" s="73"/>
      <c r="AZ387" s="73"/>
      <c r="BA387" s="73"/>
      <c r="BB387" s="73"/>
    </row>
    <row r="388">
      <c r="A388" s="73"/>
      <c r="B388" s="73"/>
      <c r="C388" s="73"/>
      <c r="D388" s="73"/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  <c r="AC388" s="73"/>
      <c r="AD388" s="73"/>
      <c r="AE388" s="73"/>
      <c r="AF388" s="73"/>
      <c r="AG388" s="73"/>
      <c r="AH388" s="73"/>
      <c r="AI388" s="73"/>
      <c r="AJ388" s="73"/>
      <c r="AK388" s="73"/>
      <c r="AL388" s="73"/>
      <c r="AM388" s="73"/>
      <c r="AN388" s="73"/>
      <c r="AO388" s="73"/>
      <c r="AP388" s="73"/>
      <c r="AQ388" s="73"/>
      <c r="AR388" s="73"/>
      <c r="AS388" s="73"/>
      <c r="AT388" s="73"/>
      <c r="AU388" s="73"/>
      <c r="AV388" s="73"/>
      <c r="AW388" s="73"/>
      <c r="AX388" s="73"/>
      <c r="AY388" s="73"/>
      <c r="AZ388" s="73"/>
      <c r="BA388" s="73"/>
      <c r="BB388" s="73"/>
    </row>
    <row r="389">
      <c r="A389" s="73"/>
      <c r="B389" s="73"/>
      <c r="C389" s="73"/>
      <c r="D389" s="73"/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  <c r="AC389" s="73"/>
      <c r="AD389" s="73"/>
      <c r="AE389" s="73"/>
      <c r="AF389" s="73"/>
      <c r="AG389" s="73"/>
      <c r="AH389" s="73"/>
      <c r="AI389" s="73"/>
      <c r="AJ389" s="73"/>
      <c r="AK389" s="73"/>
      <c r="AL389" s="73"/>
      <c r="AM389" s="73"/>
      <c r="AN389" s="73"/>
      <c r="AO389" s="73"/>
      <c r="AP389" s="73"/>
      <c r="AQ389" s="73"/>
      <c r="AR389" s="73"/>
      <c r="AS389" s="73"/>
      <c r="AT389" s="73"/>
      <c r="AU389" s="73"/>
      <c r="AV389" s="73"/>
      <c r="AW389" s="73"/>
      <c r="AX389" s="73"/>
      <c r="AY389" s="73"/>
      <c r="AZ389" s="73"/>
      <c r="BA389" s="73"/>
      <c r="BB389" s="73"/>
    </row>
    <row r="390">
      <c r="A390" s="73"/>
      <c r="B390" s="73"/>
      <c r="C390" s="73"/>
      <c r="D390" s="73"/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  <c r="AC390" s="73"/>
      <c r="AD390" s="73"/>
      <c r="AE390" s="73"/>
      <c r="AF390" s="73"/>
      <c r="AG390" s="73"/>
      <c r="AH390" s="73"/>
      <c r="AI390" s="73"/>
      <c r="AJ390" s="73"/>
      <c r="AK390" s="73"/>
      <c r="AL390" s="73"/>
      <c r="AM390" s="73"/>
      <c r="AN390" s="73"/>
      <c r="AO390" s="73"/>
      <c r="AP390" s="73"/>
      <c r="AQ390" s="73"/>
      <c r="AR390" s="73"/>
      <c r="AS390" s="73"/>
      <c r="AT390" s="73"/>
      <c r="AU390" s="73"/>
      <c r="AV390" s="73"/>
      <c r="AW390" s="73"/>
      <c r="AX390" s="73"/>
      <c r="AY390" s="73"/>
      <c r="AZ390" s="73"/>
      <c r="BA390" s="73"/>
      <c r="BB390" s="73"/>
    </row>
    <row r="391">
      <c r="A391" s="73"/>
      <c r="B391" s="73"/>
      <c r="C391" s="73"/>
      <c r="D391" s="73"/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  <c r="AC391" s="73"/>
      <c r="AD391" s="73"/>
      <c r="AE391" s="73"/>
      <c r="AF391" s="73"/>
      <c r="AG391" s="73"/>
      <c r="AH391" s="73"/>
      <c r="AI391" s="73"/>
      <c r="AJ391" s="73"/>
      <c r="AK391" s="73"/>
      <c r="AL391" s="73"/>
      <c r="AM391" s="73"/>
      <c r="AN391" s="73"/>
      <c r="AO391" s="73"/>
      <c r="AP391" s="73"/>
      <c r="AQ391" s="73"/>
      <c r="AR391" s="73"/>
      <c r="AS391" s="73"/>
      <c r="AT391" s="73"/>
      <c r="AU391" s="73"/>
      <c r="AV391" s="73"/>
      <c r="AW391" s="73"/>
      <c r="AX391" s="73"/>
      <c r="AY391" s="73"/>
      <c r="AZ391" s="73"/>
      <c r="BA391" s="73"/>
      <c r="BB391" s="73"/>
    </row>
    <row r="392">
      <c r="A392" s="73"/>
      <c r="B392" s="73"/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  <c r="AC392" s="73"/>
      <c r="AD392" s="73"/>
      <c r="AE392" s="73"/>
      <c r="AF392" s="73"/>
      <c r="AG392" s="73"/>
      <c r="AH392" s="73"/>
      <c r="AI392" s="73"/>
      <c r="AJ392" s="73"/>
      <c r="AK392" s="73"/>
      <c r="AL392" s="73"/>
      <c r="AM392" s="73"/>
      <c r="AN392" s="73"/>
      <c r="AO392" s="73"/>
      <c r="AP392" s="73"/>
      <c r="AQ392" s="73"/>
      <c r="AR392" s="73"/>
      <c r="AS392" s="73"/>
      <c r="AT392" s="73"/>
      <c r="AU392" s="73"/>
      <c r="AV392" s="73"/>
      <c r="AW392" s="73"/>
      <c r="AX392" s="73"/>
      <c r="AY392" s="73"/>
      <c r="AZ392" s="73"/>
      <c r="BA392" s="73"/>
      <c r="BB392" s="73"/>
    </row>
    <row r="393">
      <c r="A393" s="73"/>
      <c r="B393" s="73"/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  <c r="AI393" s="73"/>
      <c r="AJ393" s="73"/>
      <c r="AK393" s="73"/>
      <c r="AL393" s="73"/>
      <c r="AM393" s="73"/>
      <c r="AN393" s="73"/>
      <c r="AO393" s="73"/>
      <c r="AP393" s="73"/>
      <c r="AQ393" s="73"/>
      <c r="AR393" s="73"/>
      <c r="AS393" s="73"/>
      <c r="AT393" s="73"/>
      <c r="AU393" s="73"/>
      <c r="AV393" s="73"/>
      <c r="AW393" s="73"/>
      <c r="AX393" s="73"/>
      <c r="AY393" s="73"/>
      <c r="AZ393" s="73"/>
      <c r="BA393" s="73"/>
      <c r="BB393" s="73"/>
    </row>
    <row r="394">
      <c r="A394" s="73"/>
      <c r="B394" s="73"/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  <c r="AI394" s="73"/>
      <c r="AJ394" s="73"/>
      <c r="AK394" s="73"/>
      <c r="AL394" s="73"/>
      <c r="AM394" s="73"/>
      <c r="AN394" s="73"/>
      <c r="AO394" s="73"/>
      <c r="AP394" s="73"/>
      <c r="AQ394" s="73"/>
      <c r="AR394" s="73"/>
      <c r="AS394" s="73"/>
      <c r="AT394" s="73"/>
      <c r="AU394" s="73"/>
      <c r="AV394" s="73"/>
      <c r="AW394" s="73"/>
      <c r="AX394" s="73"/>
      <c r="AY394" s="73"/>
      <c r="AZ394" s="73"/>
      <c r="BA394" s="73"/>
      <c r="BB394" s="73"/>
    </row>
    <row r="395">
      <c r="A395" s="73"/>
      <c r="B395" s="73"/>
      <c r="C395" s="73"/>
      <c r="D395" s="73"/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  <c r="AC395" s="73"/>
      <c r="AD395" s="73"/>
      <c r="AE395" s="73"/>
      <c r="AF395" s="73"/>
      <c r="AG395" s="73"/>
      <c r="AH395" s="73"/>
      <c r="AI395" s="73"/>
      <c r="AJ395" s="73"/>
      <c r="AK395" s="73"/>
      <c r="AL395" s="73"/>
      <c r="AM395" s="73"/>
      <c r="AN395" s="73"/>
      <c r="AO395" s="73"/>
      <c r="AP395" s="73"/>
      <c r="AQ395" s="73"/>
      <c r="AR395" s="73"/>
      <c r="AS395" s="73"/>
      <c r="AT395" s="73"/>
      <c r="AU395" s="73"/>
      <c r="AV395" s="73"/>
      <c r="AW395" s="73"/>
      <c r="AX395" s="73"/>
      <c r="AY395" s="73"/>
      <c r="AZ395" s="73"/>
      <c r="BA395" s="73"/>
      <c r="BB395" s="73"/>
    </row>
    <row r="396">
      <c r="A396" s="73"/>
      <c r="B396" s="73"/>
      <c r="C396" s="73"/>
      <c r="D396" s="73"/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  <c r="AI396" s="73"/>
      <c r="AJ396" s="73"/>
      <c r="AK396" s="73"/>
      <c r="AL396" s="73"/>
      <c r="AM396" s="73"/>
      <c r="AN396" s="73"/>
      <c r="AO396" s="73"/>
      <c r="AP396" s="73"/>
      <c r="AQ396" s="73"/>
      <c r="AR396" s="73"/>
      <c r="AS396" s="73"/>
      <c r="AT396" s="73"/>
      <c r="AU396" s="73"/>
      <c r="AV396" s="73"/>
      <c r="AW396" s="73"/>
      <c r="AX396" s="73"/>
      <c r="AY396" s="73"/>
      <c r="AZ396" s="73"/>
      <c r="BA396" s="73"/>
      <c r="BB396" s="73"/>
    </row>
    <row r="397">
      <c r="A397" s="73"/>
      <c r="B397" s="73"/>
      <c r="C397" s="73"/>
      <c r="D397" s="73"/>
      <c r="E397" s="73"/>
      <c r="F397" s="73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  <c r="AI397" s="73"/>
      <c r="AJ397" s="73"/>
      <c r="AK397" s="73"/>
      <c r="AL397" s="73"/>
      <c r="AM397" s="73"/>
      <c r="AN397" s="73"/>
      <c r="AO397" s="73"/>
      <c r="AP397" s="73"/>
      <c r="AQ397" s="73"/>
      <c r="AR397" s="73"/>
      <c r="AS397" s="73"/>
      <c r="AT397" s="73"/>
      <c r="AU397" s="73"/>
      <c r="AV397" s="73"/>
      <c r="AW397" s="73"/>
      <c r="AX397" s="73"/>
      <c r="AY397" s="73"/>
      <c r="AZ397" s="73"/>
      <c r="BA397" s="73"/>
      <c r="BB397" s="73"/>
    </row>
    <row r="398">
      <c r="A398" s="73"/>
      <c r="B398" s="73"/>
      <c r="C398" s="73"/>
      <c r="D398" s="73"/>
      <c r="E398" s="73"/>
      <c r="F398" s="73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  <c r="AI398" s="73"/>
      <c r="AJ398" s="73"/>
      <c r="AK398" s="73"/>
      <c r="AL398" s="73"/>
      <c r="AM398" s="73"/>
      <c r="AN398" s="73"/>
      <c r="AO398" s="73"/>
      <c r="AP398" s="73"/>
      <c r="AQ398" s="73"/>
      <c r="AR398" s="73"/>
      <c r="AS398" s="73"/>
      <c r="AT398" s="73"/>
      <c r="AU398" s="73"/>
      <c r="AV398" s="73"/>
      <c r="AW398" s="73"/>
      <c r="AX398" s="73"/>
      <c r="AY398" s="73"/>
      <c r="AZ398" s="73"/>
      <c r="BA398" s="73"/>
      <c r="BB398" s="73"/>
    </row>
    <row r="399">
      <c r="A399" s="73"/>
      <c r="B399" s="73"/>
      <c r="C399" s="73"/>
      <c r="D399" s="73"/>
      <c r="E399" s="73"/>
      <c r="F399" s="73"/>
      <c r="G399" s="73"/>
      <c r="H399" s="73"/>
      <c r="I399" s="73"/>
      <c r="J399" s="73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  <c r="V399" s="73"/>
      <c r="W399" s="73"/>
      <c r="X399" s="73"/>
      <c r="Y399" s="73"/>
      <c r="Z399" s="73"/>
      <c r="AA399" s="73"/>
      <c r="AB399" s="73"/>
      <c r="AC399" s="73"/>
      <c r="AD399" s="73"/>
      <c r="AE399" s="73"/>
      <c r="AF399" s="73"/>
      <c r="AG399" s="73"/>
      <c r="AH399" s="73"/>
      <c r="AI399" s="73"/>
      <c r="AJ399" s="73"/>
      <c r="AK399" s="73"/>
      <c r="AL399" s="73"/>
      <c r="AM399" s="73"/>
      <c r="AN399" s="73"/>
      <c r="AO399" s="73"/>
      <c r="AP399" s="73"/>
      <c r="AQ399" s="73"/>
      <c r="AR399" s="73"/>
      <c r="AS399" s="73"/>
      <c r="AT399" s="73"/>
      <c r="AU399" s="73"/>
      <c r="AV399" s="73"/>
      <c r="AW399" s="73"/>
      <c r="AX399" s="73"/>
      <c r="AY399" s="73"/>
      <c r="AZ399" s="73"/>
      <c r="BA399" s="73"/>
      <c r="BB399" s="73"/>
    </row>
    <row r="400">
      <c r="A400" s="73"/>
      <c r="B400" s="73"/>
      <c r="C400" s="73"/>
      <c r="D400" s="73"/>
      <c r="E400" s="73"/>
      <c r="F400" s="73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  <c r="AI400" s="73"/>
      <c r="AJ400" s="73"/>
      <c r="AK400" s="73"/>
      <c r="AL400" s="73"/>
      <c r="AM400" s="73"/>
      <c r="AN400" s="73"/>
      <c r="AO400" s="73"/>
      <c r="AP400" s="73"/>
      <c r="AQ400" s="73"/>
      <c r="AR400" s="73"/>
      <c r="AS400" s="73"/>
      <c r="AT400" s="73"/>
      <c r="AU400" s="73"/>
      <c r="AV400" s="73"/>
      <c r="AW400" s="73"/>
      <c r="AX400" s="73"/>
      <c r="AY400" s="73"/>
      <c r="AZ400" s="73"/>
      <c r="BA400" s="73"/>
      <c r="BB400" s="73"/>
    </row>
    <row r="401">
      <c r="A401" s="73"/>
      <c r="B401" s="73"/>
      <c r="C401" s="73"/>
      <c r="D401" s="73"/>
      <c r="E401" s="73"/>
      <c r="F401" s="73"/>
      <c r="G401" s="73"/>
      <c r="H401" s="73"/>
      <c r="I401" s="73"/>
      <c r="J401" s="73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  <c r="AI401" s="73"/>
      <c r="AJ401" s="73"/>
      <c r="AK401" s="73"/>
      <c r="AL401" s="73"/>
      <c r="AM401" s="73"/>
      <c r="AN401" s="73"/>
      <c r="AO401" s="73"/>
      <c r="AP401" s="73"/>
      <c r="AQ401" s="73"/>
      <c r="AR401" s="73"/>
      <c r="AS401" s="73"/>
      <c r="AT401" s="73"/>
      <c r="AU401" s="73"/>
      <c r="AV401" s="73"/>
      <c r="AW401" s="73"/>
      <c r="AX401" s="73"/>
      <c r="AY401" s="73"/>
      <c r="AZ401" s="73"/>
      <c r="BA401" s="73"/>
      <c r="BB401" s="73"/>
    </row>
    <row r="402">
      <c r="A402" s="73"/>
      <c r="B402" s="73"/>
      <c r="C402" s="73"/>
      <c r="D402" s="73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  <c r="AI402" s="73"/>
      <c r="AJ402" s="73"/>
      <c r="AK402" s="73"/>
      <c r="AL402" s="73"/>
      <c r="AM402" s="73"/>
      <c r="AN402" s="73"/>
      <c r="AO402" s="73"/>
      <c r="AP402" s="73"/>
      <c r="AQ402" s="73"/>
      <c r="AR402" s="73"/>
      <c r="AS402" s="73"/>
      <c r="AT402" s="73"/>
      <c r="AU402" s="73"/>
      <c r="AV402" s="73"/>
      <c r="AW402" s="73"/>
      <c r="AX402" s="73"/>
      <c r="AY402" s="73"/>
      <c r="AZ402" s="73"/>
      <c r="BA402" s="73"/>
      <c r="BB402" s="73"/>
    </row>
    <row r="403">
      <c r="A403" s="73"/>
      <c r="B403" s="73"/>
      <c r="C403" s="73"/>
      <c r="D403" s="73"/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E403" s="73"/>
      <c r="AF403" s="73"/>
      <c r="AG403" s="73"/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</row>
    <row r="404">
      <c r="A404" s="73"/>
      <c r="B404" s="73"/>
      <c r="C404" s="73"/>
      <c r="D404" s="73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E404" s="73"/>
      <c r="AF404" s="73"/>
      <c r="AG404" s="73"/>
      <c r="AH404" s="73"/>
      <c r="AI404" s="73"/>
      <c r="AJ404" s="73"/>
      <c r="AK404" s="73"/>
      <c r="AL404" s="73"/>
      <c r="AM404" s="73"/>
      <c r="AN404" s="73"/>
      <c r="AO404" s="73"/>
      <c r="AP404" s="73"/>
      <c r="AQ404" s="73"/>
      <c r="AR404" s="73"/>
      <c r="AS404" s="73"/>
      <c r="AT404" s="73"/>
      <c r="AU404" s="73"/>
      <c r="AV404" s="73"/>
      <c r="AW404" s="73"/>
      <c r="AX404" s="73"/>
      <c r="AY404" s="73"/>
      <c r="AZ404" s="73"/>
      <c r="BA404" s="73"/>
      <c r="BB404" s="73"/>
    </row>
    <row r="405">
      <c r="A405" s="73"/>
      <c r="B405" s="73"/>
      <c r="C405" s="73"/>
      <c r="D405" s="73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  <c r="AI405" s="73"/>
      <c r="AJ405" s="73"/>
      <c r="AK405" s="73"/>
      <c r="AL405" s="73"/>
      <c r="AM405" s="73"/>
      <c r="AN405" s="73"/>
      <c r="AO405" s="73"/>
      <c r="AP405" s="73"/>
      <c r="AQ405" s="73"/>
      <c r="AR405" s="73"/>
      <c r="AS405" s="73"/>
      <c r="AT405" s="73"/>
      <c r="AU405" s="73"/>
      <c r="AV405" s="73"/>
      <c r="AW405" s="73"/>
      <c r="AX405" s="73"/>
      <c r="AY405" s="73"/>
      <c r="AZ405" s="73"/>
      <c r="BA405" s="73"/>
      <c r="BB405" s="73"/>
    </row>
    <row r="406">
      <c r="A406" s="73"/>
      <c r="B406" s="73"/>
      <c r="C406" s="73"/>
      <c r="D406" s="73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  <c r="AE406" s="73"/>
      <c r="AF406" s="73"/>
      <c r="AG406" s="73"/>
      <c r="AH406" s="73"/>
      <c r="AI406" s="73"/>
      <c r="AJ406" s="73"/>
      <c r="AK406" s="73"/>
      <c r="AL406" s="73"/>
      <c r="AM406" s="73"/>
      <c r="AN406" s="73"/>
      <c r="AO406" s="73"/>
      <c r="AP406" s="73"/>
      <c r="AQ406" s="73"/>
      <c r="AR406" s="73"/>
      <c r="AS406" s="73"/>
      <c r="AT406" s="73"/>
      <c r="AU406" s="73"/>
      <c r="AV406" s="73"/>
      <c r="AW406" s="73"/>
      <c r="AX406" s="73"/>
      <c r="AY406" s="73"/>
      <c r="AZ406" s="73"/>
      <c r="BA406" s="73"/>
      <c r="BB406" s="73"/>
    </row>
    <row r="407">
      <c r="A407" s="73"/>
      <c r="B407" s="73"/>
      <c r="C407" s="73"/>
      <c r="D407" s="73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  <c r="AE407" s="73"/>
      <c r="AF407" s="73"/>
      <c r="AG407" s="73"/>
      <c r="AH407" s="73"/>
      <c r="AI407" s="73"/>
      <c r="AJ407" s="73"/>
      <c r="AK407" s="73"/>
      <c r="AL407" s="73"/>
      <c r="AM407" s="73"/>
      <c r="AN407" s="73"/>
      <c r="AO407" s="73"/>
      <c r="AP407" s="73"/>
      <c r="AQ407" s="73"/>
      <c r="AR407" s="73"/>
      <c r="AS407" s="73"/>
      <c r="AT407" s="73"/>
      <c r="AU407" s="73"/>
      <c r="AV407" s="73"/>
      <c r="AW407" s="73"/>
      <c r="AX407" s="73"/>
      <c r="AY407" s="73"/>
      <c r="AZ407" s="73"/>
      <c r="BA407" s="73"/>
      <c r="BB407" s="73"/>
    </row>
    <row r="408">
      <c r="A408" s="73"/>
      <c r="B408" s="73"/>
      <c r="C408" s="73"/>
      <c r="D408" s="73"/>
      <c r="E408" s="73"/>
      <c r="F408" s="73"/>
      <c r="G408" s="73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73"/>
      <c r="V408" s="73"/>
      <c r="W408" s="73"/>
      <c r="X408" s="73"/>
      <c r="Y408" s="73"/>
      <c r="Z408" s="73"/>
      <c r="AA408" s="73"/>
      <c r="AB408" s="73"/>
      <c r="AC408" s="73"/>
      <c r="AD408" s="73"/>
      <c r="AE408" s="73"/>
      <c r="AF408" s="73"/>
      <c r="AG408" s="73"/>
      <c r="AH408" s="73"/>
      <c r="AI408" s="73"/>
      <c r="AJ408" s="73"/>
      <c r="AK408" s="73"/>
      <c r="AL408" s="73"/>
      <c r="AM408" s="73"/>
      <c r="AN408" s="73"/>
      <c r="AO408" s="73"/>
      <c r="AP408" s="73"/>
      <c r="AQ408" s="73"/>
      <c r="AR408" s="73"/>
      <c r="AS408" s="73"/>
      <c r="AT408" s="73"/>
      <c r="AU408" s="73"/>
      <c r="AV408" s="73"/>
      <c r="AW408" s="73"/>
      <c r="AX408" s="73"/>
      <c r="AY408" s="73"/>
      <c r="AZ408" s="73"/>
      <c r="BA408" s="73"/>
      <c r="BB408" s="73"/>
    </row>
    <row r="409">
      <c r="A409" s="73"/>
      <c r="B409" s="73"/>
      <c r="C409" s="73"/>
      <c r="D409" s="73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73"/>
      <c r="AA409" s="73"/>
      <c r="AB409" s="73"/>
      <c r="AC409" s="73"/>
      <c r="AD409" s="73"/>
      <c r="AE409" s="73"/>
      <c r="AF409" s="73"/>
      <c r="AG409" s="73"/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</row>
    <row r="410">
      <c r="A410" s="73"/>
      <c r="B410" s="73"/>
      <c r="C410" s="73"/>
      <c r="D410" s="73"/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E410" s="73"/>
      <c r="AF410" s="73"/>
      <c r="AG410" s="73"/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</row>
    <row r="411">
      <c r="A411" s="73"/>
      <c r="B411" s="73"/>
      <c r="C411" s="73"/>
      <c r="D411" s="73"/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E411" s="73"/>
      <c r="AF411" s="73"/>
      <c r="AG411" s="73"/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</row>
    <row r="412">
      <c r="A412" s="73"/>
      <c r="B412" s="73"/>
      <c r="C412" s="73"/>
      <c r="D412" s="73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</row>
    <row r="413">
      <c r="A413" s="73"/>
      <c r="B413" s="73"/>
      <c r="C413" s="73"/>
      <c r="D413" s="73"/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</row>
    <row r="414">
      <c r="A414" s="73"/>
      <c r="B414" s="73"/>
      <c r="C414" s="73"/>
      <c r="D414" s="73"/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E414" s="73"/>
      <c r="AF414" s="73"/>
      <c r="AG414" s="73"/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</row>
    <row r="415">
      <c r="A415" s="73"/>
      <c r="B415" s="73"/>
      <c r="C415" s="73"/>
      <c r="D415" s="73"/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E415" s="73"/>
      <c r="AF415" s="73"/>
      <c r="AG415" s="73"/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</row>
    <row r="416">
      <c r="A416" s="73"/>
      <c r="B416" s="73"/>
      <c r="C416" s="73"/>
      <c r="D416" s="73"/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E416" s="73"/>
      <c r="AF416" s="73"/>
      <c r="AG416" s="73"/>
      <c r="AH416" s="73"/>
      <c r="AI416" s="73"/>
      <c r="AJ416" s="73"/>
      <c r="AK416" s="73"/>
      <c r="AL416" s="73"/>
      <c r="AM416" s="73"/>
      <c r="AN416" s="73"/>
      <c r="AO416" s="73"/>
      <c r="AP416" s="73"/>
      <c r="AQ416" s="73"/>
      <c r="AR416" s="73"/>
      <c r="AS416" s="73"/>
      <c r="AT416" s="73"/>
      <c r="AU416" s="73"/>
      <c r="AV416" s="73"/>
      <c r="AW416" s="73"/>
      <c r="AX416" s="73"/>
      <c r="AY416" s="73"/>
      <c r="AZ416" s="73"/>
      <c r="BA416" s="73"/>
      <c r="BB416" s="73"/>
    </row>
    <row r="417">
      <c r="A417" s="73"/>
      <c r="B417" s="73"/>
      <c r="C417" s="73"/>
      <c r="D417" s="73"/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E417" s="73"/>
      <c r="AF417" s="73"/>
      <c r="AG417" s="73"/>
      <c r="AH417" s="73"/>
      <c r="AI417" s="73"/>
      <c r="AJ417" s="73"/>
      <c r="AK417" s="73"/>
      <c r="AL417" s="73"/>
      <c r="AM417" s="73"/>
      <c r="AN417" s="73"/>
      <c r="AO417" s="73"/>
      <c r="AP417" s="73"/>
      <c r="AQ417" s="73"/>
      <c r="AR417" s="73"/>
      <c r="AS417" s="73"/>
      <c r="AT417" s="73"/>
      <c r="AU417" s="73"/>
      <c r="AV417" s="73"/>
      <c r="AW417" s="73"/>
      <c r="AX417" s="73"/>
      <c r="AY417" s="73"/>
      <c r="AZ417" s="73"/>
      <c r="BA417" s="73"/>
      <c r="BB417" s="73"/>
    </row>
    <row r="418">
      <c r="A418" s="73"/>
      <c r="B418" s="73"/>
      <c r="C418" s="73"/>
      <c r="D418" s="73"/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3"/>
      <c r="Z418" s="73"/>
      <c r="AA418" s="73"/>
      <c r="AB418" s="73"/>
      <c r="AC418" s="73"/>
      <c r="AD418" s="73"/>
      <c r="AE418" s="73"/>
      <c r="AF418" s="73"/>
      <c r="AG418" s="73"/>
      <c r="AH418" s="73"/>
      <c r="AI418" s="73"/>
      <c r="AJ418" s="73"/>
      <c r="AK418" s="73"/>
      <c r="AL418" s="73"/>
      <c r="AM418" s="73"/>
      <c r="AN418" s="73"/>
      <c r="AO418" s="73"/>
      <c r="AP418" s="73"/>
      <c r="AQ418" s="73"/>
      <c r="AR418" s="73"/>
      <c r="AS418" s="73"/>
      <c r="AT418" s="73"/>
      <c r="AU418" s="73"/>
      <c r="AV418" s="73"/>
      <c r="AW418" s="73"/>
      <c r="AX418" s="73"/>
      <c r="AY418" s="73"/>
      <c r="AZ418" s="73"/>
      <c r="BA418" s="73"/>
      <c r="BB418" s="73"/>
    </row>
    <row r="419">
      <c r="A419" s="73"/>
      <c r="B419" s="73"/>
      <c r="C419" s="73"/>
      <c r="D419" s="73"/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  <c r="AE419" s="73"/>
      <c r="AF419" s="73"/>
      <c r="AG419" s="73"/>
      <c r="AH419" s="73"/>
      <c r="AI419" s="73"/>
      <c r="AJ419" s="73"/>
      <c r="AK419" s="73"/>
      <c r="AL419" s="73"/>
      <c r="AM419" s="73"/>
      <c r="AN419" s="73"/>
      <c r="AO419" s="73"/>
      <c r="AP419" s="73"/>
      <c r="AQ419" s="73"/>
      <c r="AR419" s="73"/>
      <c r="AS419" s="73"/>
      <c r="AT419" s="73"/>
      <c r="AU419" s="73"/>
      <c r="AV419" s="73"/>
      <c r="AW419" s="73"/>
      <c r="AX419" s="73"/>
      <c r="AY419" s="73"/>
      <c r="AZ419" s="73"/>
      <c r="BA419" s="73"/>
      <c r="BB419" s="73"/>
    </row>
    <row r="420">
      <c r="A420" s="73"/>
      <c r="B420" s="73"/>
      <c r="C420" s="73"/>
      <c r="D420" s="73"/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</row>
    <row r="421">
      <c r="A421" s="73"/>
      <c r="B421" s="73"/>
      <c r="C421" s="73"/>
      <c r="D421" s="73"/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  <c r="AE421" s="73"/>
      <c r="AF421" s="73"/>
      <c r="AG421" s="73"/>
      <c r="AH421" s="73"/>
      <c r="AI421" s="73"/>
      <c r="AJ421" s="73"/>
      <c r="AK421" s="73"/>
      <c r="AL421" s="73"/>
      <c r="AM421" s="73"/>
      <c r="AN421" s="73"/>
      <c r="AO421" s="73"/>
      <c r="AP421" s="73"/>
      <c r="AQ421" s="73"/>
      <c r="AR421" s="73"/>
      <c r="AS421" s="73"/>
      <c r="AT421" s="73"/>
      <c r="AU421" s="73"/>
      <c r="AV421" s="73"/>
      <c r="AW421" s="73"/>
      <c r="AX421" s="73"/>
      <c r="AY421" s="73"/>
      <c r="AZ421" s="73"/>
      <c r="BA421" s="73"/>
      <c r="BB421" s="73"/>
    </row>
    <row r="422">
      <c r="A422" s="73"/>
      <c r="B422" s="73"/>
      <c r="C422" s="73"/>
      <c r="D422" s="73"/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  <c r="AE422" s="73"/>
      <c r="AF422" s="73"/>
      <c r="AG422" s="73"/>
      <c r="AH422" s="73"/>
      <c r="AI422" s="73"/>
      <c r="AJ422" s="73"/>
      <c r="AK422" s="73"/>
      <c r="AL422" s="73"/>
      <c r="AM422" s="73"/>
      <c r="AN422" s="73"/>
      <c r="AO422" s="73"/>
      <c r="AP422" s="73"/>
      <c r="AQ422" s="73"/>
      <c r="AR422" s="73"/>
      <c r="AS422" s="73"/>
      <c r="AT422" s="73"/>
      <c r="AU422" s="73"/>
      <c r="AV422" s="73"/>
      <c r="AW422" s="73"/>
      <c r="AX422" s="73"/>
      <c r="AY422" s="73"/>
      <c r="AZ422" s="73"/>
      <c r="BA422" s="73"/>
      <c r="BB422" s="73"/>
    </row>
    <row r="423">
      <c r="A423" s="73"/>
      <c r="B423" s="73"/>
      <c r="C423" s="73"/>
      <c r="D423" s="73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  <c r="V423" s="73"/>
      <c r="W423" s="73"/>
      <c r="X423" s="73"/>
      <c r="Y423" s="73"/>
      <c r="Z423" s="73"/>
      <c r="AA423" s="73"/>
      <c r="AB423" s="73"/>
      <c r="AC423" s="73"/>
      <c r="AD423" s="73"/>
      <c r="AE423" s="73"/>
      <c r="AF423" s="73"/>
      <c r="AG423" s="73"/>
      <c r="AH423" s="73"/>
      <c r="AI423" s="73"/>
      <c r="AJ423" s="73"/>
      <c r="AK423" s="73"/>
      <c r="AL423" s="73"/>
      <c r="AM423" s="73"/>
      <c r="AN423" s="73"/>
      <c r="AO423" s="73"/>
      <c r="AP423" s="73"/>
      <c r="AQ423" s="73"/>
      <c r="AR423" s="73"/>
      <c r="AS423" s="73"/>
      <c r="AT423" s="73"/>
      <c r="AU423" s="73"/>
      <c r="AV423" s="73"/>
      <c r="AW423" s="73"/>
      <c r="AX423" s="73"/>
      <c r="AY423" s="73"/>
      <c r="AZ423" s="73"/>
      <c r="BA423" s="73"/>
      <c r="BB423" s="73"/>
    </row>
    <row r="424">
      <c r="A424" s="73"/>
      <c r="B424" s="73"/>
      <c r="C424" s="73"/>
      <c r="D424" s="73"/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  <c r="AI424" s="73"/>
      <c r="AJ424" s="73"/>
      <c r="AK424" s="73"/>
      <c r="AL424" s="73"/>
      <c r="AM424" s="73"/>
      <c r="AN424" s="73"/>
      <c r="AO424" s="73"/>
      <c r="AP424" s="73"/>
      <c r="AQ424" s="73"/>
      <c r="AR424" s="73"/>
      <c r="AS424" s="73"/>
      <c r="AT424" s="73"/>
      <c r="AU424" s="73"/>
      <c r="AV424" s="73"/>
      <c r="AW424" s="73"/>
      <c r="AX424" s="73"/>
      <c r="AY424" s="73"/>
      <c r="AZ424" s="73"/>
      <c r="BA424" s="73"/>
      <c r="BB424" s="73"/>
    </row>
    <row r="425">
      <c r="A425" s="73"/>
      <c r="B425" s="73"/>
      <c r="C425" s="73"/>
      <c r="D425" s="73"/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E425" s="73"/>
      <c r="AF425" s="73"/>
      <c r="AG425" s="73"/>
      <c r="AH425" s="73"/>
      <c r="AI425" s="73"/>
      <c r="AJ425" s="73"/>
      <c r="AK425" s="73"/>
      <c r="AL425" s="73"/>
      <c r="AM425" s="73"/>
      <c r="AN425" s="73"/>
      <c r="AO425" s="73"/>
      <c r="AP425" s="73"/>
      <c r="AQ425" s="73"/>
      <c r="AR425" s="73"/>
      <c r="AS425" s="73"/>
      <c r="AT425" s="73"/>
      <c r="AU425" s="73"/>
      <c r="AV425" s="73"/>
      <c r="AW425" s="73"/>
      <c r="AX425" s="73"/>
      <c r="AY425" s="73"/>
      <c r="AZ425" s="73"/>
      <c r="BA425" s="73"/>
      <c r="BB425" s="73"/>
    </row>
    <row r="426">
      <c r="A426" s="73"/>
      <c r="B426" s="73"/>
      <c r="C426" s="73"/>
      <c r="D426" s="73"/>
      <c r="E426" s="73"/>
      <c r="F426" s="73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  <c r="V426" s="73"/>
      <c r="W426" s="73"/>
      <c r="X426" s="73"/>
      <c r="Y426" s="73"/>
      <c r="Z426" s="73"/>
      <c r="AA426" s="73"/>
      <c r="AB426" s="73"/>
      <c r="AC426" s="73"/>
      <c r="AD426" s="73"/>
      <c r="AE426" s="73"/>
      <c r="AF426" s="73"/>
      <c r="AG426" s="73"/>
      <c r="AH426" s="73"/>
      <c r="AI426" s="73"/>
      <c r="AJ426" s="73"/>
      <c r="AK426" s="73"/>
      <c r="AL426" s="73"/>
      <c r="AM426" s="73"/>
      <c r="AN426" s="73"/>
      <c r="AO426" s="73"/>
      <c r="AP426" s="73"/>
      <c r="AQ426" s="73"/>
      <c r="AR426" s="73"/>
      <c r="AS426" s="73"/>
      <c r="AT426" s="73"/>
      <c r="AU426" s="73"/>
      <c r="AV426" s="73"/>
      <c r="AW426" s="73"/>
      <c r="AX426" s="73"/>
      <c r="AY426" s="73"/>
      <c r="AZ426" s="73"/>
      <c r="BA426" s="73"/>
      <c r="BB426" s="73"/>
    </row>
    <row r="427">
      <c r="A427" s="73"/>
      <c r="B427" s="73"/>
      <c r="C427" s="73"/>
      <c r="D427" s="73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A427" s="73"/>
      <c r="AB427" s="73"/>
      <c r="AC427" s="73"/>
      <c r="AD427" s="73"/>
      <c r="AE427" s="73"/>
      <c r="AF427" s="73"/>
      <c r="AG427" s="73"/>
      <c r="AH427" s="73"/>
      <c r="AI427" s="73"/>
      <c r="AJ427" s="73"/>
      <c r="AK427" s="73"/>
      <c r="AL427" s="73"/>
      <c r="AM427" s="73"/>
      <c r="AN427" s="73"/>
      <c r="AO427" s="73"/>
      <c r="AP427" s="73"/>
      <c r="AQ427" s="73"/>
      <c r="AR427" s="73"/>
      <c r="AS427" s="73"/>
      <c r="AT427" s="73"/>
      <c r="AU427" s="73"/>
      <c r="AV427" s="73"/>
      <c r="AW427" s="73"/>
      <c r="AX427" s="73"/>
      <c r="AY427" s="73"/>
      <c r="AZ427" s="73"/>
      <c r="BA427" s="73"/>
      <c r="BB427" s="73"/>
    </row>
    <row r="428">
      <c r="A428" s="73"/>
      <c r="B428" s="73"/>
      <c r="C428" s="73"/>
      <c r="D428" s="73"/>
      <c r="E428" s="73"/>
      <c r="F428" s="73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73"/>
      <c r="V428" s="73"/>
      <c r="W428" s="73"/>
      <c r="X428" s="73"/>
      <c r="Y428" s="73"/>
      <c r="Z428" s="73"/>
      <c r="AA428" s="73"/>
      <c r="AB428" s="73"/>
      <c r="AC428" s="73"/>
      <c r="AD428" s="73"/>
      <c r="AE428" s="73"/>
      <c r="AF428" s="73"/>
      <c r="AG428" s="73"/>
      <c r="AH428" s="73"/>
      <c r="AI428" s="73"/>
      <c r="AJ428" s="73"/>
      <c r="AK428" s="73"/>
      <c r="AL428" s="73"/>
      <c r="AM428" s="73"/>
      <c r="AN428" s="73"/>
      <c r="AO428" s="73"/>
      <c r="AP428" s="73"/>
      <c r="AQ428" s="73"/>
      <c r="AR428" s="73"/>
      <c r="AS428" s="73"/>
      <c r="AT428" s="73"/>
      <c r="AU428" s="73"/>
      <c r="AV428" s="73"/>
      <c r="AW428" s="73"/>
      <c r="AX428" s="73"/>
      <c r="AY428" s="73"/>
      <c r="AZ428" s="73"/>
      <c r="BA428" s="73"/>
      <c r="BB428" s="73"/>
    </row>
    <row r="429">
      <c r="A429" s="73"/>
      <c r="B429" s="73"/>
      <c r="C429" s="73"/>
      <c r="D429" s="73"/>
      <c r="E429" s="73"/>
      <c r="F429" s="73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73"/>
      <c r="V429" s="73"/>
      <c r="W429" s="73"/>
      <c r="X429" s="73"/>
      <c r="Y429" s="73"/>
      <c r="Z429" s="73"/>
      <c r="AA429" s="73"/>
      <c r="AB429" s="73"/>
      <c r="AC429" s="73"/>
      <c r="AD429" s="73"/>
      <c r="AE429" s="73"/>
      <c r="AF429" s="73"/>
      <c r="AG429" s="73"/>
      <c r="AH429" s="73"/>
      <c r="AI429" s="73"/>
      <c r="AJ429" s="73"/>
      <c r="AK429" s="73"/>
      <c r="AL429" s="73"/>
      <c r="AM429" s="73"/>
      <c r="AN429" s="73"/>
      <c r="AO429" s="73"/>
      <c r="AP429" s="73"/>
      <c r="AQ429" s="73"/>
      <c r="AR429" s="73"/>
      <c r="AS429" s="73"/>
      <c r="AT429" s="73"/>
      <c r="AU429" s="73"/>
      <c r="AV429" s="73"/>
      <c r="AW429" s="73"/>
      <c r="AX429" s="73"/>
      <c r="AY429" s="73"/>
      <c r="AZ429" s="73"/>
      <c r="BA429" s="73"/>
      <c r="BB429" s="73"/>
    </row>
    <row r="430">
      <c r="A430" s="73"/>
      <c r="B430" s="73"/>
      <c r="C430" s="73"/>
      <c r="D430" s="73"/>
      <c r="E430" s="73"/>
      <c r="F430" s="73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73"/>
      <c r="V430" s="73"/>
      <c r="W430" s="73"/>
      <c r="X430" s="73"/>
      <c r="Y430" s="73"/>
      <c r="Z430" s="73"/>
      <c r="AA430" s="73"/>
      <c r="AB430" s="73"/>
      <c r="AC430" s="73"/>
      <c r="AD430" s="73"/>
      <c r="AE430" s="73"/>
      <c r="AF430" s="73"/>
      <c r="AG430" s="73"/>
      <c r="AH430" s="73"/>
      <c r="AI430" s="73"/>
      <c r="AJ430" s="73"/>
      <c r="AK430" s="73"/>
      <c r="AL430" s="73"/>
      <c r="AM430" s="73"/>
      <c r="AN430" s="73"/>
      <c r="AO430" s="73"/>
      <c r="AP430" s="73"/>
      <c r="AQ430" s="73"/>
      <c r="AR430" s="73"/>
      <c r="AS430" s="73"/>
      <c r="AT430" s="73"/>
      <c r="AU430" s="73"/>
      <c r="AV430" s="73"/>
      <c r="AW430" s="73"/>
      <c r="AX430" s="73"/>
      <c r="AY430" s="73"/>
      <c r="AZ430" s="73"/>
      <c r="BA430" s="73"/>
      <c r="BB430" s="73"/>
    </row>
    <row r="431">
      <c r="A431" s="73"/>
      <c r="B431" s="73"/>
      <c r="C431" s="73"/>
      <c r="D431" s="73"/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E431" s="73"/>
      <c r="AF431" s="73"/>
      <c r="AG431" s="73"/>
      <c r="AH431" s="73"/>
      <c r="AI431" s="73"/>
      <c r="AJ431" s="73"/>
      <c r="AK431" s="73"/>
      <c r="AL431" s="73"/>
      <c r="AM431" s="73"/>
      <c r="AN431" s="73"/>
      <c r="AO431" s="73"/>
      <c r="AP431" s="73"/>
      <c r="AQ431" s="73"/>
      <c r="AR431" s="73"/>
      <c r="AS431" s="73"/>
      <c r="AT431" s="73"/>
      <c r="AU431" s="73"/>
      <c r="AV431" s="73"/>
      <c r="AW431" s="73"/>
      <c r="AX431" s="73"/>
      <c r="AY431" s="73"/>
      <c r="AZ431" s="73"/>
      <c r="BA431" s="73"/>
      <c r="BB431" s="73"/>
    </row>
    <row r="432">
      <c r="A432" s="73"/>
      <c r="B432" s="73"/>
      <c r="C432" s="73"/>
      <c r="D432" s="73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E432" s="73"/>
      <c r="AF432" s="73"/>
      <c r="AG432" s="73"/>
      <c r="AH432" s="73"/>
      <c r="AI432" s="73"/>
      <c r="AJ432" s="73"/>
      <c r="AK432" s="73"/>
      <c r="AL432" s="73"/>
      <c r="AM432" s="73"/>
      <c r="AN432" s="73"/>
      <c r="AO432" s="73"/>
      <c r="AP432" s="73"/>
      <c r="AQ432" s="73"/>
      <c r="AR432" s="73"/>
      <c r="AS432" s="73"/>
      <c r="AT432" s="73"/>
      <c r="AU432" s="73"/>
      <c r="AV432" s="73"/>
      <c r="AW432" s="73"/>
      <c r="AX432" s="73"/>
      <c r="AY432" s="73"/>
      <c r="AZ432" s="73"/>
      <c r="BA432" s="73"/>
      <c r="BB432" s="73"/>
    </row>
    <row r="433">
      <c r="A433" s="73"/>
      <c r="B433" s="73"/>
      <c r="C433" s="73"/>
      <c r="D433" s="73"/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E433" s="73"/>
      <c r="AF433" s="73"/>
      <c r="AG433" s="73"/>
      <c r="AH433" s="73"/>
      <c r="AI433" s="73"/>
      <c r="AJ433" s="73"/>
      <c r="AK433" s="73"/>
      <c r="AL433" s="73"/>
      <c r="AM433" s="73"/>
      <c r="AN433" s="73"/>
      <c r="AO433" s="73"/>
      <c r="AP433" s="73"/>
      <c r="AQ433" s="73"/>
      <c r="AR433" s="73"/>
      <c r="AS433" s="73"/>
      <c r="AT433" s="73"/>
      <c r="AU433" s="73"/>
      <c r="AV433" s="73"/>
      <c r="AW433" s="73"/>
      <c r="AX433" s="73"/>
      <c r="AY433" s="73"/>
      <c r="AZ433" s="73"/>
      <c r="BA433" s="73"/>
      <c r="BB433" s="73"/>
    </row>
    <row r="434">
      <c r="A434" s="73"/>
      <c r="B434" s="73"/>
      <c r="C434" s="73"/>
      <c r="D434" s="73"/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E434" s="73"/>
      <c r="AF434" s="73"/>
      <c r="AG434" s="73"/>
      <c r="AH434" s="73"/>
      <c r="AI434" s="73"/>
      <c r="AJ434" s="73"/>
      <c r="AK434" s="73"/>
      <c r="AL434" s="73"/>
      <c r="AM434" s="73"/>
      <c r="AN434" s="73"/>
      <c r="AO434" s="73"/>
      <c r="AP434" s="73"/>
      <c r="AQ434" s="73"/>
      <c r="AR434" s="73"/>
      <c r="AS434" s="73"/>
      <c r="AT434" s="73"/>
      <c r="AU434" s="73"/>
      <c r="AV434" s="73"/>
      <c r="AW434" s="73"/>
      <c r="AX434" s="73"/>
      <c r="AY434" s="73"/>
      <c r="AZ434" s="73"/>
      <c r="BA434" s="73"/>
      <c r="BB434" s="73"/>
    </row>
    <row r="435">
      <c r="A435" s="73"/>
      <c r="B435" s="73"/>
      <c r="C435" s="73"/>
      <c r="D435" s="73"/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  <c r="AI435" s="73"/>
      <c r="AJ435" s="73"/>
      <c r="AK435" s="73"/>
      <c r="AL435" s="73"/>
      <c r="AM435" s="73"/>
      <c r="AN435" s="73"/>
      <c r="AO435" s="73"/>
      <c r="AP435" s="73"/>
      <c r="AQ435" s="73"/>
      <c r="AR435" s="73"/>
      <c r="AS435" s="73"/>
      <c r="AT435" s="73"/>
      <c r="AU435" s="73"/>
      <c r="AV435" s="73"/>
      <c r="AW435" s="73"/>
      <c r="AX435" s="73"/>
      <c r="AY435" s="73"/>
      <c r="AZ435" s="73"/>
      <c r="BA435" s="73"/>
      <c r="BB435" s="73"/>
    </row>
    <row r="436">
      <c r="A436" s="73"/>
      <c r="B436" s="73"/>
      <c r="C436" s="73"/>
      <c r="D436" s="73"/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E436" s="73"/>
      <c r="AF436" s="73"/>
      <c r="AG436" s="73"/>
      <c r="AH436" s="73"/>
      <c r="AI436" s="73"/>
      <c r="AJ436" s="73"/>
      <c r="AK436" s="73"/>
      <c r="AL436" s="73"/>
      <c r="AM436" s="73"/>
      <c r="AN436" s="73"/>
      <c r="AO436" s="73"/>
      <c r="AP436" s="73"/>
      <c r="AQ436" s="73"/>
      <c r="AR436" s="73"/>
      <c r="AS436" s="73"/>
      <c r="AT436" s="73"/>
      <c r="AU436" s="73"/>
      <c r="AV436" s="73"/>
      <c r="AW436" s="73"/>
      <c r="AX436" s="73"/>
      <c r="AY436" s="73"/>
      <c r="AZ436" s="73"/>
      <c r="BA436" s="73"/>
      <c r="BB436" s="73"/>
    </row>
    <row r="437">
      <c r="A437" s="73"/>
      <c r="B437" s="73"/>
      <c r="C437" s="73"/>
      <c r="D437" s="73"/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E437" s="73"/>
      <c r="AF437" s="73"/>
      <c r="AG437" s="73"/>
      <c r="AH437" s="73"/>
      <c r="AI437" s="73"/>
      <c r="AJ437" s="73"/>
      <c r="AK437" s="73"/>
      <c r="AL437" s="73"/>
      <c r="AM437" s="73"/>
      <c r="AN437" s="73"/>
      <c r="AO437" s="73"/>
      <c r="AP437" s="73"/>
      <c r="AQ437" s="73"/>
      <c r="AR437" s="73"/>
      <c r="AS437" s="73"/>
      <c r="AT437" s="73"/>
      <c r="AU437" s="73"/>
      <c r="AV437" s="73"/>
      <c r="AW437" s="73"/>
      <c r="AX437" s="73"/>
      <c r="AY437" s="73"/>
      <c r="AZ437" s="73"/>
      <c r="BA437" s="73"/>
      <c r="BB437" s="73"/>
    </row>
    <row r="438">
      <c r="A438" s="73"/>
      <c r="B438" s="73"/>
      <c r="C438" s="73"/>
      <c r="D438" s="73"/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  <c r="AI438" s="73"/>
      <c r="AJ438" s="73"/>
      <c r="AK438" s="73"/>
      <c r="AL438" s="73"/>
      <c r="AM438" s="73"/>
      <c r="AN438" s="73"/>
      <c r="AO438" s="73"/>
      <c r="AP438" s="73"/>
      <c r="AQ438" s="73"/>
      <c r="AR438" s="73"/>
      <c r="AS438" s="73"/>
      <c r="AT438" s="73"/>
      <c r="AU438" s="73"/>
      <c r="AV438" s="73"/>
      <c r="AW438" s="73"/>
      <c r="AX438" s="73"/>
      <c r="AY438" s="73"/>
      <c r="AZ438" s="73"/>
      <c r="BA438" s="73"/>
      <c r="BB438" s="73"/>
    </row>
    <row r="439">
      <c r="A439" s="73"/>
      <c r="B439" s="73"/>
      <c r="C439" s="73"/>
      <c r="D439" s="73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E439" s="73"/>
      <c r="AF439" s="73"/>
      <c r="AG439" s="73"/>
      <c r="AH439" s="73"/>
      <c r="AI439" s="73"/>
      <c r="AJ439" s="73"/>
      <c r="AK439" s="73"/>
      <c r="AL439" s="73"/>
      <c r="AM439" s="73"/>
      <c r="AN439" s="73"/>
      <c r="AO439" s="73"/>
      <c r="AP439" s="73"/>
      <c r="AQ439" s="73"/>
      <c r="AR439" s="73"/>
      <c r="AS439" s="73"/>
      <c r="AT439" s="73"/>
      <c r="AU439" s="73"/>
      <c r="AV439" s="73"/>
      <c r="AW439" s="73"/>
      <c r="AX439" s="73"/>
      <c r="AY439" s="73"/>
      <c r="AZ439" s="73"/>
      <c r="BA439" s="73"/>
      <c r="BB439" s="73"/>
    </row>
    <row r="440">
      <c r="A440" s="73"/>
      <c r="B440" s="73"/>
      <c r="C440" s="73"/>
      <c r="D440" s="73"/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  <c r="AE440" s="73"/>
      <c r="AF440" s="73"/>
      <c r="AG440" s="73"/>
      <c r="AH440" s="73"/>
      <c r="AI440" s="73"/>
      <c r="AJ440" s="73"/>
      <c r="AK440" s="73"/>
      <c r="AL440" s="73"/>
      <c r="AM440" s="73"/>
      <c r="AN440" s="73"/>
      <c r="AO440" s="73"/>
      <c r="AP440" s="73"/>
      <c r="AQ440" s="73"/>
      <c r="AR440" s="73"/>
      <c r="AS440" s="73"/>
      <c r="AT440" s="73"/>
      <c r="AU440" s="73"/>
      <c r="AV440" s="73"/>
      <c r="AW440" s="73"/>
      <c r="AX440" s="73"/>
      <c r="AY440" s="73"/>
      <c r="AZ440" s="73"/>
      <c r="BA440" s="73"/>
      <c r="BB440" s="73"/>
    </row>
    <row r="441">
      <c r="A441" s="73"/>
      <c r="B441" s="73"/>
      <c r="C441" s="73"/>
      <c r="D441" s="73"/>
      <c r="E441" s="73"/>
      <c r="F441" s="73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  <c r="AE441" s="73"/>
      <c r="AF441" s="73"/>
      <c r="AG441" s="73"/>
      <c r="AH441" s="73"/>
      <c r="AI441" s="73"/>
      <c r="AJ441" s="73"/>
      <c r="AK441" s="73"/>
      <c r="AL441" s="73"/>
      <c r="AM441" s="73"/>
      <c r="AN441" s="73"/>
      <c r="AO441" s="73"/>
      <c r="AP441" s="73"/>
      <c r="AQ441" s="73"/>
      <c r="AR441" s="73"/>
      <c r="AS441" s="73"/>
      <c r="AT441" s="73"/>
      <c r="AU441" s="73"/>
      <c r="AV441" s="73"/>
      <c r="AW441" s="73"/>
      <c r="AX441" s="73"/>
      <c r="AY441" s="73"/>
      <c r="AZ441" s="73"/>
      <c r="BA441" s="73"/>
      <c r="BB441" s="73"/>
    </row>
    <row r="442">
      <c r="A442" s="73"/>
      <c r="B442" s="73"/>
      <c r="C442" s="73"/>
      <c r="D442" s="73"/>
      <c r="E442" s="73"/>
      <c r="F442" s="73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  <c r="AE442" s="73"/>
      <c r="AF442" s="73"/>
      <c r="AG442" s="73"/>
      <c r="AH442" s="73"/>
      <c r="AI442" s="73"/>
      <c r="AJ442" s="73"/>
      <c r="AK442" s="73"/>
      <c r="AL442" s="73"/>
      <c r="AM442" s="73"/>
      <c r="AN442" s="73"/>
      <c r="AO442" s="73"/>
      <c r="AP442" s="73"/>
      <c r="AQ442" s="73"/>
      <c r="AR442" s="73"/>
      <c r="AS442" s="73"/>
      <c r="AT442" s="73"/>
      <c r="AU442" s="73"/>
      <c r="AV442" s="73"/>
      <c r="AW442" s="73"/>
      <c r="AX442" s="73"/>
      <c r="AY442" s="73"/>
      <c r="AZ442" s="73"/>
      <c r="BA442" s="73"/>
      <c r="BB442" s="73"/>
    </row>
    <row r="443">
      <c r="A443" s="73"/>
      <c r="B443" s="73"/>
      <c r="C443" s="73"/>
      <c r="D443" s="73"/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  <c r="AE443" s="73"/>
      <c r="AF443" s="73"/>
      <c r="AG443" s="73"/>
      <c r="AH443" s="73"/>
      <c r="AI443" s="73"/>
      <c r="AJ443" s="73"/>
      <c r="AK443" s="73"/>
      <c r="AL443" s="73"/>
      <c r="AM443" s="73"/>
      <c r="AN443" s="73"/>
      <c r="AO443" s="73"/>
      <c r="AP443" s="73"/>
      <c r="AQ443" s="73"/>
      <c r="AR443" s="73"/>
      <c r="AS443" s="73"/>
      <c r="AT443" s="73"/>
      <c r="AU443" s="73"/>
      <c r="AV443" s="73"/>
      <c r="AW443" s="73"/>
      <c r="AX443" s="73"/>
      <c r="AY443" s="73"/>
      <c r="AZ443" s="73"/>
      <c r="BA443" s="73"/>
      <c r="BB443" s="73"/>
    </row>
    <row r="444">
      <c r="A444" s="73"/>
      <c r="B444" s="73"/>
      <c r="C444" s="73"/>
      <c r="D444" s="73"/>
      <c r="E444" s="73"/>
      <c r="F444" s="73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  <c r="AG444" s="73"/>
      <c r="AH444" s="73"/>
      <c r="AI444" s="73"/>
      <c r="AJ444" s="73"/>
      <c r="AK444" s="73"/>
      <c r="AL444" s="73"/>
      <c r="AM444" s="73"/>
      <c r="AN444" s="73"/>
      <c r="AO444" s="73"/>
      <c r="AP444" s="73"/>
      <c r="AQ444" s="73"/>
      <c r="AR444" s="73"/>
      <c r="AS444" s="73"/>
      <c r="AT444" s="73"/>
      <c r="AU444" s="73"/>
      <c r="AV444" s="73"/>
      <c r="AW444" s="73"/>
      <c r="AX444" s="73"/>
      <c r="AY444" s="73"/>
      <c r="AZ444" s="73"/>
      <c r="BA444" s="73"/>
      <c r="BB444" s="73"/>
    </row>
    <row r="445">
      <c r="A445" s="73"/>
      <c r="B445" s="73"/>
      <c r="C445" s="73"/>
      <c r="D445" s="73"/>
      <c r="E445" s="73"/>
      <c r="F445" s="73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  <c r="AG445" s="73"/>
      <c r="AH445" s="73"/>
      <c r="AI445" s="73"/>
      <c r="AJ445" s="73"/>
      <c r="AK445" s="73"/>
      <c r="AL445" s="73"/>
      <c r="AM445" s="73"/>
      <c r="AN445" s="73"/>
      <c r="AO445" s="73"/>
      <c r="AP445" s="73"/>
      <c r="AQ445" s="73"/>
      <c r="AR445" s="73"/>
      <c r="AS445" s="73"/>
      <c r="AT445" s="73"/>
      <c r="AU445" s="73"/>
      <c r="AV445" s="73"/>
      <c r="AW445" s="73"/>
      <c r="AX445" s="73"/>
      <c r="AY445" s="73"/>
      <c r="AZ445" s="73"/>
      <c r="BA445" s="73"/>
      <c r="BB445" s="73"/>
    </row>
    <row r="446">
      <c r="A446" s="73"/>
      <c r="B446" s="73"/>
      <c r="C446" s="73"/>
      <c r="D446" s="73"/>
      <c r="E446" s="73"/>
      <c r="F446" s="73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  <c r="AG446" s="73"/>
      <c r="AH446" s="73"/>
      <c r="AI446" s="73"/>
      <c r="AJ446" s="73"/>
      <c r="AK446" s="73"/>
      <c r="AL446" s="73"/>
      <c r="AM446" s="73"/>
      <c r="AN446" s="73"/>
      <c r="AO446" s="73"/>
      <c r="AP446" s="73"/>
      <c r="AQ446" s="73"/>
      <c r="AR446" s="73"/>
      <c r="AS446" s="73"/>
      <c r="AT446" s="73"/>
      <c r="AU446" s="73"/>
      <c r="AV446" s="73"/>
      <c r="AW446" s="73"/>
      <c r="AX446" s="73"/>
      <c r="AY446" s="73"/>
      <c r="AZ446" s="73"/>
      <c r="BA446" s="73"/>
      <c r="BB446" s="73"/>
    </row>
    <row r="447">
      <c r="A447" s="73"/>
      <c r="B447" s="73"/>
      <c r="C447" s="73"/>
      <c r="D447" s="73"/>
      <c r="E447" s="73"/>
      <c r="F447" s="73"/>
      <c r="G447" s="73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73"/>
      <c r="V447" s="73"/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  <c r="AG447" s="73"/>
      <c r="AH447" s="73"/>
      <c r="AI447" s="73"/>
      <c r="AJ447" s="73"/>
      <c r="AK447" s="73"/>
      <c r="AL447" s="73"/>
      <c r="AM447" s="73"/>
      <c r="AN447" s="73"/>
      <c r="AO447" s="73"/>
      <c r="AP447" s="73"/>
      <c r="AQ447" s="73"/>
      <c r="AR447" s="73"/>
      <c r="AS447" s="73"/>
      <c r="AT447" s="73"/>
      <c r="AU447" s="73"/>
      <c r="AV447" s="73"/>
      <c r="AW447" s="73"/>
      <c r="AX447" s="73"/>
      <c r="AY447" s="73"/>
      <c r="AZ447" s="73"/>
      <c r="BA447" s="73"/>
      <c r="BB447" s="73"/>
    </row>
    <row r="448">
      <c r="A448" s="73"/>
      <c r="B448" s="73"/>
      <c r="C448" s="73"/>
      <c r="D448" s="73"/>
      <c r="E448" s="73"/>
      <c r="F448" s="73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  <c r="V448" s="73"/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  <c r="AG448" s="73"/>
      <c r="AH448" s="73"/>
      <c r="AI448" s="73"/>
      <c r="AJ448" s="73"/>
      <c r="AK448" s="73"/>
      <c r="AL448" s="73"/>
      <c r="AM448" s="73"/>
      <c r="AN448" s="73"/>
      <c r="AO448" s="73"/>
      <c r="AP448" s="73"/>
      <c r="AQ448" s="73"/>
      <c r="AR448" s="73"/>
      <c r="AS448" s="73"/>
      <c r="AT448" s="73"/>
      <c r="AU448" s="73"/>
      <c r="AV448" s="73"/>
      <c r="AW448" s="73"/>
      <c r="AX448" s="73"/>
      <c r="AY448" s="73"/>
      <c r="AZ448" s="73"/>
      <c r="BA448" s="73"/>
      <c r="BB448" s="73"/>
    </row>
    <row r="449">
      <c r="A449" s="73"/>
      <c r="B449" s="73"/>
      <c r="C449" s="73"/>
      <c r="D449" s="73"/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  <c r="AG449" s="73"/>
      <c r="AH449" s="73"/>
      <c r="AI449" s="73"/>
      <c r="AJ449" s="73"/>
      <c r="AK449" s="73"/>
      <c r="AL449" s="73"/>
      <c r="AM449" s="73"/>
      <c r="AN449" s="73"/>
      <c r="AO449" s="73"/>
      <c r="AP449" s="73"/>
      <c r="AQ449" s="73"/>
      <c r="AR449" s="73"/>
      <c r="AS449" s="73"/>
      <c r="AT449" s="73"/>
      <c r="AU449" s="73"/>
      <c r="AV449" s="73"/>
      <c r="AW449" s="73"/>
      <c r="AX449" s="73"/>
      <c r="AY449" s="73"/>
      <c r="AZ449" s="73"/>
      <c r="BA449" s="73"/>
      <c r="BB449" s="73"/>
    </row>
    <row r="450">
      <c r="A450" s="73"/>
      <c r="B450" s="73"/>
      <c r="C450" s="73"/>
      <c r="D450" s="73"/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  <c r="AG450" s="73"/>
      <c r="AH450" s="73"/>
      <c r="AI450" s="73"/>
      <c r="AJ450" s="73"/>
      <c r="AK450" s="73"/>
      <c r="AL450" s="73"/>
      <c r="AM450" s="73"/>
      <c r="AN450" s="73"/>
      <c r="AO450" s="73"/>
      <c r="AP450" s="73"/>
      <c r="AQ450" s="73"/>
      <c r="AR450" s="73"/>
      <c r="AS450" s="73"/>
      <c r="AT450" s="73"/>
      <c r="AU450" s="73"/>
      <c r="AV450" s="73"/>
      <c r="AW450" s="73"/>
      <c r="AX450" s="73"/>
      <c r="AY450" s="73"/>
      <c r="AZ450" s="73"/>
      <c r="BA450" s="73"/>
      <c r="BB450" s="73"/>
    </row>
    <row r="451">
      <c r="A451" s="73"/>
      <c r="B451" s="73"/>
      <c r="C451" s="73"/>
      <c r="D451" s="73"/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  <c r="AG451" s="73"/>
      <c r="AH451" s="73"/>
      <c r="AI451" s="73"/>
      <c r="AJ451" s="73"/>
      <c r="AK451" s="73"/>
      <c r="AL451" s="73"/>
      <c r="AM451" s="73"/>
      <c r="AN451" s="73"/>
      <c r="AO451" s="73"/>
      <c r="AP451" s="73"/>
      <c r="AQ451" s="73"/>
      <c r="AR451" s="73"/>
      <c r="AS451" s="73"/>
      <c r="AT451" s="73"/>
      <c r="AU451" s="73"/>
      <c r="AV451" s="73"/>
      <c r="AW451" s="73"/>
      <c r="AX451" s="73"/>
      <c r="AY451" s="73"/>
      <c r="AZ451" s="73"/>
      <c r="BA451" s="73"/>
      <c r="BB451" s="73"/>
    </row>
    <row r="452">
      <c r="A452" s="73"/>
      <c r="B452" s="73"/>
      <c r="C452" s="73"/>
      <c r="D452" s="73"/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  <c r="AG452" s="73"/>
      <c r="AH452" s="73"/>
      <c r="AI452" s="73"/>
      <c r="AJ452" s="73"/>
      <c r="AK452" s="73"/>
      <c r="AL452" s="73"/>
      <c r="AM452" s="73"/>
      <c r="AN452" s="73"/>
      <c r="AO452" s="73"/>
      <c r="AP452" s="73"/>
      <c r="AQ452" s="73"/>
      <c r="AR452" s="73"/>
      <c r="AS452" s="73"/>
      <c r="AT452" s="73"/>
      <c r="AU452" s="73"/>
      <c r="AV452" s="73"/>
      <c r="AW452" s="73"/>
      <c r="AX452" s="73"/>
      <c r="AY452" s="73"/>
      <c r="AZ452" s="73"/>
      <c r="BA452" s="73"/>
      <c r="BB452" s="73"/>
    </row>
    <row r="453">
      <c r="A453" s="73"/>
      <c r="B453" s="73"/>
      <c r="C453" s="73"/>
      <c r="D453" s="73"/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  <c r="AG453" s="73"/>
      <c r="AH453" s="73"/>
      <c r="AI453" s="73"/>
      <c r="AJ453" s="73"/>
      <c r="AK453" s="73"/>
      <c r="AL453" s="73"/>
      <c r="AM453" s="73"/>
      <c r="AN453" s="73"/>
      <c r="AO453" s="73"/>
      <c r="AP453" s="73"/>
      <c r="AQ453" s="73"/>
      <c r="AR453" s="73"/>
      <c r="AS453" s="73"/>
      <c r="AT453" s="73"/>
      <c r="AU453" s="73"/>
      <c r="AV453" s="73"/>
      <c r="AW453" s="73"/>
      <c r="AX453" s="73"/>
      <c r="AY453" s="73"/>
      <c r="AZ453" s="73"/>
      <c r="BA453" s="73"/>
      <c r="BB453" s="73"/>
    </row>
    <row r="454">
      <c r="A454" s="73"/>
      <c r="B454" s="73"/>
      <c r="C454" s="73"/>
      <c r="D454" s="73"/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  <c r="AI454" s="73"/>
      <c r="AJ454" s="73"/>
      <c r="AK454" s="73"/>
      <c r="AL454" s="73"/>
      <c r="AM454" s="73"/>
      <c r="AN454" s="73"/>
      <c r="AO454" s="73"/>
      <c r="AP454" s="73"/>
      <c r="AQ454" s="73"/>
      <c r="AR454" s="73"/>
      <c r="AS454" s="73"/>
      <c r="AT454" s="73"/>
      <c r="AU454" s="73"/>
      <c r="AV454" s="73"/>
      <c r="AW454" s="73"/>
      <c r="AX454" s="73"/>
      <c r="AY454" s="73"/>
      <c r="AZ454" s="73"/>
      <c r="BA454" s="73"/>
      <c r="BB454" s="73"/>
    </row>
    <row r="455">
      <c r="A455" s="73"/>
      <c r="B455" s="73"/>
      <c r="C455" s="73"/>
      <c r="D455" s="73"/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  <c r="AI455" s="73"/>
      <c r="AJ455" s="73"/>
      <c r="AK455" s="73"/>
      <c r="AL455" s="73"/>
      <c r="AM455" s="73"/>
      <c r="AN455" s="73"/>
      <c r="AO455" s="73"/>
      <c r="AP455" s="73"/>
      <c r="AQ455" s="73"/>
      <c r="AR455" s="73"/>
      <c r="AS455" s="73"/>
      <c r="AT455" s="73"/>
      <c r="AU455" s="73"/>
      <c r="AV455" s="73"/>
      <c r="AW455" s="73"/>
      <c r="AX455" s="73"/>
      <c r="AY455" s="73"/>
      <c r="AZ455" s="73"/>
      <c r="BA455" s="73"/>
      <c r="BB455" s="73"/>
    </row>
    <row r="456">
      <c r="A456" s="73"/>
      <c r="B456" s="73"/>
      <c r="C456" s="73"/>
      <c r="D456" s="73"/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  <c r="AI456" s="73"/>
      <c r="AJ456" s="73"/>
      <c r="AK456" s="73"/>
      <c r="AL456" s="73"/>
      <c r="AM456" s="73"/>
      <c r="AN456" s="73"/>
      <c r="AO456" s="73"/>
      <c r="AP456" s="73"/>
      <c r="AQ456" s="73"/>
      <c r="AR456" s="73"/>
      <c r="AS456" s="73"/>
      <c r="AT456" s="73"/>
      <c r="AU456" s="73"/>
      <c r="AV456" s="73"/>
      <c r="AW456" s="73"/>
      <c r="AX456" s="73"/>
      <c r="AY456" s="73"/>
      <c r="AZ456" s="73"/>
      <c r="BA456" s="73"/>
      <c r="BB456" s="73"/>
    </row>
    <row r="457">
      <c r="A457" s="73"/>
      <c r="B457" s="73"/>
      <c r="C457" s="73"/>
      <c r="D457" s="73"/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  <c r="AI457" s="73"/>
      <c r="AJ457" s="73"/>
      <c r="AK457" s="73"/>
      <c r="AL457" s="73"/>
      <c r="AM457" s="73"/>
      <c r="AN457" s="73"/>
      <c r="AO457" s="73"/>
      <c r="AP457" s="73"/>
      <c r="AQ457" s="73"/>
      <c r="AR457" s="73"/>
      <c r="AS457" s="73"/>
      <c r="AT457" s="73"/>
      <c r="AU457" s="73"/>
      <c r="AV457" s="73"/>
      <c r="AW457" s="73"/>
      <c r="AX457" s="73"/>
      <c r="AY457" s="73"/>
      <c r="AZ457" s="73"/>
      <c r="BA457" s="73"/>
      <c r="BB457" s="73"/>
    </row>
    <row r="458">
      <c r="A458" s="73"/>
      <c r="B458" s="73"/>
      <c r="C458" s="73"/>
      <c r="D458" s="73"/>
      <c r="E458" s="73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73"/>
      <c r="V458" s="73"/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  <c r="AG458" s="73"/>
      <c r="AH458" s="73"/>
      <c r="AI458" s="73"/>
      <c r="AJ458" s="73"/>
      <c r="AK458" s="73"/>
      <c r="AL458" s="73"/>
      <c r="AM458" s="73"/>
      <c r="AN458" s="73"/>
      <c r="AO458" s="73"/>
      <c r="AP458" s="73"/>
      <c r="AQ458" s="73"/>
      <c r="AR458" s="73"/>
      <c r="AS458" s="73"/>
      <c r="AT458" s="73"/>
      <c r="AU458" s="73"/>
      <c r="AV458" s="73"/>
      <c r="AW458" s="73"/>
      <c r="AX458" s="73"/>
      <c r="AY458" s="73"/>
      <c r="AZ458" s="73"/>
      <c r="BA458" s="73"/>
      <c r="BB458" s="73"/>
    </row>
    <row r="459">
      <c r="A459" s="73"/>
      <c r="B459" s="73"/>
      <c r="C459" s="73"/>
      <c r="D459" s="73"/>
      <c r="E459" s="73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73"/>
      <c r="V459" s="73"/>
      <c r="W459" s="73"/>
      <c r="X459" s="73"/>
      <c r="Y459" s="73"/>
      <c r="Z459" s="73"/>
      <c r="AA459" s="73"/>
      <c r="AB459" s="73"/>
      <c r="AC459" s="73"/>
      <c r="AD459" s="73"/>
      <c r="AE459" s="73"/>
      <c r="AF459" s="73"/>
      <c r="AG459" s="73"/>
      <c r="AH459" s="73"/>
      <c r="AI459" s="73"/>
      <c r="AJ459" s="73"/>
      <c r="AK459" s="73"/>
      <c r="AL459" s="73"/>
      <c r="AM459" s="73"/>
      <c r="AN459" s="73"/>
      <c r="AO459" s="73"/>
      <c r="AP459" s="73"/>
      <c r="AQ459" s="73"/>
      <c r="AR459" s="73"/>
      <c r="AS459" s="73"/>
      <c r="AT459" s="73"/>
      <c r="AU459" s="73"/>
      <c r="AV459" s="73"/>
      <c r="AW459" s="73"/>
      <c r="AX459" s="73"/>
      <c r="AY459" s="73"/>
      <c r="AZ459" s="73"/>
      <c r="BA459" s="73"/>
      <c r="BB459" s="73"/>
    </row>
    <row r="460">
      <c r="A460" s="73"/>
      <c r="B460" s="73"/>
      <c r="C460" s="73"/>
      <c r="D460" s="73"/>
      <c r="E460" s="73"/>
      <c r="F460" s="73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73"/>
      <c r="V460" s="73"/>
      <c r="W460" s="73"/>
      <c r="X460" s="73"/>
      <c r="Y460" s="73"/>
      <c r="Z460" s="73"/>
      <c r="AA460" s="73"/>
      <c r="AB460" s="73"/>
      <c r="AC460" s="73"/>
      <c r="AD460" s="73"/>
      <c r="AE460" s="73"/>
      <c r="AF460" s="73"/>
      <c r="AG460" s="73"/>
      <c r="AH460" s="73"/>
      <c r="AI460" s="73"/>
      <c r="AJ460" s="73"/>
      <c r="AK460" s="73"/>
      <c r="AL460" s="73"/>
      <c r="AM460" s="73"/>
      <c r="AN460" s="73"/>
      <c r="AO460" s="73"/>
      <c r="AP460" s="73"/>
      <c r="AQ460" s="73"/>
      <c r="AR460" s="73"/>
      <c r="AS460" s="73"/>
      <c r="AT460" s="73"/>
      <c r="AU460" s="73"/>
      <c r="AV460" s="73"/>
      <c r="AW460" s="73"/>
      <c r="AX460" s="73"/>
      <c r="AY460" s="73"/>
      <c r="AZ460" s="73"/>
      <c r="BA460" s="73"/>
      <c r="BB460" s="73"/>
    </row>
    <row r="461">
      <c r="A461" s="73"/>
      <c r="B461" s="73"/>
      <c r="C461" s="73"/>
      <c r="D461" s="73"/>
      <c r="E461" s="73"/>
      <c r="F461" s="73"/>
      <c r="G461" s="73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73"/>
      <c r="V461" s="73"/>
      <c r="W461" s="73"/>
      <c r="X461" s="73"/>
      <c r="Y461" s="73"/>
      <c r="Z461" s="73"/>
      <c r="AA461" s="73"/>
      <c r="AB461" s="73"/>
      <c r="AC461" s="73"/>
      <c r="AD461" s="73"/>
      <c r="AE461" s="73"/>
      <c r="AF461" s="73"/>
      <c r="AG461" s="73"/>
      <c r="AH461" s="73"/>
      <c r="AI461" s="73"/>
      <c r="AJ461" s="73"/>
      <c r="AK461" s="73"/>
      <c r="AL461" s="73"/>
      <c r="AM461" s="73"/>
      <c r="AN461" s="73"/>
      <c r="AO461" s="73"/>
      <c r="AP461" s="73"/>
      <c r="AQ461" s="73"/>
      <c r="AR461" s="73"/>
      <c r="AS461" s="73"/>
      <c r="AT461" s="73"/>
      <c r="AU461" s="73"/>
      <c r="AV461" s="73"/>
      <c r="AW461" s="73"/>
      <c r="AX461" s="73"/>
      <c r="AY461" s="73"/>
      <c r="AZ461" s="73"/>
      <c r="BA461" s="73"/>
      <c r="BB461" s="73"/>
    </row>
    <row r="462">
      <c r="A462" s="73"/>
      <c r="B462" s="73"/>
      <c r="C462" s="73"/>
      <c r="D462" s="73"/>
      <c r="E462" s="73"/>
      <c r="F462" s="73"/>
      <c r="G462" s="73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73"/>
      <c r="V462" s="73"/>
      <c r="W462" s="73"/>
      <c r="X462" s="73"/>
      <c r="Y462" s="73"/>
      <c r="Z462" s="73"/>
      <c r="AA462" s="73"/>
      <c r="AB462" s="73"/>
      <c r="AC462" s="73"/>
      <c r="AD462" s="73"/>
      <c r="AE462" s="73"/>
      <c r="AF462" s="73"/>
      <c r="AG462" s="73"/>
      <c r="AH462" s="73"/>
      <c r="AI462" s="73"/>
      <c r="AJ462" s="73"/>
      <c r="AK462" s="73"/>
      <c r="AL462" s="73"/>
      <c r="AM462" s="73"/>
      <c r="AN462" s="73"/>
      <c r="AO462" s="73"/>
      <c r="AP462" s="73"/>
      <c r="AQ462" s="73"/>
      <c r="AR462" s="73"/>
      <c r="AS462" s="73"/>
      <c r="AT462" s="73"/>
      <c r="AU462" s="73"/>
      <c r="AV462" s="73"/>
      <c r="AW462" s="73"/>
      <c r="AX462" s="73"/>
      <c r="AY462" s="73"/>
      <c r="AZ462" s="73"/>
      <c r="BA462" s="73"/>
      <c r="BB462" s="73"/>
    </row>
    <row r="463">
      <c r="A463" s="73"/>
      <c r="B463" s="73"/>
      <c r="C463" s="73"/>
      <c r="D463" s="73"/>
      <c r="E463" s="73"/>
      <c r="F463" s="73"/>
      <c r="G463" s="73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73"/>
      <c r="V463" s="73"/>
      <c r="W463" s="73"/>
      <c r="X463" s="73"/>
      <c r="Y463" s="73"/>
      <c r="Z463" s="73"/>
      <c r="AA463" s="73"/>
      <c r="AB463" s="73"/>
      <c r="AC463" s="73"/>
      <c r="AD463" s="73"/>
      <c r="AE463" s="73"/>
      <c r="AF463" s="73"/>
      <c r="AG463" s="73"/>
      <c r="AH463" s="73"/>
      <c r="AI463" s="73"/>
      <c r="AJ463" s="73"/>
      <c r="AK463" s="73"/>
      <c r="AL463" s="73"/>
      <c r="AM463" s="73"/>
      <c r="AN463" s="73"/>
      <c r="AO463" s="73"/>
      <c r="AP463" s="73"/>
      <c r="AQ463" s="73"/>
      <c r="AR463" s="73"/>
      <c r="AS463" s="73"/>
      <c r="AT463" s="73"/>
      <c r="AU463" s="73"/>
      <c r="AV463" s="73"/>
      <c r="AW463" s="73"/>
      <c r="AX463" s="73"/>
      <c r="AY463" s="73"/>
      <c r="AZ463" s="73"/>
      <c r="BA463" s="73"/>
      <c r="BB463" s="73"/>
    </row>
    <row r="464">
      <c r="A464" s="73"/>
      <c r="B464" s="73"/>
      <c r="C464" s="73"/>
      <c r="D464" s="73"/>
      <c r="E464" s="73"/>
      <c r="F464" s="73"/>
      <c r="G464" s="73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73"/>
      <c r="V464" s="73"/>
      <c r="W464" s="73"/>
      <c r="X464" s="73"/>
      <c r="Y464" s="73"/>
      <c r="Z464" s="73"/>
      <c r="AA464" s="73"/>
      <c r="AB464" s="73"/>
      <c r="AC464" s="73"/>
      <c r="AD464" s="73"/>
      <c r="AE464" s="73"/>
      <c r="AF464" s="73"/>
      <c r="AG464" s="73"/>
      <c r="AH464" s="73"/>
      <c r="AI464" s="73"/>
      <c r="AJ464" s="73"/>
      <c r="AK464" s="73"/>
      <c r="AL464" s="73"/>
      <c r="AM464" s="73"/>
      <c r="AN464" s="73"/>
      <c r="AO464" s="73"/>
      <c r="AP464" s="73"/>
      <c r="AQ464" s="73"/>
      <c r="AR464" s="73"/>
      <c r="AS464" s="73"/>
      <c r="AT464" s="73"/>
      <c r="AU464" s="73"/>
      <c r="AV464" s="73"/>
      <c r="AW464" s="73"/>
      <c r="AX464" s="73"/>
      <c r="AY464" s="73"/>
      <c r="AZ464" s="73"/>
      <c r="BA464" s="73"/>
      <c r="BB464" s="73"/>
    </row>
    <row r="465">
      <c r="A465" s="73"/>
      <c r="B465" s="73"/>
      <c r="C465" s="73"/>
      <c r="D465" s="73"/>
      <c r="E465" s="73"/>
      <c r="F465" s="73"/>
      <c r="G465" s="73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73"/>
      <c r="V465" s="73"/>
      <c r="W465" s="73"/>
      <c r="X465" s="73"/>
      <c r="Y465" s="73"/>
      <c r="Z465" s="73"/>
      <c r="AA465" s="73"/>
      <c r="AB465" s="73"/>
      <c r="AC465" s="73"/>
      <c r="AD465" s="73"/>
      <c r="AE465" s="73"/>
      <c r="AF465" s="73"/>
      <c r="AG465" s="73"/>
      <c r="AH465" s="73"/>
      <c r="AI465" s="73"/>
      <c r="AJ465" s="73"/>
      <c r="AK465" s="73"/>
      <c r="AL465" s="73"/>
      <c r="AM465" s="73"/>
      <c r="AN465" s="73"/>
      <c r="AO465" s="73"/>
      <c r="AP465" s="73"/>
      <c r="AQ465" s="73"/>
      <c r="AR465" s="73"/>
      <c r="AS465" s="73"/>
      <c r="AT465" s="73"/>
      <c r="AU465" s="73"/>
      <c r="AV465" s="73"/>
      <c r="AW465" s="73"/>
      <c r="AX465" s="73"/>
      <c r="AY465" s="73"/>
      <c r="AZ465" s="73"/>
      <c r="BA465" s="73"/>
      <c r="BB465" s="73"/>
    </row>
    <row r="466">
      <c r="A466" s="73"/>
      <c r="B466" s="73"/>
      <c r="C466" s="73"/>
      <c r="D466" s="73"/>
      <c r="E466" s="73"/>
      <c r="F466" s="73"/>
      <c r="G466" s="73"/>
      <c r="H466" s="73"/>
      <c r="I466" s="73"/>
      <c r="J466" s="73"/>
      <c r="K466" s="73"/>
      <c r="L466" s="73"/>
      <c r="M466" s="73"/>
      <c r="N466" s="73"/>
      <c r="O466" s="73"/>
      <c r="P466" s="73"/>
      <c r="Q466" s="73"/>
      <c r="R466" s="73"/>
      <c r="S466" s="73"/>
      <c r="T466" s="73"/>
      <c r="U466" s="73"/>
      <c r="V466" s="73"/>
      <c r="W466" s="73"/>
      <c r="X466" s="73"/>
      <c r="Y466" s="73"/>
      <c r="Z466" s="73"/>
      <c r="AA466" s="73"/>
      <c r="AB466" s="73"/>
      <c r="AC466" s="73"/>
      <c r="AD466" s="73"/>
      <c r="AE466" s="73"/>
      <c r="AF466" s="73"/>
      <c r="AG466" s="73"/>
      <c r="AH466" s="73"/>
      <c r="AI466" s="73"/>
      <c r="AJ466" s="73"/>
      <c r="AK466" s="73"/>
      <c r="AL466" s="73"/>
      <c r="AM466" s="73"/>
      <c r="AN466" s="73"/>
      <c r="AO466" s="73"/>
      <c r="AP466" s="73"/>
      <c r="AQ466" s="73"/>
      <c r="AR466" s="73"/>
      <c r="AS466" s="73"/>
      <c r="AT466" s="73"/>
      <c r="AU466" s="73"/>
      <c r="AV466" s="73"/>
      <c r="AW466" s="73"/>
      <c r="AX466" s="73"/>
      <c r="AY466" s="73"/>
      <c r="AZ466" s="73"/>
      <c r="BA466" s="73"/>
      <c r="BB466" s="73"/>
    </row>
    <row r="467">
      <c r="A467" s="73"/>
      <c r="B467" s="73"/>
      <c r="C467" s="73"/>
      <c r="D467" s="73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  <c r="AG467" s="73"/>
      <c r="AH467" s="73"/>
      <c r="AI467" s="73"/>
      <c r="AJ467" s="73"/>
      <c r="AK467" s="73"/>
      <c r="AL467" s="73"/>
      <c r="AM467" s="73"/>
      <c r="AN467" s="73"/>
      <c r="AO467" s="73"/>
      <c r="AP467" s="73"/>
      <c r="AQ467" s="73"/>
      <c r="AR467" s="73"/>
      <c r="AS467" s="73"/>
      <c r="AT467" s="73"/>
      <c r="AU467" s="73"/>
      <c r="AV467" s="73"/>
      <c r="AW467" s="73"/>
      <c r="AX467" s="73"/>
      <c r="AY467" s="73"/>
      <c r="AZ467" s="73"/>
      <c r="BA467" s="73"/>
      <c r="BB467" s="73"/>
    </row>
    <row r="468">
      <c r="A468" s="73"/>
      <c r="B468" s="73"/>
      <c r="C468" s="73"/>
      <c r="D468" s="73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  <c r="V468" s="73"/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  <c r="AG468" s="73"/>
      <c r="AH468" s="73"/>
      <c r="AI468" s="73"/>
      <c r="AJ468" s="73"/>
      <c r="AK468" s="73"/>
      <c r="AL468" s="73"/>
      <c r="AM468" s="73"/>
      <c r="AN468" s="73"/>
      <c r="AO468" s="73"/>
      <c r="AP468" s="73"/>
      <c r="AQ468" s="73"/>
      <c r="AR468" s="73"/>
      <c r="AS468" s="73"/>
      <c r="AT468" s="73"/>
      <c r="AU468" s="73"/>
      <c r="AV468" s="73"/>
      <c r="AW468" s="73"/>
      <c r="AX468" s="73"/>
      <c r="AY468" s="73"/>
      <c r="AZ468" s="73"/>
      <c r="BA468" s="73"/>
      <c r="BB468" s="73"/>
    </row>
    <row r="469">
      <c r="A469" s="73"/>
      <c r="B469" s="73"/>
      <c r="C469" s="73"/>
      <c r="D469" s="73"/>
      <c r="E469" s="73"/>
      <c r="F469" s="73"/>
      <c r="G469" s="73"/>
      <c r="H469" s="73"/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73"/>
      <c r="V469" s="73"/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  <c r="AG469" s="73"/>
      <c r="AH469" s="73"/>
      <c r="AI469" s="73"/>
      <c r="AJ469" s="73"/>
      <c r="AK469" s="73"/>
      <c r="AL469" s="73"/>
      <c r="AM469" s="73"/>
      <c r="AN469" s="73"/>
      <c r="AO469" s="73"/>
      <c r="AP469" s="73"/>
      <c r="AQ469" s="73"/>
      <c r="AR469" s="73"/>
      <c r="AS469" s="73"/>
      <c r="AT469" s="73"/>
      <c r="AU469" s="73"/>
      <c r="AV469" s="73"/>
      <c r="AW469" s="73"/>
      <c r="AX469" s="73"/>
      <c r="AY469" s="73"/>
      <c r="AZ469" s="73"/>
      <c r="BA469" s="73"/>
      <c r="BB469" s="73"/>
    </row>
    <row r="470">
      <c r="A470" s="73"/>
      <c r="B470" s="73"/>
      <c r="C470" s="73"/>
      <c r="D470" s="73"/>
      <c r="E470" s="73"/>
      <c r="F470" s="73"/>
      <c r="G470" s="73"/>
      <c r="H470" s="73"/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73"/>
      <c r="V470" s="73"/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  <c r="AG470" s="73"/>
      <c r="AH470" s="73"/>
      <c r="AI470" s="73"/>
      <c r="AJ470" s="73"/>
      <c r="AK470" s="73"/>
      <c r="AL470" s="73"/>
      <c r="AM470" s="73"/>
      <c r="AN470" s="73"/>
      <c r="AO470" s="73"/>
      <c r="AP470" s="73"/>
      <c r="AQ470" s="73"/>
      <c r="AR470" s="73"/>
      <c r="AS470" s="73"/>
      <c r="AT470" s="73"/>
      <c r="AU470" s="73"/>
      <c r="AV470" s="73"/>
      <c r="AW470" s="73"/>
      <c r="AX470" s="73"/>
      <c r="AY470" s="73"/>
      <c r="AZ470" s="73"/>
      <c r="BA470" s="73"/>
      <c r="BB470" s="73"/>
    </row>
    <row r="471">
      <c r="A471" s="73"/>
      <c r="B471" s="73"/>
      <c r="C471" s="73"/>
      <c r="D471" s="73"/>
      <c r="E471" s="73"/>
      <c r="F471" s="73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73"/>
      <c r="V471" s="73"/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  <c r="AG471" s="73"/>
      <c r="AH471" s="73"/>
      <c r="AI471" s="73"/>
      <c r="AJ471" s="73"/>
      <c r="AK471" s="73"/>
      <c r="AL471" s="73"/>
      <c r="AM471" s="73"/>
      <c r="AN471" s="73"/>
      <c r="AO471" s="73"/>
      <c r="AP471" s="73"/>
      <c r="AQ471" s="73"/>
      <c r="AR471" s="73"/>
      <c r="AS471" s="73"/>
      <c r="AT471" s="73"/>
      <c r="AU471" s="73"/>
      <c r="AV471" s="73"/>
      <c r="AW471" s="73"/>
      <c r="AX471" s="73"/>
      <c r="AY471" s="73"/>
      <c r="AZ471" s="73"/>
      <c r="BA471" s="73"/>
      <c r="BB471" s="73"/>
    </row>
    <row r="472">
      <c r="A472" s="73"/>
      <c r="B472" s="73"/>
      <c r="C472" s="73"/>
      <c r="D472" s="73"/>
      <c r="E472" s="73"/>
      <c r="F472" s="73"/>
      <c r="G472" s="73"/>
      <c r="H472" s="73"/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73"/>
      <c r="V472" s="73"/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  <c r="AG472" s="73"/>
      <c r="AH472" s="73"/>
      <c r="AI472" s="73"/>
      <c r="AJ472" s="73"/>
      <c r="AK472" s="73"/>
      <c r="AL472" s="73"/>
      <c r="AM472" s="73"/>
      <c r="AN472" s="73"/>
      <c r="AO472" s="73"/>
      <c r="AP472" s="73"/>
      <c r="AQ472" s="73"/>
      <c r="AR472" s="73"/>
      <c r="AS472" s="73"/>
      <c r="AT472" s="73"/>
      <c r="AU472" s="73"/>
      <c r="AV472" s="73"/>
      <c r="AW472" s="73"/>
      <c r="AX472" s="73"/>
      <c r="AY472" s="73"/>
      <c r="AZ472" s="73"/>
      <c r="BA472" s="73"/>
      <c r="BB472" s="73"/>
    </row>
    <row r="473">
      <c r="A473" s="73"/>
      <c r="B473" s="73"/>
      <c r="C473" s="73"/>
      <c r="D473" s="73"/>
      <c r="E473" s="73"/>
      <c r="F473" s="73"/>
      <c r="G473" s="73"/>
      <c r="H473" s="73"/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  <c r="AG473" s="73"/>
      <c r="AH473" s="73"/>
      <c r="AI473" s="73"/>
      <c r="AJ473" s="73"/>
      <c r="AK473" s="73"/>
      <c r="AL473" s="73"/>
      <c r="AM473" s="73"/>
      <c r="AN473" s="73"/>
      <c r="AO473" s="73"/>
      <c r="AP473" s="73"/>
      <c r="AQ473" s="73"/>
      <c r="AR473" s="73"/>
      <c r="AS473" s="73"/>
      <c r="AT473" s="73"/>
      <c r="AU473" s="73"/>
      <c r="AV473" s="73"/>
      <c r="AW473" s="73"/>
      <c r="AX473" s="73"/>
      <c r="AY473" s="73"/>
      <c r="AZ473" s="73"/>
      <c r="BA473" s="73"/>
      <c r="BB473" s="73"/>
    </row>
    <row r="474">
      <c r="A474" s="73"/>
      <c r="B474" s="73"/>
      <c r="C474" s="73"/>
      <c r="D474" s="73"/>
      <c r="E474" s="73"/>
      <c r="F474" s="73"/>
      <c r="G474" s="73"/>
      <c r="H474" s="73"/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73"/>
      <c r="V474" s="73"/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  <c r="AG474" s="73"/>
      <c r="AH474" s="73"/>
      <c r="AI474" s="73"/>
      <c r="AJ474" s="73"/>
      <c r="AK474" s="73"/>
      <c r="AL474" s="73"/>
      <c r="AM474" s="73"/>
      <c r="AN474" s="73"/>
      <c r="AO474" s="73"/>
      <c r="AP474" s="73"/>
      <c r="AQ474" s="73"/>
      <c r="AR474" s="73"/>
      <c r="AS474" s="73"/>
      <c r="AT474" s="73"/>
      <c r="AU474" s="73"/>
      <c r="AV474" s="73"/>
      <c r="AW474" s="73"/>
      <c r="AX474" s="73"/>
      <c r="AY474" s="73"/>
      <c r="AZ474" s="73"/>
      <c r="BA474" s="73"/>
      <c r="BB474" s="73"/>
    </row>
    <row r="475">
      <c r="A475" s="73"/>
      <c r="B475" s="73"/>
      <c r="C475" s="73"/>
      <c r="D475" s="73"/>
      <c r="E475" s="73"/>
      <c r="F475" s="73"/>
      <c r="G475" s="73"/>
      <c r="H475" s="73"/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73"/>
      <c r="V475" s="73"/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  <c r="AG475" s="73"/>
      <c r="AH475" s="73"/>
      <c r="AI475" s="73"/>
      <c r="AJ475" s="73"/>
      <c r="AK475" s="73"/>
      <c r="AL475" s="73"/>
      <c r="AM475" s="73"/>
      <c r="AN475" s="73"/>
      <c r="AO475" s="73"/>
      <c r="AP475" s="73"/>
      <c r="AQ475" s="73"/>
      <c r="AR475" s="73"/>
      <c r="AS475" s="73"/>
      <c r="AT475" s="73"/>
      <c r="AU475" s="73"/>
      <c r="AV475" s="73"/>
      <c r="AW475" s="73"/>
      <c r="AX475" s="73"/>
      <c r="AY475" s="73"/>
      <c r="AZ475" s="73"/>
      <c r="BA475" s="73"/>
      <c r="BB475" s="73"/>
    </row>
    <row r="476">
      <c r="A476" s="73"/>
      <c r="B476" s="73"/>
      <c r="C476" s="73"/>
      <c r="D476" s="73"/>
      <c r="E476" s="73"/>
      <c r="F476" s="73"/>
      <c r="G476" s="73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  <c r="AG476" s="73"/>
      <c r="AH476" s="73"/>
      <c r="AI476" s="73"/>
      <c r="AJ476" s="73"/>
      <c r="AK476" s="73"/>
      <c r="AL476" s="73"/>
      <c r="AM476" s="73"/>
      <c r="AN476" s="73"/>
      <c r="AO476" s="73"/>
      <c r="AP476" s="73"/>
      <c r="AQ476" s="73"/>
      <c r="AR476" s="73"/>
      <c r="AS476" s="73"/>
      <c r="AT476" s="73"/>
      <c r="AU476" s="73"/>
      <c r="AV476" s="73"/>
      <c r="AW476" s="73"/>
      <c r="AX476" s="73"/>
      <c r="AY476" s="73"/>
      <c r="AZ476" s="73"/>
      <c r="BA476" s="73"/>
      <c r="BB476" s="73"/>
    </row>
    <row r="477">
      <c r="A477" s="73"/>
      <c r="B477" s="73"/>
      <c r="C477" s="73"/>
      <c r="D477" s="73"/>
      <c r="E477" s="73"/>
      <c r="F477" s="73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  <c r="AG477" s="73"/>
      <c r="AH477" s="73"/>
      <c r="AI477" s="73"/>
      <c r="AJ477" s="73"/>
      <c r="AK477" s="73"/>
      <c r="AL477" s="73"/>
      <c r="AM477" s="73"/>
      <c r="AN477" s="73"/>
      <c r="AO477" s="73"/>
      <c r="AP477" s="73"/>
      <c r="AQ477" s="73"/>
      <c r="AR477" s="73"/>
      <c r="AS477" s="73"/>
      <c r="AT477" s="73"/>
      <c r="AU477" s="73"/>
      <c r="AV477" s="73"/>
      <c r="AW477" s="73"/>
      <c r="AX477" s="73"/>
      <c r="AY477" s="73"/>
      <c r="AZ477" s="73"/>
      <c r="BA477" s="73"/>
      <c r="BB477" s="73"/>
    </row>
    <row r="478">
      <c r="A478" s="73"/>
      <c r="B478" s="73"/>
      <c r="C478" s="73"/>
      <c r="D478" s="73"/>
      <c r="E478" s="73"/>
      <c r="F478" s="73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  <c r="AI478" s="73"/>
      <c r="AJ478" s="73"/>
      <c r="AK478" s="73"/>
      <c r="AL478" s="73"/>
      <c r="AM478" s="73"/>
      <c r="AN478" s="73"/>
      <c r="AO478" s="73"/>
      <c r="AP478" s="73"/>
      <c r="AQ478" s="73"/>
      <c r="AR478" s="73"/>
      <c r="AS478" s="73"/>
      <c r="AT478" s="73"/>
      <c r="AU478" s="73"/>
      <c r="AV478" s="73"/>
      <c r="AW478" s="73"/>
      <c r="AX478" s="73"/>
      <c r="AY478" s="73"/>
      <c r="AZ478" s="73"/>
      <c r="BA478" s="73"/>
      <c r="BB478" s="73"/>
    </row>
    <row r="479">
      <c r="A479" s="73"/>
      <c r="B479" s="73"/>
      <c r="C479" s="73"/>
      <c r="D479" s="73"/>
      <c r="E479" s="73"/>
      <c r="F479" s="73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  <c r="AG479" s="73"/>
      <c r="AH479" s="73"/>
      <c r="AI479" s="73"/>
      <c r="AJ479" s="73"/>
      <c r="AK479" s="73"/>
      <c r="AL479" s="73"/>
      <c r="AM479" s="73"/>
      <c r="AN479" s="73"/>
      <c r="AO479" s="73"/>
      <c r="AP479" s="73"/>
      <c r="AQ479" s="73"/>
      <c r="AR479" s="73"/>
      <c r="AS479" s="73"/>
      <c r="AT479" s="73"/>
      <c r="AU479" s="73"/>
      <c r="AV479" s="73"/>
      <c r="AW479" s="73"/>
      <c r="AX479" s="73"/>
      <c r="AY479" s="73"/>
      <c r="AZ479" s="73"/>
      <c r="BA479" s="73"/>
      <c r="BB479" s="73"/>
    </row>
    <row r="480">
      <c r="A480" s="73"/>
      <c r="B480" s="73"/>
      <c r="C480" s="73"/>
      <c r="D480" s="73"/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  <c r="AG480" s="73"/>
      <c r="AH480" s="73"/>
      <c r="AI480" s="73"/>
      <c r="AJ480" s="73"/>
      <c r="AK480" s="73"/>
      <c r="AL480" s="73"/>
      <c r="AM480" s="73"/>
      <c r="AN480" s="73"/>
      <c r="AO480" s="73"/>
      <c r="AP480" s="73"/>
      <c r="AQ480" s="73"/>
      <c r="AR480" s="73"/>
      <c r="AS480" s="73"/>
      <c r="AT480" s="73"/>
      <c r="AU480" s="73"/>
      <c r="AV480" s="73"/>
      <c r="AW480" s="73"/>
      <c r="AX480" s="73"/>
      <c r="AY480" s="73"/>
      <c r="AZ480" s="73"/>
      <c r="BA480" s="73"/>
      <c r="BB480" s="73"/>
    </row>
    <row r="481">
      <c r="A481" s="73"/>
      <c r="B481" s="73"/>
      <c r="C481" s="73"/>
      <c r="D481" s="73"/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  <c r="AG481" s="73"/>
      <c r="AH481" s="73"/>
      <c r="AI481" s="73"/>
      <c r="AJ481" s="73"/>
      <c r="AK481" s="73"/>
      <c r="AL481" s="73"/>
      <c r="AM481" s="73"/>
      <c r="AN481" s="73"/>
      <c r="AO481" s="73"/>
      <c r="AP481" s="73"/>
      <c r="AQ481" s="73"/>
      <c r="AR481" s="73"/>
      <c r="AS481" s="73"/>
      <c r="AT481" s="73"/>
      <c r="AU481" s="73"/>
      <c r="AV481" s="73"/>
      <c r="AW481" s="73"/>
      <c r="AX481" s="73"/>
      <c r="AY481" s="73"/>
      <c r="AZ481" s="73"/>
      <c r="BA481" s="73"/>
      <c r="BB481" s="73"/>
    </row>
    <row r="482">
      <c r="A482" s="73"/>
      <c r="B482" s="73"/>
      <c r="C482" s="73"/>
      <c r="D482" s="73"/>
      <c r="E482" s="73"/>
      <c r="F482" s="73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  <c r="AG482" s="73"/>
      <c r="AH482" s="73"/>
      <c r="AI482" s="73"/>
      <c r="AJ482" s="73"/>
      <c r="AK482" s="73"/>
      <c r="AL482" s="73"/>
      <c r="AM482" s="73"/>
      <c r="AN482" s="73"/>
      <c r="AO482" s="73"/>
      <c r="AP482" s="73"/>
      <c r="AQ482" s="73"/>
      <c r="AR482" s="73"/>
      <c r="AS482" s="73"/>
      <c r="AT482" s="73"/>
      <c r="AU482" s="73"/>
      <c r="AV482" s="73"/>
      <c r="AW482" s="73"/>
      <c r="AX482" s="73"/>
      <c r="AY482" s="73"/>
      <c r="AZ482" s="73"/>
      <c r="BA482" s="73"/>
      <c r="BB482" s="73"/>
    </row>
    <row r="483">
      <c r="A483" s="73"/>
      <c r="B483" s="73"/>
      <c r="C483" s="73"/>
      <c r="D483" s="73"/>
      <c r="E483" s="73"/>
      <c r="F483" s="73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  <c r="AG483" s="73"/>
      <c r="AH483" s="73"/>
      <c r="AI483" s="73"/>
      <c r="AJ483" s="73"/>
      <c r="AK483" s="73"/>
      <c r="AL483" s="73"/>
      <c r="AM483" s="73"/>
      <c r="AN483" s="73"/>
      <c r="AO483" s="73"/>
      <c r="AP483" s="73"/>
      <c r="AQ483" s="73"/>
      <c r="AR483" s="73"/>
      <c r="AS483" s="73"/>
      <c r="AT483" s="73"/>
      <c r="AU483" s="73"/>
      <c r="AV483" s="73"/>
      <c r="AW483" s="73"/>
      <c r="AX483" s="73"/>
      <c r="AY483" s="73"/>
      <c r="AZ483" s="73"/>
      <c r="BA483" s="73"/>
      <c r="BB483" s="73"/>
    </row>
    <row r="484">
      <c r="A484" s="73"/>
      <c r="B484" s="73"/>
      <c r="C484" s="73"/>
      <c r="D484" s="73"/>
      <c r="E484" s="73"/>
      <c r="F484" s="73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  <c r="AG484" s="73"/>
      <c r="AH484" s="73"/>
      <c r="AI484" s="73"/>
      <c r="AJ484" s="73"/>
      <c r="AK484" s="73"/>
      <c r="AL484" s="73"/>
      <c r="AM484" s="73"/>
      <c r="AN484" s="73"/>
      <c r="AO484" s="73"/>
      <c r="AP484" s="73"/>
      <c r="AQ484" s="73"/>
      <c r="AR484" s="73"/>
      <c r="AS484" s="73"/>
      <c r="AT484" s="73"/>
      <c r="AU484" s="73"/>
      <c r="AV484" s="73"/>
      <c r="AW484" s="73"/>
      <c r="AX484" s="73"/>
      <c r="AY484" s="73"/>
      <c r="AZ484" s="73"/>
      <c r="BA484" s="73"/>
      <c r="BB484" s="73"/>
    </row>
    <row r="485">
      <c r="A485" s="73"/>
      <c r="B485" s="73"/>
      <c r="C485" s="73"/>
      <c r="D485" s="73"/>
      <c r="E485" s="73"/>
      <c r="F485" s="73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  <c r="AG485" s="73"/>
      <c r="AH485" s="73"/>
      <c r="AI485" s="73"/>
      <c r="AJ485" s="73"/>
      <c r="AK485" s="73"/>
      <c r="AL485" s="73"/>
      <c r="AM485" s="73"/>
      <c r="AN485" s="73"/>
      <c r="AO485" s="73"/>
      <c r="AP485" s="73"/>
      <c r="AQ485" s="73"/>
      <c r="AR485" s="73"/>
      <c r="AS485" s="73"/>
      <c r="AT485" s="73"/>
      <c r="AU485" s="73"/>
      <c r="AV485" s="73"/>
      <c r="AW485" s="73"/>
      <c r="AX485" s="73"/>
      <c r="AY485" s="73"/>
      <c r="AZ485" s="73"/>
      <c r="BA485" s="73"/>
      <c r="BB485" s="73"/>
    </row>
    <row r="486">
      <c r="A486" s="73"/>
      <c r="B486" s="73"/>
      <c r="C486" s="73"/>
      <c r="D486" s="73"/>
      <c r="E486" s="73"/>
      <c r="F486" s="73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  <c r="AG486" s="73"/>
      <c r="AH486" s="73"/>
      <c r="AI486" s="73"/>
      <c r="AJ486" s="73"/>
      <c r="AK486" s="73"/>
      <c r="AL486" s="73"/>
      <c r="AM486" s="73"/>
      <c r="AN486" s="73"/>
      <c r="AO486" s="73"/>
      <c r="AP486" s="73"/>
      <c r="AQ486" s="73"/>
      <c r="AR486" s="73"/>
      <c r="AS486" s="73"/>
      <c r="AT486" s="73"/>
      <c r="AU486" s="73"/>
      <c r="AV486" s="73"/>
      <c r="AW486" s="73"/>
      <c r="AX486" s="73"/>
      <c r="AY486" s="73"/>
      <c r="AZ486" s="73"/>
      <c r="BA486" s="73"/>
      <c r="BB486" s="73"/>
    </row>
    <row r="487">
      <c r="A487" s="73"/>
      <c r="B487" s="73"/>
      <c r="C487" s="73"/>
      <c r="D487" s="73"/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  <c r="AG487" s="73"/>
      <c r="AH487" s="73"/>
      <c r="AI487" s="73"/>
      <c r="AJ487" s="73"/>
      <c r="AK487" s="73"/>
      <c r="AL487" s="73"/>
      <c r="AM487" s="73"/>
      <c r="AN487" s="73"/>
      <c r="AO487" s="73"/>
      <c r="AP487" s="73"/>
      <c r="AQ487" s="73"/>
      <c r="AR487" s="73"/>
      <c r="AS487" s="73"/>
      <c r="AT487" s="73"/>
      <c r="AU487" s="73"/>
      <c r="AV487" s="73"/>
      <c r="AW487" s="73"/>
      <c r="AX487" s="73"/>
      <c r="AY487" s="73"/>
      <c r="AZ487" s="73"/>
      <c r="BA487" s="73"/>
      <c r="BB487" s="73"/>
    </row>
    <row r="488">
      <c r="A488" s="73"/>
      <c r="B488" s="73"/>
      <c r="C488" s="73"/>
      <c r="D488" s="73"/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  <c r="AG488" s="73"/>
      <c r="AH488" s="73"/>
      <c r="AI488" s="73"/>
      <c r="AJ488" s="73"/>
      <c r="AK488" s="73"/>
      <c r="AL488" s="73"/>
      <c r="AM488" s="73"/>
      <c r="AN488" s="73"/>
      <c r="AO488" s="73"/>
      <c r="AP488" s="73"/>
      <c r="AQ488" s="73"/>
      <c r="AR488" s="73"/>
      <c r="AS488" s="73"/>
      <c r="AT488" s="73"/>
      <c r="AU488" s="73"/>
      <c r="AV488" s="73"/>
      <c r="AW488" s="73"/>
      <c r="AX488" s="73"/>
      <c r="AY488" s="73"/>
      <c r="AZ488" s="73"/>
      <c r="BA488" s="73"/>
      <c r="BB488" s="73"/>
    </row>
    <row r="489">
      <c r="A489" s="73"/>
      <c r="B489" s="73"/>
      <c r="C489" s="73"/>
      <c r="D489" s="73"/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  <c r="AG489" s="73"/>
      <c r="AH489" s="73"/>
      <c r="AI489" s="73"/>
      <c r="AJ489" s="73"/>
      <c r="AK489" s="73"/>
      <c r="AL489" s="73"/>
      <c r="AM489" s="73"/>
      <c r="AN489" s="73"/>
      <c r="AO489" s="73"/>
      <c r="AP489" s="73"/>
      <c r="AQ489" s="73"/>
      <c r="AR489" s="73"/>
      <c r="AS489" s="73"/>
      <c r="AT489" s="73"/>
      <c r="AU489" s="73"/>
      <c r="AV489" s="73"/>
      <c r="AW489" s="73"/>
      <c r="AX489" s="73"/>
      <c r="AY489" s="73"/>
      <c r="AZ489" s="73"/>
      <c r="BA489" s="73"/>
      <c r="BB489" s="73"/>
    </row>
    <row r="490">
      <c r="A490" s="73"/>
      <c r="B490" s="73"/>
      <c r="C490" s="73"/>
      <c r="D490" s="73"/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  <c r="AG490" s="73"/>
      <c r="AH490" s="73"/>
      <c r="AI490" s="73"/>
      <c r="AJ490" s="73"/>
      <c r="AK490" s="73"/>
      <c r="AL490" s="73"/>
      <c r="AM490" s="73"/>
      <c r="AN490" s="73"/>
      <c r="AO490" s="73"/>
      <c r="AP490" s="73"/>
      <c r="AQ490" s="73"/>
      <c r="AR490" s="73"/>
      <c r="AS490" s="73"/>
      <c r="AT490" s="73"/>
      <c r="AU490" s="73"/>
      <c r="AV490" s="73"/>
      <c r="AW490" s="73"/>
      <c r="AX490" s="73"/>
      <c r="AY490" s="73"/>
      <c r="AZ490" s="73"/>
      <c r="BA490" s="73"/>
      <c r="BB490" s="73"/>
    </row>
    <row r="491">
      <c r="A491" s="73"/>
      <c r="B491" s="73"/>
      <c r="C491" s="73"/>
      <c r="D491" s="73"/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  <c r="AG491" s="73"/>
      <c r="AH491" s="73"/>
      <c r="AI491" s="73"/>
      <c r="AJ491" s="73"/>
      <c r="AK491" s="73"/>
      <c r="AL491" s="73"/>
      <c r="AM491" s="73"/>
      <c r="AN491" s="73"/>
      <c r="AO491" s="73"/>
      <c r="AP491" s="73"/>
      <c r="AQ491" s="73"/>
      <c r="AR491" s="73"/>
      <c r="AS491" s="73"/>
      <c r="AT491" s="73"/>
      <c r="AU491" s="73"/>
      <c r="AV491" s="73"/>
      <c r="AW491" s="73"/>
      <c r="AX491" s="73"/>
      <c r="AY491" s="73"/>
      <c r="AZ491" s="73"/>
      <c r="BA491" s="73"/>
      <c r="BB491" s="73"/>
    </row>
    <row r="492">
      <c r="A492" s="73"/>
      <c r="B492" s="73"/>
      <c r="C492" s="73"/>
      <c r="D492" s="73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  <c r="AG492" s="73"/>
      <c r="AH492" s="73"/>
      <c r="AI492" s="73"/>
      <c r="AJ492" s="73"/>
      <c r="AK492" s="73"/>
      <c r="AL492" s="73"/>
      <c r="AM492" s="73"/>
      <c r="AN492" s="73"/>
      <c r="AO492" s="73"/>
      <c r="AP492" s="73"/>
      <c r="AQ492" s="73"/>
      <c r="AR492" s="73"/>
      <c r="AS492" s="73"/>
      <c r="AT492" s="73"/>
      <c r="AU492" s="73"/>
      <c r="AV492" s="73"/>
      <c r="AW492" s="73"/>
      <c r="AX492" s="73"/>
      <c r="AY492" s="73"/>
      <c r="AZ492" s="73"/>
      <c r="BA492" s="73"/>
      <c r="BB492" s="73"/>
    </row>
    <row r="493">
      <c r="A493" s="73"/>
      <c r="B493" s="73"/>
      <c r="C493" s="73"/>
      <c r="D493" s="73"/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  <c r="AG493" s="73"/>
      <c r="AH493" s="73"/>
      <c r="AI493" s="73"/>
      <c r="AJ493" s="73"/>
      <c r="AK493" s="73"/>
      <c r="AL493" s="73"/>
      <c r="AM493" s="73"/>
      <c r="AN493" s="73"/>
      <c r="AO493" s="73"/>
      <c r="AP493" s="73"/>
      <c r="AQ493" s="73"/>
      <c r="AR493" s="73"/>
      <c r="AS493" s="73"/>
      <c r="AT493" s="73"/>
      <c r="AU493" s="73"/>
      <c r="AV493" s="73"/>
      <c r="AW493" s="73"/>
      <c r="AX493" s="73"/>
      <c r="AY493" s="73"/>
      <c r="AZ493" s="73"/>
      <c r="BA493" s="73"/>
      <c r="BB493" s="73"/>
    </row>
    <row r="494">
      <c r="A494" s="73"/>
      <c r="B494" s="73"/>
      <c r="C494" s="73"/>
      <c r="D494" s="73"/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  <c r="AG494" s="73"/>
      <c r="AH494" s="73"/>
      <c r="AI494" s="73"/>
      <c r="AJ494" s="73"/>
      <c r="AK494" s="73"/>
      <c r="AL494" s="73"/>
      <c r="AM494" s="73"/>
      <c r="AN494" s="73"/>
      <c r="AO494" s="73"/>
      <c r="AP494" s="73"/>
      <c r="AQ494" s="73"/>
      <c r="AR494" s="73"/>
      <c r="AS494" s="73"/>
      <c r="AT494" s="73"/>
      <c r="AU494" s="73"/>
      <c r="AV494" s="73"/>
      <c r="AW494" s="73"/>
      <c r="AX494" s="73"/>
      <c r="AY494" s="73"/>
      <c r="AZ494" s="73"/>
      <c r="BA494" s="73"/>
      <c r="BB494" s="73"/>
    </row>
    <row r="495">
      <c r="A495" s="73"/>
      <c r="B495" s="73"/>
      <c r="C495" s="73"/>
      <c r="D495" s="73"/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  <c r="AG495" s="73"/>
      <c r="AH495" s="73"/>
      <c r="AI495" s="73"/>
      <c r="AJ495" s="73"/>
      <c r="AK495" s="73"/>
      <c r="AL495" s="73"/>
      <c r="AM495" s="73"/>
      <c r="AN495" s="73"/>
      <c r="AO495" s="73"/>
      <c r="AP495" s="73"/>
      <c r="AQ495" s="73"/>
      <c r="AR495" s="73"/>
      <c r="AS495" s="73"/>
      <c r="AT495" s="73"/>
      <c r="AU495" s="73"/>
      <c r="AV495" s="73"/>
      <c r="AW495" s="73"/>
      <c r="AX495" s="73"/>
      <c r="AY495" s="73"/>
      <c r="AZ495" s="73"/>
      <c r="BA495" s="73"/>
      <c r="BB495" s="73"/>
    </row>
    <row r="496">
      <c r="A496" s="73"/>
      <c r="B496" s="73"/>
      <c r="C496" s="73"/>
      <c r="D496" s="73"/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  <c r="AG496" s="73"/>
      <c r="AH496" s="73"/>
      <c r="AI496" s="73"/>
      <c r="AJ496" s="73"/>
      <c r="AK496" s="73"/>
      <c r="AL496" s="73"/>
      <c r="AM496" s="73"/>
      <c r="AN496" s="73"/>
      <c r="AO496" s="73"/>
      <c r="AP496" s="73"/>
      <c r="AQ496" s="73"/>
      <c r="AR496" s="73"/>
      <c r="AS496" s="73"/>
      <c r="AT496" s="73"/>
      <c r="AU496" s="73"/>
      <c r="AV496" s="73"/>
      <c r="AW496" s="73"/>
      <c r="AX496" s="73"/>
      <c r="AY496" s="73"/>
      <c r="AZ496" s="73"/>
      <c r="BA496" s="73"/>
      <c r="BB496" s="73"/>
    </row>
    <row r="497">
      <c r="A497" s="73"/>
      <c r="B497" s="73"/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  <c r="AG497" s="73"/>
      <c r="AH497" s="73"/>
      <c r="AI497" s="73"/>
      <c r="AJ497" s="73"/>
      <c r="AK497" s="73"/>
      <c r="AL497" s="73"/>
      <c r="AM497" s="73"/>
      <c r="AN497" s="73"/>
      <c r="AO497" s="73"/>
      <c r="AP497" s="73"/>
      <c r="AQ497" s="73"/>
      <c r="AR497" s="73"/>
      <c r="AS497" s="73"/>
      <c r="AT497" s="73"/>
      <c r="AU497" s="73"/>
      <c r="AV497" s="73"/>
      <c r="AW497" s="73"/>
      <c r="AX497" s="73"/>
      <c r="AY497" s="73"/>
      <c r="AZ497" s="73"/>
      <c r="BA497" s="73"/>
      <c r="BB497" s="73"/>
    </row>
    <row r="498">
      <c r="A498" s="73"/>
      <c r="B498" s="73"/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  <c r="AG498" s="73"/>
      <c r="AH498" s="73"/>
      <c r="AI498" s="73"/>
      <c r="AJ498" s="73"/>
      <c r="AK498" s="73"/>
      <c r="AL498" s="73"/>
      <c r="AM498" s="73"/>
      <c r="AN498" s="73"/>
      <c r="AO498" s="73"/>
      <c r="AP498" s="73"/>
      <c r="AQ498" s="73"/>
      <c r="AR498" s="73"/>
      <c r="AS498" s="73"/>
      <c r="AT498" s="73"/>
      <c r="AU498" s="73"/>
      <c r="AV498" s="73"/>
      <c r="AW498" s="73"/>
      <c r="AX498" s="73"/>
      <c r="AY498" s="73"/>
      <c r="AZ498" s="73"/>
      <c r="BA498" s="73"/>
      <c r="BB498" s="73"/>
    </row>
    <row r="499">
      <c r="A499" s="73"/>
      <c r="B499" s="73"/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  <c r="AG499" s="73"/>
      <c r="AH499" s="73"/>
      <c r="AI499" s="73"/>
      <c r="AJ499" s="73"/>
      <c r="AK499" s="73"/>
      <c r="AL499" s="73"/>
      <c r="AM499" s="73"/>
      <c r="AN499" s="73"/>
      <c r="AO499" s="73"/>
      <c r="AP499" s="73"/>
      <c r="AQ499" s="73"/>
      <c r="AR499" s="73"/>
      <c r="AS499" s="73"/>
      <c r="AT499" s="73"/>
      <c r="AU499" s="73"/>
      <c r="AV499" s="73"/>
      <c r="AW499" s="73"/>
      <c r="AX499" s="73"/>
      <c r="AY499" s="73"/>
      <c r="AZ499" s="73"/>
      <c r="BA499" s="73"/>
      <c r="BB499" s="73"/>
    </row>
    <row r="500">
      <c r="A500" s="73"/>
      <c r="B500" s="73"/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  <c r="AG500" s="73"/>
      <c r="AH500" s="73"/>
      <c r="AI500" s="73"/>
      <c r="AJ500" s="73"/>
      <c r="AK500" s="73"/>
      <c r="AL500" s="73"/>
      <c r="AM500" s="73"/>
      <c r="AN500" s="73"/>
      <c r="AO500" s="73"/>
      <c r="AP500" s="73"/>
      <c r="AQ500" s="73"/>
      <c r="AR500" s="73"/>
      <c r="AS500" s="73"/>
      <c r="AT500" s="73"/>
      <c r="AU500" s="73"/>
      <c r="AV500" s="73"/>
      <c r="AW500" s="73"/>
      <c r="AX500" s="73"/>
      <c r="AY500" s="73"/>
      <c r="AZ500" s="73"/>
      <c r="BA500" s="73"/>
      <c r="BB500" s="73"/>
    </row>
    <row r="501">
      <c r="A501" s="73"/>
      <c r="B501" s="73"/>
      <c r="C501" s="73"/>
      <c r="D501" s="73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  <c r="AI501" s="73"/>
      <c r="AJ501" s="73"/>
      <c r="AK501" s="73"/>
      <c r="AL501" s="73"/>
      <c r="AM501" s="73"/>
      <c r="AN501" s="73"/>
      <c r="AO501" s="73"/>
      <c r="AP501" s="73"/>
      <c r="AQ501" s="73"/>
      <c r="AR501" s="73"/>
      <c r="AS501" s="73"/>
      <c r="AT501" s="73"/>
      <c r="AU501" s="73"/>
      <c r="AV501" s="73"/>
      <c r="AW501" s="73"/>
      <c r="AX501" s="73"/>
      <c r="AY501" s="73"/>
      <c r="AZ501" s="73"/>
      <c r="BA501" s="73"/>
      <c r="BB501" s="73"/>
    </row>
    <row r="502">
      <c r="A502" s="73"/>
      <c r="B502" s="73"/>
      <c r="C502" s="73"/>
      <c r="D502" s="73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  <c r="AI502" s="73"/>
      <c r="AJ502" s="73"/>
      <c r="AK502" s="73"/>
      <c r="AL502" s="73"/>
      <c r="AM502" s="73"/>
      <c r="AN502" s="73"/>
      <c r="AO502" s="73"/>
      <c r="AP502" s="73"/>
      <c r="AQ502" s="73"/>
      <c r="AR502" s="73"/>
      <c r="AS502" s="73"/>
      <c r="AT502" s="73"/>
      <c r="AU502" s="73"/>
      <c r="AV502" s="73"/>
      <c r="AW502" s="73"/>
      <c r="AX502" s="73"/>
      <c r="AY502" s="73"/>
      <c r="AZ502" s="73"/>
      <c r="BA502" s="73"/>
      <c r="BB502" s="73"/>
    </row>
    <row r="503">
      <c r="A503" s="73"/>
      <c r="B503" s="73"/>
      <c r="C503" s="73"/>
      <c r="D503" s="73"/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  <c r="AG503" s="73"/>
      <c r="AH503" s="73"/>
      <c r="AI503" s="73"/>
      <c r="AJ503" s="73"/>
      <c r="AK503" s="73"/>
      <c r="AL503" s="73"/>
      <c r="AM503" s="73"/>
      <c r="AN503" s="73"/>
      <c r="AO503" s="73"/>
      <c r="AP503" s="73"/>
      <c r="AQ503" s="73"/>
      <c r="AR503" s="73"/>
      <c r="AS503" s="73"/>
      <c r="AT503" s="73"/>
      <c r="AU503" s="73"/>
      <c r="AV503" s="73"/>
      <c r="AW503" s="73"/>
      <c r="AX503" s="73"/>
      <c r="AY503" s="73"/>
      <c r="AZ503" s="73"/>
      <c r="BA503" s="73"/>
      <c r="BB503" s="73"/>
    </row>
    <row r="504">
      <c r="A504" s="73"/>
      <c r="B504" s="73"/>
      <c r="C504" s="73"/>
      <c r="D504" s="73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  <c r="AG504" s="73"/>
      <c r="AH504" s="73"/>
      <c r="AI504" s="73"/>
      <c r="AJ504" s="73"/>
      <c r="AK504" s="73"/>
      <c r="AL504" s="73"/>
      <c r="AM504" s="73"/>
      <c r="AN504" s="73"/>
      <c r="AO504" s="73"/>
      <c r="AP504" s="73"/>
      <c r="AQ504" s="73"/>
      <c r="AR504" s="73"/>
      <c r="AS504" s="73"/>
      <c r="AT504" s="73"/>
      <c r="AU504" s="73"/>
      <c r="AV504" s="73"/>
      <c r="AW504" s="73"/>
      <c r="AX504" s="73"/>
      <c r="AY504" s="73"/>
      <c r="AZ504" s="73"/>
      <c r="BA504" s="73"/>
      <c r="BB504" s="73"/>
    </row>
    <row r="505">
      <c r="A505" s="73"/>
      <c r="B505" s="73"/>
      <c r="C505" s="73"/>
      <c r="D505" s="73"/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  <c r="AG505" s="73"/>
      <c r="AH505" s="73"/>
      <c r="AI505" s="73"/>
      <c r="AJ505" s="73"/>
      <c r="AK505" s="73"/>
      <c r="AL505" s="73"/>
      <c r="AM505" s="73"/>
      <c r="AN505" s="73"/>
      <c r="AO505" s="73"/>
      <c r="AP505" s="73"/>
      <c r="AQ505" s="73"/>
      <c r="AR505" s="73"/>
      <c r="AS505" s="73"/>
      <c r="AT505" s="73"/>
      <c r="AU505" s="73"/>
      <c r="AV505" s="73"/>
      <c r="AW505" s="73"/>
      <c r="AX505" s="73"/>
      <c r="AY505" s="73"/>
      <c r="AZ505" s="73"/>
      <c r="BA505" s="73"/>
      <c r="BB505" s="73"/>
    </row>
    <row r="506">
      <c r="A506" s="73"/>
      <c r="B506" s="73"/>
      <c r="C506" s="73"/>
      <c r="D506" s="73"/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  <c r="AG506" s="73"/>
      <c r="AH506" s="73"/>
      <c r="AI506" s="73"/>
      <c r="AJ506" s="73"/>
      <c r="AK506" s="73"/>
      <c r="AL506" s="73"/>
      <c r="AM506" s="73"/>
      <c r="AN506" s="73"/>
      <c r="AO506" s="73"/>
      <c r="AP506" s="73"/>
      <c r="AQ506" s="73"/>
      <c r="AR506" s="73"/>
      <c r="AS506" s="73"/>
      <c r="AT506" s="73"/>
      <c r="AU506" s="73"/>
      <c r="AV506" s="73"/>
      <c r="AW506" s="73"/>
      <c r="AX506" s="73"/>
      <c r="AY506" s="73"/>
      <c r="AZ506" s="73"/>
      <c r="BA506" s="73"/>
      <c r="BB506" s="73"/>
    </row>
    <row r="507">
      <c r="A507" s="73"/>
      <c r="B507" s="73"/>
      <c r="C507" s="73"/>
      <c r="D507" s="73"/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  <c r="AG507" s="73"/>
      <c r="AH507" s="73"/>
      <c r="AI507" s="73"/>
      <c r="AJ507" s="73"/>
      <c r="AK507" s="73"/>
      <c r="AL507" s="73"/>
      <c r="AM507" s="73"/>
      <c r="AN507" s="73"/>
      <c r="AO507" s="73"/>
      <c r="AP507" s="73"/>
      <c r="AQ507" s="73"/>
      <c r="AR507" s="73"/>
      <c r="AS507" s="73"/>
      <c r="AT507" s="73"/>
      <c r="AU507" s="73"/>
      <c r="AV507" s="73"/>
      <c r="AW507" s="73"/>
      <c r="AX507" s="73"/>
      <c r="AY507" s="73"/>
      <c r="AZ507" s="73"/>
      <c r="BA507" s="73"/>
      <c r="BB507" s="73"/>
    </row>
    <row r="508">
      <c r="A508" s="73"/>
      <c r="B508" s="73"/>
      <c r="C508" s="73"/>
      <c r="D508" s="73"/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  <c r="AG508" s="73"/>
      <c r="AH508" s="73"/>
      <c r="AI508" s="73"/>
      <c r="AJ508" s="73"/>
      <c r="AK508" s="73"/>
      <c r="AL508" s="73"/>
      <c r="AM508" s="73"/>
      <c r="AN508" s="73"/>
      <c r="AO508" s="73"/>
      <c r="AP508" s="73"/>
      <c r="AQ508" s="73"/>
      <c r="AR508" s="73"/>
      <c r="AS508" s="73"/>
      <c r="AT508" s="73"/>
      <c r="AU508" s="73"/>
      <c r="AV508" s="73"/>
      <c r="AW508" s="73"/>
      <c r="AX508" s="73"/>
      <c r="AY508" s="73"/>
      <c r="AZ508" s="73"/>
      <c r="BA508" s="73"/>
      <c r="BB508" s="73"/>
    </row>
    <row r="509">
      <c r="A509" s="73"/>
      <c r="B509" s="73"/>
      <c r="C509" s="73"/>
      <c r="D509" s="73"/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  <c r="AG509" s="73"/>
      <c r="AH509" s="73"/>
      <c r="AI509" s="73"/>
      <c r="AJ509" s="73"/>
      <c r="AK509" s="73"/>
      <c r="AL509" s="73"/>
      <c r="AM509" s="73"/>
      <c r="AN509" s="73"/>
      <c r="AO509" s="73"/>
      <c r="AP509" s="73"/>
      <c r="AQ509" s="73"/>
      <c r="AR509" s="73"/>
      <c r="AS509" s="73"/>
      <c r="AT509" s="73"/>
      <c r="AU509" s="73"/>
      <c r="AV509" s="73"/>
      <c r="AW509" s="73"/>
      <c r="AX509" s="73"/>
      <c r="AY509" s="73"/>
      <c r="AZ509" s="73"/>
      <c r="BA509" s="73"/>
      <c r="BB509" s="73"/>
    </row>
    <row r="510">
      <c r="A510" s="73"/>
      <c r="B510" s="73"/>
      <c r="C510" s="73"/>
      <c r="D510" s="73"/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  <c r="AG510" s="73"/>
      <c r="AH510" s="73"/>
      <c r="AI510" s="73"/>
      <c r="AJ510" s="73"/>
      <c r="AK510" s="73"/>
      <c r="AL510" s="73"/>
      <c r="AM510" s="73"/>
      <c r="AN510" s="73"/>
      <c r="AO510" s="73"/>
      <c r="AP510" s="73"/>
      <c r="AQ510" s="73"/>
      <c r="AR510" s="73"/>
      <c r="AS510" s="73"/>
      <c r="AT510" s="73"/>
      <c r="AU510" s="73"/>
      <c r="AV510" s="73"/>
      <c r="AW510" s="73"/>
      <c r="AX510" s="73"/>
      <c r="AY510" s="73"/>
      <c r="AZ510" s="73"/>
      <c r="BA510" s="73"/>
      <c r="BB510" s="73"/>
    </row>
    <row r="511">
      <c r="A511" s="73"/>
      <c r="B511" s="73"/>
      <c r="C511" s="73"/>
      <c r="D511" s="73"/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  <c r="AG511" s="73"/>
      <c r="AH511" s="73"/>
      <c r="AI511" s="73"/>
      <c r="AJ511" s="73"/>
      <c r="AK511" s="73"/>
      <c r="AL511" s="73"/>
      <c r="AM511" s="73"/>
      <c r="AN511" s="73"/>
      <c r="AO511" s="73"/>
      <c r="AP511" s="73"/>
      <c r="AQ511" s="73"/>
      <c r="AR511" s="73"/>
      <c r="AS511" s="73"/>
      <c r="AT511" s="73"/>
      <c r="AU511" s="73"/>
      <c r="AV511" s="73"/>
      <c r="AW511" s="73"/>
      <c r="AX511" s="73"/>
      <c r="AY511" s="73"/>
      <c r="AZ511" s="73"/>
      <c r="BA511" s="73"/>
      <c r="BB511" s="73"/>
    </row>
    <row r="512">
      <c r="A512" s="73"/>
      <c r="B512" s="73"/>
      <c r="C512" s="73"/>
      <c r="D512" s="73"/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  <c r="AG512" s="73"/>
      <c r="AH512" s="73"/>
      <c r="AI512" s="73"/>
      <c r="AJ512" s="73"/>
      <c r="AK512" s="73"/>
      <c r="AL512" s="73"/>
      <c r="AM512" s="73"/>
      <c r="AN512" s="73"/>
      <c r="AO512" s="73"/>
      <c r="AP512" s="73"/>
      <c r="AQ512" s="73"/>
      <c r="AR512" s="73"/>
      <c r="AS512" s="73"/>
      <c r="AT512" s="73"/>
      <c r="AU512" s="73"/>
      <c r="AV512" s="73"/>
      <c r="AW512" s="73"/>
      <c r="AX512" s="73"/>
      <c r="AY512" s="73"/>
      <c r="AZ512" s="73"/>
      <c r="BA512" s="73"/>
      <c r="BB512" s="73"/>
    </row>
    <row r="513">
      <c r="A513" s="73"/>
      <c r="B513" s="73"/>
      <c r="C513" s="73"/>
      <c r="D513" s="73"/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  <c r="AG513" s="73"/>
      <c r="AH513" s="73"/>
      <c r="AI513" s="73"/>
      <c r="AJ513" s="73"/>
      <c r="AK513" s="73"/>
      <c r="AL513" s="73"/>
      <c r="AM513" s="73"/>
      <c r="AN513" s="73"/>
      <c r="AO513" s="73"/>
      <c r="AP513" s="73"/>
      <c r="AQ513" s="73"/>
      <c r="AR513" s="73"/>
      <c r="AS513" s="73"/>
      <c r="AT513" s="73"/>
      <c r="AU513" s="73"/>
      <c r="AV513" s="73"/>
      <c r="AW513" s="73"/>
      <c r="AX513" s="73"/>
      <c r="AY513" s="73"/>
      <c r="AZ513" s="73"/>
      <c r="BA513" s="73"/>
      <c r="BB513" s="73"/>
    </row>
    <row r="514">
      <c r="A514" s="73"/>
      <c r="B514" s="73"/>
      <c r="C514" s="73"/>
      <c r="D514" s="73"/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  <c r="AG514" s="73"/>
      <c r="AH514" s="73"/>
      <c r="AI514" s="73"/>
      <c r="AJ514" s="73"/>
      <c r="AK514" s="73"/>
      <c r="AL514" s="73"/>
      <c r="AM514" s="73"/>
      <c r="AN514" s="73"/>
      <c r="AO514" s="73"/>
      <c r="AP514" s="73"/>
      <c r="AQ514" s="73"/>
      <c r="AR514" s="73"/>
      <c r="AS514" s="73"/>
      <c r="AT514" s="73"/>
      <c r="AU514" s="73"/>
      <c r="AV514" s="73"/>
      <c r="AW514" s="73"/>
      <c r="AX514" s="73"/>
      <c r="AY514" s="73"/>
      <c r="AZ514" s="73"/>
      <c r="BA514" s="73"/>
      <c r="BB514" s="73"/>
    </row>
    <row r="515">
      <c r="A515" s="73"/>
      <c r="B515" s="73"/>
      <c r="C515" s="73"/>
      <c r="D515" s="73"/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  <c r="AG515" s="73"/>
      <c r="AH515" s="73"/>
      <c r="AI515" s="73"/>
      <c r="AJ515" s="73"/>
      <c r="AK515" s="73"/>
      <c r="AL515" s="73"/>
      <c r="AM515" s="73"/>
      <c r="AN515" s="73"/>
      <c r="AO515" s="73"/>
      <c r="AP515" s="73"/>
      <c r="AQ515" s="73"/>
      <c r="AR515" s="73"/>
      <c r="AS515" s="73"/>
      <c r="AT515" s="73"/>
      <c r="AU515" s="73"/>
      <c r="AV515" s="73"/>
      <c r="AW515" s="73"/>
      <c r="AX515" s="73"/>
      <c r="AY515" s="73"/>
      <c r="AZ515" s="73"/>
      <c r="BA515" s="73"/>
      <c r="BB515" s="73"/>
    </row>
    <row r="516">
      <c r="A516" s="73"/>
      <c r="B516" s="73"/>
      <c r="C516" s="73"/>
      <c r="D516" s="73"/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  <c r="AG516" s="73"/>
      <c r="AH516" s="73"/>
      <c r="AI516" s="73"/>
      <c r="AJ516" s="73"/>
      <c r="AK516" s="73"/>
      <c r="AL516" s="73"/>
      <c r="AM516" s="73"/>
      <c r="AN516" s="73"/>
      <c r="AO516" s="73"/>
      <c r="AP516" s="73"/>
      <c r="AQ516" s="73"/>
      <c r="AR516" s="73"/>
      <c r="AS516" s="73"/>
      <c r="AT516" s="73"/>
      <c r="AU516" s="73"/>
      <c r="AV516" s="73"/>
      <c r="AW516" s="73"/>
      <c r="AX516" s="73"/>
      <c r="AY516" s="73"/>
      <c r="AZ516" s="73"/>
      <c r="BA516" s="73"/>
      <c r="BB516" s="73"/>
    </row>
    <row r="517">
      <c r="A517" s="73"/>
      <c r="B517" s="73"/>
      <c r="C517" s="73"/>
      <c r="D517" s="73"/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  <c r="AG517" s="73"/>
      <c r="AH517" s="73"/>
      <c r="AI517" s="73"/>
      <c r="AJ517" s="73"/>
      <c r="AK517" s="73"/>
      <c r="AL517" s="73"/>
      <c r="AM517" s="73"/>
      <c r="AN517" s="73"/>
      <c r="AO517" s="73"/>
      <c r="AP517" s="73"/>
      <c r="AQ517" s="73"/>
      <c r="AR517" s="73"/>
      <c r="AS517" s="73"/>
      <c r="AT517" s="73"/>
      <c r="AU517" s="73"/>
      <c r="AV517" s="73"/>
      <c r="AW517" s="73"/>
      <c r="AX517" s="73"/>
      <c r="AY517" s="73"/>
      <c r="AZ517" s="73"/>
      <c r="BA517" s="73"/>
      <c r="BB517" s="73"/>
    </row>
    <row r="518">
      <c r="A518" s="73"/>
      <c r="B518" s="73"/>
      <c r="C518" s="73"/>
      <c r="D518" s="73"/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  <c r="AG518" s="73"/>
      <c r="AH518" s="73"/>
      <c r="AI518" s="73"/>
      <c r="AJ518" s="73"/>
      <c r="AK518" s="73"/>
      <c r="AL518" s="73"/>
      <c r="AM518" s="73"/>
      <c r="AN518" s="73"/>
      <c r="AO518" s="73"/>
      <c r="AP518" s="73"/>
      <c r="AQ518" s="73"/>
      <c r="AR518" s="73"/>
      <c r="AS518" s="73"/>
      <c r="AT518" s="73"/>
      <c r="AU518" s="73"/>
      <c r="AV518" s="73"/>
      <c r="AW518" s="73"/>
      <c r="AX518" s="73"/>
      <c r="AY518" s="73"/>
      <c r="AZ518" s="73"/>
      <c r="BA518" s="73"/>
      <c r="BB518" s="73"/>
    </row>
    <row r="519">
      <c r="A519" s="73"/>
      <c r="B519" s="73"/>
      <c r="C519" s="73"/>
      <c r="D519" s="73"/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  <c r="AG519" s="73"/>
      <c r="AH519" s="73"/>
      <c r="AI519" s="73"/>
      <c r="AJ519" s="73"/>
      <c r="AK519" s="73"/>
      <c r="AL519" s="73"/>
      <c r="AM519" s="73"/>
      <c r="AN519" s="73"/>
      <c r="AO519" s="73"/>
      <c r="AP519" s="73"/>
      <c r="AQ519" s="73"/>
      <c r="AR519" s="73"/>
      <c r="AS519" s="73"/>
      <c r="AT519" s="73"/>
      <c r="AU519" s="73"/>
      <c r="AV519" s="73"/>
      <c r="AW519" s="73"/>
      <c r="AX519" s="73"/>
      <c r="AY519" s="73"/>
      <c r="AZ519" s="73"/>
      <c r="BA519" s="73"/>
      <c r="BB519" s="73"/>
    </row>
    <row r="520">
      <c r="A520" s="73"/>
      <c r="B520" s="73"/>
      <c r="C520" s="73"/>
      <c r="D520" s="73"/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  <c r="AG520" s="73"/>
      <c r="AH520" s="73"/>
      <c r="AI520" s="73"/>
      <c r="AJ520" s="73"/>
      <c r="AK520" s="73"/>
      <c r="AL520" s="73"/>
      <c r="AM520" s="73"/>
      <c r="AN520" s="73"/>
      <c r="AO520" s="73"/>
      <c r="AP520" s="73"/>
      <c r="AQ520" s="73"/>
      <c r="AR520" s="73"/>
      <c r="AS520" s="73"/>
      <c r="AT520" s="73"/>
      <c r="AU520" s="73"/>
      <c r="AV520" s="73"/>
      <c r="AW520" s="73"/>
      <c r="AX520" s="73"/>
      <c r="AY520" s="73"/>
      <c r="AZ520" s="73"/>
      <c r="BA520" s="73"/>
      <c r="BB520" s="73"/>
    </row>
    <row r="521">
      <c r="A521" s="73"/>
      <c r="B521" s="73"/>
      <c r="C521" s="73"/>
      <c r="D521" s="73"/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  <c r="AG521" s="73"/>
      <c r="AH521" s="73"/>
      <c r="AI521" s="73"/>
      <c r="AJ521" s="73"/>
      <c r="AK521" s="73"/>
      <c r="AL521" s="73"/>
      <c r="AM521" s="73"/>
      <c r="AN521" s="73"/>
      <c r="AO521" s="73"/>
      <c r="AP521" s="73"/>
      <c r="AQ521" s="73"/>
      <c r="AR521" s="73"/>
      <c r="AS521" s="73"/>
      <c r="AT521" s="73"/>
      <c r="AU521" s="73"/>
      <c r="AV521" s="73"/>
      <c r="AW521" s="73"/>
      <c r="AX521" s="73"/>
      <c r="AY521" s="73"/>
      <c r="AZ521" s="73"/>
      <c r="BA521" s="73"/>
      <c r="BB521" s="73"/>
    </row>
    <row r="522">
      <c r="A522" s="73"/>
      <c r="B522" s="73"/>
      <c r="C522" s="73"/>
      <c r="D522" s="73"/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  <c r="AF522" s="73"/>
      <c r="AG522" s="73"/>
      <c r="AH522" s="73"/>
      <c r="AI522" s="73"/>
      <c r="AJ522" s="73"/>
      <c r="AK522" s="73"/>
      <c r="AL522" s="73"/>
      <c r="AM522" s="73"/>
      <c r="AN522" s="73"/>
      <c r="AO522" s="73"/>
      <c r="AP522" s="73"/>
      <c r="AQ522" s="73"/>
      <c r="AR522" s="73"/>
      <c r="AS522" s="73"/>
      <c r="AT522" s="73"/>
      <c r="AU522" s="73"/>
      <c r="AV522" s="73"/>
      <c r="AW522" s="73"/>
      <c r="AX522" s="73"/>
      <c r="AY522" s="73"/>
      <c r="AZ522" s="73"/>
      <c r="BA522" s="73"/>
      <c r="BB522" s="73"/>
    </row>
    <row r="523">
      <c r="A523" s="73"/>
      <c r="B523" s="73"/>
      <c r="C523" s="73"/>
      <c r="D523" s="73"/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  <c r="AF523" s="73"/>
      <c r="AG523" s="73"/>
      <c r="AH523" s="73"/>
      <c r="AI523" s="73"/>
      <c r="AJ523" s="73"/>
      <c r="AK523" s="73"/>
      <c r="AL523" s="73"/>
      <c r="AM523" s="73"/>
      <c r="AN523" s="73"/>
      <c r="AO523" s="73"/>
      <c r="AP523" s="73"/>
      <c r="AQ523" s="73"/>
      <c r="AR523" s="73"/>
      <c r="AS523" s="73"/>
      <c r="AT523" s="73"/>
      <c r="AU523" s="73"/>
      <c r="AV523" s="73"/>
      <c r="AW523" s="73"/>
      <c r="AX523" s="73"/>
      <c r="AY523" s="73"/>
      <c r="AZ523" s="73"/>
      <c r="BA523" s="73"/>
      <c r="BB523" s="73"/>
    </row>
    <row r="524">
      <c r="A524" s="73"/>
      <c r="B524" s="73"/>
      <c r="C524" s="73"/>
      <c r="D524" s="73"/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  <c r="AF524" s="73"/>
      <c r="AG524" s="73"/>
      <c r="AH524" s="73"/>
      <c r="AI524" s="73"/>
      <c r="AJ524" s="73"/>
      <c r="AK524" s="73"/>
      <c r="AL524" s="73"/>
      <c r="AM524" s="73"/>
      <c r="AN524" s="73"/>
      <c r="AO524" s="73"/>
      <c r="AP524" s="73"/>
      <c r="AQ524" s="73"/>
      <c r="AR524" s="73"/>
      <c r="AS524" s="73"/>
      <c r="AT524" s="73"/>
      <c r="AU524" s="73"/>
      <c r="AV524" s="73"/>
      <c r="AW524" s="73"/>
      <c r="AX524" s="73"/>
      <c r="AY524" s="73"/>
      <c r="AZ524" s="73"/>
      <c r="BA524" s="73"/>
      <c r="BB524" s="73"/>
    </row>
    <row r="525">
      <c r="A525" s="73"/>
      <c r="B525" s="73"/>
      <c r="C525" s="73"/>
      <c r="D525" s="73"/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  <c r="AF525" s="73"/>
      <c r="AG525" s="73"/>
      <c r="AH525" s="73"/>
      <c r="AI525" s="73"/>
      <c r="AJ525" s="73"/>
      <c r="AK525" s="73"/>
      <c r="AL525" s="73"/>
      <c r="AM525" s="73"/>
      <c r="AN525" s="73"/>
      <c r="AO525" s="73"/>
      <c r="AP525" s="73"/>
      <c r="AQ525" s="73"/>
      <c r="AR525" s="73"/>
      <c r="AS525" s="73"/>
      <c r="AT525" s="73"/>
      <c r="AU525" s="73"/>
      <c r="AV525" s="73"/>
      <c r="AW525" s="73"/>
      <c r="AX525" s="73"/>
      <c r="AY525" s="73"/>
      <c r="AZ525" s="73"/>
      <c r="BA525" s="73"/>
      <c r="BB525" s="73"/>
    </row>
    <row r="526">
      <c r="A526" s="73"/>
      <c r="B526" s="73"/>
      <c r="C526" s="73"/>
      <c r="D526" s="73"/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F526" s="73"/>
      <c r="AG526" s="73"/>
      <c r="AH526" s="73"/>
      <c r="AI526" s="73"/>
      <c r="AJ526" s="73"/>
      <c r="AK526" s="73"/>
      <c r="AL526" s="73"/>
      <c r="AM526" s="73"/>
      <c r="AN526" s="73"/>
      <c r="AO526" s="73"/>
      <c r="AP526" s="73"/>
      <c r="AQ526" s="73"/>
      <c r="AR526" s="73"/>
      <c r="AS526" s="73"/>
      <c r="AT526" s="73"/>
      <c r="AU526" s="73"/>
      <c r="AV526" s="73"/>
      <c r="AW526" s="73"/>
      <c r="AX526" s="73"/>
      <c r="AY526" s="73"/>
      <c r="AZ526" s="73"/>
      <c r="BA526" s="73"/>
      <c r="BB526" s="73"/>
    </row>
    <row r="527">
      <c r="A527" s="73"/>
      <c r="B527" s="73"/>
      <c r="C527" s="73"/>
      <c r="D527" s="73"/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  <c r="AF527" s="73"/>
      <c r="AG527" s="73"/>
      <c r="AH527" s="73"/>
      <c r="AI527" s="73"/>
      <c r="AJ527" s="73"/>
      <c r="AK527" s="73"/>
      <c r="AL527" s="73"/>
      <c r="AM527" s="73"/>
      <c r="AN527" s="73"/>
      <c r="AO527" s="73"/>
      <c r="AP527" s="73"/>
      <c r="AQ527" s="73"/>
      <c r="AR527" s="73"/>
      <c r="AS527" s="73"/>
      <c r="AT527" s="73"/>
      <c r="AU527" s="73"/>
      <c r="AV527" s="73"/>
      <c r="AW527" s="73"/>
      <c r="AX527" s="73"/>
      <c r="AY527" s="73"/>
      <c r="AZ527" s="73"/>
      <c r="BA527" s="73"/>
      <c r="BB527" s="73"/>
    </row>
    <row r="528">
      <c r="A528" s="73"/>
      <c r="B528" s="73"/>
      <c r="C528" s="73"/>
      <c r="D528" s="73"/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  <c r="AF528" s="73"/>
      <c r="AG528" s="73"/>
      <c r="AH528" s="73"/>
      <c r="AI528" s="73"/>
      <c r="AJ528" s="73"/>
      <c r="AK528" s="73"/>
      <c r="AL528" s="73"/>
      <c r="AM528" s="73"/>
      <c r="AN528" s="73"/>
      <c r="AO528" s="73"/>
      <c r="AP528" s="73"/>
      <c r="AQ528" s="73"/>
      <c r="AR528" s="73"/>
      <c r="AS528" s="73"/>
      <c r="AT528" s="73"/>
      <c r="AU528" s="73"/>
      <c r="AV528" s="73"/>
      <c r="AW528" s="73"/>
      <c r="AX528" s="73"/>
      <c r="AY528" s="73"/>
      <c r="AZ528" s="73"/>
      <c r="BA528" s="73"/>
      <c r="BB528" s="73"/>
    </row>
    <row r="529">
      <c r="A529" s="73"/>
      <c r="B529" s="73"/>
      <c r="C529" s="73"/>
      <c r="D529" s="73"/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  <c r="AF529" s="73"/>
      <c r="AG529" s="73"/>
      <c r="AH529" s="73"/>
      <c r="AI529" s="73"/>
      <c r="AJ529" s="73"/>
      <c r="AK529" s="73"/>
      <c r="AL529" s="73"/>
      <c r="AM529" s="73"/>
      <c r="AN529" s="73"/>
      <c r="AO529" s="73"/>
      <c r="AP529" s="73"/>
      <c r="AQ529" s="73"/>
      <c r="AR529" s="73"/>
      <c r="AS529" s="73"/>
      <c r="AT529" s="73"/>
      <c r="AU529" s="73"/>
      <c r="AV529" s="73"/>
      <c r="AW529" s="73"/>
      <c r="AX529" s="73"/>
      <c r="AY529" s="73"/>
      <c r="AZ529" s="73"/>
      <c r="BA529" s="73"/>
      <c r="BB529" s="73"/>
    </row>
    <row r="530">
      <c r="A530" s="73"/>
      <c r="B530" s="73"/>
      <c r="C530" s="73"/>
      <c r="D530" s="73"/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  <c r="AF530" s="73"/>
      <c r="AG530" s="73"/>
      <c r="AH530" s="73"/>
      <c r="AI530" s="73"/>
      <c r="AJ530" s="73"/>
      <c r="AK530" s="73"/>
      <c r="AL530" s="73"/>
      <c r="AM530" s="73"/>
      <c r="AN530" s="73"/>
      <c r="AO530" s="73"/>
      <c r="AP530" s="73"/>
      <c r="AQ530" s="73"/>
      <c r="AR530" s="73"/>
      <c r="AS530" s="73"/>
      <c r="AT530" s="73"/>
      <c r="AU530" s="73"/>
      <c r="AV530" s="73"/>
      <c r="AW530" s="73"/>
      <c r="AX530" s="73"/>
      <c r="AY530" s="73"/>
      <c r="AZ530" s="73"/>
      <c r="BA530" s="73"/>
      <c r="BB530" s="73"/>
    </row>
    <row r="531">
      <c r="A531" s="73"/>
      <c r="B531" s="73"/>
      <c r="C531" s="73"/>
      <c r="D531" s="73"/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F531" s="73"/>
      <c r="AG531" s="73"/>
      <c r="AH531" s="73"/>
      <c r="AI531" s="73"/>
      <c r="AJ531" s="73"/>
      <c r="AK531" s="73"/>
      <c r="AL531" s="73"/>
      <c r="AM531" s="73"/>
      <c r="AN531" s="73"/>
      <c r="AO531" s="73"/>
      <c r="AP531" s="73"/>
      <c r="AQ531" s="73"/>
      <c r="AR531" s="73"/>
      <c r="AS531" s="73"/>
      <c r="AT531" s="73"/>
      <c r="AU531" s="73"/>
      <c r="AV531" s="73"/>
      <c r="AW531" s="73"/>
      <c r="AX531" s="73"/>
      <c r="AY531" s="73"/>
      <c r="AZ531" s="73"/>
      <c r="BA531" s="73"/>
      <c r="BB531" s="73"/>
    </row>
    <row r="532">
      <c r="A532" s="73"/>
      <c r="B532" s="73"/>
      <c r="C532" s="73"/>
      <c r="D532" s="73"/>
      <c r="E532" s="73"/>
      <c r="F532" s="73"/>
      <c r="G532" s="73"/>
      <c r="H532" s="73"/>
      <c r="I532" s="73"/>
      <c r="J532" s="73"/>
      <c r="K532" s="73"/>
      <c r="L532" s="73"/>
      <c r="M532" s="73"/>
      <c r="N532" s="73"/>
      <c r="O532" s="73"/>
      <c r="P532" s="73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  <c r="AF532" s="73"/>
      <c r="AG532" s="73"/>
      <c r="AH532" s="73"/>
      <c r="AI532" s="73"/>
      <c r="AJ532" s="73"/>
      <c r="AK532" s="73"/>
      <c r="AL532" s="73"/>
      <c r="AM532" s="73"/>
      <c r="AN532" s="73"/>
      <c r="AO532" s="73"/>
      <c r="AP532" s="73"/>
      <c r="AQ532" s="73"/>
      <c r="AR532" s="73"/>
      <c r="AS532" s="73"/>
      <c r="AT532" s="73"/>
      <c r="AU532" s="73"/>
      <c r="AV532" s="73"/>
      <c r="AW532" s="73"/>
      <c r="AX532" s="73"/>
      <c r="AY532" s="73"/>
      <c r="AZ532" s="73"/>
      <c r="BA532" s="73"/>
      <c r="BB532" s="73"/>
    </row>
    <row r="533">
      <c r="A533" s="73"/>
      <c r="B533" s="73"/>
      <c r="C533" s="73"/>
      <c r="D533" s="73"/>
      <c r="E533" s="73"/>
      <c r="F533" s="73"/>
      <c r="G533" s="73"/>
      <c r="H533" s="73"/>
      <c r="I533" s="73"/>
      <c r="J533" s="73"/>
      <c r="K533" s="73"/>
      <c r="L533" s="73"/>
      <c r="M533" s="73"/>
      <c r="N533" s="73"/>
      <c r="O533" s="73"/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  <c r="AF533" s="73"/>
      <c r="AG533" s="73"/>
      <c r="AH533" s="73"/>
      <c r="AI533" s="73"/>
      <c r="AJ533" s="73"/>
      <c r="AK533" s="73"/>
      <c r="AL533" s="73"/>
      <c r="AM533" s="73"/>
      <c r="AN533" s="73"/>
      <c r="AO533" s="73"/>
      <c r="AP533" s="73"/>
      <c r="AQ533" s="73"/>
      <c r="AR533" s="73"/>
      <c r="AS533" s="73"/>
      <c r="AT533" s="73"/>
      <c r="AU533" s="73"/>
      <c r="AV533" s="73"/>
      <c r="AW533" s="73"/>
      <c r="AX533" s="73"/>
      <c r="AY533" s="73"/>
      <c r="AZ533" s="73"/>
      <c r="BA533" s="73"/>
      <c r="BB533" s="73"/>
    </row>
    <row r="534">
      <c r="A534" s="73"/>
      <c r="B534" s="73"/>
      <c r="C534" s="73"/>
      <c r="D534" s="73"/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  <c r="AF534" s="73"/>
      <c r="AG534" s="73"/>
      <c r="AH534" s="73"/>
      <c r="AI534" s="73"/>
      <c r="AJ534" s="73"/>
      <c r="AK534" s="73"/>
      <c r="AL534" s="73"/>
      <c r="AM534" s="73"/>
      <c r="AN534" s="73"/>
      <c r="AO534" s="73"/>
      <c r="AP534" s="73"/>
      <c r="AQ534" s="73"/>
      <c r="AR534" s="73"/>
      <c r="AS534" s="73"/>
      <c r="AT534" s="73"/>
      <c r="AU534" s="73"/>
      <c r="AV534" s="73"/>
      <c r="AW534" s="73"/>
      <c r="AX534" s="73"/>
      <c r="AY534" s="73"/>
      <c r="AZ534" s="73"/>
      <c r="BA534" s="73"/>
      <c r="BB534" s="73"/>
    </row>
    <row r="535">
      <c r="A535" s="73"/>
      <c r="B535" s="73"/>
      <c r="C535" s="73"/>
      <c r="D535" s="73"/>
      <c r="E535" s="73"/>
      <c r="F535" s="73"/>
      <c r="G535" s="73"/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F535" s="73"/>
      <c r="AG535" s="73"/>
      <c r="AH535" s="73"/>
      <c r="AI535" s="73"/>
      <c r="AJ535" s="73"/>
      <c r="AK535" s="73"/>
      <c r="AL535" s="73"/>
      <c r="AM535" s="73"/>
      <c r="AN535" s="73"/>
      <c r="AO535" s="73"/>
      <c r="AP535" s="73"/>
      <c r="AQ535" s="73"/>
      <c r="AR535" s="73"/>
      <c r="AS535" s="73"/>
      <c r="AT535" s="73"/>
      <c r="AU535" s="73"/>
      <c r="AV535" s="73"/>
      <c r="AW535" s="73"/>
      <c r="AX535" s="73"/>
      <c r="AY535" s="73"/>
      <c r="AZ535" s="73"/>
      <c r="BA535" s="73"/>
      <c r="BB535" s="73"/>
    </row>
    <row r="536">
      <c r="A536" s="73"/>
      <c r="B536" s="73"/>
      <c r="C536" s="73"/>
      <c r="D536" s="73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  <c r="S536" s="73"/>
      <c r="T536" s="73"/>
      <c r="U536" s="73"/>
      <c r="V536" s="73"/>
      <c r="W536" s="73"/>
      <c r="X536" s="73"/>
      <c r="Y536" s="73"/>
      <c r="Z536" s="73"/>
      <c r="AA536" s="73"/>
      <c r="AB536" s="73"/>
      <c r="AC536" s="73"/>
      <c r="AD536" s="73"/>
      <c r="AE536" s="73"/>
      <c r="AF536" s="73"/>
      <c r="AG536" s="73"/>
      <c r="AH536" s="73"/>
      <c r="AI536" s="73"/>
      <c r="AJ536" s="73"/>
      <c r="AK536" s="73"/>
      <c r="AL536" s="73"/>
      <c r="AM536" s="73"/>
      <c r="AN536" s="73"/>
      <c r="AO536" s="73"/>
      <c r="AP536" s="73"/>
      <c r="AQ536" s="73"/>
      <c r="AR536" s="73"/>
      <c r="AS536" s="73"/>
      <c r="AT536" s="73"/>
      <c r="AU536" s="73"/>
      <c r="AV536" s="73"/>
      <c r="AW536" s="73"/>
      <c r="AX536" s="73"/>
      <c r="AY536" s="73"/>
      <c r="AZ536" s="73"/>
      <c r="BA536" s="73"/>
      <c r="BB536" s="73"/>
    </row>
    <row r="537">
      <c r="A537" s="73"/>
      <c r="B537" s="73"/>
      <c r="C537" s="73"/>
      <c r="D537" s="73"/>
      <c r="E537" s="73"/>
      <c r="F537" s="73"/>
      <c r="G537" s="73"/>
      <c r="H537" s="73"/>
      <c r="I537" s="73"/>
      <c r="J537" s="73"/>
      <c r="K537" s="73"/>
      <c r="L537" s="73"/>
      <c r="M537" s="73"/>
      <c r="N537" s="73"/>
      <c r="O537" s="73"/>
      <c r="P537" s="73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F537" s="73"/>
      <c r="AG537" s="73"/>
      <c r="AH537" s="73"/>
      <c r="AI537" s="73"/>
      <c r="AJ537" s="73"/>
      <c r="AK537" s="73"/>
      <c r="AL537" s="73"/>
      <c r="AM537" s="73"/>
      <c r="AN537" s="73"/>
      <c r="AO537" s="73"/>
      <c r="AP537" s="73"/>
      <c r="AQ537" s="73"/>
      <c r="AR537" s="73"/>
      <c r="AS537" s="73"/>
      <c r="AT537" s="73"/>
      <c r="AU537" s="73"/>
      <c r="AV537" s="73"/>
      <c r="AW537" s="73"/>
      <c r="AX537" s="73"/>
      <c r="AY537" s="73"/>
      <c r="AZ537" s="73"/>
      <c r="BA537" s="73"/>
      <c r="BB537" s="73"/>
    </row>
    <row r="538">
      <c r="A538" s="73"/>
      <c r="B538" s="73"/>
      <c r="C538" s="73"/>
      <c r="D538" s="73"/>
      <c r="E538" s="73"/>
      <c r="F538" s="73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  <c r="AF538" s="73"/>
      <c r="AG538" s="73"/>
      <c r="AH538" s="73"/>
      <c r="AI538" s="73"/>
      <c r="AJ538" s="73"/>
      <c r="AK538" s="73"/>
      <c r="AL538" s="73"/>
      <c r="AM538" s="73"/>
      <c r="AN538" s="73"/>
      <c r="AO538" s="73"/>
      <c r="AP538" s="73"/>
      <c r="AQ538" s="73"/>
      <c r="AR538" s="73"/>
      <c r="AS538" s="73"/>
      <c r="AT538" s="73"/>
      <c r="AU538" s="73"/>
      <c r="AV538" s="73"/>
      <c r="AW538" s="73"/>
      <c r="AX538" s="73"/>
      <c r="AY538" s="73"/>
      <c r="AZ538" s="73"/>
      <c r="BA538" s="73"/>
      <c r="BB538" s="73"/>
    </row>
    <row r="539">
      <c r="A539" s="73"/>
      <c r="B539" s="73"/>
      <c r="C539" s="73"/>
      <c r="D539" s="73"/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  <c r="AF539" s="73"/>
      <c r="AG539" s="73"/>
      <c r="AH539" s="73"/>
      <c r="AI539" s="73"/>
      <c r="AJ539" s="73"/>
      <c r="AK539" s="73"/>
      <c r="AL539" s="73"/>
      <c r="AM539" s="73"/>
      <c r="AN539" s="73"/>
      <c r="AO539" s="73"/>
      <c r="AP539" s="73"/>
      <c r="AQ539" s="73"/>
      <c r="AR539" s="73"/>
      <c r="AS539" s="73"/>
      <c r="AT539" s="73"/>
      <c r="AU539" s="73"/>
      <c r="AV539" s="73"/>
      <c r="AW539" s="73"/>
      <c r="AX539" s="73"/>
      <c r="AY539" s="73"/>
      <c r="AZ539" s="73"/>
      <c r="BA539" s="73"/>
      <c r="BB539" s="73"/>
    </row>
    <row r="540">
      <c r="A540" s="73"/>
      <c r="B540" s="73"/>
      <c r="C540" s="73"/>
      <c r="D540" s="73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  <c r="AF540" s="73"/>
      <c r="AG540" s="73"/>
      <c r="AH540" s="73"/>
      <c r="AI540" s="73"/>
      <c r="AJ540" s="73"/>
      <c r="AK540" s="73"/>
      <c r="AL540" s="73"/>
      <c r="AM540" s="73"/>
      <c r="AN540" s="73"/>
      <c r="AO540" s="73"/>
      <c r="AP540" s="73"/>
      <c r="AQ540" s="73"/>
      <c r="AR540" s="73"/>
      <c r="AS540" s="73"/>
      <c r="AT540" s="73"/>
      <c r="AU540" s="73"/>
      <c r="AV540" s="73"/>
      <c r="AW540" s="73"/>
      <c r="AX540" s="73"/>
      <c r="AY540" s="73"/>
      <c r="AZ540" s="73"/>
      <c r="BA540" s="73"/>
      <c r="BB540" s="73"/>
    </row>
    <row r="541">
      <c r="A541" s="73"/>
      <c r="B541" s="73"/>
      <c r="C541" s="73"/>
      <c r="D541" s="73"/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  <c r="AD541" s="73"/>
      <c r="AE541" s="73"/>
      <c r="AF541" s="73"/>
      <c r="AG541" s="73"/>
      <c r="AH541" s="73"/>
      <c r="AI541" s="73"/>
      <c r="AJ541" s="73"/>
      <c r="AK541" s="73"/>
      <c r="AL541" s="73"/>
      <c r="AM541" s="73"/>
      <c r="AN541" s="73"/>
      <c r="AO541" s="73"/>
      <c r="AP541" s="73"/>
      <c r="AQ541" s="73"/>
      <c r="AR541" s="73"/>
      <c r="AS541" s="73"/>
      <c r="AT541" s="73"/>
      <c r="AU541" s="73"/>
      <c r="AV541" s="73"/>
      <c r="AW541" s="73"/>
      <c r="AX541" s="73"/>
      <c r="AY541" s="73"/>
      <c r="AZ541" s="73"/>
      <c r="BA541" s="73"/>
      <c r="BB541" s="73"/>
    </row>
    <row r="542">
      <c r="A542" s="73"/>
      <c r="B542" s="73"/>
      <c r="C542" s="73"/>
      <c r="D542" s="73"/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  <c r="AD542" s="73"/>
      <c r="AE542" s="73"/>
      <c r="AF542" s="73"/>
      <c r="AG542" s="73"/>
      <c r="AH542" s="73"/>
      <c r="AI542" s="73"/>
      <c r="AJ542" s="73"/>
      <c r="AK542" s="73"/>
      <c r="AL542" s="73"/>
      <c r="AM542" s="73"/>
      <c r="AN542" s="73"/>
      <c r="AO542" s="73"/>
      <c r="AP542" s="73"/>
      <c r="AQ542" s="73"/>
      <c r="AR542" s="73"/>
      <c r="AS542" s="73"/>
      <c r="AT542" s="73"/>
      <c r="AU542" s="73"/>
      <c r="AV542" s="73"/>
      <c r="AW542" s="73"/>
      <c r="AX542" s="73"/>
      <c r="AY542" s="73"/>
      <c r="AZ542" s="73"/>
      <c r="BA542" s="73"/>
      <c r="BB542" s="73"/>
    </row>
    <row r="543">
      <c r="A543" s="73"/>
      <c r="B543" s="73"/>
      <c r="C543" s="73"/>
      <c r="D543" s="73"/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  <c r="AD543" s="73"/>
      <c r="AE543" s="73"/>
      <c r="AF543" s="73"/>
      <c r="AG543" s="73"/>
      <c r="AH543" s="73"/>
      <c r="AI543" s="73"/>
      <c r="AJ543" s="73"/>
      <c r="AK543" s="73"/>
      <c r="AL543" s="73"/>
      <c r="AM543" s="73"/>
      <c r="AN543" s="73"/>
      <c r="AO543" s="73"/>
      <c r="AP543" s="73"/>
      <c r="AQ543" s="73"/>
      <c r="AR543" s="73"/>
      <c r="AS543" s="73"/>
      <c r="AT543" s="73"/>
      <c r="AU543" s="73"/>
      <c r="AV543" s="73"/>
      <c r="AW543" s="73"/>
      <c r="AX543" s="73"/>
      <c r="AY543" s="73"/>
      <c r="AZ543" s="73"/>
      <c r="BA543" s="73"/>
      <c r="BB543" s="73"/>
    </row>
    <row r="544">
      <c r="A544" s="73"/>
      <c r="B544" s="73"/>
      <c r="C544" s="73"/>
      <c r="D544" s="73"/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  <c r="AD544" s="73"/>
      <c r="AE544" s="73"/>
      <c r="AF544" s="73"/>
      <c r="AG544" s="73"/>
      <c r="AH544" s="73"/>
      <c r="AI544" s="73"/>
      <c r="AJ544" s="73"/>
      <c r="AK544" s="73"/>
      <c r="AL544" s="73"/>
      <c r="AM544" s="73"/>
      <c r="AN544" s="73"/>
      <c r="AO544" s="73"/>
      <c r="AP544" s="73"/>
      <c r="AQ544" s="73"/>
      <c r="AR544" s="73"/>
      <c r="AS544" s="73"/>
      <c r="AT544" s="73"/>
      <c r="AU544" s="73"/>
      <c r="AV544" s="73"/>
      <c r="AW544" s="73"/>
      <c r="AX544" s="73"/>
      <c r="AY544" s="73"/>
      <c r="AZ544" s="73"/>
      <c r="BA544" s="73"/>
      <c r="BB544" s="73"/>
    </row>
    <row r="545">
      <c r="A545" s="73"/>
      <c r="B545" s="73"/>
      <c r="C545" s="73"/>
      <c r="D545" s="73"/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  <c r="AD545" s="73"/>
      <c r="AE545" s="73"/>
      <c r="AF545" s="73"/>
      <c r="AG545" s="73"/>
      <c r="AH545" s="73"/>
      <c r="AI545" s="73"/>
      <c r="AJ545" s="73"/>
      <c r="AK545" s="73"/>
      <c r="AL545" s="73"/>
      <c r="AM545" s="73"/>
      <c r="AN545" s="73"/>
      <c r="AO545" s="73"/>
      <c r="AP545" s="73"/>
      <c r="AQ545" s="73"/>
      <c r="AR545" s="73"/>
      <c r="AS545" s="73"/>
      <c r="AT545" s="73"/>
      <c r="AU545" s="73"/>
      <c r="AV545" s="73"/>
      <c r="AW545" s="73"/>
      <c r="AX545" s="73"/>
      <c r="AY545" s="73"/>
      <c r="AZ545" s="73"/>
      <c r="BA545" s="73"/>
      <c r="BB545" s="73"/>
    </row>
    <row r="546">
      <c r="A546" s="73"/>
      <c r="B546" s="73"/>
      <c r="C546" s="73"/>
      <c r="D546" s="73"/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  <c r="AE546" s="73"/>
      <c r="AF546" s="73"/>
      <c r="AG546" s="73"/>
      <c r="AH546" s="73"/>
      <c r="AI546" s="73"/>
      <c r="AJ546" s="73"/>
      <c r="AK546" s="73"/>
      <c r="AL546" s="73"/>
      <c r="AM546" s="73"/>
      <c r="AN546" s="73"/>
      <c r="AO546" s="73"/>
      <c r="AP546" s="73"/>
      <c r="AQ546" s="73"/>
      <c r="AR546" s="73"/>
      <c r="AS546" s="73"/>
      <c r="AT546" s="73"/>
      <c r="AU546" s="73"/>
      <c r="AV546" s="73"/>
      <c r="AW546" s="73"/>
      <c r="AX546" s="73"/>
      <c r="AY546" s="73"/>
      <c r="AZ546" s="73"/>
      <c r="BA546" s="73"/>
      <c r="BB546" s="73"/>
    </row>
    <row r="547">
      <c r="A547" s="73"/>
      <c r="B547" s="73"/>
      <c r="C547" s="73"/>
      <c r="D547" s="73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  <c r="AE547" s="73"/>
      <c r="AF547" s="73"/>
      <c r="AG547" s="73"/>
      <c r="AH547" s="73"/>
      <c r="AI547" s="73"/>
      <c r="AJ547" s="73"/>
      <c r="AK547" s="73"/>
      <c r="AL547" s="73"/>
      <c r="AM547" s="73"/>
      <c r="AN547" s="73"/>
      <c r="AO547" s="73"/>
      <c r="AP547" s="73"/>
      <c r="AQ547" s="73"/>
      <c r="AR547" s="73"/>
      <c r="AS547" s="73"/>
      <c r="AT547" s="73"/>
      <c r="AU547" s="73"/>
      <c r="AV547" s="73"/>
      <c r="AW547" s="73"/>
      <c r="AX547" s="73"/>
      <c r="AY547" s="73"/>
      <c r="AZ547" s="73"/>
      <c r="BA547" s="73"/>
      <c r="BB547" s="73"/>
    </row>
    <row r="548">
      <c r="A548" s="73"/>
      <c r="B548" s="73"/>
      <c r="C548" s="73"/>
      <c r="D548" s="73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  <c r="AE548" s="73"/>
      <c r="AF548" s="73"/>
      <c r="AG548" s="73"/>
      <c r="AH548" s="73"/>
      <c r="AI548" s="73"/>
      <c r="AJ548" s="73"/>
      <c r="AK548" s="73"/>
      <c r="AL548" s="73"/>
      <c r="AM548" s="73"/>
      <c r="AN548" s="73"/>
      <c r="AO548" s="73"/>
      <c r="AP548" s="73"/>
      <c r="AQ548" s="73"/>
      <c r="AR548" s="73"/>
      <c r="AS548" s="73"/>
      <c r="AT548" s="73"/>
      <c r="AU548" s="73"/>
      <c r="AV548" s="73"/>
      <c r="AW548" s="73"/>
      <c r="AX548" s="73"/>
      <c r="AY548" s="73"/>
      <c r="AZ548" s="73"/>
      <c r="BA548" s="73"/>
      <c r="BB548" s="73"/>
    </row>
    <row r="549">
      <c r="A549" s="73"/>
      <c r="B549" s="73"/>
      <c r="C549" s="73"/>
      <c r="D549" s="73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  <c r="AE549" s="73"/>
      <c r="AF549" s="73"/>
      <c r="AG549" s="73"/>
      <c r="AH549" s="73"/>
      <c r="AI549" s="73"/>
      <c r="AJ549" s="73"/>
      <c r="AK549" s="73"/>
      <c r="AL549" s="73"/>
      <c r="AM549" s="73"/>
      <c r="AN549" s="73"/>
      <c r="AO549" s="73"/>
      <c r="AP549" s="73"/>
      <c r="AQ549" s="73"/>
      <c r="AR549" s="73"/>
      <c r="AS549" s="73"/>
      <c r="AT549" s="73"/>
      <c r="AU549" s="73"/>
      <c r="AV549" s="73"/>
      <c r="AW549" s="73"/>
      <c r="AX549" s="73"/>
      <c r="AY549" s="73"/>
      <c r="AZ549" s="73"/>
      <c r="BA549" s="73"/>
      <c r="BB549" s="73"/>
    </row>
    <row r="550">
      <c r="A550" s="73"/>
      <c r="B550" s="73"/>
      <c r="C550" s="73"/>
      <c r="D550" s="73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  <c r="AE550" s="73"/>
      <c r="AF550" s="73"/>
      <c r="AG550" s="73"/>
      <c r="AH550" s="73"/>
      <c r="AI550" s="73"/>
      <c r="AJ550" s="73"/>
      <c r="AK550" s="73"/>
      <c r="AL550" s="73"/>
      <c r="AM550" s="73"/>
      <c r="AN550" s="73"/>
      <c r="AO550" s="73"/>
      <c r="AP550" s="73"/>
      <c r="AQ550" s="73"/>
      <c r="AR550" s="73"/>
      <c r="AS550" s="73"/>
      <c r="AT550" s="73"/>
      <c r="AU550" s="73"/>
      <c r="AV550" s="73"/>
      <c r="AW550" s="73"/>
      <c r="AX550" s="73"/>
      <c r="AY550" s="73"/>
      <c r="AZ550" s="73"/>
      <c r="BA550" s="73"/>
      <c r="BB550" s="73"/>
    </row>
    <row r="551">
      <c r="A551" s="73"/>
      <c r="B551" s="73"/>
      <c r="C551" s="73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  <c r="AE551" s="73"/>
      <c r="AF551" s="73"/>
      <c r="AG551" s="73"/>
      <c r="AH551" s="73"/>
      <c r="AI551" s="73"/>
      <c r="AJ551" s="73"/>
      <c r="AK551" s="73"/>
      <c r="AL551" s="73"/>
      <c r="AM551" s="73"/>
      <c r="AN551" s="73"/>
      <c r="AO551" s="73"/>
      <c r="AP551" s="73"/>
      <c r="AQ551" s="73"/>
      <c r="AR551" s="73"/>
      <c r="AS551" s="73"/>
      <c r="AT551" s="73"/>
      <c r="AU551" s="73"/>
      <c r="AV551" s="73"/>
      <c r="AW551" s="73"/>
      <c r="AX551" s="73"/>
      <c r="AY551" s="73"/>
      <c r="AZ551" s="73"/>
      <c r="BA551" s="73"/>
      <c r="BB551" s="73"/>
    </row>
    <row r="552">
      <c r="A552" s="73"/>
      <c r="B552" s="73"/>
      <c r="C552" s="73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  <c r="AE552" s="73"/>
      <c r="AF552" s="73"/>
      <c r="AG552" s="73"/>
      <c r="AH552" s="73"/>
      <c r="AI552" s="73"/>
      <c r="AJ552" s="73"/>
      <c r="AK552" s="73"/>
      <c r="AL552" s="73"/>
      <c r="AM552" s="73"/>
      <c r="AN552" s="73"/>
      <c r="AO552" s="73"/>
      <c r="AP552" s="73"/>
      <c r="AQ552" s="73"/>
      <c r="AR552" s="73"/>
      <c r="AS552" s="73"/>
      <c r="AT552" s="73"/>
      <c r="AU552" s="73"/>
      <c r="AV552" s="73"/>
      <c r="AW552" s="73"/>
      <c r="AX552" s="73"/>
      <c r="AY552" s="73"/>
      <c r="AZ552" s="73"/>
      <c r="BA552" s="73"/>
      <c r="BB552" s="73"/>
    </row>
    <row r="553">
      <c r="A553" s="73"/>
      <c r="B553" s="73"/>
      <c r="C553" s="73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  <c r="AE553" s="73"/>
      <c r="AF553" s="73"/>
      <c r="AG553" s="73"/>
      <c r="AH553" s="73"/>
      <c r="AI553" s="73"/>
      <c r="AJ553" s="73"/>
      <c r="AK553" s="73"/>
      <c r="AL553" s="73"/>
      <c r="AM553" s="73"/>
      <c r="AN553" s="73"/>
      <c r="AO553" s="73"/>
      <c r="AP553" s="73"/>
      <c r="AQ553" s="73"/>
      <c r="AR553" s="73"/>
      <c r="AS553" s="73"/>
      <c r="AT553" s="73"/>
      <c r="AU553" s="73"/>
      <c r="AV553" s="73"/>
      <c r="AW553" s="73"/>
      <c r="AX553" s="73"/>
      <c r="AY553" s="73"/>
      <c r="AZ553" s="73"/>
      <c r="BA553" s="73"/>
      <c r="BB553" s="73"/>
    </row>
    <row r="554">
      <c r="A554" s="73"/>
      <c r="B554" s="73"/>
      <c r="C554" s="73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  <c r="AE554" s="73"/>
      <c r="AF554" s="73"/>
      <c r="AG554" s="73"/>
      <c r="AH554" s="73"/>
      <c r="AI554" s="73"/>
      <c r="AJ554" s="73"/>
      <c r="AK554" s="73"/>
      <c r="AL554" s="73"/>
      <c r="AM554" s="73"/>
      <c r="AN554" s="73"/>
      <c r="AO554" s="73"/>
      <c r="AP554" s="73"/>
      <c r="AQ554" s="73"/>
      <c r="AR554" s="73"/>
      <c r="AS554" s="73"/>
      <c r="AT554" s="73"/>
      <c r="AU554" s="73"/>
      <c r="AV554" s="73"/>
      <c r="AW554" s="73"/>
      <c r="AX554" s="73"/>
      <c r="AY554" s="73"/>
      <c r="AZ554" s="73"/>
      <c r="BA554" s="73"/>
      <c r="BB554" s="73"/>
    </row>
    <row r="555">
      <c r="A555" s="73"/>
      <c r="B555" s="73"/>
      <c r="C555" s="73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  <c r="AE555" s="73"/>
      <c r="AF555" s="73"/>
      <c r="AG555" s="73"/>
      <c r="AH555" s="73"/>
      <c r="AI555" s="73"/>
      <c r="AJ555" s="73"/>
      <c r="AK555" s="73"/>
      <c r="AL555" s="73"/>
      <c r="AM555" s="73"/>
      <c r="AN555" s="73"/>
      <c r="AO555" s="73"/>
      <c r="AP555" s="73"/>
      <c r="AQ555" s="73"/>
      <c r="AR555" s="73"/>
      <c r="AS555" s="73"/>
      <c r="AT555" s="73"/>
      <c r="AU555" s="73"/>
      <c r="AV555" s="73"/>
      <c r="AW555" s="73"/>
      <c r="AX555" s="73"/>
      <c r="AY555" s="73"/>
      <c r="AZ555" s="73"/>
      <c r="BA555" s="73"/>
      <c r="BB555" s="73"/>
    </row>
    <row r="556">
      <c r="A556" s="73"/>
      <c r="B556" s="73"/>
      <c r="C556" s="73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  <c r="Z556" s="73"/>
      <c r="AA556" s="73"/>
      <c r="AB556" s="73"/>
      <c r="AC556" s="73"/>
      <c r="AD556" s="73"/>
      <c r="AE556" s="73"/>
      <c r="AF556" s="73"/>
      <c r="AG556" s="73"/>
      <c r="AH556" s="73"/>
      <c r="AI556" s="73"/>
      <c r="AJ556" s="73"/>
      <c r="AK556" s="73"/>
      <c r="AL556" s="73"/>
      <c r="AM556" s="73"/>
      <c r="AN556" s="73"/>
      <c r="AO556" s="73"/>
      <c r="AP556" s="73"/>
      <c r="AQ556" s="73"/>
      <c r="AR556" s="73"/>
      <c r="AS556" s="73"/>
      <c r="AT556" s="73"/>
      <c r="AU556" s="73"/>
      <c r="AV556" s="73"/>
      <c r="AW556" s="73"/>
      <c r="AX556" s="73"/>
      <c r="AY556" s="73"/>
      <c r="AZ556" s="73"/>
      <c r="BA556" s="73"/>
      <c r="BB556" s="73"/>
    </row>
    <row r="557">
      <c r="A557" s="73"/>
      <c r="B557" s="73"/>
      <c r="C557" s="73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  <c r="Z557" s="73"/>
      <c r="AA557" s="73"/>
      <c r="AB557" s="73"/>
      <c r="AC557" s="73"/>
      <c r="AD557" s="73"/>
      <c r="AE557" s="73"/>
      <c r="AF557" s="73"/>
      <c r="AG557" s="73"/>
      <c r="AH557" s="73"/>
      <c r="AI557" s="73"/>
      <c r="AJ557" s="73"/>
      <c r="AK557" s="73"/>
      <c r="AL557" s="73"/>
      <c r="AM557" s="73"/>
      <c r="AN557" s="73"/>
      <c r="AO557" s="73"/>
      <c r="AP557" s="73"/>
      <c r="AQ557" s="73"/>
      <c r="AR557" s="73"/>
      <c r="AS557" s="73"/>
      <c r="AT557" s="73"/>
      <c r="AU557" s="73"/>
      <c r="AV557" s="73"/>
      <c r="AW557" s="73"/>
      <c r="AX557" s="73"/>
      <c r="AY557" s="73"/>
      <c r="AZ557" s="73"/>
      <c r="BA557" s="73"/>
      <c r="BB557" s="73"/>
    </row>
    <row r="558">
      <c r="A558" s="73"/>
      <c r="B558" s="73"/>
      <c r="C558" s="73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  <c r="AD558" s="73"/>
      <c r="AE558" s="73"/>
      <c r="AF558" s="73"/>
      <c r="AG558" s="73"/>
      <c r="AH558" s="73"/>
      <c r="AI558" s="73"/>
      <c r="AJ558" s="73"/>
      <c r="AK558" s="73"/>
      <c r="AL558" s="73"/>
      <c r="AM558" s="73"/>
      <c r="AN558" s="73"/>
      <c r="AO558" s="73"/>
      <c r="AP558" s="73"/>
      <c r="AQ558" s="73"/>
      <c r="AR558" s="73"/>
      <c r="AS558" s="73"/>
      <c r="AT558" s="73"/>
      <c r="AU558" s="73"/>
      <c r="AV558" s="73"/>
      <c r="AW558" s="73"/>
      <c r="AX558" s="73"/>
      <c r="AY558" s="73"/>
      <c r="AZ558" s="73"/>
      <c r="BA558" s="73"/>
      <c r="BB558" s="73"/>
    </row>
    <row r="559">
      <c r="A559" s="73"/>
      <c r="B559" s="73"/>
      <c r="C559" s="73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  <c r="Z559" s="73"/>
      <c r="AA559" s="73"/>
      <c r="AB559" s="73"/>
      <c r="AC559" s="73"/>
      <c r="AD559" s="73"/>
      <c r="AE559" s="73"/>
      <c r="AF559" s="73"/>
      <c r="AG559" s="73"/>
      <c r="AH559" s="73"/>
      <c r="AI559" s="73"/>
      <c r="AJ559" s="73"/>
      <c r="AK559" s="73"/>
      <c r="AL559" s="73"/>
      <c r="AM559" s="73"/>
      <c r="AN559" s="73"/>
      <c r="AO559" s="73"/>
      <c r="AP559" s="73"/>
      <c r="AQ559" s="73"/>
      <c r="AR559" s="73"/>
      <c r="AS559" s="73"/>
      <c r="AT559" s="73"/>
      <c r="AU559" s="73"/>
      <c r="AV559" s="73"/>
      <c r="AW559" s="73"/>
      <c r="AX559" s="73"/>
      <c r="AY559" s="73"/>
      <c r="AZ559" s="73"/>
      <c r="BA559" s="73"/>
      <c r="BB559" s="73"/>
    </row>
    <row r="560">
      <c r="A560" s="73"/>
      <c r="B560" s="73"/>
      <c r="C560" s="73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  <c r="Z560" s="73"/>
      <c r="AA560" s="73"/>
      <c r="AB560" s="73"/>
      <c r="AC560" s="73"/>
      <c r="AD560" s="73"/>
      <c r="AE560" s="73"/>
      <c r="AF560" s="73"/>
      <c r="AG560" s="73"/>
      <c r="AH560" s="73"/>
      <c r="AI560" s="73"/>
      <c r="AJ560" s="73"/>
      <c r="AK560" s="73"/>
      <c r="AL560" s="73"/>
      <c r="AM560" s="73"/>
      <c r="AN560" s="73"/>
      <c r="AO560" s="73"/>
      <c r="AP560" s="73"/>
      <c r="AQ560" s="73"/>
      <c r="AR560" s="73"/>
      <c r="AS560" s="73"/>
      <c r="AT560" s="73"/>
      <c r="AU560" s="73"/>
      <c r="AV560" s="73"/>
      <c r="AW560" s="73"/>
      <c r="AX560" s="73"/>
      <c r="AY560" s="73"/>
      <c r="AZ560" s="73"/>
      <c r="BA560" s="73"/>
      <c r="BB560" s="73"/>
    </row>
    <row r="561">
      <c r="A561" s="73"/>
      <c r="B561" s="73"/>
      <c r="C561" s="73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  <c r="Z561" s="73"/>
      <c r="AA561" s="73"/>
      <c r="AB561" s="73"/>
      <c r="AC561" s="73"/>
      <c r="AD561" s="73"/>
      <c r="AE561" s="73"/>
      <c r="AF561" s="73"/>
      <c r="AG561" s="73"/>
      <c r="AH561" s="73"/>
      <c r="AI561" s="73"/>
      <c r="AJ561" s="73"/>
      <c r="AK561" s="73"/>
      <c r="AL561" s="73"/>
      <c r="AM561" s="73"/>
      <c r="AN561" s="73"/>
      <c r="AO561" s="73"/>
      <c r="AP561" s="73"/>
      <c r="AQ561" s="73"/>
      <c r="AR561" s="73"/>
      <c r="AS561" s="73"/>
      <c r="AT561" s="73"/>
      <c r="AU561" s="73"/>
      <c r="AV561" s="73"/>
      <c r="AW561" s="73"/>
      <c r="AX561" s="73"/>
      <c r="AY561" s="73"/>
      <c r="AZ561" s="73"/>
      <c r="BA561" s="73"/>
      <c r="BB561" s="73"/>
    </row>
    <row r="562">
      <c r="A562" s="73"/>
      <c r="B562" s="73"/>
      <c r="C562" s="73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  <c r="Z562" s="73"/>
      <c r="AA562" s="73"/>
      <c r="AB562" s="73"/>
      <c r="AC562" s="73"/>
      <c r="AD562" s="73"/>
      <c r="AE562" s="73"/>
      <c r="AF562" s="73"/>
      <c r="AG562" s="73"/>
      <c r="AH562" s="73"/>
      <c r="AI562" s="73"/>
      <c r="AJ562" s="73"/>
      <c r="AK562" s="73"/>
      <c r="AL562" s="73"/>
      <c r="AM562" s="73"/>
      <c r="AN562" s="73"/>
      <c r="AO562" s="73"/>
      <c r="AP562" s="73"/>
      <c r="AQ562" s="73"/>
      <c r="AR562" s="73"/>
      <c r="AS562" s="73"/>
      <c r="AT562" s="73"/>
      <c r="AU562" s="73"/>
      <c r="AV562" s="73"/>
      <c r="AW562" s="73"/>
      <c r="AX562" s="73"/>
      <c r="AY562" s="73"/>
      <c r="AZ562" s="73"/>
      <c r="BA562" s="73"/>
      <c r="BB562" s="73"/>
    </row>
    <row r="563">
      <c r="A563" s="73"/>
      <c r="B563" s="73"/>
      <c r="C563" s="73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  <c r="Z563" s="73"/>
      <c r="AA563" s="73"/>
      <c r="AB563" s="73"/>
      <c r="AC563" s="73"/>
      <c r="AD563" s="73"/>
      <c r="AE563" s="73"/>
      <c r="AF563" s="73"/>
      <c r="AG563" s="73"/>
      <c r="AH563" s="73"/>
      <c r="AI563" s="73"/>
      <c r="AJ563" s="73"/>
      <c r="AK563" s="73"/>
      <c r="AL563" s="73"/>
      <c r="AM563" s="73"/>
      <c r="AN563" s="73"/>
      <c r="AO563" s="73"/>
      <c r="AP563" s="73"/>
      <c r="AQ563" s="73"/>
      <c r="AR563" s="73"/>
      <c r="AS563" s="73"/>
      <c r="AT563" s="73"/>
      <c r="AU563" s="73"/>
      <c r="AV563" s="73"/>
      <c r="AW563" s="73"/>
      <c r="AX563" s="73"/>
      <c r="AY563" s="73"/>
      <c r="AZ563" s="73"/>
      <c r="BA563" s="73"/>
      <c r="BB563" s="73"/>
    </row>
    <row r="564">
      <c r="A564" s="73"/>
      <c r="B564" s="73"/>
      <c r="C564" s="73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  <c r="AD564" s="73"/>
      <c r="AE564" s="73"/>
      <c r="AF564" s="73"/>
      <c r="AG564" s="73"/>
      <c r="AH564" s="73"/>
      <c r="AI564" s="73"/>
      <c r="AJ564" s="73"/>
      <c r="AK564" s="73"/>
      <c r="AL564" s="73"/>
      <c r="AM564" s="73"/>
      <c r="AN564" s="73"/>
      <c r="AO564" s="73"/>
      <c r="AP564" s="73"/>
      <c r="AQ564" s="73"/>
      <c r="AR564" s="73"/>
      <c r="AS564" s="73"/>
      <c r="AT564" s="73"/>
      <c r="AU564" s="73"/>
      <c r="AV564" s="73"/>
      <c r="AW564" s="73"/>
      <c r="AX564" s="73"/>
      <c r="AY564" s="73"/>
      <c r="AZ564" s="73"/>
      <c r="BA564" s="73"/>
      <c r="BB564" s="73"/>
    </row>
    <row r="565">
      <c r="A565" s="73"/>
      <c r="B565" s="73"/>
      <c r="C565" s="73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  <c r="AD565" s="73"/>
      <c r="AE565" s="73"/>
      <c r="AF565" s="73"/>
      <c r="AG565" s="73"/>
      <c r="AH565" s="73"/>
      <c r="AI565" s="73"/>
      <c r="AJ565" s="73"/>
      <c r="AK565" s="73"/>
      <c r="AL565" s="73"/>
      <c r="AM565" s="73"/>
      <c r="AN565" s="73"/>
      <c r="AO565" s="73"/>
      <c r="AP565" s="73"/>
      <c r="AQ565" s="73"/>
      <c r="AR565" s="73"/>
      <c r="AS565" s="73"/>
      <c r="AT565" s="73"/>
      <c r="AU565" s="73"/>
      <c r="AV565" s="73"/>
      <c r="AW565" s="73"/>
      <c r="AX565" s="73"/>
      <c r="AY565" s="73"/>
      <c r="AZ565" s="73"/>
      <c r="BA565" s="73"/>
      <c r="BB565" s="73"/>
    </row>
    <row r="566">
      <c r="A566" s="73"/>
      <c r="B566" s="73"/>
      <c r="C566" s="73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  <c r="AD566" s="73"/>
      <c r="AE566" s="73"/>
      <c r="AF566" s="73"/>
      <c r="AG566" s="73"/>
      <c r="AH566" s="73"/>
      <c r="AI566" s="73"/>
      <c r="AJ566" s="73"/>
      <c r="AK566" s="73"/>
      <c r="AL566" s="73"/>
      <c r="AM566" s="73"/>
      <c r="AN566" s="73"/>
      <c r="AO566" s="73"/>
      <c r="AP566" s="73"/>
      <c r="AQ566" s="73"/>
      <c r="AR566" s="73"/>
      <c r="AS566" s="73"/>
      <c r="AT566" s="73"/>
      <c r="AU566" s="73"/>
      <c r="AV566" s="73"/>
      <c r="AW566" s="73"/>
      <c r="AX566" s="73"/>
      <c r="AY566" s="73"/>
      <c r="AZ566" s="73"/>
      <c r="BA566" s="73"/>
      <c r="BB566" s="73"/>
    </row>
    <row r="567">
      <c r="A567" s="73"/>
      <c r="B567" s="73"/>
      <c r="C567" s="73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  <c r="AD567" s="73"/>
      <c r="AE567" s="73"/>
      <c r="AF567" s="73"/>
      <c r="AG567" s="73"/>
      <c r="AH567" s="73"/>
      <c r="AI567" s="73"/>
      <c r="AJ567" s="73"/>
      <c r="AK567" s="73"/>
      <c r="AL567" s="73"/>
      <c r="AM567" s="73"/>
      <c r="AN567" s="73"/>
      <c r="AO567" s="73"/>
      <c r="AP567" s="73"/>
      <c r="AQ567" s="73"/>
      <c r="AR567" s="73"/>
      <c r="AS567" s="73"/>
      <c r="AT567" s="73"/>
      <c r="AU567" s="73"/>
      <c r="AV567" s="73"/>
      <c r="AW567" s="73"/>
      <c r="AX567" s="73"/>
      <c r="AY567" s="73"/>
      <c r="AZ567" s="73"/>
      <c r="BA567" s="73"/>
      <c r="BB567" s="73"/>
    </row>
    <row r="568">
      <c r="A568" s="73"/>
      <c r="B568" s="73"/>
      <c r="C568" s="73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  <c r="AD568" s="73"/>
      <c r="AE568" s="73"/>
      <c r="AF568" s="73"/>
      <c r="AG568" s="73"/>
      <c r="AH568" s="73"/>
      <c r="AI568" s="73"/>
      <c r="AJ568" s="73"/>
      <c r="AK568" s="73"/>
      <c r="AL568" s="73"/>
      <c r="AM568" s="73"/>
      <c r="AN568" s="73"/>
      <c r="AO568" s="73"/>
      <c r="AP568" s="73"/>
      <c r="AQ568" s="73"/>
      <c r="AR568" s="73"/>
      <c r="AS568" s="73"/>
      <c r="AT568" s="73"/>
      <c r="AU568" s="73"/>
      <c r="AV568" s="73"/>
      <c r="AW568" s="73"/>
      <c r="AX568" s="73"/>
      <c r="AY568" s="73"/>
      <c r="AZ568" s="73"/>
      <c r="BA568" s="73"/>
      <c r="BB568" s="73"/>
    </row>
    <row r="569">
      <c r="A569" s="73"/>
      <c r="B569" s="73"/>
      <c r="C569" s="73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  <c r="AD569" s="73"/>
      <c r="AE569" s="73"/>
      <c r="AF569" s="73"/>
      <c r="AG569" s="73"/>
      <c r="AH569" s="73"/>
      <c r="AI569" s="73"/>
      <c r="AJ569" s="73"/>
      <c r="AK569" s="73"/>
      <c r="AL569" s="73"/>
      <c r="AM569" s="73"/>
      <c r="AN569" s="73"/>
      <c r="AO569" s="73"/>
      <c r="AP569" s="73"/>
      <c r="AQ569" s="73"/>
      <c r="AR569" s="73"/>
      <c r="AS569" s="73"/>
      <c r="AT569" s="73"/>
      <c r="AU569" s="73"/>
      <c r="AV569" s="73"/>
      <c r="AW569" s="73"/>
      <c r="AX569" s="73"/>
      <c r="AY569" s="73"/>
      <c r="AZ569" s="73"/>
      <c r="BA569" s="73"/>
      <c r="BB569" s="73"/>
    </row>
    <row r="570">
      <c r="A570" s="73"/>
      <c r="B570" s="73"/>
      <c r="C570" s="73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  <c r="AD570" s="73"/>
      <c r="AE570" s="73"/>
      <c r="AF570" s="73"/>
      <c r="AG570" s="73"/>
      <c r="AH570" s="73"/>
      <c r="AI570" s="73"/>
      <c r="AJ570" s="73"/>
      <c r="AK570" s="73"/>
      <c r="AL570" s="73"/>
      <c r="AM570" s="73"/>
      <c r="AN570" s="73"/>
      <c r="AO570" s="73"/>
      <c r="AP570" s="73"/>
      <c r="AQ570" s="73"/>
      <c r="AR570" s="73"/>
      <c r="AS570" s="73"/>
      <c r="AT570" s="73"/>
      <c r="AU570" s="73"/>
      <c r="AV570" s="73"/>
      <c r="AW570" s="73"/>
      <c r="AX570" s="73"/>
      <c r="AY570" s="73"/>
      <c r="AZ570" s="73"/>
      <c r="BA570" s="73"/>
      <c r="BB570" s="73"/>
    </row>
    <row r="571">
      <c r="A571" s="73"/>
      <c r="B571" s="73"/>
      <c r="C571" s="73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  <c r="AD571" s="73"/>
      <c r="AE571" s="73"/>
      <c r="AF571" s="73"/>
      <c r="AG571" s="73"/>
      <c r="AH571" s="73"/>
      <c r="AI571" s="73"/>
      <c r="AJ571" s="73"/>
      <c r="AK571" s="73"/>
      <c r="AL571" s="73"/>
      <c r="AM571" s="73"/>
      <c r="AN571" s="73"/>
      <c r="AO571" s="73"/>
      <c r="AP571" s="73"/>
      <c r="AQ571" s="73"/>
      <c r="AR571" s="73"/>
      <c r="AS571" s="73"/>
      <c r="AT571" s="73"/>
      <c r="AU571" s="73"/>
      <c r="AV571" s="73"/>
      <c r="AW571" s="73"/>
      <c r="AX571" s="73"/>
      <c r="AY571" s="73"/>
      <c r="AZ571" s="73"/>
      <c r="BA571" s="73"/>
      <c r="BB571" s="73"/>
    </row>
    <row r="572">
      <c r="A572" s="73"/>
      <c r="B572" s="73"/>
      <c r="C572" s="73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  <c r="AD572" s="73"/>
      <c r="AE572" s="73"/>
      <c r="AF572" s="73"/>
      <c r="AG572" s="73"/>
      <c r="AH572" s="73"/>
      <c r="AI572" s="73"/>
      <c r="AJ572" s="73"/>
      <c r="AK572" s="73"/>
      <c r="AL572" s="73"/>
      <c r="AM572" s="73"/>
      <c r="AN572" s="73"/>
      <c r="AO572" s="73"/>
      <c r="AP572" s="73"/>
      <c r="AQ572" s="73"/>
      <c r="AR572" s="73"/>
      <c r="AS572" s="73"/>
      <c r="AT572" s="73"/>
      <c r="AU572" s="73"/>
      <c r="AV572" s="73"/>
      <c r="AW572" s="73"/>
      <c r="AX572" s="73"/>
      <c r="AY572" s="73"/>
      <c r="AZ572" s="73"/>
      <c r="BA572" s="73"/>
      <c r="BB572" s="73"/>
    </row>
    <row r="573">
      <c r="A573" s="73"/>
      <c r="B573" s="73"/>
      <c r="C573" s="73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  <c r="Z573" s="73"/>
      <c r="AA573" s="73"/>
      <c r="AB573" s="73"/>
      <c r="AC573" s="73"/>
      <c r="AD573" s="73"/>
      <c r="AE573" s="73"/>
      <c r="AF573" s="73"/>
      <c r="AG573" s="73"/>
      <c r="AH573" s="73"/>
      <c r="AI573" s="73"/>
      <c r="AJ573" s="73"/>
      <c r="AK573" s="73"/>
      <c r="AL573" s="73"/>
      <c r="AM573" s="73"/>
      <c r="AN573" s="73"/>
      <c r="AO573" s="73"/>
      <c r="AP573" s="73"/>
      <c r="AQ573" s="73"/>
      <c r="AR573" s="73"/>
      <c r="AS573" s="73"/>
      <c r="AT573" s="73"/>
      <c r="AU573" s="73"/>
      <c r="AV573" s="73"/>
      <c r="AW573" s="73"/>
      <c r="AX573" s="73"/>
      <c r="AY573" s="73"/>
      <c r="AZ573" s="73"/>
      <c r="BA573" s="73"/>
      <c r="BB573" s="73"/>
    </row>
    <row r="574">
      <c r="A574" s="73"/>
      <c r="B574" s="73"/>
      <c r="C574" s="73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  <c r="Z574" s="73"/>
      <c r="AA574" s="73"/>
      <c r="AB574" s="73"/>
      <c r="AC574" s="73"/>
      <c r="AD574" s="73"/>
      <c r="AE574" s="73"/>
      <c r="AF574" s="73"/>
      <c r="AG574" s="73"/>
      <c r="AH574" s="73"/>
      <c r="AI574" s="73"/>
      <c r="AJ574" s="73"/>
      <c r="AK574" s="73"/>
      <c r="AL574" s="73"/>
      <c r="AM574" s="73"/>
      <c r="AN574" s="73"/>
      <c r="AO574" s="73"/>
      <c r="AP574" s="73"/>
      <c r="AQ574" s="73"/>
      <c r="AR574" s="73"/>
      <c r="AS574" s="73"/>
      <c r="AT574" s="73"/>
      <c r="AU574" s="73"/>
      <c r="AV574" s="73"/>
      <c r="AW574" s="73"/>
      <c r="AX574" s="73"/>
      <c r="AY574" s="73"/>
      <c r="AZ574" s="73"/>
      <c r="BA574" s="73"/>
      <c r="BB574" s="73"/>
    </row>
    <row r="575">
      <c r="A575" s="73"/>
      <c r="B575" s="73"/>
      <c r="C575" s="73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  <c r="Z575" s="73"/>
      <c r="AA575" s="73"/>
      <c r="AB575" s="73"/>
      <c r="AC575" s="73"/>
      <c r="AD575" s="73"/>
      <c r="AE575" s="73"/>
      <c r="AF575" s="73"/>
      <c r="AG575" s="73"/>
      <c r="AH575" s="73"/>
      <c r="AI575" s="73"/>
      <c r="AJ575" s="73"/>
      <c r="AK575" s="73"/>
      <c r="AL575" s="73"/>
      <c r="AM575" s="73"/>
      <c r="AN575" s="73"/>
      <c r="AO575" s="73"/>
      <c r="AP575" s="73"/>
      <c r="AQ575" s="73"/>
      <c r="AR575" s="73"/>
      <c r="AS575" s="73"/>
      <c r="AT575" s="73"/>
      <c r="AU575" s="73"/>
      <c r="AV575" s="73"/>
      <c r="AW575" s="73"/>
      <c r="AX575" s="73"/>
      <c r="AY575" s="73"/>
      <c r="AZ575" s="73"/>
      <c r="BA575" s="73"/>
      <c r="BB575" s="73"/>
    </row>
    <row r="576">
      <c r="A576" s="73"/>
      <c r="B576" s="73"/>
      <c r="C576" s="73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  <c r="Z576" s="73"/>
      <c r="AA576" s="73"/>
      <c r="AB576" s="73"/>
      <c r="AC576" s="73"/>
      <c r="AD576" s="73"/>
      <c r="AE576" s="73"/>
      <c r="AF576" s="73"/>
      <c r="AG576" s="73"/>
      <c r="AH576" s="73"/>
      <c r="AI576" s="73"/>
      <c r="AJ576" s="73"/>
      <c r="AK576" s="73"/>
      <c r="AL576" s="73"/>
      <c r="AM576" s="73"/>
      <c r="AN576" s="73"/>
      <c r="AO576" s="73"/>
      <c r="AP576" s="73"/>
      <c r="AQ576" s="73"/>
      <c r="AR576" s="73"/>
      <c r="AS576" s="73"/>
      <c r="AT576" s="73"/>
      <c r="AU576" s="73"/>
      <c r="AV576" s="73"/>
      <c r="AW576" s="73"/>
      <c r="AX576" s="73"/>
      <c r="AY576" s="73"/>
      <c r="AZ576" s="73"/>
      <c r="BA576" s="73"/>
      <c r="BB576" s="73"/>
    </row>
    <row r="577">
      <c r="A577" s="73"/>
      <c r="B577" s="73"/>
      <c r="C577" s="73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  <c r="Z577" s="73"/>
      <c r="AA577" s="73"/>
      <c r="AB577" s="73"/>
      <c r="AC577" s="73"/>
      <c r="AD577" s="73"/>
      <c r="AE577" s="73"/>
      <c r="AF577" s="73"/>
      <c r="AG577" s="73"/>
      <c r="AH577" s="73"/>
      <c r="AI577" s="73"/>
      <c r="AJ577" s="73"/>
      <c r="AK577" s="73"/>
      <c r="AL577" s="73"/>
      <c r="AM577" s="73"/>
      <c r="AN577" s="73"/>
      <c r="AO577" s="73"/>
      <c r="AP577" s="73"/>
      <c r="AQ577" s="73"/>
      <c r="AR577" s="73"/>
      <c r="AS577" s="73"/>
      <c r="AT577" s="73"/>
      <c r="AU577" s="73"/>
      <c r="AV577" s="73"/>
      <c r="AW577" s="73"/>
      <c r="AX577" s="73"/>
      <c r="AY577" s="73"/>
      <c r="AZ577" s="73"/>
      <c r="BA577" s="73"/>
      <c r="BB577" s="73"/>
    </row>
    <row r="578">
      <c r="A578" s="73"/>
      <c r="B578" s="73"/>
      <c r="C578" s="73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  <c r="Z578" s="73"/>
      <c r="AA578" s="73"/>
      <c r="AB578" s="73"/>
      <c r="AC578" s="73"/>
      <c r="AD578" s="73"/>
      <c r="AE578" s="73"/>
      <c r="AF578" s="73"/>
      <c r="AG578" s="73"/>
      <c r="AH578" s="73"/>
      <c r="AI578" s="73"/>
      <c r="AJ578" s="73"/>
      <c r="AK578" s="73"/>
      <c r="AL578" s="73"/>
      <c r="AM578" s="73"/>
      <c r="AN578" s="73"/>
      <c r="AO578" s="73"/>
      <c r="AP578" s="73"/>
      <c r="AQ578" s="73"/>
      <c r="AR578" s="73"/>
      <c r="AS578" s="73"/>
      <c r="AT578" s="73"/>
      <c r="AU578" s="73"/>
      <c r="AV578" s="73"/>
      <c r="AW578" s="73"/>
      <c r="AX578" s="73"/>
      <c r="AY578" s="73"/>
      <c r="AZ578" s="73"/>
      <c r="BA578" s="73"/>
      <c r="BB578" s="73"/>
    </row>
    <row r="579">
      <c r="A579" s="73"/>
      <c r="B579" s="73"/>
      <c r="C579" s="73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  <c r="Z579" s="73"/>
      <c r="AA579" s="73"/>
      <c r="AB579" s="73"/>
      <c r="AC579" s="73"/>
      <c r="AD579" s="73"/>
      <c r="AE579" s="73"/>
      <c r="AF579" s="73"/>
      <c r="AG579" s="73"/>
      <c r="AH579" s="73"/>
      <c r="AI579" s="73"/>
      <c r="AJ579" s="73"/>
      <c r="AK579" s="73"/>
      <c r="AL579" s="73"/>
      <c r="AM579" s="73"/>
      <c r="AN579" s="73"/>
      <c r="AO579" s="73"/>
      <c r="AP579" s="73"/>
      <c r="AQ579" s="73"/>
      <c r="AR579" s="73"/>
      <c r="AS579" s="73"/>
      <c r="AT579" s="73"/>
      <c r="AU579" s="73"/>
      <c r="AV579" s="73"/>
      <c r="AW579" s="73"/>
      <c r="AX579" s="73"/>
      <c r="AY579" s="73"/>
      <c r="AZ579" s="73"/>
      <c r="BA579" s="73"/>
      <c r="BB579" s="73"/>
    </row>
    <row r="580">
      <c r="A580" s="73"/>
      <c r="B580" s="73"/>
      <c r="C580" s="73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  <c r="Z580" s="73"/>
      <c r="AA580" s="73"/>
      <c r="AB580" s="73"/>
      <c r="AC580" s="73"/>
      <c r="AD580" s="73"/>
      <c r="AE580" s="73"/>
      <c r="AF580" s="73"/>
      <c r="AG580" s="73"/>
      <c r="AH580" s="73"/>
      <c r="AI580" s="73"/>
      <c r="AJ580" s="73"/>
      <c r="AK580" s="73"/>
      <c r="AL580" s="73"/>
      <c r="AM580" s="73"/>
      <c r="AN580" s="73"/>
      <c r="AO580" s="73"/>
      <c r="AP580" s="73"/>
      <c r="AQ580" s="73"/>
      <c r="AR580" s="73"/>
      <c r="AS580" s="73"/>
      <c r="AT580" s="73"/>
      <c r="AU580" s="73"/>
      <c r="AV580" s="73"/>
      <c r="AW580" s="73"/>
      <c r="AX580" s="73"/>
      <c r="AY580" s="73"/>
      <c r="AZ580" s="73"/>
      <c r="BA580" s="73"/>
      <c r="BB580" s="73"/>
    </row>
    <row r="581">
      <c r="A581" s="73"/>
      <c r="B581" s="73"/>
      <c r="C581" s="73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  <c r="Z581" s="73"/>
      <c r="AA581" s="73"/>
      <c r="AB581" s="73"/>
      <c r="AC581" s="73"/>
      <c r="AD581" s="73"/>
      <c r="AE581" s="73"/>
      <c r="AF581" s="73"/>
      <c r="AG581" s="73"/>
      <c r="AH581" s="73"/>
      <c r="AI581" s="73"/>
      <c r="AJ581" s="73"/>
      <c r="AK581" s="73"/>
      <c r="AL581" s="73"/>
      <c r="AM581" s="73"/>
      <c r="AN581" s="73"/>
      <c r="AO581" s="73"/>
      <c r="AP581" s="73"/>
      <c r="AQ581" s="73"/>
      <c r="AR581" s="73"/>
      <c r="AS581" s="73"/>
      <c r="AT581" s="73"/>
      <c r="AU581" s="73"/>
      <c r="AV581" s="73"/>
      <c r="AW581" s="73"/>
      <c r="AX581" s="73"/>
      <c r="AY581" s="73"/>
      <c r="AZ581" s="73"/>
      <c r="BA581" s="73"/>
      <c r="BB581" s="73"/>
    </row>
    <row r="582">
      <c r="A582" s="73"/>
      <c r="B582" s="73"/>
      <c r="C582" s="73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  <c r="Z582" s="73"/>
      <c r="AA582" s="73"/>
      <c r="AB582" s="73"/>
      <c r="AC582" s="73"/>
      <c r="AD582" s="73"/>
      <c r="AE582" s="73"/>
      <c r="AF582" s="73"/>
      <c r="AG582" s="73"/>
      <c r="AH582" s="73"/>
      <c r="AI582" s="73"/>
      <c r="AJ582" s="73"/>
      <c r="AK582" s="73"/>
      <c r="AL582" s="73"/>
      <c r="AM582" s="73"/>
      <c r="AN582" s="73"/>
      <c r="AO582" s="73"/>
      <c r="AP582" s="73"/>
      <c r="AQ582" s="73"/>
      <c r="AR582" s="73"/>
      <c r="AS582" s="73"/>
      <c r="AT582" s="73"/>
      <c r="AU582" s="73"/>
      <c r="AV582" s="73"/>
      <c r="AW582" s="73"/>
      <c r="AX582" s="73"/>
      <c r="AY582" s="73"/>
      <c r="AZ582" s="73"/>
      <c r="BA582" s="73"/>
      <c r="BB582" s="73"/>
    </row>
    <row r="583">
      <c r="A583" s="73"/>
      <c r="B583" s="73"/>
      <c r="C583" s="73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  <c r="Z583" s="73"/>
      <c r="AA583" s="73"/>
      <c r="AB583" s="73"/>
      <c r="AC583" s="73"/>
      <c r="AD583" s="73"/>
      <c r="AE583" s="73"/>
      <c r="AF583" s="73"/>
      <c r="AG583" s="73"/>
      <c r="AH583" s="73"/>
      <c r="AI583" s="73"/>
      <c r="AJ583" s="73"/>
      <c r="AK583" s="73"/>
      <c r="AL583" s="73"/>
      <c r="AM583" s="73"/>
      <c r="AN583" s="73"/>
      <c r="AO583" s="73"/>
      <c r="AP583" s="73"/>
      <c r="AQ583" s="73"/>
      <c r="AR583" s="73"/>
      <c r="AS583" s="73"/>
      <c r="AT583" s="73"/>
      <c r="AU583" s="73"/>
      <c r="AV583" s="73"/>
      <c r="AW583" s="73"/>
      <c r="AX583" s="73"/>
      <c r="AY583" s="73"/>
      <c r="AZ583" s="73"/>
      <c r="BA583" s="73"/>
      <c r="BB583" s="73"/>
    </row>
    <row r="584">
      <c r="A584" s="73"/>
      <c r="B584" s="73"/>
      <c r="C584" s="73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  <c r="Z584" s="73"/>
      <c r="AA584" s="73"/>
      <c r="AB584" s="73"/>
      <c r="AC584" s="73"/>
      <c r="AD584" s="73"/>
      <c r="AE584" s="73"/>
      <c r="AF584" s="73"/>
      <c r="AG584" s="73"/>
      <c r="AH584" s="73"/>
      <c r="AI584" s="73"/>
      <c r="AJ584" s="73"/>
      <c r="AK584" s="73"/>
      <c r="AL584" s="73"/>
      <c r="AM584" s="73"/>
      <c r="AN584" s="73"/>
      <c r="AO584" s="73"/>
      <c r="AP584" s="73"/>
      <c r="AQ584" s="73"/>
      <c r="AR584" s="73"/>
      <c r="AS584" s="73"/>
      <c r="AT584" s="73"/>
      <c r="AU584" s="73"/>
      <c r="AV584" s="73"/>
      <c r="AW584" s="73"/>
      <c r="AX584" s="73"/>
      <c r="AY584" s="73"/>
      <c r="AZ584" s="73"/>
      <c r="BA584" s="73"/>
      <c r="BB584" s="73"/>
    </row>
    <row r="585">
      <c r="A585" s="73"/>
      <c r="B585" s="73"/>
      <c r="C585" s="73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  <c r="Z585" s="73"/>
      <c r="AA585" s="73"/>
      <c r="AB585" s="73"/>
      <c r="AC585" s="73"/>
      <c r="AD585" s="73"/>
      <c r="AE585" s="73"/>
      <c r="AF585" s="73"/>
      <c r="AG585" s="73"/>
      <c r="AH585" s="73"/>
      <c r="AI585" s="73"/>
      <c r="AJ585" s="73"/>
      <c r="AK585" s="73"/>
      <c r="AL585" s="73"/>
      <c r="AM585" s="73"/>
      <c r="AN585" s="73"/>
      <c r="AO585" s="73"/>
      <c r="AP585" s="73"/>
      <c r="AQ585" s="73"/>
      <c r="AR585" s="73"/>
      <c r="AS585" s="73"/>
      <c r="AT585" s="73"/>
      <c r="AU585" s="73"/>
      <c r="AV585" s="73"/>
      <c r="AW585" s="73"/>
      <c r="AX585" s="73"/>
      <c r="AY585" s="73"/>
      <c r="AZ585" s="73"/>
      <c r="BA585" s="73"/>
      <c r="BB585" s="73"/>
    </row>
    <row r="586">
      <c r="A586" s="73"/>
      <c r="B586" s="73"/>
      <c r="C586" s="73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  <c r="Z586" s="73"/>
      <c r="AA586" s="73"/>
      <c r="AB586" s="73"/>
      <c r="AC586" s="73"/>
      <c r="AD586" s="73"/>
      <c r="AE586" s="73"/>
      <c r="AF586" s="73"/>
      <c r="AG586" s="73"/>
      <c r="AH586" s="73"/>
      <c r="AI586" s="73"/>
      <c r="AJ586" s="73"/>
      <c r="AK586" s="73"/>
      <c r="AL586" s="73"/>
      <c r="AM586" s="73"/>
      <c r="AN586" s="73"/>
      <c r="AO586" s="73"/>
      <c r="AP586" s="73"/>
      <c r="AQ586" s="73"/>
      <c r="AR586" s="73"/>
      <c r="AS586" s="73"/>
      <c r="AT586" s="73"/>
      <c r="AU586" s="73"/>
      <c r="AV586" s="73"/>
      <c r="AW586" s="73"/>
      <c r="AX586" s="73"/>
      <c r="AY586" s="73"/>
      <c r="AZ586" s="73"/>
      <c r="BA586" s="73"/>
      <c r="BB586" s="73"/>
    </row>
    <row r="587">
      <c r="A587" s="73"/>
      <c r="B587" s="73"/>
      <c r="C587" s="73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  <c r="Z587" s="73"/>
      <c r="AA587" s="73"/>
      <c r="AB587" s="73"/>
      <c r="AC587" s="73"/>
      <c r="AD587" s="73"/>
      <c r="AE587" s="73"/>
      <c r="AF587" s="73"/>
      <c r="AG587" s="73"/>
      <c r="AH587" s="73"/>
      <c r="AI587" s="73"/>
      <c r="AJ587" s="73"/>
      <c r="AK587" s="73"/>
      <c r="AL587" s="73"/>
      <c r="AM587" s="73"/>
      <c r="AN587" s="73"/>
      <c r="AO587" s="73"/>
      <c r="AP587" s="73"/>
      <c r="AQ587" s="73"/>
      <c r="AR587" s="73"/>
      <c r="AS587" s="73"/>
      <c r="AT587" s="73"/>
      <c r="AU587" s="73"/>
      <c r="AV587" s="73"/>
      <c r="AW587" s="73"/>
      <c r="AX587" s="73"/>
      <c r="AY587" s="73"/>
      <c r="AZ587" s="73"/>
      <c r="BA587" s="73"/>
      <c r="BB587" s="73"/>
    </row>
    <row r="588">
      <c r="A588" s="73"/>
      <c r="B588" s="73"/>
      <c r="C588" s="73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  <c r="Z588" s="73"/>
      <c r="AA588" s="73"/>
      <c r="AB588" s="73"/>
      <c r="AC588" s="73"/>
      <c r="AD588" s="73"/>
      <c r="AE588" s="73"/>
      <c r="AF588" s="73"/>
      <c r="AG588" s="73"/>
      <c r="AH588" s="73"/>
      <c r="AI588" s="73"/>
      <c r="AJ588" s="73"/>
      <c r="AK588" s="73"/>
      <c r="AL588" s="73"/>
      <c r="AM588" s="73"/>
      <c r="AN588" s="73"/>
      <c r="AO588" s="73"/>
      <c r="AP588" s="73"/>
      <c r="AQ588" s="73"/>
      <c r="AR588" s="73"/>
      <c r="AS588" s="73"/>
      <c r="AT588" s="73"/>
      <c r="AU588" s="73"/>
      <c r="AV588" s="73"/>
      <c r="AW588" s="73"/>
      <c r="AX588" s="73"/>
      <c r="AY588" s="73"/>
      <c r="AZ588" s="73"/>
      <c r="BA588" s="73"/>
      <c r="BB588" s="73"/>
    </row>
    <row r="589">
      <c r="A589" s="73"/>
      <c r="B589" s="73"/>
      <c r="C589" s="73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  <c r="Z589" s="73"/>
      <c r="AA589" s="73"/>
      <c r="AB589" s="73"/>
      <c r="AC589" s="73"/>
      <c r="AD589" s="73"/>
      <c r="AE589" s="73"/>
      <c r="AF589" s="73"/>
      <c r="AG589" s="73"/>
      <c r="AH589" s="73"/>
      <c r="AI589" s="73"/>
      <c r="AJ589" s="73"/>
      <c r="AK589" s="73"/>
      <c r="AL589" s="73"/>
      <c r="AM589" s="73"/>
      <c r="AN589" s="73"/>
      <c r="AO589" s="73"/>
      <c r="AP589" s="73"/>
      <c r="AQ589" s="73"/>
      <c r="AR589" s="73"/>
      <c r="AS589" s="73"/>
      <c r="AT589" s="73"/>
      <c r="AU589" s="73"/>
      <c r="AV589" s="73"/>
      <c r="AW589" s="73"/>
      <c r="AX589" s="73"/>
      <c r="AY589" s="73"/>
      <c r="AZ589" s="73"/>
      <c r="BA589" s="73"/>
      <c r="BB589" s="73"/>
    </row>
    <row r="590">
      <c r="A590" s="73"/>
      <c r="B590" s="73"/>
      <c r="C590" s="73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  <c r="Z590" s="73"/>
      <c r="AA590" s="73"/>
      <c r="AB590" s="73"/>
      <c r="AC590" s="73"/>
      <c r="AD590" s="73"/>
      <c r="AE590" s="73"/>
      <c r="AF590" s="73"/>
      <c r="AG590" s="73"/>
      <c r="AH590" s="73"/>
      <c r="AI590" s="73"/>
      <c r="AJ590" s="73"/>
      <c r="AK590" s="73"/>
      <c r="AL590" s="73"/>
      <c r="AM590" s="73"/>
      <c r="AN590" s="73"/>
      <c r="AO590" s="73"/>
      <c r="AP590" s="73"/>
      <c r="AQ590" s="73"/>
      <c r="AR590" s="73"/>
      <c r="AS590" s="73"/>
      <c r="AT590" s="73"/>
      <c r="AU590" s="73"/>
      <c r="AV590" s="73"/>
      <c r="AW590" s="73"/>
      <c r="AX590" s="73"/>
      <c r="AY590" s="73"/>
      <c r="AZ590" s="73"/>
      <c r="BA590" s="73"/>
      <c r="BB590" s="73"/>
    </row>
    <row r="591">
      <c r="A591" s="73"/>
      <c r="B591" s="73"/>
      <c r="C591" s="73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  <c r="Z591" s="73"/>
      <c r="AA591" s="73"/>
      <c r="AB591" s="73"/>
      <c r="AC591" s="73"/>
      <c r="AD591" s="73"/>
      <c r="AE591" s="73"/>
      <c r="AF591" s="73"/>
      <c r="AG591" s="73"/>
      <c r="AH591" s="73"/>
      <c r="AI591" s="73"/>
      <c r="AJ591" s="73"/>
      <c r="AK591" s="73"/>
      <c r="AL591" s="73"/>
      <c r="AM591" s="73"/>
      <c r="AN591" s="73"/>
      <c r="AO591" s="73"/>
      <c r="AP591" s="73"/>
      <c r="AQ591" s="73"/>
      <c r="AR591" s="73"/>
      <c r="AS591" s="73"/>
      <c r="AT591" s="73"/>
      <c r="AU591" s="73"/>
      <c r="AV591" s="73"/>
      <c r="AW591" s="73"/>
      <c r="AX591" s="73"/>
      <c r="AY591" s="73"/>
      <c r="AZ591" s="73"/>
      <c r="BA591" s="73"/>
      <c r="BB591" s="73"/>
    </row>
    <row r="592">
      <c r="A592" s="73"/>
      <c r="B592" s="73"/>
      <c r="C592" s="73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  <c r="Z592" s="73"/>
      <c r="AA592" s="73"/>
      <c r="AB592" s="73"/>
      <c r="AC592" s="73"/>
      <c r="AD592" s="73"/>
      <c r="AE592" s="73"/>
      <c r="AF592" s="73"/>
      <c r="AG592" s="73"/>
      <c r="AH592" s="73"/>
      <c r="AI592" s="73"/>
      <c r="AJ592" s="73"/>
      <c r="AK592" s="73"/>
      <c r="AL592" s="73"/>
      <c r="AM592" s="73"/>
      <c r="AN592" s="73"/>
      <c r="AO592" s="73"/>
      <c r="AP592" s="73"/>
      <c r="AQ592" s="73"/>
      <c r="AR592" s="73"/>
      <c r="AS592" s="73"/>
      <c r="AT592" s="73"/>
      <c r="AU592" s="73"/>
      <c r="AV592" s="73"/>
      <c r="AW592" s="73"/>
      <c r="AX592" s="73"/>
      <c r="AY592" s="73"/>
      <c r="AZ592" s="73"/>
      <c r="BA592" s="73"/>
      <c r="BB592" s="73"/>
    </row>
    <row r="593">
      <c r="A593" s="73"/>
      <c r="B593" s="73"/>
      <c r="C593" s="73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  <c r="Z593" s="73"/>
      <c r="AA593" s="73"/>
      <c r="AB593" s="73"/>
      <c r="AC593" s="73"/>
      <c r="AD593" s="73"/>
      <c r="AE593" s="73"/>
      <c r="AF593" s="73"/>
      <c r="AG593" s="73"/>
      <c r="AH593" s="73"/>
      <c r="AI593" s="73"/>
      <c r="AJ593" s="73"/>
      <c r="AK593" s="73"/>
      <c r="AL593" s="73"/>
      <c r="AM593" s="73"/>
      <c r="AN593" s="73"/>
      <c r="AO593" s="73"/>
      <c r="AP593" s="73"/>
      <c r="AQ593" s="73"/>
      <c r="AR593" s="73"/>
      <c r="AS593" s="73"/>
      <c r="AT593" s="73"/>
      <c r="AU593" s="73"/>
      <c r="AV593" s="73"/>
      <c r="AW593" s="73"/>
      <c r="AX593" s="73"/>
      <c r="AY593" s="73"/>
      <c r="AZ593" s="73"/>
      <c r="BA593" s="73"/>
      <c r="BB593" s="73"/>
    </row>
    <row r="594">
      <c r="A594" s="73"/>
      <c r="B594" s="73"/>
      <c r="C594" s="73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  <c r="Z594" s="73"/>
      <c r="AA594" s="73"/>
      <c r="AB594" s="73"/>
      <c r="AC594" s="73"/>
      <c r="AD594" s="73"/>
      <c r="AE594" s="73"/>
      <c r="AF594" s="73"/>
      <c r="AG594" s="73"/>
      <c r="AH594" s="73"/>
      <c r="AI594" s="73"/>
      <c r="AJ594" s="73"/>
      <c r="AK594" s="73"/>
      <c r="AL594" s="73"/>
      <c r="AM594" s="73"/>
      <c r="AN594" s="73"/>
      <c r="AO594" s="73"/>
      <c r="AP594" s="73"/>
      <c r="AQ594" s="73"/>
      <c r="AR594" s="73"/>
      <c r="AS594" s="73"/>
      <c r="AT594" s="73"/>
      <c r="AU594" s="73"/>
      <c r="AV594" s="73"/>
      <c r="AW594" s="73"/>
      <c r="AX594" s="73"/>
      <c r="AY594" s="73"/>
      <c r="AZ594" s="73"/>
      <c r="BA594" s="73"/>
      <c r="BB594" s="73"/>
    </row>
    <row r="595">
      <c r="A595" s="73"/>
      <c r="B595" s="73"/>
      <c r="C595" s="73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  <c r="Z595" s="73"/>
      <c r="AA595" s="73"/>
      <c r="AB595" s="73"/>
      <c r="AC595" s="73"/>
      <c r="AD595" s="73"/>
      <c r="AE595" s="73"/>
      <c r="AF595" s="73"/>
      <c r="AG595" s="73"/>
      <c r="AH595" s="73"/>
      <c r="AI595" s="73"/>
      <c r="AJ595" s="73"/>
      <c r="AK595" s="73"/>
      <c r="AL595" s="73"/>
      <c r="AM595" s="73"/>
      <c r="AN595" s="73"/>
      <c r="AO595" s="73"/>
      <c r="AP595" s="73"/>
      <c r="AQ595" s="73"/>
      <c r="AR595" s="73"/>
      <c r="AS595" s="73"/>
      <c r="AT595" s="73"/>
      <c r="AU595" s="73"/>
      <c r="AV595" s="73"/>
      <c r="AW595" s="73"/>
      <c r="AX595" s="73"/>
      <c r="AY595" s="73"/>
      <c r="AZ595" s="73"/>
      <c r="BA595" s="73"/>
      <c r="BB595" s="73"/>
    </row>
    <row r="596">
      <c r="A596" s="73"/>
      <c r="B596" s="73"/>
      <c r="C596" s="73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  <c r="Z596" s="73"/>
      <c r="AA596" s="73"/>
      <c r="AB596" s="73"/>
      <c r="AC596" s="73"/>
      <c r="AD596" s="73"/>
      <c r="AE596" s="73"/>
      <c r="AF596" s="73"/>
      <c r="AG596" s="73"/>
      <c r="AH596" s="73"/>
      <c r="AI596" s="73"/>
      <c r="AJ596" s="73"/>
      <c r="AK596" s="73"/>
      <c r="AL596" s="73"/>
      <c r="AM596" s="73"/>
      <c r="AN596" s="73"/>
      <c r="AO596" s="73"/>
      <c r="AP596" s="73"/>
      <c r="AQ596" s="73"/>
      <c r="AR596" s="73"/>
      <c r="AS596" s="73"/>
      <c r="AT596" s="73"/>
      <c r="AU596" s="73"/>
      <c r="AV596" s="73"/>
      <c r="AW596" s="73"/>
      <c r="AX596" s="73"/>
      <c r="AY596" s="73"/>
      <c r="AZ596" s="73"/>
      <c r="BA596" s="73"/>
      <c r="BB596" s="73"/>
    </row>
    <row r="597">
      <c r="A597" s="73"/>
      <c r="B597" s="73"/>
      <c r="C597" s="73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  <c r="Z597" s="73"/>
      <c r="AA597" s="73"/>
      <c r="AB597" s="73"/>
      <c r="AC597" s="73"/>
      <c r="AD597" s="73"/>
      <c r="AE597" s="73"/>
      <c r="AF597" s="73"/>
      <c r="AG597" s="73"/>
      <c r="AH597" s="73"/>
      <c r="AI597" s="73"/>
      <c r="AJ597" s="73"/>
      <c r="AK597" s="73"/>
      <c r="AL597" s="73"/>
      <c r="AM597" s="73"/>
      <c r="AN597" s="73"/>
      <c r="AO597" s="73"/>
      <c r="AP597" s="73"/>
      <c r="AQ597" s="73"/>
      <c r="AR597" s="73"/>
      <c r="AS597" s="73"/>
      <c r="AT597" s="73"/>
      <c r="AU597" s="73"/>
      <c r="AV597" s="73"/>
      <c r="AW597" s="73"/>
      <c r="AX597" s="73"/>
      <c r="AY597" s="73"/>
      <c r="AZ597" s="73"/>
      <c r="BA597" s="73"/>
      <c r="BB597" s="73"/>
    </row>
    <row r="598">
      <c r="A598" s="73"/>
      <c r="B598" s="73"/>
      <c r="C598" s="73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  <c r="Z598" s="73"/>
      <c r="AA598" s="73"/>
      <c r="AB598" s="73"/>
      <c r="AC598" s="73"/>
      <c r="AD598" s="73"/>
      <c r="AE598" s="73"/>
      <c r="AF598" s="73"/>
      <c r="AG598" s="73"/>
      <c r="AH598" s="73"/>
      <c r="AI598" s="73"/>
      <c r="AJ598" s="73"/>
      <c r="AK598" s="73"/>
      <c r="AL598" s="73"/>
      <c r="AM598" s="73"/>
      <c r="AN598" s="73"/>
      <c r="AO598" s="73"/>
      <c r="AP598" s="73"/>
      <c r="AQ598" s="73"/>
      <c r="AR598" s="73"/>
      <c r="AS598" s="73"/>
      <c r="AT598" s="73"/>
      <c r="AU598" s="73"/>
      <c r="AV598" s="73"/>
      <c r="AW598" s="73"/>
      <c r="AX598" s="73"/>
      <c r="AY598" s="73"/>
      <c r="AZ598" s="73"/>
      <c r="BA598" s="73"/>
      <c r="BB598" s="73"/>
    </row>
    <row r="599">
      <c r="A599" s="73"/>
      <c r="B599" s="73"/>
      <c r="C599" s="73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  <c r="Z599" s="73"/>
      <c r="AA599" s="73"/>
      <c r="AB599" s="73"/>
      <c r="AC599" s="73"/>
      <c r="AD599" s="73"/>
      <c r="AE599" s="73"/>
      <c r="AF599" s="73"/>
      <c r="AG599" s="73"/>
      <c r="AH599" s="73"/>
      <c r="AI599" s="73"/>
      <c r="AJ599" s="73"/>
      <c r="AK599" s="73"/>
      <c r="AL599" s="73"/>
      <c r="AM599" s="73"/>
      <c r="AN599" s="73"/>
      <c r="AO599" s="73"/>
      <c r="AP599" s="73"/>
      <c r="AQ599" s="73"/>
      <c r="AR599" s="73"/>
      <c r="AS599" s="73"/>
      <c r="AT599" s="73"/>
      <c r="AU599" s="73"/>
      <c r="AV599" s="73"/>
      <c r="AW599" s="73"/>
      <c r="AX599" s="73"/>
      <c r="AY599" s="73"/>
      <c r="AZ599" s="73"/>
      <c r="BA599" s="73"/>
      <c r="BB599" s="73"/>
    </row>
    <row r="600">
      <c r="A600" s="73"/>
      <c r="B600" s="73"/>
      <c r="C600" s="73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  <c r="Z600" s="73"/>
      <c r="AA600" s="73"/>
      <c r="AB600" s="73"/>
      <c r="AC600" s="73"/>
      <c r="AD600" s="73"/>
      <c r="AE600" s="73"/>
      <c r="AF600" s="73"/>
      <c r="AG600" s="73"/>
      <c r="AH600" s="73"/>
      <c r="AI600" s="73"/>
      <c r="AJ600" s="73"/>
      <c r="AK600" s="73"/>
      <c r="AL600" s="73"/>
      <c r="AM600" s="73"/>
      <c r="AN600" s="73"/>
      <c r="AO600" s="73"/>
      <c r="AP600" s="73"/>
      <c r="AQ600" s="73"/>
      <c r="AR600" s="73"/>
      <c r="AS600" s="73"/>
      <c r="AT600" s="73"/>
      <c r="AU600" s="73"/>
      <c r="AV600" s="73"/>
      <c r="AW600" s="73"/>
      <c r="AX600" s="73"/>
      <c r="AY600" s="73"/>
      <c r="AZ600" s="73"/>
      <c r="BA600" s="73"/>
      <c r="BB600" s="73"/>
    </row>
    <row r="601">
      <c r="A601" s="73"/>
      <c r="B601" s="73"/>
      <c r="C601" s="73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  <c r="Z601" s="73"/>
      <c r="AA601" s="73"/>
      <c r="AB601" s="73"/>
      <c r="AC601" s="73"/>
      <c r="AD601" s="73"/>
      <c r="AE601" s="73"/>
      <c r="AF601" s="73"/>
      <c r="AG601" s="73"/>
      <c r="AH601" s="73"/>
      <c r="AI601" s="73"/>
      <c r="AJ601" s="73"/>
      <c r="AK601" s="73"/>
      <c r="AL601" s="73"/>
      <c r="AM601" s="73"/>
      <c r="AN601" s="73"/>
      <c r="AO601" s="73"/>
      <c r="AP601" s="73"/>
      <c r="AQ601" s="73"/>
      <c r="AR601" s="73"/>
      <c r="AS601" s="73"/>
      <c r="AT601" s="73"/>
      <c r="AU601" s="73"/>
      <c r="AV601" s="73"/>
      <c r="AW601" s="73"/>
      <c r="AX601" s="73"/>
      <c r="AY601" s="73"/>
      <c r="AZ601" s="73"/>
      <c r="BA601" s="73"/>
      <c r="BB601" s="73"/>
    </row>
    <row r="602">
      <c r="A602" s="73"/>
      <c r="B602" s="73"/>
      <c r="C602" s="73"/>
      <c r="D602" s="73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  <c r="Z602" s="73"/>
      <c r="AA602" s="73"/>
      <c r="AB602" s="73"/>
      <c r="AC602" s="73"/>
      <c r="AD602" s="73"/>
      <c r="AE602" s="73"/>
      <c r="AF602" s="73"/>
      <c r="AG602" s="73"/>
      <c r="AH602" s="73"/>
      <c r="AI602" s="73"/>
      <c r="AJ602" s="73"/>
      <c r="AK602" s="73"/>
      <c r="AL602" s="73"/>
      <c r="AM602" s="73"/>
      <c r="AN602" s="73"/>
      <c r="AO602" s="73"/>
      <c r="AP602" s="73"/>
      <c r="AQ602" s="73"/>
      <c r="AR602" s="73"/>
      <c r="AS602" s="73"/>
      <c r="AT602" s="73"/>
      <c r="AU602" s="73"/>
      <c r="AV602" s="73"/>
      <c r="AW602" s="73"/>
      <c r="AX602" s="73"/>
      <c r="AY602" s="73"/>
      <c r="AZ602" s="73"/>
      <c r="BA602" s="73"/>
      <c r="BB602" s="73"/>
    </row>
    <row r="603">
      <c r="A603" s="73"/>
      <c r="B603" s="73"/>
      <c r="C603" s="73"/>
      <c r="D603" s="73"/>
      <c r="E603" s="73"/>
      <c r="F603" s="73"/>
      <c r="G603" s="73"/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/>
      <c r="S603" s="73"/>
      <c r="T603" s="73"/>
      <c r="U603" s="73"/>
      <c r="V603" s="73"/>
      <c r="W603" s="73"/>
      <c r="X603" s="73"/>
      <c r="Y603" s="73"/>
      <c r="Z603" s="73"/>
      <c r="AA603" s="73"/>
      <c r="AB603" s="73"/>
      <c r="AC603" s="73"/>
      <c r="AD603" s="73"/>
      <c r="AE603" s="73"/>
      <c r="AF603" s="73"/>
      <c r="AG603" s="73"/>
      <c r="AH603" s="73"/>
      <c r="AI603" s="73"/>
      <c r="AJ603" s="73"/>
      <c r="AK603" s="73"/>
      <c r="AL603" s="73"/>
      <c r="AM603" s="73"/>
      <c r="AN603" s="73"/>
      <c r="AO603" s="73"/>
      <c r="AP603" s="73"/>
      <c r="AQ603" s="73"/>
      <c r="AR603" s="73"/>
      <c r="AS603" s="73"/>
      <c r="AT603" s="73"/>
      <c r="AU603" s="73"/>
      <c r="AV603" s="73"/>
      <c r="AW603" s="73"/>
      <c r="AX603" s="73"/>
      <c r="AY603" s="73"/>
      <c r="AZ603" s="73"/>
      <c r="BA603" s="73"/>
      <c r="BB603" s="73"/>
    </row>
    <row r="604">
      <c r="A604" s="73"/>
      <c r="B604" s="73"/>
      <c r="C604" s="73"/>
      <c r="D604" s="73"/>
      <c r="E604" s="73"/>
      <c r="F604" s="73"/>
      <c r="G604" s="73"/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/>
      <c r="S604" s="73"/>
      <c r="T604" s="73"/>
      <c r="U604" s="73"/>
      <c r="V604" s="73"/>
      <c r="W604" s="73"/>
      <c r="X604" s="73"/>
      <c r="Y604" s="73"/>
      <c r="Z604" s="73"/>
      <c r="AA604" s="73"/>
      <c r="AB604" s="73"/>
      <c r="AC604" s="73"/>
      <c r="AD604" s="73"/>
      <c r="AE604" s="73"/>
      <c r="AF604" s="73"/>
      <c r="AG604" s="73"/>
      <c r="AH604" s="73"/>
      <c r="AI604" s="73"/>
      <c r="AJ604" s="73"/>
      <c r="AK604" s="73"/>
      <c r="AL604" s="73"/>
      <c r="AM604" s="73"/>
      <c r="AN604" s="73"/>
      <c r="AO604" s="73"/>
      <c r="AP604" s="73"/>
      <c r="AQ604" s="73"/>
      <c r="AR604" s="73"/>
      <c r="AS604" s="73"/>
      <c r="AT604" s="73"/>
      <c r="AU604" s="73"/>
      <c r="AV604" s="73"/>
      <c r="AW604" s="73"/>
      <c r="AX604" s="73"/>
      <c r="AY604" s="73"/>
      <c r="AZ604" s="73"/>
      <c r="BA604" s="73"/>
      <c r="BB604" s="73"/>
    </row>
    <row r="605">
      <c r="A605" s="73"/>
      <c r="B605" s="73"/>
      <c r="C605" s="73"/>
      <c r="D605" s="73"/>
      <c r="E605" s="73"/>
      <c r="F605" s="73"/>
      <c r="G605" s="73"/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/>
      <c r="S605" s="73"/>
      <c r="T605" s="73"/>
      <c r="U605" s="73"/>
      <c r="V605" s="73"/>
      <c r="W605" s="73"/>
      <c r="X605" s="73"/>
      <c r="Y605" s="73"/>
      <c r="Z605" s="73"/>
      <c r="AA605" s="73"/>
      <c r="AB605" s="73"/>
      <c r="AC605" s="73"/>
      <c r="AD605" s="73"/>
      <c r="AE605" s="73"/>
      <c r="AF605" s="73"/>
      <c r="AG605" s="73"/>
      <c r="AH605" s="73"/>
      <c r="AI605" s="73"/>
      <c r="AJ605" s="73"/>
      <c r="AK605" s="73"/>
      <c r="AL605" s="73"/>
      <c r="AM605" s="73"/>
      <c r="AN605" s="73"/>
      <c r="AO605" s="73"/>
      <c r="AP605" s="73"/>
      <c r="AQ605" s="73"/>
      <c r="AR605" s="73"/>
      <c r="AS605" s="73"/>
      <c r="AT605" s="73"/>
      <c r="AU605" s="73"/>
      <c r="AV605" s="73"/>
      <c r="AW605" s="73"/>
      <c r="AX605" s="73"/>
      <c r="AY605" s="73"/>
      <c r="AZ605" s="73"/>
      <c r="BA605" s="73"/>
      <c r="BB605" s="73"/>
    </row>
    <row r="606">
      <c r="A606" s="73"/>
      <c r="B606" s="73"/>
      <c r="C606" s="73"/>
      <c r="D606" s="73"/>
      <c r="E606" s="73"/>
      <c r="F606" s="73"/>
      <c r="G606" s="73"/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/>
      <c r="S606" s="73"/>
      <c r="T606" s="73"/>
      <c r="U606" s="73"/>
      <c r="V606" s="73"/>
      <c r="W606" s="73"/>
      <c r="X606" s="73"/>
      <c r="Y606" s="73"/>
      <c r="Z606" s="73"/>
      <c r="AA606" s="73"/>
      <c r="AB606" s="73"/>
      <c r="AC606" s="73"/>
      <c r="AD606" s="73"/>
      <c r="AE606" s="73"/>
      <c r="AF606" s="73"/>
      <c r="AG606" s="73"/>
      <c r="AH606" s="73"/>
      <c r="AI606" s="73"/>
      <c r="AJ606" s="73"/>
      <c r="AK606" s="73"/>
      <c r="AL606" s="73"/>
      <c r="AM606" s="73"/>
      <c r="AN606" s="73"/>
      <c r="AO606" s="73"/>
      <c r="AP606" s="73"/>
      <c r="AQ606" s="73"/>
      <c r="AR606" s="73"/>
      <c r="AS606" s="73"/>
      <c r="AT606" s="73"/>
      <c r="AU606" s="73"/>
      <c r="AV606" s="73"/>
      <c r="AW606" s="73"/>
      <c r="AX606" s="73"/>
      <c r="AY606" s="73"/>
      <c r="AZ606" s="73"/>
      <c r="BA606" s="73"/>
      <c r="BB606" s="73"/>
    </row>
    <row r="607">
      <c r="A607" s="73"/>
      <c r="B607" s="73"/>
      <c r="C607" s="73"/>
      <c r="D607" s="73"/>
      <c r="E607" s="73"/>
      <c r="F607" s="73"/>
      <c r="G607" s="73"/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/>
      <c r="S607" s="73"/>
      <c r="T607" s="73"/>
      <c r="U607" s="73"/>
      <c r="V607" s="73"/>
      <c r="W607" s="73"/>
      <c r="X607" s="73"/>
      <c r="Y607" s="73"/>
      <c r="Z607" s="73"/>
      <c r="AA607" s="73"/>
      <c r="AB607" s="73"/>
      <c r="AC607" s="73"/>
      <c r="AD607" s="73"/>
      <c r="AE607" s="73"/>
      <c r="AF607" s="73"/>
      <c r="AG607" s="73"/>
      <c r="AH607" s="73"/>
      <c r="AI607" s="73"/>
      <c r="AJ607" s="73"/>
      <c r="AK607" s="73"/>
      <c r="AL607" s="73"/>
      <c r="AM607" s="73"/>
      <c r="AN607" s="73"/>
      <c r="AO607" s="73"/>
      <c r="AP607" s="73"/>
      <c r="AQ607" s="73"/>
      <c r="AR607" s="73"/>
      <c r="AS607" s="73"/>
      <c r="AT607" s="73"/>
      <c r="AU607" s="73"/>
      <c r="AV607" s="73"/>
      <c r="AW607" s="73"/>
      <c r="AX607" s="73"/>
      <c r="AY607" s="73"/>
      <c r="AZ607" s="73"/>
      <c r="BA607" s="73"/>
      <c r="BB607" s="73"/>
    </row>
    <row r="608">
      <c r="A608" s="73"/>
      <c r="B608" s="73"/>
      <c r="C608" s="73"/>
      <c r="D608" s="73"/>
      <c r="E608" s="73"/>
      <c r="F608" s="73"/>
      <c r="G608" s="73"/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/>
      <c r="S608" s="73"/>
      <c r="T608" s="73"/>
      <c r="U608" s="73"/>
      <c r="V608" s="73"/>
      <c r="W608" s="73"/>
      <c r="X608" s="73"/>
      <c r="Y608" s="73"/>
      <c r="Z608" s="73"/>
      <c r="AA608" s="73"/>
      <c r="AB608" s="73"/>
      <c r="AC608" s="73"/>
      <c r="AD608" s="73"/>
      <c r="AE608" s="73"/>
      <c r="AF608" s="73"/>
      <c r="AG608" s="73"/>
      <c r="AH608" s="73"/>
      <c r="AI608" s="73"/>
      <c r="AJ608" s="73"/>
      <c r="AK608" s="73"/>
      <c r="AL608" s="73"/>
      <c r="AM608" s="73"/>
      <c r="AN608" s="73"/>
      <c r="AO608" s="73"/>
      <c r="AP608" s="73"/>
      <c r="AQ608" s="73"/>
      <c r="AR608" s="73"/>
      <c r="AS608" s="73"/>
      <c r="AT608" s="73"/>
      <c r="AU608" s="73"/>
      <c r="AV608" s="73"/>
      <c r="AW608" s="73"/>
      <c r="AX608" s="73"/>
      <c r="AY608" s="73"/>
      <c r="AZ608" s="73"/>
      <c r="BA608" s="73"/>
      <c r="BB608" s="73"/>
    </row>
    <row r="609">
      <c r="A609" s="73"/>
      <c r="B609" s="73"/>
      <c r="C609" s="73"/>
      <c r="D609" s="73"/>
      <c r="E609" s="73"/>
      <c r="F609" s="73"/>
      <c r="G609" s="73"/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  <c r="AB609" s="73"/>
      <c r="AC609" s="73"/>
      <c r="AD609" s="73"/>
      <c r="AE609" s="73"/>
      <c r="AF609" s="73"/>
      <c r="AG609" s="73"/>
      <c r="AH609" s="73"/>
      <c r="AI609" s="73"/>
      <c r="AJ609" s="73"/>
      <c r="AK609" s="73"/>
      <c r="AL609" s="73"/>
      <c r="AM609" s="73"/>
      <c r="AN609" s="73"/>
      <c r="AO609" s="73"/>
      <c r="AP609" s="73"/>
      <c r="AQ609" s="73"/>
      <c r="AR609" s="73"/>
      <c r="AS609" s="73"/>
      <c r="AT609" s="73"/>
      <c r="AU609" s="73"/>
      <c r="AV609" s="73"/>
      <c r="AW609" s="73"/>
      <c r="AX609" s="73"/>
      <c r="AY609" s="73"/>
      <c r="AZ609" s="73"/>
      <c r="BA609" s="73"/>
      <c r="BB609" s="73"/>
    </row>
    <row r="610">
      <c r="A610" s="73"/>
      <c r="B610" s="73"/>
      <c r="C610" s="73"/>
      <c r="D610" s="73"/>
      <c r="E610" s="73"/>
      <c r="F610" s="73"/>
      <c r="G610" s="73"/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  <c r="AB610" s="73"/>
      <c r="AC610" s="73"/>
      <c r="AD610" s="73"/>
      <c r="AE610" s="73"/>
      <c r="AF610" s="73"/>
      <c r="AG610" s="73"/>
      <c r="AH610" s="73"/>
      <c r="AI610" s="73"/>
      <c r="AJ610" s="73"/>
      <c r="AK610" s="73"/>
      <c r="AL610" s="73"/>
      <c r="AM610" s="73"/>
      <c r="AN610" s="73"/>
      <c r="AO610" s="73"/>
      <c r="AP610" s="73"/>
      <c r="AQ610" s="73"/>
      <c r="AR610" s="73"/>
      <c r="AS610" s="73"/>
      <c r="AT610" s="73"/>
      <c r="AU610" s="73"/>
      <c r="AV610" s="73"/>
      <c r="AW610" s="73"/>
      <c r="AX610" s="73"/>
      <c r="AY610" s="73"/>
      <c r="AZ610" s="73"/>
      <c r="BA610" s="73"/>
      <c r="BB610" s="73"/>
    </row>
    <row r="611">
      <c r="A611" s="73"/>
      <c r="B611" s="73"/>
      <c r="C611" s="73"/>
      <c r="D611" s="73"/>
      <c r="E611" s="73"/>
      <c r="F611" s="73"/>
      <c r="G611" s="73"/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  <c r="AB611" s="73"/>
      <c r="AC611" s="73"/>
      <c r="AD611" s="73"/>
      <c r="AE611" s="73"/>
      <c r="AF611" s="73"/>
      <c r="AG611" s="73"/>
      <c r="AH611" s="73"/>
      <c r="AI611" s="73"/>
      <c r="AJ611" s="73"/>
      <c r="AK611" s="73"/>
      <c r="AL611" s="73"/>
      <c r="AM611" s="73"/>
      <c r="AN611" s="73"/>
      <c r="AO611" s="73"/>
      <c r="AP611" s="73"/>
      <c r="AQ611" s="73"/>
      <c r="AR611" s="73"/>
      <c r="AS611" s="73"/>
      <c r="AT611" s="73"/>
      <c r="AU611" s="73"/>
      <c r="AV611" s="73"/>
      <c r="AW611" s="73"/>
      <c r="AX611" s="73"/>
      <c r="AY611" s="73"/>
      <c r="AZ611" s="73"/>
      <c r="BA611" s="73"/>
      <c r="BB611" s="73"/>
    </row>
    <row r="612">
      <c r="A612" s="73"/>
      <c r="B612" s="73"/>
      <c r="C612" s="73"/>
      <c r="D612" s="73"/>
      <c r="E612" s="73"/>
      <c r="F612" s="73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  <c r="AB612" s="73"/>
      <c r="AC612" s="73"/>
      <c r="AD612" s="73"/>
      <c r="AE612" s="73"/>
      <c r="AF612" s="73"/>
      <c r="AG612" s="73"/>
      <c r="AH612" s="73"/>
      <c r="AI612" s="73"/>
      <c r="AJ612" s="73"/>
      <c r="AK612" s="73"/>
      <c r="AL612" s="73"/>
      <c r="AM612" s="73"/>
      <c r="AN612" s="73"/>
      <c r="AO612" s="73"/>
      <c r="AP612" s="73"/>
      <c r="AQ612" s="73"/>
      <c r="AR612" s="73"/>
      <c r="AS612" s="73"/>
      <c r="AT612" s="73"/>
      <c r="AU612" s="73"/>
      <c r="AV612" s="73"/>
      <c r="AW612" s="73"/>
      <c r="AX612" s="73"/>
      <c r="AY612" s="73"/>
      <c r="AZ612" s="73"/>
      <c r="BA612" s="73"/>
      <c r="BB612" s="73"/>
    </row>
    <row r="613">
      <c r="A613" s="73"/>
      <c r="B613" s="73"/>
      <c r="C613" s="73"/>
      <c r="D613" s="73"/>
      <c r="E613" s="73"/>
      <c r="F613" s="73"/>
      <c r="G613" s="73"/>
      <c r="H613" s="73"/>
      <c r="I613" s="73"/>
      <c r="J613" s="73"/>
      <c r="K613" s="73"/>
      <c r="L613" s="73"/>
      <c r="M613" s="73"/>
      <c r="N613" s="73"/>
      <c r="O613" s="73"/>
      <c r="P613" s="73"/>
      <c r="Q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  <c r="AB613" s="73"/>
      <c r="AC613" s="73"/>
      <c r="AD613" s="73"/>
      <c r="AE613" s="73"/>
      <c r="AF613" s="73"/>
      <c r="AG613" s="73"/>
      <c r="AH613" s="73"/>
      <c r="AI613" s="73"/>
      <c r="AJ613" s="73"/>
      <c r="AK613" s="73"/>
      <c r="AL613" s="73"/>
      <c r="AM613" s="73"/>
      <c r="AN613" s="73"/>
      <c r="AO613" s="73"/>
      <c r="AP613" s="73"/>
      <c r="AQ613" s="73"/>
      <c r="AR613" s="73"/>
      <c r="AS613" s="73"/>
      <c r="AT613" s="73"/>
      <c r="AU613" s="73"/>
      <c r="AV613" s="73"/>
      <c r="AW613" s="73"/>
      <c r="AX613" s="73"/>
      <c r="AY613" s="73"/>
      <c r="AZ613" s="73"/>
      <c r="BA613" s="73"/>
      <c r="BB613" s="73"/>
    </row>
    <row r="614">
      <c r="A614" s="73"/>
      <c r="B614" s="73"/>
      <c r="C614" s="73"/>
      <c r="D614" s="73"/>
      <c r="E614" s="73"/>
      <c r="F614" s="73"/>
      <c r="G614" s="73"/>
      <c r="H614" s="73"/>
      <c r="I614" s="73"/>
      <c r="J614" s="73"/>
      <c r="K614" s="73"/>
      <c r="L614" s="73"/>
      <c r="M614" s="73"/>
      <c r="N614" s="73"/>
      <c r="O614" s="73"/>
      <c r="P614" s="73"/>
      <c r="Q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  <c r="AB614" s="73"/>
      <c r="AC614" s="73"/>
      <c r="AD614" s="73"/>
      <c r="AE614" s="73"/>
      <c r="AF614" s="73"/>
      <c r="AG614" s="73"/>
      <c r="AH614" s="73"/>
      <c r="AI614" s="73"/>
      <c r="AJ614" s="73"/>
      <c r="AK614" s="73"/>
      <c r="AL614" s="73"/>
      <c r="AM614" s="73"/>
      <c r="AN614" s="73"/>
      <c r="AO614" s="73"/>
      <c r="AP614" s="73"/>
      <c r="AQ614" s="73"/>
      <c r="AR614" s="73"/>
      <c r="AS614" s="73"/>
      <c r="AT614" s="73"/>
      <c r="AU614" s="73"/>
      <c r="AV614" s="73"/>
      <c r="AW614" s="73"/>
      <c r="AX614" s="73"/>
      <c r="AY614" s="73"/>
      <c r="AZ614" s="73"/>
      <c r="BA614" s="73"/>
      <c r="BB614" s="73"/>
    </row>
    <row r="615">
      <c r="A615" s="73"/>
      <c r="B615" s="73"/>
      <c r="C615" s="73"/>
      <c r="D615" s="73"/>
      <c r="E615" s="73"/>
      <c r="F615" s="73"/>
      <c r="G615" s="73"/>
      <c r="H615" s="73"/>
      <c r="I615" s="73"/>
      <c r="J615" s="73"/>
      <c r="K615" s="73"/>
      <c r="L615" s="73"/>
      <c r="M615" s="73"/>
      <c r="N615" s="73"/>
      <c r="O615" s="73"/>
      <c r="P615" s="73"/>
      <c r="Q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  <c r="AB615" s="73"/>
      <c r="AC615" s="73"/>
      <c r="AD615" s="73"/>
      <c r="AE615" s="73"/>
      <c r="AF615" s="73"/>
      <c r="AG615" s="73"/>
      <c r="AH615" s="73"/>
      <c r="AI615" s="73"/>
      <c r="AJ615" s="73"/>
      <c r="AK615" s="73"/>
      <c r="AL615" s="73"/>
      <c r="AM615" s="73"/>
      <c r="AN615" s="73"/>
      <c r="AO615" s="73"/>
      <c r="AP615" s="73"/>
      <c r="AQ615" s="73"/>
      <c r="AR615" s="73"/>
      <c r="AS615" s="73"/>
      <c r="AT615" s="73"/>
      <c r="AU615" s="73"/>
      <c r="AV615" s="73"/>
      <c r="AW615" s="73"/>
      <c r="AX615" s="73"/>
      <c r="AY615" s="73"/>
      <c r="AZ615" s="73"/>
      <c r="BA615" s="73"/>
      <c r="BB615" s="73"/>
    </row>
    <row r="616">
      <c r="A616" s="73"/>
      <c r="B616" s="73"/>
      <c r="C616" s="73"/>
      <c r="D616" s="73"/>
      <c r="E616" s="73"/>
      <c r="F616" s="73"/>
      <c r="G616" s="73"/>
      <c r="H616" s="73"/>
      <c r="I616" s="73"/>
      <c r="J616" s="73"/>
      <c r="K616" s="73"/>
      <c r="L616" s="73"/>
      <c r="M616" s="73"/>
      <c r="N616" s="73"/>
      <c r="O616" s="73"/>
      <c r="P616" s="73"/>
      <c r="Q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  <c r="AB616" s="73"/>
      <c r="AC616" s="73"/>
      <c r="AD616" s="73"/>
      <c r="AE616" s="73"/>
      <c r="AF616" s="73"/>
      <c r="AG616" s="73"/>
      <c r="AH616" s="73"/>
      <c r="AI616" s="73"/>
      <c r="AJ616" s="73"/>
      <c r="AK616" s="73"/>
      <c r="AL616" s="73"/>
      <c r="AM616" s="73"/>
      <c r="AN616" s="73"/>
      <c r="AO616" s="73"/>
      <c r="AP616" s="73"/>
      <c r="AQ616" s="73"/>
      <c r="AR616" s="73"/>
      <c r="AS616" s="73"/>
      <c r="AT616" s="73"/>
      <c r="AU616" s="73"/>
      <c r="AV616" s="73"/>
      <c r="AW616" s="73"/>
      <c r="AX616" s="73"/>
      <c r="AY616" s="73"/>
      <c r="AZ616" s="73"/>
      <c r="BA616" s="73"/>
      <c r="BB616" s="73"/>
    </row>
    <row r="617">
      <c r="A617" s="73"/>
      <c r="B617" s="73"/>
      <c r="C617" s="73"/>
      <c r="D617" s="73"/>
      <c r="E617" s="73"/>
      <c r="F617" s="73"/>
      <c r="G617" s="73"/>
      <c r="H617" s="73"/>
      <c r="I617" s="73"/>
      <c r="J617" s="73"/>
      <c r="K617" s="73"/>
      <c r="L617" s="73"/>
      <c r="M617" s="73"/>
      <c r="N617" s="73"/>
      <c r="O617" s="73"/>
      <c r="P617" s="73"/>
      <c r="Q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  <c r="AB617" s="73"/>
      <c r="AC617" s="73"/>
      <c r="AD617" s="73"/>
      <c r="AE617" s="73"/>
      <c r="AF617" s="73"/>
      <c r="AG617" s="73"/>
      <c r="AH617" s="73"/>
      <c r="AI617" s="73"/>
      <c r="AJ617" s="73"/>
      <c r="AK617" s="73"/>
      <c r="AL617" s="73"/>
      <c r="AM617" s="73"/>
      <c r="AN617" s="73"/>
      <c r="AO617" s="73"/>
      <c r="AP617" s="73"/>
      <c r="AQ617" s="73"/>
      <c r="AR617" s="73"/>
      <c r="AS617" s="73"/>
      <c r="AT617" s="73"/>
      <c r="AU617" s="73"/>
      <c r="AV617" s="73"/>
      <c r="AW617" s="73"/>
      <c r="AX617" s="73"/>
      <c r="AY617" s="73"/>
      <c r="AZ617" s="73"/>
      <c r="BA617" s="73"/>
      <c r="BB617" s="73"/>
    </row>
    <row r="618">
      <c r="A618" s="73"/>
      <c r="B618" s="73"/>
      <c r="C618" s="73"/>
      <c r="D618" s="73"/>
      <c r="E618" s="73"/>
      <c r="F618" s="73"/>
      <c r="G618" s="73"/>
      <c r="H618" s="73"/>
      <c r="I618" s="73"/>
      <c r="J618" s="73"/>
      <c r="K618" s="73"/>
      <c r="L618" s="73"/>
      <c r="M618" s="73"/>
      <c r="N618" s="73"/>
      <c r="O618" s="73"/>
      <c r="P618" s="73"/>
      <c r="Q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  <c r="AB618" s="73"/>
      <c r="AC618" s="73"/>
      <c r="AD618" s="73"/>
      <c r="AE618" s="73"/>
      <c r="AF618" s="73"/>
      <c r="AG618" s="73"/>
      <c r="AH618" s="73"/>
      <c r="AI618" s="73"/>
      <c r="AJ618" s="73"/>
      <c r="AK618" s="73"/>
      <c r="AL618" s="73"/>
      <c r="AM618" s="73"/>
      <c r="AN618" s="73"/>
      <c r="AO618" s="73"/>
      <c r="AP618" s="73"/>
      <c r="AQ618" s="73"/>
      <c r="AR618" s="73"/>
      <c r="AS618" s="73"/>
      <c r="AT618" s="73"/>
      <c r="AU618" s="73"/>
      <c r="AV618" s="73"/>
      <c r="AW618" s="73"/>
      <c r="AX618" s="73"/>
      <c r="AY618" s="73"/>
      <c r="AZ618" s="73"/>
      <c r="BA618" s="73"/>
      <c r="BB618" s="73"/>
    </row>
    <row r="619">
      <c r="A619" s="73"/>
      <c r="B619" s="73"/>
      <c r="C619" s="73"/>
      <c r="D619" s="73"/>
      <c r="E619" s="73"/>
      <c r="F619" s="73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  <c r="AB619" s="73"/>
      <c r="AC619" s="73"/>
      <c r="AD619" s="73"/>
      <c r="AE619" s="73"/>
      <c r="AF619" s="73"/>
      <c r="AG619" s="73"/>
      <c r="AH619" s="73"/>
      <c r="AI619" s="73"/>
      <c r="AJ619" s="73"/>
      <c r="AK619" s="73"/>
      <c r="AL619" s="73"/>
      <c r="AM619" s="73"/>
      <c r="AN619" s="73"/>
      <c r="AO619" s="73"/>
      <c r="AP619" s="73"/>
      <c r="AQ619" s="73"/>
      <c r="AR619" s="73"/>
      <c r="AS619" s="73"/>
      <c r="AT619" s="73"/>
      <c r="AU619" s="73"/>
      <c r="AV619" s="73"/>
      <c r="AW619" s="73"/>
      <c r="AX619" s="73"/>
      <c r="AY619" s="73"/>
      <c r="AZ619" s="73"/>
      <c r="BA619" s="73"/>
      <c r="BB619" s="73"/>
    </row>
    <row r="620">
      <c r="A620" s="73"/>
      <c r="B620" s="73"/>
      <c r="C620" s="73"/>
      <c r="D620" s="73"/>
      <c r="E620" s="73"/>
      <c r="F620" s="73"/>
      <c r="G620" s="73"/>
      <c r="H620" s="73"/>
      <c r="I620" s="73"/>
      <c r="J620" s="73"/>
      <c r="K620" s="73"/>
      <c r="L620" s="73"/>
      <c r="M620" s="73"/>
      <c r="N620" s="73"/>
      <c r="O620" s="73"/>
      <c r="P620" s="73"/>
      <c r="Q620" s="73"/>
      <c r="R620" s="73"/>
      <c r="S620" s="73"/>
      <c r="T620" s="73"/>
      <c r="U620" s="73"/>
      <c r="V620" s="73"/>
      <c r="W620" s="73"/>
      <c r="X620" s="73"/>
      <c r="Y620" s="73"/>
      <c r="Z620" s="73"/>
      <c r="AA620" s="73"/>
      <c r="AB620" s="73"/>
      <c r="AC620" s="73"/>
      <c r="AD620" s="73"/>
      <c r="AE620" s="73"/>
      <c r="AF620" s="73"/>
      <c r="AG620" s="73"/>
      <c r="AH620" s="73"/>
      <c r="AI620" s="73"/>
      <c r="AJ620" s="73"/>
      <c r="AK620" s="73"/>
      <c r="AL620" s="73"/>
      <c r="AM620" s="73"/>
      <c r="AN620" s="73"/>
      <c r="AO620" s="73"/>
      <c r="AP620" s="73"/>
      <c r="AQ620" s="73"/>
      <c r="AR620" s="73"/>
      <c r="AS620" s="73"/>
      <c r="AT620" s="73"/>
      <c r="AU620" s="73"/>
      <c r="AV620" s="73"/>
      <c r="AW620" s="73"/>
      <c r="AX620" s="73"/>
      <c r="AY620" s="73"/>
      <c r="AZ620" s="73"/>
      <c r="BA620" s="73"/>
      <c r="BB620" s="73"/>
    </row>
    <row r="621">
      <c r="A621" s="73"/>
      <c r="B621" s="73"/>
      <c r="C621" s="73"/>
      <c r="D621" s="73"/>
      <c r="E621" s="73"/>
      <c r="F621" s="73"/>
      <c r="G621" s="73"/>
      <c r="H621" s="73"/>
      <c r="I621" s="73"/>
      <c r="J621" s="73"/>
      <c r="K621" s="73"/>
      <c r="L621" s="73"/>
      <c r="M621" s="73"/>
      <c r="N621" s="73"/>
      <c r="O621" s="73"/>
      <c r="P621" s="73"/>
      <c r="Q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  <c r="AB621" s="73"/>
      <c r="AC621" s="73"/>
      <c r="AD621" s="73"/>
      <c r="AE621" s="73"/>
      <c r="AF621" s="73"/>
      <c r="AG621" s="73"/>
      <c r="AH621" s="73"/>
      <c r="AI621" s="73"/>
      <c r="AJ621" s="73"/>
      <c r="AK621" s="73"/>
      <c r="AL621" s="73"/>
      <c r="AM621" s="73"/>
      <c r="AN621" s="73"/>
      <c r="AO621" s="73"/>
      <c r="AP621" s="73"/>
      <c r="AQ621" s="73"/>
      <c r="AR621" s="73"/>
      <c r="AS621" s="73"/>
      <c r="AT621" s="73"/>
      <c r="AU621" s="73"/>
      <c r="AV621" s="73"/>
      <c r="AW621" s="73"/>
      <c r="AX621" s="73"/>
      <c r="AY621" s="73"/>
      <c r="AZ621" s="73"/>
      <c r="BA621" s="73"/>
      <c r="BB621" s="73"/>
    </row>
    <row r="622">
      <c r="A622" s="73"/>
      <c r="B622" s="73"/>
      <c r="C622" s="73"/>
      <c r="D622" s="73"/>
      <c r="E622" s="73"/>
      <c r="F622" s="73"/>
      <c r="G622" s="73"/>
      <c r="H622" s="73"/>
      <c r="I622" s="73"/>
      <c r="J622" s="73"/>
      <c r="K622" s="73"/>
      <c r="L622" s="73"/>
      <c r="M622" s="73"/>
      <c r="N622" s="73"/>
      <c r="O622" s="73"/>
      <c r="P622" s="73"/>
      <c r="Q622" s="73"/>
      <c r="R622" s="73"/>
      <c r="S622" s="73"/>
      <c r="T622" s="73"/>
      <c r="U622" s="73"/>
      <c r="V622" s="73"/>
      <c r="W622" s="73"/>
      <c r="X622" s="73"/>
      <c r="Y622" s="73"/>
      <c r="Z622" s="73"/>
      <c r="AA622" s="73"/>
      <c r="AB622" s="73"/>
      <c r="AC622" s="73"/>
      <c r="AD622" s="73"/>
      <c r="AE622" s="73"/>
      <c r="AF622" s="73"/>
      <c r="AG622" s="73"/>
      <c r="AH622" s="73"/>
      <c r="AI622" s="73"/>
      <c r="AJ622" s="73"/>
      <c r="AK622" s="73"/>
      <c r="AL622" s="73"/>
      <c r="AM622" s="73"/>
      <c r="AN622" s="73"/>
      <c r="AO622" s="73"/>
      <c r="AP622" s="73"/>
      <c r="AQ622" s="73"/>
      <c r="AR622" s="73"/>
      <c r="AS622" s="73"/>
      <c r="AT622" s="73"/>
      <c r="AU622" s="73"/>
      <c r="AV622" s="73"/>
      <c r="AW622" s="73"/>
      <c r="AX622" s="73"/>
      <c r="AY622" s="73"/>
      <c r="AZ622" s="73"/>
      <c r="BA622" s="73"/>
      <c r="BB622" s="73"/>
    </row>
    <row r="623">
      <c r="A623" s="73"/>
      <c r="B623" s="73"/>
      <c r="C623" s="73"/>
      <c r="D623" s="73"/>
      <c r="E623" s="73"/>
      <c r="F623" s="73"/>
      <c r="G623" s="73"/>
      <c r="H623" s="73"/>
      <c r="I623" s="73"/>
      <c r="J623" s="73"/>
      <c r="K623" s="73"/>
      <c r="L623" s="73"/>
      <c r="M623" s="73"/>
      <c r="N623" s="73"/>
      <c r="O623" s="73"/>
      <c r="P623" s="73"/>
      <c r="Q623" s="73"/>
      <c r="R623" s="73"/>
      <c r="S623" s="73"/>
      <c r="T623" s="73"/>
      <c r="U623" s="73"/>
      <c r="V623" s="73"/>
      <c r="W623" s="73"/>
      <c r="X623" s="73"/>
      <c r="Y623" s="73"/>
      <c r="Z623" s="73"/>
      <c r="AA623" s="73"/>
      <c r="AB623" s="73"/>
      <c r="AC623" s="73"/>
      <c r="AD623" s="73"/>
      <c r="AE623" s="73"/>
      <c r="AF623" s="73"/>
      <c r="AG623" s="73"/>
      <c r="AH623" s="73"/>
      <c r="AI623" s="73"/>
      <c r="AJ623" s="73"/>
      <c r="AK623" s="73"/>
      <c r="AL623" s="73"/>
      <c r="AM623" s="73"/>
      <c r="AN623" s="73"/>
      <c r="AO623" s="73"/>
      <c r="AP623" s="73"/>
      <c r="AQ623" s="73"/>
      <c r="AR623" s="73"/>
      <c r="AS623" s="73"/>
      <c r="AT623" s="73"/>
      <c r="AU623" s="73"/>
      <c r="AV623" s="73"/>
      <c r="AW623" s="73"/>
      <c r="AX623" s="73"/>
      <c r="AY623" s="73"/>
      <c r="AZ623" s="73"/>
      <c r="BA623" s="73"/>
      <c r="BB623" s="73"/>
    </row>
    <row r="624">
      <c r="A624" s="73"/>
      <c r="B624" s="73"/>
      <c r="C624" s="73"/>
      <c r="D624" s="73"/>
      <c r="E624" s="73"/>
      <c r="F624" s="73"/>
      <c r="G624" s="73"/>
      <c r="H624" s="73"/>
      <c r="I624" s="73"/>
      <c r="J624" s="73"/>
      <c r="K624" s="73"/>
      <c r="L624" s="73"/>
      <c r="M624" s="73"/>
      <c r="N624" s="73"/>
      <c r="O624" s="73"/>
      <c r="P624" s="73"/>
      <c r="Q624" s="73"/>
      <c r="R624" s="73"/>
      <c r="S624" s="73"/>
      <c r="T624" s="73"/>
      <c r="U624" s="73"/>
      <c r="V624" s="73"/>
      <c r="W624" s="73"/>
      <c r="X624" s="73"/>
      <c r="Y624" s="73"/>
      <c r="Z624" s="73"/>
      <c r="AA624" s="73"/>
      <c r="AB624" s="73"/>
      <c r="AC624" s="73"/>
      <c r="AD624" s="73"/>
      <c r="AE624" s="73"/>
      <c r="AF624" s="73"/>
      <c r="AG624" s="73"/>
      <c r="AH624" s="73"/>
      <c r="AI624" s="73"/>
      <c r="AJ624" s="73"/>
      <c r="AK624" s="73"/>
      <c r="AL624" s="73"/>
      <c r="AM624" s="73"/>
      <c r="AN624" s="73"/>
      <c r="AO624" s="73"/>
      <c r="AP624" s="73"/>
      <c r="AQ624" s="73"/>
      <c r="AR624" s="73"/>
      <c r="AS624" s="73"/>
      <c r="AT624" s="73"/>
      <c r="AU624" s="73"/>
      <c r="AV624" s="73"/>
      <c r="AW624" s="73"/>
      <c r="AX624" s="73"/>
      <c r="AY624" s="73"/>
      <c r="AZ624" s="73"/>
      <c r="BA624" s="73"/>
      <c r="BB624" s="73"/>
    </row>
    <row r="625">
      <c r="A625" s="73"/>
      <c r="B625" s="73"/>
      <c r="C625" s="73"/>
      <c r="D625" s="73"/>
      <c r="E625" s="73"/>
      <c r="F625" s="73"/>
      <c r="G625" s="73"/>
      <c r="H625" s="73"/>
      <c r="I625" s="73"/>
      <c r="J625" s="73"/>
      <c r="K625" s="73"/>
      <c r="L625" s="73"/>
      <c r="M625" s="73"/>
      <c r="N625" s="73"/>
      <c r="O625" s="73"/>
      <c r="P625" s="73"/>
      <c r="Q625" s="73"/>
      <c r="R625" s="73"/>
      <c r="S625" s="73"/>
      <c r="T625" s="73"/>
      <c r="U625" s="73"/>
      <c r="V625" s="73"/>
      <c r="W625" s="73"/>
      <c r="X625" s="73"/>
      <c r="Y625" s="73"/>
      <c r="Z625" s="73"/>
      <c r="AA625" s="73"/>
      <c r="AB625" s="73"/>
      <c r="AC625" s="73"/>
      <c r="AD625" s="73"/>
      <c r="AE625" s="73"/>
      <c r="AF625" s="73"/>
      <c r="AG625" s="73"/>
      <c r="AH625" s="73"/>
      <c r="AI625" s="73"/>
      <c r="AJ625" s="73"/>
      <c r="AK625" s="73"/>
      <c r="AL625" s="73"/>
      <c r="AM625" s="73"/>
      <c r="AN625" s="73"/>
      <c r="AO625" s="73"/>
      <c r="AP625" s="73"/>
      <c r="AQ625" s="73"/>
      <c r="AR625" s="73"/>
      <c r="AS625" s="73"/>
      <c r="AT625" s="73"/>
      <c r="AU625" s="73"/>
      <c r="AV625" s="73"/>
      <c r="AW625" s="73"/>
      <c r="AX625" s="73"/>
      <c r="AY625" s="73"/>
      <c r="AZ625" s="73"/>
      <c r="BA625" s="73"/>
      <c r="BB625" s="73"/>
    </row>
    <row r="626">
      <c r="A626" s="73"/>
      <c r="B626" s="73"/>
      <c r="C626" s="73"/>
      <c r="D626" s="73"/>
      <c r="E626" s="73"/>
      <c r="F626" s="73"/>
      <c r="G626" s="73"/>
      <c r="H626" s="73"/>
      <c r="I626" s="73"/>
      <c r="J626" s="73"/>
      <c r="K626" s="73"/>
      <c r="L626" s="73"/>
      <c r="M626" s="73"/>
      <c r="N626" s="73"/>
      <c r="O626" s="73"/>
      <c r="P626" s="73"/>
      <c r="Q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/>
      <c r="AB626" s="73"/>
      <c r="AC626" s="73"/>
      <c r="AD626" s="73"/>
      <c r="AE626" s="73"/>
      <c r="AF626" s="73"/>
      <c r="AG626" s="73"/>
      <c r="AH626" s="73"/>
      <c r="AI626" s="73"/>
      <c r="AJ626" s="73"/>
      <c r="AK626" s="73"/>
      <c r="AL626" s="73"/>
      <c r="AM626" s="73"/>
      <c r="AN626" s="73"/>
      <c r="AO626" s="73"/>
      <c r="AP626" s="73"/>
      <c r="AQ626" s="73"/>
      <c r="AR626" s="73"/>
      <c r="AS626" s="73"/>
      <c r="AT626" s="73"/>
      <c r="AU626" s="73"/>
      <c r="AV626" s="73"/>
      <c r="AW626" s="73"/>
      <c r="AX626" s="73"/>
      <c r="AY626" s="73"/>
      <c r="AZ626" s="73"/>
      <c r="BA626" s="73"/>
      <c r="BB626" s="73"/>
    </row>
    <row r="627">
      <c r="A627" s="73"/>
      <c r="B627" s="73"/>
      <c r="C627" s="73"/>
      <c r="D627" s="73"/>
      <c r="E627" s="73"/>
      <c r="F627" s="73"/>
      <c r="G627" s="73"/>
      <c r="H627" s="73"/>
      <c r="I627" s="73"/>
      <c r="J627" s="73"/>
      <c r="K627" s="73"/>
      <c r="L627" s="73"/>
      <c r="M627" s="73"/>
      <c r="N627" s="73"/>
      <c r="O627" s="73"/>
      <c r="P627" s="73"/>
      <c r="Q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  <c r="AB627" s="73"/>
      <c r="AC627" s="73"/>
      <c r="AD627" s="73"/>
      <c r="AE627" s="73"/>
      <c r="AF627" s="73"/>
      <c r="AG627" s="73"/>
      <c r="AH627" s="73"/>
      <c r="AI627" s="73"/>
      <c r="AJ627" s="73"/>
      <c r="AK627" s="73"/>
      <c r="AL627" s="73"/>
      <c r="AM627" s="73"/>
      <c r="AN627" s="73"/>
      <c r="AO627" s="73"/>
      <c r="AP627" s="73"/>
      <c r="AQ627" s="73"/>
      <c r="AR627" s="73"/>
      <c r="AS627" s="73"/>
      <c r="AT627" s="73"/>
      <c r="AU627" s="73"/>
      <c r="AV627" s="73"/>
      <c r="AW627" s="73"/>
      <c r="AX627" s="73"/>
      <c r="AY627" s="73"/>
      <c r="AZ627" s="73"/>
      <c r="BA627" s="73"/>
      <c r="BB627" s="73"/>
    </row>
    <row r="628">
      <c r="A628" s="73"/>
      <c r="B628" s="73"/>
      <c r="C628" s="73"/>
      <c r="D628" s="73"/>
      <c r="E628" s="73"/>
      <c r="F628" s="73"/>
      <c r="G628" s="73"/>
      <c r="H628" s="73"/>
      <c r="I628" s="73"/>
      <c r="J628" s="73"/>
      <c r="K628" s="73"/>
      <c r="L628" s="73"/>
      <c r="M628" s="73"/>
      <c r="N628" s="73"/>
      <c r="O628" s="73"/>
      <c r="P628" s="73"/>
      <c r="Q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  <c r="AB628" s="73"/>
      <c r="AC628" s="73"/>
      <c r="AD628" s="73"/>
      <c r="AE628" s="73"/>
      <c r="AF628" s="73"/>
      <c r="AG628" s="73"/>
      <c r="AH628" s="73"/>
      <c r="AI628" s="73"/>
      <c r="AJ628" s="73"/>
      <c r="AK628" s="73"/>
      <c r="AL628" s="73"/>
      <c r="AM628" s="73"/>
      <c r="AN628" s="73"/>
      <c r="AO628" s="73"/>
      <c r="AP628" s="73"/>
      <c r="AQ628" s="73"/>
      <c r="AR628" s="73"/>
      <c r="AS628" s="73"/>
      <c r="AT628" s="73"/>
      <c r="AU628" s="73"/>
      <c r="AV628" s="73"/>
      <c r="AW628" s="73"/>
      <c r="AX628" s="73"/>
      <c r="AY628" s="73"/>
      <c r="AZ628" s="73"/>
      <c r="BA628" s="73"/>
      <c r="BB628" s="73"/>
    </row>
    <row r="629">
      <c r="A629" s="73"/>
      <c r="B629" s="73"/>
      <c r="C629" s="73"/>
      <c r="D629" s="73"/>
      <c r="E629" s="73"/>
      <c r="F629" s="73"/>
      <c r="G629" s="73"/>
      <c r="H629" s="73"/>
      <c r="I629" s="73"/>
      <c r="J629" s="73"/>
      <c r="K629" s="73"/>
      <c r="L629" s="73"/>
      <c r="M629" s="73"/>
      <c r="N629" s="73"/>
      <c r="O629" s="73"/>
      <c r="P629" s="73"/>
      <c r="Q629" s="73"/>
      <c r="R629" s="73"/>
      <c r="S629" s="73"/>
      <c r="T629" s="73"/>
      <c r="U629" s="73"/>
      <c r="V629" s="73"/>
      <c r="W629" s="73"/>
      <c r="X629" s="73"/>
      <c r="Y629" s="73"/>
      <c r="Z629" s="73"/>
      <c r="AA629" s="73"/>
      <c r="AB629" s="73"/>
      <c r="AC629" s="73"/>
      <c r="AD629" s="73"/>
      <c r="AE629" s="73"/>
      <c r="AF629" s="73"/>
      <c r="AG629" s="73"/>
      <c r="AH629" s="73"/>
      <c r="AI629" s="73"/>
      <c r="AJ629" s="73"/>
      <c r="AK629" s="73"/>
      <c r="AL629" s="73"/>
      <c r="AM629" s="73"/>
      <c r="AN629" s="73"/>
      <c r="AO629" s="73"/>
      <c r="AP629" s="73"/>
      <c r="AQ629" s="73"/>
      <c r="AR629" s="73"/>
      <c r="AS629" s="73"/>
      <c r="AT629" s="73"/>
      <c r="AU629" s="73"/>
      <c r="AV629" s="73"/>
      <c r="AW629" s="73"/>
      <c r="AX629" s="73"/>
      <c r="AY629" s="73"/>
      <c r="AZ629" s="73"/>
      <c r="BA629" s="73"/>
      <c r="BB629" s="73"/>
    </row>
    <row r="630">
      <c r="A630" s="73"/>
      <c r="B630" s="73"/>
      <c r="C630" s="73"/>
      <c r="D630" s="73"/>
      <c r="E630" s="73"/>
      <c r="F630" s="73"/>
      <c r="G630" s="73"/>
      <c r="H630" s="73"/>
      <c r="I630" s="73"/>
      <c r="J630" s="73"/>
      <c r="K630" s="73"/>
      <c r="L630" s="73"/>
      <c r="M630" s="73"/>
      <c r="N630" s="73"/>
      <c r="O630" s="73"/>
      <c r="P630" s="73"/>
      <c r="Q630" s="73"/>
      <c r="R630" s="73"/>
      <c r="S630" s="73"/>
      <c r="T630" s="73"/>
      <c r="U630" s="73"/>
      <c r="V630" s="73"/>
      <c r="W630" s="73"/>
      <c r="X630" s="73"/>
      <c r="Y630" s="73"/>
      <c r="Z630" s="73"/>
      <c r="AA630" s="73"/>
      <c r="AB630" s="73"/>
      <c r="AC630" s="73"/>
      <c r="AD630" s="73"/>
      <c r="AE630" s="73"/>
      <c r="AF630" s="73"/>
      <c r="AG630" s="73"/>
      <c r="AH630" s="73"/>
      <c r="AI630" s="73"/>
      <c r="AJ630" s="73"/>
      <c r="AK630" s="73"/>
      <c r="AL630" s="73"/>
      <c r="AM630" s="73"/>
      <c r="AN630" s="73"/>
      <c r="AO630" s="73"/>
      <c r="AP630" s="73"/>
      <c r="AQ630" s="73"/>
      <c r="AR630" s="73"/>
      <c r="AS630" s="73"/>
      <c r="AT630" s="73"/>
      <c r="AU630" s="73"/>
      <c r="AV630" s="73"/>
      <c r="AW630" s="73"/>
      <c r="AX630" s="73"/>
      <c r="AY630" s="73"/>
      <c r="AZ630" s="73"/>
      <c r="BA630" s="73"/>
      <c r="BB630" s="73"/>
    </row>
    <row r="631">
      <c r="A631" s="73"/>
      <c r="B631" s="73"/>
      <c r="C631" s="73"/>
      <c r="D631" s="73"/>
      <c r="E631" s="73"/>
      <c r="F631" s="73"/>
      <c r="G631" s="73"/>
      <c r="H631" s="73"/>
      <c r="I631" s="73"/>
      <c r="J631" s="73"/>
      <c r="K631" s="73"/>
      <c r="L631" s="73"/>
      <c r="M631" s="73"/>
      <c r="N631" s="73"/>
      <c r="O631" s="73"/>
      <c r="P631" s="73"/>
      <c r="Q631" s="73"/>
      <c r="R631" s="73"/>
      <c r="S631" s="73"/>
      <c r="T631" s="73"/>
      <c r="U631" s="73"/>
      <c r="V631" s="73"/>
      <c r="W631" s="73"/>
      <c r="X631" s="73"/>
      <c r="Y631" s="73"/>
      <c r="Z631" s="73"/>
      <c r="AA631" s="73"/>
      <c r="AB631" s="73"/>
      <c r="AC631" s="73"/>
      <c r="AD631" s="73"/>
      <c r="AE631" s="73"/>
      <c r="AF631" s="73"/>
      <c r="AG631" s="73"/>
      <c r="AH631" s="73"/>
      <c r="AI631" s="73"/>
      <c r="AJ631" s="73"/>
      <c r="AK631" s="73"/>
      <c r="AL631" s="73"/>
      <c r="AM631" s="73"/>
      <c r="AN631" s="73"/>
      <c r="AO631" s="73"/>
      <c r="AP631" s="73"/>
      <c r="AQ631" s="73"/>
      <c r="AR631" s="73"/>
      <c r="AS631" s="73"/>
      <c r="AT631" s="73"/>
      <c r="AU631" s="73"/>
      <c r="AV631" s="73"/>
      <c r="AW631" s="73"/>
      <c r="AX631" s="73"/>
      <c r="AY631" s="73"/>
      <c r="AZ631" s="73"/>
      <c r="BA631" s="73"/>
      <c r="BB631" s="73"/>
    </row>
    <row r="632">
      <c r="A632" s="73"/>
      <c r="B632" s="73"/>
      <c r="C632" s="73"/>
      <c r="D632" s="73"/>
      <c r="E632" s="73"/>
      <c r="F632" s="73"/>
      <c r="G632" s="73"/>
      <c r="H632" s="73"/>
      <c r="I632" s="73"/>
      <c r="J632" s="73"/>
      <c r="K632" s="73"/>
      <c r="L632" s="73"/>
      <c r="M632" s="73"/>
      <c r="N632" s="73"/>
      <c r="O632" s="73"/>
      <c r="P632" s="73"/>
      <c r="Q632" s="73"/>
      <c r="R632" s="73"/>
      <c r="S632" s="73"/>
      <c r="T632" s="73"/>
      <c r="U632" s="73"/>
      <c r="V632" s="73"/>
      <c r="W632" s="73"/>
      <c r="X632" s="73"/>
      <c r="Y632" s="73"/>
      <c r="Z632" s="73"/>
      <c r="AA632" s="73"/>
      <c r="AB632" s="73"/>
      <c r="AC632" s="73"/>
      <c r="AD632" s="73"/>
      <c r="AE632" s="73"/>
      <c r="AF632" s="73"/>
      <c r="AG632" s="73"/>
      <c r="AH632" s="73"/>
      <c r="AI632" s="73"/>
      <c r="AJ632" s="73"/>
      <c r="AK632" s="73"/>
      <c r="AL632" s="73"/>
      <c r="AM632" s="73"/>
      <c r="AN632" s="73"/>
      <c r="AO632" s="73"/>
      <c r="AP632" s="73"/>
      <c r="AQ632" s="73"/>
      <c r="AR632" s="73"/>
      <c r="AS632" s="73"/>
      <c r="AT632" s="73"/>
      <c r="AU632" s="73"/>
      <c r="AV632" s="73"/>
      <c r="AW632" s="73"/>
      <c r="AX632" s="73"/>
      <c r="AY632" s="73"/>
      <c r="AZ632" s="73"/>
      <c r="BA632" s="73"/>
      <c r="BB632" s="73"/>
    </row>
    <row r="633">
      <c r="A633" s="73"/>
      <c r="B633" s="73"/>
      <c r="C633" s="73"/>
      <c r="D633" s="73"/>
      <c r="E633" s="73"/>
      <c r="F633" s="73"/>
      <c r="G633" s="73"/>
      <c r="H633" s="73"/>
      <c r="I633" s="73"/>
      <c r="J633" s="73"/>
      <c r="K633" s="73"/>
      <c r="L633" s="73"/>
      <c r="M633" s="73"/>
      <c r="N633" s="73"/>
      <c r="O633" s="73"/>
      <c r="P633" s="73"/>
      <c r="Q633" s="73"/>
      <c r="R633" s="73"/>
      <c r="S633" s="73"/>
      <c r="T633" s="73"/>
      <c r="U633" s="73"/>
      <c r="V633" s="73"/>
      <c r="W633" s="73"/>
      <c r="X633" s="73"/>
      <c r="Y633" s="73"/>
      <c r="Z633" s="73"/>
      <c r="AA633" s="73"/>
      <c r="AB633" s="73"/>
      <c r="AC633" s="73"/>
      <c r="AD633" s="73"/>
      <c r="AE633" s="73"/>
      <c r="AF633" s="73"/>
      <c r="AG633" s="73"/>
      <c r="AH633" s="73"/>
      <c r="AI633" s="73"/>
      <c r="AJ633" s="73"/>
      <c r="AK633" s="73"/>
      <c r="AL633" s="73"/>
      <c r="AM633" s="73"/>
      <c r="AN633" s="73"/>
      <c r="AO633" s="73"/>
      <c r="AP633" s="73"/>
      <c r="AQ633" s="73"/>
      <c r="AR633" s="73"/>
      <c r="AS633" s="73"/>
      <c r="AT633" s="73"/>
      <c r="AU633" s="73"/>
      <c r="AV633" s="73"/>
      <c r="AW633" s="73"/>
      <c r="AX633" s="73"/>
      <c r="AY633" s="73"/>
      <c r="AZ633" s="73"/>
      <c r="BA633" s="73"/>
      <c r="BB633" s="73"/>
    </row>
    <row r="634">
      <c r="A634" s="73"/>
      <c r="B634" s="73"/>
      <c r="C634" s="73"/>
      <c r="D634" s="73"/>
      <c r="E634" s="73"/>
      <c r="F634" s="73"/>
      <c r="G634" s="73"/>
      <c r="H634" s="73"/>
      <c r="I634" s="73"/>
      <c r="J634" s="73"/>
      <c r="K634" s="73"/>
      <c r="L634" s="73"/>
      <c r="M634" s="73"/>
      <c r="N634" s="73"/>
      <c r="O634" s="73"/>
      <c r="P634" s="73"/>
      <c r="Q634" s="73"/>
      <c r="R634" s="73"/>
      <c r="S634" s="73"/>
      <c r="T634" s="73"/>
      <c r="U634" s="73"/>
      <c r="V634" s="73"/>
      <c r="W634" s="73"/>
      <c r="X634" s="73"/>
      <c r="Y634" s="73"/>
      <c r="Z634" s="73"/>
      <c r="AA634" s="73"/>
      <c r="AB634" s="73"/>
      <c r="AC634" s="73"/>
      <c r="AD634" s="73"/>
      <c r="AE634" s="73"/>
      <c r="AF634" s="73"/>
      <c r="AG634" s="73"/>
      <c r="AH634" s="73"/>
      <c r="AI634" s="73"/>
      <c r="AJ634" s="73"/>
      <c r="AK634" s="73"/>
      <c r="AL634" s="73"/>
      <c r="AM634" s="73"/>
      <c r="AN634" s="73"/>
      <c r="AO634" s="73"/>
      <c r="AP634" s="73"/>
      <c r="AQ634" s="73"/>
      <c r="AR634" s="73"/>
      <c r="AS634" s="73"/>
      <c r="AT634" s="73"/>
      <c r="AU634" s="73"/>
      <c r="AV634" s="73"/>
      <c r="AW634" s="73"/>
      <c r="AX634" s="73"/>
      <c r="AY634" s="73"/>
      <c r="AZ634" s="73"/>
      <c r="BA634" s="73"/>
      <c r="BB634" s="73"/>
    </row>
    <row r="635">
      <c r="A635" s="73"/>
      <c r="B635" s="73"/>
      <c r="C635" s="73"/>
      <c r="D635" s="73"/>
      <c r="E635" s="73"/>
      <c r="F635" s="73"/>
      <c r="G635" s="73"/>
      <c r="H635" s="73"/>
      <c r="I635" s="73"/>
      <c r="J635" s="73"/>
      <c r="K635" s="73"/>
      <c r="L635" s="73"/>
      <c r="M635" s="73"/>
      <c r="N635" s="73"/>
      <c r="O635" s="73"/>
      <c r="P635" s="73"/>
      <c r="Q635" s="73"/>
      <c r="R635" s="73"/>
      <c r="S635" s="73"/>
      <c r="T635" s="73"/>
      <c r="U635" s="73"/>
      <c r="V635" s="73"/>
      <c r="W635" s="73"/>
      <c r="X635" s="73"/>
      <c r="Y635" s="73"/>
      <c r="Z635" s="73"/>
      <c r="AA635" s="73"/>
      <c r="AB635" s="73"/>
      <c r="AC635" s="73"/>
      <c r="AD635" s="73"/>
      <c r="AE635" s="73"/>
      <c r="AF635" s="73"/>
      <c r="AG635" s="73"/>
      <c r="AH635" s="73"/>
      <c r="AI635" s="73"/>
      <c r="AJ635" s="73"/>
      <c r="AK635" s="73"/>
      <c r="AL635" s="73"/>
      <c r="AM635" s="73"/>
      <c r="AN635" s="73"/>
      <c r="AO635" s="73"/>
      <c r="AP635" s="73"/>
      <c r="AQ635" s="73"/>
      <c r="AR635" s="73"/>
      <c r="AS635" s="73"/>
      <c r="AT635" s="73"/>
      <c r="AU635" s="73"/>
      <c r="AV635" s="73"/>
      <c r="AW635" s="73"/>
      <c r="AX635" s="73"/>
      <c r="AY635" s="73"/>
      <c r="AZ635" s="73"/>
      <c r="BA635" s="73"/>
      <c r="BB635" s="73"/>
    </row>
    <row r="636">
      <c r="A636" s="73"/>
      <c r="B636" s="73"/>
      <c r="C636" s="73"/>
      <c r="D636" s="73"/>
      <c r="E636" s="73"/>
      <c r="F636" s="73"/>
      <c r="G636" s="73"/>
      <c r="H636" s="73"/>
      <c r="I636" s="73"/>
      <c r="J636" s="73"/>
      <c r="K636" s="73"/>
      <c r="L636" s="73"/>
      <c r="M636" s="73"/>
      <c r="N636" s="73"/>
      <c r="O636" s="73"/>
      <c r="P636" s="73"/>
      <c r="Q636" s="73"/>
      <c r="R636" s="73"/>
      <c r="S636" s="73"/>
      <c r="T636" s="73"/>
      <c r="U636" s="73"/>
      <c r="V636" s="73"/>
      <c r="W636" s="73"/>
      <c r="X636" s="73"/>
      <c r="Y636" s="73"/>
      <c r="Z636" s="73"/>
      <c r="AA636" s="73"/>
      <c r="AB636" s="73"/>
      <c r="AC636" s="73"/>
      <c r="AD636" s="73"/>
      <c r="AE636" s="73"/>
      <c r="AF636" s="73"/>
      <c r="AG636" s="73"/>
      <c r="AH636" s="73"/>
      <c r="AI636" s="73"/>
      <c r="AJ636" s="73"/>
      <c r="AK636" s="73"/>
      <c r="AL636" s="73"/>
      <c r="AM636" s="73"/>
      <c r="AN636" s="73"/>
      <c r="AO636" s="73"/>
      <c r="AP636" s="73"/>
      <c r="AQ636" s="73"/>
      <c r="AR636" s="73"/>
      <c r="AS636" s="73"/>
      <c r="AT636" s="73"/>
      <c r="AU636" s="73"/>
      <c r="AV636" s="73"/>
      <c r="AW636" s="73"/>
      <c r="AX636" s="73"/>
      <c r="AY636" s="73"/>
      <c r="AZ636" s="73"/>
      <c r="BA636" s="73"/>
      <c r="BB636" s="73"/>
    </row>
    <row r="637">
      <c r="A637" s="73"/>
      <c r="B637" s="73"/>
      <c r="C637" s="73"/>
      <c r="D637" s="73"/>
      <c r="E637" s="73"/>
      <c r="F637" s="73"/>
      <c r="G637" s="73"/>
      <c r="H637" s="73"/>
      <c r="I637" s="73"/>
      <c r="J637" s="73"/>
      <c r="K637" s="73"/>
      <c r="L637" s="73"/>
      <c r="M637" s="73"/>
      <c r="N637" s="73"/>
      <c r="O637" s="73"/>
      <c r="P637" s="73"/>
      <c r="Q637" s="73"/>
      <c r="R637" s="73"/>
      <c r="S637" s="73"/>
      <c r="T637" s="73"/>
      <c r="U637" s="73"/>
      <c r="V637" s="73"/>
      <c r="W637" s="73"/>
      <c r="X637" s="73"/>
      <c r="Y637" s="73"/>
      <c r="Z637" s="73"/>
      <c r="AA637" s="73"/>
      <c r="AB637" s="73"/>
      <c r="AC637" s="73"/>
      <c r="AD637" s="73"/>
      <c r="AE637" s="73"/>
      <c r="AF637" s="73"/>
      <c r="AG637" s="73"/>
      <c r="AH637" s="73"/>
      <c r="AI637" s="73"/>
      <c r="AJ637" s="73"/>
      <c r="AK637" s="73"/>
      <c r="AL637" s="73"/>
      <c r="AM637" s="73"/>
      <c r="AN637" s="73"/>
      <c r="AO637" s="73"/>
      <c r="AP637" s="73"/>
      <c r="AQ637" s="73"/>
      <c r="AR637" s="73"/>
      <c r="AS637" s="73"/>
      <c r="AT637" s="73"/>
      <c r="AU637" s="73"/>
      <c r="AV637" s="73"/>
      <c r="AW637" s="73"/>
      <c r="AX637" s="73"/>
      <c r="AY637" s="73"/>
      <c r="AZ637" s="73"/>
      <c r="BA637" s="73"/>
      <c r="BB637" s="73"/>
    </row>
    <row r="638">
      <c r="A638" s="73"/>
      <c r="B638" s="73"/>
      <c r="C638" s="73"/>
      <c r="D638" s="73"/>
      <c r="E638" s="73"/>
      <c r="F638" s="73"/>
      <c r="G638" s="73"/>
      <c r="H638" s="73"/>
      <c r="I638" s="73"/>
      <c r="J638" s="73"/>
      <c r="K638" s="73"/>
      <c r="L638" s="73"/>
      <c r="M638" s="73"/>
      <c r="N638" s="73"/>
      <c r="O638" s="73"/>
      <c r="P638" s="73"/>
      <c r="Q638" s="73"/>
      <c r="R638" s="73"/>
      <c r="S638" s="73"/>
      <c r="T638" s="73"/>
      <c r="U638" s="73"/>
      <c r="V638" s="73"/>
      <c r="W638" s="73"/>
      <c r="X638" s="73"/>
      <c r="Y638" s="73"/>
      <c r="Z638" s="73"/>
      <c r="AA638" s="73"/>
      <c r="AB638" s="73"/>
      <c r="AC638" s="73"/>
      <c r="AD638" s="73"/>
      <c r="AE638" s="73"/>
      <c r="AF638" s="73"/>
      <c r="AG638" s="73"/>
      <c r="AH638" s="73"/>
      <c r="AI638" s="73"/>
      <c r="AJ638" s="73"/>
      <c r="AK638" s="73"/>
      <c r="AL638" s="73"/>
      <c r="AM638" s="73"/>
      <c r="AN638" s="73"/>
      <c r="AO638" s="73"/>
      <c r="AP638" s="73"/>
      <c r="AQ638" s="73"/>
      <c r="AR638" s="73"/>
      <c r="AS638" s="73"/>
      <c r="AT638" s="73"/>
      <c r="AU638" s="73"/>
      <c r="AV638" s="73"/>
      <c r="AW638" s="73"/>
      <c r="AX638" s="73"/>
      <c r="AY638" s="73"/>
      <c r="AZ638" s="73"/>
      <c r="BA638" s="73"/>
      <c r="BB638" s="73"/>
    </row>
    <row r="639">
      <c r="A639" s="73"/>
      <c r="B639" s="73"/>
      <c r="C639" s="73"/>
      <c r="D639" s="73"/>
      <c r="E639" s="73"/>
      <c r="F639" s="73"/>
      <c r="G639" s="73"/>
      <c r="H639" s="73"/>
      <c r="I639" s="73"/>
      <c r="J639" s="73"/>
      <c r="K639" s="73"/>
      <c r="L639" s="73"/>
      <c r="M639" s="73"/>
      <c r="N639" s="73"/>
      <c r="O639" s="73"/>
      <c r="P639" s="73"/>
      <c r="Q639" s="73"/>
      <c r="R639" s="73"/>
      <c r="S639" s="73"/>
      <c r="T639" s="73"/>
      <c r="U639" s="73"/>
      <c r="V639" s="73"/>
      <c r="W639" s="73"/>
      <c r="X639" s="73"/>
      <c r="Y639" s="73"/>
      <c r="Z639" s="73"/>
      <c r="AA639" s="73"/>
      <c r="AB639" s="73"/>
      <c r="AC639" s="73"/>
      <c r="AD639" s="73"/>
      <c r="AE639" s="73"/>
      <c r="AF639" s="73"/>
      <c r="AG639" s="73"/>
      <c r="AH639" s="73"/>
      <c r="AI639" s="73"/>
      <c r="AJ639" s="73"/>
      <c r="AK639" s="73"/>
      <c r="AL639" s="73"/>
      <c r="AM639" s="73"/>
      <c r="AN639" s="73"/>
      <c r="AO639" s="73"/>
      <c r="AP639" s="73"/>
      <c r="AQ639" s="73"/>
      <c r="AR639" s="73"/>
      <c r="AS639" s="73"/>
      <c r="AT639" s="73"/>
      <c r="AU639" s="73"/>
      <c r="AV639" s="73"/>
      <c r="AW639" s="73"/>
      <c r="AX639" s="73"/>
      <c r="AY639" s="73"/>
      <c r="AZ639" s="73"/>
      <c r="BA639" s="73"/>
      <c r="BB639" s="73"/>
    </row>
    <row r="640">
      <c r="A640" s="73"/>
      <c r="B640" s="73"/>
      <c r="C640" s="73"/>
      <c r="D640" s="73"/>
      <c r="E640" s="73"/>
      <c r="F640" s="73"/>
      <c r="G640" s="73"/>
      <c r="H640" s="73"/>
      <c r="I640" s="73"/>
      <c r="J640" s="73"/>
      <c r="K640" s="73"/>
      <c r="L640" s="73"/>
      <c r="M640" s="73"/>
      <c r="N640" s="73"/>
      <c r="O640" s="73"/>
      <c r="P640" s="73"/>
      <c r="Q640" s="73"/>
      <c r="R640" s="73"/>
      <c r="S640" s="73"/>
      <c r="T640" s="73"/>
      <c r="U640" s="73"/>
      <c r="V640" s="73"/>
      <c r="W640" s="73"/>
      <c r="X640" s="73"/>
      <c r="Y640" s="73"/>
      <c r="Z640" s="73"/>
      <c r="AA640" s="73"/>
      <c r="AB640" s="73"/>
      <c r="AC640" s="73"/>
      <c r="AD640" s="73"/>
      <c r="AE640" s="73"/>
      <c r="AF640" s="73"/>
      <c r="AG640" s="73"/>
      <c r="AH640" s="73"/>
      <c r="AI640" s="73"/>
      <c r="AJ640" s="73"/>
      <c r="AK640" s="73"/>
      <c r="AL640" s="73"/>
      <c r="AM640" s="73"/>
      <c r="AN640" s="73"/>
      <c r="AO640" s="73"/>
      <c r="AP640" s="73"/>
      <c r="AQ640" s="73"/>
      <c r="AR640" s="73"/>
      <c r="AS640" s="73"/>
      <c r="AT640" s="73"/>
      <c r="AU640" s="73"/>
      <c r="AV640" s="73"/>
      <c r="AW640" s="73"/>
      <c r="AX640" s="73"/>
      <c r="AY640" s="73"/>
      <c r="AZ640" s="73"/>
      <c r="BA640" s="73"/>
      <c r="BB640" s="73"/>
    </row>
    <row r="641">
      <c r="A641" s="73"/>
      <c r="B641" s="73"/>
      <c r="C641" s="73"/>
      <c r="D641" s="73"/>
      <c r="E641" s="73"/>
      <c r="F641" s="73"/>
      <c r="G641" s="73"/>
      <c r="H641" s="73"/>
      <c r="I641" s="73"/>
      <c r="J641" s="73"/>
      <c r="K641" s="73"/>
      <c r="L641" s="73"/>
      <c r="M641" s="73"/>
      <c r="N641" s="73"/>
      <c r="O641" s="73"/>
      <c r="P641" s="73"/>
      <c r="Q641" s="73"/>
      <c r="R641" s="73"/>
      <c r="S641" s="73"/>
      <c r="T641" s="73"/>
      <c r="U641" s="73"/>
      <c r="V641" s="73"/>
      <c r="W641" s="73"/>
      <c r="X641" s="73"/>
      <c r="Y641" s="73"/>
      <c r="Z641" s="73"/>
      <c r="AA641" s="73"/>
      <c r="AB641" s="73"/>
      <c r="AC641" s="73"/>
      <c r="AD641" s="73"/>
      <c r="AE641" s="73"/>
      <c r="AF641" s="73"/>
      <c r="AG641" s="73"/>
      <c r="AH641" s="73"/>
      <c r="AI641" s="73"/>
      <c r="AJ641" s="73"/>
      <c r="AK641" s="73"/>
      <c r="AL641" s="73"/>
      <c r="AM641" s="73"/>
      <c r="AN641" s="73"/>
      <c r="AO641" s="73"/>
      <c r="AP641" s="73"/>
      <c r="AQ641" s="73"/>
      <c r="AR641" s="73"/>
      <c r="AS641" s="73"/>
      <c r="AT641" s="73"/>
      <c r="AU641" s="73"/>
      <c r="AV641" s="73"/>
      <c r="AW641" s="73"/>
      <c r="AX641" s="73"/>
      <c r="AY641" s="73"/>
      <c r="AZ641" s="73"/>
      <c r="BA641" s="73"/>
      <c r="BB641" s="73"/>
    </row>
    <row r="642">
      <c r="A642" s="73"/>
      <c r="B642" s="73"/>
      <c r="C642" s="73"/>
      <c r="D642" s="73"/>
      <c r="E642" s="73"/>
      <c r="F642" s="73"/>
      <c r="G642" s="73"/>
      <c r="H642" s="73"/>
      <c r="I642" s="73"/>
      <c r="J642" s="73"/>
      <c r="K642" s="73"/>
      <c r="L642" s="73"/>
      <c r="M642" s="73"/>
      <c r="N642" s="73"/>
      <c r="O642" s="73"/>
      <c r="P642" s="73"/>
      <c r="Q642" s="73"/>
      <c r="R642" s="73"/>
      <c r="S642" s="73"/>
      <c r="T642" s="73"/>
      <c r="U642" s="73"/>
      <c r="V642" s="73"/>
      <c r="W642" s="73"/>
      <c r="X642" s="73"/>
      <c r="Y642" s="73"/>
      <c r="Z642" s="73"/>
      <c r="AA642" s="73"/>
      <c r="AB642" s="73"/>
      <c r="AC642" s="73"/>
      <c r="AD642" s="73"/>
      <c r="AE642" s="73"/>
      <c r="AF642" s="73"/>
      <c r="AG642" s="73"/>
      <c r="AH642" s="73"/>
      <c r="AI642" s="73"/>
      <c r="AJ642" s="73"/>
      <c r="AK642" s="73"/>
      <c r="AL642" s="73"/>
      <c r="AM642" s="73"/>
      <c r="AN642" s="73"/>
      <c r="AO642" s="73"/>
      <c r="AP642" s="73"/>
      <c r="AQ642" s="73"/>
      <c r="AR642" s="73"/>
      <c r="AS642" s="73"/>
      <c r="AT642" s="73"/>
      <c r="AU642" s="73"/>
      <c r="AV642" s="73"/>
      <c r="AW642" s="73"/>
      <c r="AX642" s="73"/>
      <c r="AY642" s="73"/>
      <c r="AZ642" s="73"/>
      <c r="BA642" s="73"/>
      <c r="BB642" s="73"/>
    </row>
    <row r="643">
      <c r="A643" s="73"/>
      <c r="B643" s="73"/>
      <c r="C643" s="73"/>
      <c r="D643" s="73"/>
      <c r="E643" s="73"/>
      <c r="F643" s="73"/>
      <c r="G643" s="73"/>
      <c r="H643" s="73"/>
      <c r="I643" s="73"/>
      <c r="J643" s="73"/>
      <c r="K643" s="73"/>
      <c r="L643" s="73"/>
      <c r="M643" s="73"/>
      <c r="N643" s="73"/>
      <c r="O643" s="73"/>
      <c r="P643" s="73"/>
      <c r="Q643" s="73"/>
      <c r="R643" s="73"/>
      <c r="S643" s="73"/>
      <c r="T643" s="73"/>
      <c r="U643" s="73"/>
      <c r="V643" s="73"/>
      <c r="W643" s="73"/>
      <c r="X643" s="73"/>
      <c r="Y643" s="73"/>
      <c r="Z643" s="73"/>
      <c r="AA643" s="73"/>
      <c r="AB643" s="73"/>
      <c r="AC643" s="73"/>
      <c r="AD643" s="73"/>
      <c r="AE643" s="73"/>
      <c r="AF643" s="73"/>
      <c r="AG643" s="73"/>
      <c r="AH643" s="73"/>
      <c r="AI643" s="73"/>
      <c r="AJ643" s="73"/>
      <c r="AK643" s="73"/>
      <c r="AL643" s="73"/>
      <c r="AM643" s="73"/>
      <c r="AN643" s="73"/>
      <c r="AO643" s="73"/>
      <c r="AP643" s="73"/>
      <c r="AQ643" s="73"/>
      <c r="AR643" s="73"/>
      <c r="AS643" s="73"/>
      <c r="AT643" s="73"/>
      <c r="AU643" s="73"/>
      <c r="AV643" s="73"/>
      <c r="AW643" s="73"/>
      <c r="AX643" s="73"/>
      <c r="AY643" s="73"/>
      <c r="AZ643" s="73"/>
      <c r="BA643" s="73"/>
      <c r="BB643" s="73"/>
    </row>
    <row r="644">
      <c r="A644" s="73"/>
      <c r="B644" s="73"/>
      <c r="C644" s="73"/>
      <c r="D644" s="73"/>
      <c r="E644" s="73"/>
      <c r="F644" s="73"/>
      <c r="G644" s="73"/>
      <c r="H644" s="73"/>
      <c r="I644" s="73"/>
      <c r="J644" s="73"/>
      <c r="K644" s="73"/>
      <c r="L644" s="73"/>
      <c r="M644" s="73"/>
      <c r="N644" s="73"/>
      <c r="O644" s="73"/>
      <c r="P644" s="73"/>
      <c r="Q644" s="73"/>
      <c r="R644" s="73"/>
      <c r="S644" s="73"/>
      <c r="T644" s="73"/>
      <c r="U644" s="73"/>
      <c r="V644" s="73"/>
      <c r="W644" s="73"/>
      <c r="X644" s="73"/>
      <c r="Y644" s="73"/>
      <c r="Z644" s="73"/>
      <c r="AA644" s="73"/>
      <c r="AB644" s="73"/>
      <c r="AC644" s="73"/>
      <c r="AD644" s="73"/>
      <c r="AE644" s="73"/>
      <c r="AF644" s="73"/>
      <c r="AG644" s="73"/>
      <c r="AH644" s="73"/>
      <c r="AI644" s="73"/>
      <c r="AJ644" s="73"/>
      <c r="AK644" s="73"/>
      <c r="AL644" s="73"/>
      <c r="AM644" s="73"/>
      <c r="AN644" s="73"/>
      <c r="AO644" s="73"/>
      <c r="AP644" s="73"/>
      <c r="AQ644" s="73"/>
      <c r="AR644" s="73"/>
      <c r="AS644" s="73"/>
      <c r="AT644" s="73"/>
      <c r="AU644" s="73"/>
      <c r="AV644" s="73"/>
      <c r="AW644" s="73"/>
      <c r="AX644" s="73"/>
      <c r="AY644" s="73"/>
      <c r="AZ644" s="73"/>
      <c r="BA644" s="73"/>
      <c r="BB644" s="73"/>
    </row>
    <row r="645">
      <c r="A645" s="73"/>
      <c r="B645" s="73"/>
      <c r="C645" s="73"/>
      <c r="D645" s="73"/>
      <c r="E645" s="73"/>
      <c r="F645" s="73"/>
      <c r="G645" s="73"/>
      <c r="H645" s="73"/>
      <c r="I645" s="73"/>
      <c r="J645" s="73"/>
      <c r="K645" s="73"/>
      <c r="L645" s="73"/>
      <c r="M645" s="73"/>
      <c r="N645" s="73"/>
      <c r="O645" s="73"/>
      <c r="P645" s="73"/>
      <c r="Q645" s="73"/>
      <c r="R645" s="73"/>
      <c r="S645" s="73"/>
      <c r="T645" s="73"/>
      <c r="U645" s="73"/>
      <c r="V645" s="73"/>
      <c r="W645" s="73"/>
      <c r="X645" s="73"/>
      <c r="Y645" s="73"/>
      <c r="Z645" s="73"/>
      <c r="AA645" s="73"/>
      <c r="AB645" s="73"/>
      <c r="AC645" s="73"/>
      <c r="AD645" s="73"/>
      <c r="AE645" s="73"/>
      <c r="AF645" s="73"/>
      <c r="AG645" s="73"/>
      <c r="AH645" s="73"/>
      <c r="AI645" s="73"/>
      <c r="AJ645" s="73"/>
      <c r="AK645" s="73"/>
      <c r="AL645" s="73"/>
      <c r="AM645" s="73"/>
      <c r="AN645" s="73"/>
      <c r="AO645" s="73"/>
      <c r="AP645" s="73"/>
      <c r="AQ645" s="73"/>
      <c r="AR645" s="73"/>
      <c r="AS645" s="73"/>
      <c r="AT645" s="73"/>
      <c r="AU645" s="73"/>
      <c r="AV645" s="73"/>
      <c r="AW645" s="73"/>
      <c r="AX645" s="73"/>
      <c r="AY645" s="73"/>
      <c r="AZ645" s="73"/>
      <c r="BA645" s="73"/>
      <c r="BB645" s="73"/>
    </row>
    <row r="646">
      <c r="A646" s="73"/>
      <c r="B646" s="73"/>
      <c r="C646" s="73"/>
      <c r="D646" s="73"/>
      <c r="E646" s="73"/>
      <c r="F646" s="73"/>
      <c r="G646" s="73"/>
      <c r="H646" s="73"/>
      <c r="I646" s="73"/>
      <c r="J646" s="73"/>
      <c r="K646" s="73"/>
      <c r="L646" s="73"/>
      <c r="M646" s="73"/>
      <c r="N646" s="73"/>
      <c r="O646" s="73"/>
      <c r="P646" s="73"/>
      <c r="Q646" s="73"/>
      <c r="R646" s="73"/>
      <c r="S646" s="73"/>
      <c r="T646" s="73"/>
      <c r="U646" s="73"/>
      <c r="V646" s="73"/>
      <c r="W646" s="73"/>
      <c r="X646" s="73"/>
      <c r="Y646" s="73"/>
      <c r="Z646" s="73"/>
      <c r="AA646" s="73"/>
      <c r="AB646" s="73"/>
      <c r="AC646" s="73"/>
      <c r="AD646" s="73"/>
      <c r="AE646" s="73"/>
      <c r="AF646" s="73"/>
      <c r="AG646" s="73"/>
      <c r="AH646" s="73"/>
      <c r="AI646" s="73"/>
      <c r="AJ646" s="73"/>
      <c r="AK646" s="73"/>
      <c r="AL646" s="73"/>
      <c r="AM646" s="73"/>
      <c r="AN646" s="73"/>
      <c r="AO646" s="73"/>
      <c r="AP646" s="73"/>
      <c r="AQ646" s="73"/>
      <c r="AR646" s="73"/>
      <c r="AS646" s="73"/>
      <c r="AT646" s="73"/>
      <c r="AU646" s="73"/>
      <c r="AV646" s="73"/>
      <c r="AW646" s="73"/>
      <c r="AX646" s="73"/>
      <c r="AY646" s="73"/>
      <c r="AZ646" s="73"/>
      <c r="BA646" s="73"/>
      <c r="BB646" s="73"/>
    </row>
    <row r="647">
      <c r="A647" s="73"/>
      <c r="B647" s="73"/>
      <c r="C647" s="73"/>
      <c r="D647" s="73"/>
      <c r="E647" s="73"/>
      <c r="F647" s="73"/>
      <c r="G647" s="73"/>
      <c r="H647" s="73"/>
      <c r="I647" s="73"/>
      <c r="J647" s="73"/>
      <c r="K647" s="73"/>
      <c r="L647" s="73"/>
      <c r="M647" s="73"/>
      <c r="N647" s="73"/>
      <c r="O647" s="73"/>
      <c r="P647" s="73"/>
      <c r="Q647" s="73"/>
      <c r="R647" s="73"/>
      <c r="S647" s="73"/>
      <c r="T647" s="73"/>
      <c r="U647" s="73"/>
      <c r="V647" s="73"/>
      <c r="W647" s="73"/>
      <c r="X647" s="73"/>
      <c r="Y647" s="73"/>
      <c r="Z647" s="73"/>
      <c r="AA647" s="73"/>
      <c r="AB647" s="73"/>
      <c r="AC647" s="73"/>
      <c r="AD647" s="73"/>
      <c r="AE647" s="73"/>
      <c r="AF647" s="73"/>
      <c r="AG647" s="73"/>
      <c r="AH647" s="73"/>
      <c r="AI647" s="73"/>
      <c r="AJ647" s="73"/>
      <c r="AK647" s="73"/>
      <c r="AL647" s="73"/>
      <c r="AM647" s="73"/>
      <c r="AN647" s="73"/>
      <c r="AO647" s="73"/>
      <c r="AP647" s="73"/>
      <c r="AQ647" s="73"/>
      <c r="AR647" s="73"/>
      <c r="AS647" s="73"/>
      <c r="AT647" s="73"/>
      <c r="AU647" s="73"/>
      <c r="AV647" s="73"/>
      <c r="AW647" s="73"/>
      <c r="AX647" s="73"/>
      <c r="AY647" s="73"/>
      <c r="AZ647" s="73"/>
      <c r="BA647" s="73"/>
      <c r="BB647" s="73"/>
    </row>
    <row r="648">
      <c r="A648" s="73"/>
      <c r="B648" s="73"/>
      <c r="C648" s="73"/>
      <c r="D648" s="73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73"/>
      <c r="V648" s="73"/>
      <c r="W648" s="73"/>
      <c r="X648" s="73"/>
      <c r="Y648" s="73"/>
      <c r="Z648" s="73"/>
      <c r="AA648" s="73"/>
      <c r="AB648" s="73"/>
      <c r="AC648" s="73"/>
      <c r="AD648" s="73"/>
      <c r="AE648" s="73"/>
      <c r="AF648" s="73"/>
      <c r="AG648" s="73"/>
      <c r="AH648" s="73"/>
      <c r="AI648" s="73"/>
      <c r="AJ648" s="73"/>
      <c r="AK648" s="73"/>
      <c r="AL648" s="73"/>
      <c r="AM648" s="73"/>
      <c r="AN648" s="73"/>
      <c r="AO648" s="73"/>
      <c r="AP648" s="73"/>
      <c r="AQ648" s="73"/>
      <c r="AR648" s="73"/>
      <c r="AS648" s="73"/>
      <c r="AT648" s="73"/>
      <c r="AU648" s="73"/>
      <c r="AV648" s="73"/>
      <c r="AW648" s="73"/>
      <c r="AX648" s="73"/>
      <c r="AY648" s="73"/>
      <c r="AZ648" s="73"/>
      <c r="BA648" s="73"/>
      <c r="BB648" s="73"/>
    </row>
    <row r="649">
      <c r="A649" s="73"/>
      <c r="B649" s="73"/>
      <c r="C649" s="73"/>
      <c r="D649" s="73"/>
      <c r="E649" s="73"/>
      <c r="F649" s="73"/>
      <c r="G649" s="73"/>
      <c r="H649" s="73"/>
      <c r="I649" s="73"/>
      <c r="J649" s="73"/>
      <c r="K649" s="73"/>
      <c r="L649" s="73"/>
      <c r="M649" s="73"/>
      <c r="N649" s="73"/>
      <c r="O649" s="73"/>
      <c r="P649" s="73"/>
      <c r="Q649" s="73"/>
      <c r="R649" s="73"/>
      <c r="S649" s="73"/>
      <c r="T649" s="73"/>
      <c r="U649" s="73"/>
      <c r="V649" s="73"/>
      <c r="W649" s="73"/>
      <c r="X649" s="73"/>
      <c r="Y649" s="73"/>
      <c r="Z649" s="73"/>
      <c r="AA649" s="73"/>
      <c r="AB649" s="73"/>
      <c r="AC649" s="73"/>
      <c r="AD649" s="73"/>
      <c r="AE649" s="73"/>
      <c r="AF649" s="73"/>
      <c r="AG649" s="73"/>
      <c r="AH649" s="73"/>
      <c r="AI649" s="73"/>
      <c r="AJ649" s="73"/>
      <c r="AK649" s="73"/>
      <c r="AL649" s="73"/>
      <c r="AM649" s="73"/>
      <c r="AN649" s="73"/>
      <c r="AO649" s="73"/>
      <c r="AP649" s="73"/>
      <c r="AQ649" s="73"/>
      <c r="AR649" s="73"/>
      <c r="AS649" s="73"/>
      <c r="AT649" s="73"/>
      <c r="AU649" s="73"/>
      <c r="AV649" s="73"/>
      <c r="AW649" s="73"/>
      <c r="AX649" s="73"/>
      <c r="AY649" s="73"/>
      <c r="AZ649" s="73"/>
      <c r="BA649" s="73"/>
      <c r="BB649" s="73"/>
    </row>
    <row r="650">
      <c r="A650" s="73"/>
      <c r="B650" s="73"/>
      <c r="C650" s="73"/>
      <c r="D650" s="73"/>
      <c r="E650" s="73"/>
      <c r="F650" s="73"/>
      <c r="G650" s="73"/>
      <c r="H650" s="73"/>
      <c r="I650" s="73"/>
      <c r="J650" s="73"/>
      <c r="K650" s="73"/>
      <c r="L650" s="73"/>
      <c r="M650" s="73"/>
      <c r="N650" s="73"/>
      <c r="O650" s="73"/>
      <c r="P650" s="73"/>
      <c r="Q650" s="73"/>
      <c r="R650" s="73"/>
      <c r="S650" s="73"/>
      <c r="T650" s="73"/>
      <c r="U650" s="73"/>
      <c r="V650" s="73"/>
      <c r="W650" s="73"/>
      <c r="X650" s="73"/>
      <c r="Y650" s="73"/>
      <c r="Z650" s="73"/>
      <c r="AA650" s="73"/>
      <c r="AB650" s="73"/>
      <c r="AC650" s="73"/>
      <c r="AD650" s="73"/>
      <c r="AE650" s="73"/>
      <c r="AF650" s="73"/>
      <c r="AG650" s="73"/>
      <c r="AH650" s="73"/>
      <c r="AI650" s="73"/>
      <c r="AJ650" s="73"/>
      <c r="AK650" s="73"/>
      <c r="AL650" s="73"/>
      <c r="AM650" s="73"/>
      <c r="AN650" s="73"/>
      <c r="AO650" s="73"/>
      <c r="AP650" s="73"/>
      <c r="AQ650" s="73"/>
      <c r="AR650" s="73"/>
      <c r="AS650" s="73"/>
      <c r="AT650" s="73"/>
      <c r="AU650" s="73"/>
      <c r="AV650" s="73"/>
      <c r="AW650" s="73"/>
      <c r="AX650" s="73"/>
      <c r="AY650" s="73"/>
      <c r="AZ650" s="73"/>
      <c r="BA650" s="73"/>
      <c r="BB650" s="73"/>
    </row>
    <row r="651">
      <c r="A651" s="73"/>
      <c r="B651" s="73"/>
      <c r="C651" s="73"/>
      <c r="D651" s="73"/>
      <c r="E651" s="73"/>
      <c r="F651" s="73"/>
      <c r="G651" s="73"/>
      <c r="H651" s="73"/>
      <c r="I651" s="73"/>
      <c r="J651" s="73"/>
      <c r="K651" s="73"/>
      <c r="L651" s="73"/>
      <c r="M651" s="73"/>
      <c r="N651" s="73"/>
      <c r="O651" s="73"/>
      <c r="P651" s="73"/>
      <c r="Q651" s="73"/>
      <c r="R651" s="73"/>
      <c r="S651" s="73"/>
      <c r="T651" s="73"/>
      <c r="U651" s="73"/>
      <c r="V651" s="73"/>
      <c r="W651" s="73"/>
      <c r="X651" s="73"/>
      <c r="Y651" s="73"/>
      <c r="Z651" s="73"/>
      <c r="AA651" s="73"/>
      <c r="AB651" s="73"/>
      <c r="AC651" s="73"/>
      <c r="AD651" s="73"/>
      <c r="AE651" s="73"/>
      <c r="AF651" s="73"/>
      <c r="AG651" s="73"/>
      <c r="AH651" s="73"/>
      <c r="AI651" s="73"/>
      <c r="AJ651" s="73"/>
      <c r="AK651" s="73"/>
      <c r="AL651" s="73"/>
      <c r="AM651" s="73"/>
      <c r="AN651" s="73"/>
      <c r="AO651" s="73"/>
      <c r="AP651" s="73"/>
      <c r="AQ651" s="73"/>
      <c r="AR651" s="73"/>
      <c r="AS651" s="73"/>
      <c r="AT651" s="73"/>
      <c r="AU651" s="73"/>
      <c r="AV651" s="73"/>
      <c r="AW651" s="73"/>
      <c r="AX651" s="73"/>
      <c r="AY651" s="73"/>
      <c r="AZ651" s="73"/>
      <c r="BA651" s="73"/>
      <c r="BB651" s="73"/>
    </row>
    <row r="652">
      <c r="A652" s="73"/>
      <c r="B652" s="73"/>
      <c r="C652" s="73"/>
      <c r="D652" s="73"/>
      <c r="E652" s="73"/>
      <c r="F652" s="73"/>
      <c r="G652" s="73"/>
      <c r="H652" s="73"/>
      <c r="I652" s="73"/>
      <c r="J652" s="73"/>
      <c r="K652" s="73"/>
      <c r="L652" s="73"/>
      <c r="M652" s="73"/>
      <c r="N652" s="73"/>
      <c r="O652" s="73"/>
      <c r="P652" s="73"/>
      <c r="Q652" s="73"/>
      <c r="R652" s="73"/>
      <c r="S652" s="73"/>
      <c r="T652" s="73"/>
      <c r="U652" s="73"/>
      <c r="V652" s="73"/>
      <c r="W652" s="73"/>
      <c r="X652" s="73"/>
      <c r="Y652" s="73"/>
      <c r="Z652" s="73"/>
      <c r="AA652" s="73"/>
      <c r="AB652" s="73"/>
      <c r="AC652" s="73"/>
      <c r="AD652" s="73"/>
      <c r="AE652" s="73"/>
      <c r="AF652" s="73"/>
      <c r="AG652" s="73"/>
      <c r="AH652" s="73"/>
      <c r="AI652" s="73"/>
      <c r="AJ652" s="73"/>
      <c r="AK652" s="73"/>
      <c r="AL652" s="73"/>
      <c r="AM652" s="73"/>
      <c r="AN652" s="73"/>
      <c r="AO652" s="73"/>
      <c r="AP652" s="73"/>
      <c r="AQ652" s="73"/>
      <c r="AR652" s="73"/>
      <c r="AS652" s="73"/>
      <c r="AT652" s="73"/>
      <c r="AU652" s="73"/>
      <c r="AV652" s="73"/>
      <c r="AW652" s="73"/>
      <c r="AX652" s="73"/>
      <c r="AY652" s="73"/>
      <c r="AZ652" s="73"/>
      <c r="BA652" s="73"/>
      <c r="BB652" s="73"/>
    </row>
    <row r="653">
      <c r="A653" s="73"/>
      <c r="B653" s="73"/>
      <c r="C653" s="73"/>
      <c r="D653" s="73"/>
      <c r="E653" s="73"/>
      <c r="F653" s="73"/>
      <c r="G653" s="73"/>
      <c r="H653" s="73"/>
      <c r="I653" s="73"/>
      <c r="J653" s="73"/>
      <c r="K653" s="73"/>
      <c r="L653" s="73"/>
      <c r="M653" s="73"/>
      <c r="N653" s="73"/>
      <c r="O653" s="73"/>
      <c r="P653" s="73"/>
      <c r="Q653" s="73"/>
      <c r="R653" s="73"/>
      <c r="S653" s="73"/>
      <c r="T653" s="73"/>
      <c r="U653" s="73"/>
      <c r="V653" s="73"/>
      <c r="W653" s="73"/>
      <c r="X653" s="73"/>
      <c r="Y653" s="73"/>
      <c r="Z653" s="73"/>
      <c r="AA653" s="73"/>
      <c r="AB653" s="73"/>
      <c r="AC653" s="73"/>
      <c r="AD653" s="73"/>
      <c r="AE653" s="73"/>
      <c r="AF653" s="73"/>
      <c r="AG653" s="73"/>
      <c r="AH653" s="73"/>
      <c r="AI653" s="73"/>
      <c r="AJ653" s="73"/>
      <c r="AK653" s="73"/>
      <c r="AL653" s="73"/>
      <c r="AM653" s="73"/>
      <c r="AN653" s="73"/>
      <c r="AO653" s="73"/>
      <c r="AP653" s="73"/>
      <c r="AQ653" s="73"/>
      <c r="AR653" s="73"/>
      <c r="AS653" s="73"/>
      <c r="AT653" s="73"/>
      <c r="AU653" s="73"/>
      <c r="AV653" s="73"/>
      <c r="AW653" s="73"/>
      <c r="AX653" s="73"/>
      <c r="AY653" s="73"/>
      <c r="AZ653" s="73"/>
      <c r="BA653" s="73"/>
      <c r="BB653" s="73"/>
    </row>
    <row r="654">
      <c r="A654" s="73"/>
      <c r="B654" s="73"/>
      <c r="C654" s="73"/>
      <c r="D654" s="73"/>
      <c r="E654" s="73"/>
      <c r="F654" s="73"/>
      <c r="G654" s="73"/>
      <c r="H654" s="73"/>
      <c r="I654" s="73"/>
      <c r="J654" s="73"/>
      <c r="K654" s="73"/>
      <c r="L654" s="73"/>
      <c r="M654" s="73"/>
      <c r="N654" s="73"/>
      <c r="O654" s="73"/>
      <c r="P654" s="73"/>
      <c r="Q654" s="73"/>
      <c r="R654" s="73"/>
      <c r="S654" s="73"/>
      <c r="T654" s="73"/>
      <c r="U654" s="73"/>
      <c r="V654" s="73"/>
      <c r="W654" s="73"/>
      <c r="X654" s="73"/>
      <c r="Y654" s="73"/>
      <c r="Z654" s="73"/>
      <c r="AA654" s="73"/>
      <c r="AB654" s="73"/>
      <c r="AC654" s="73"/>
      <c r="AD654" s="73"/>
      <c r="AE654" s="73"/>
      <c r="AF654" s="73"/>
      <c r="AG654" s="73"/>
      <c r="AH654" s="73"/>
      <c r="AI654" s="73"/>
      <c r="AJ654" s="73"/>
      <c r="AK654" s="73"/>
      <c r="AL654" s="73"/>
      <c r="AM654" s="73"/>
      <c r="AN654" s="73"/>
      <c r="AO654" s="73"/>
      <c r="AP654" s="73"/>
      <c r="AQ654" s="73"/>
      <c r="AR654" s="73"/>
      <c r="AS654" s="73"/>
      <c r="AT654" s="73"/>
      <c r="AU654" s="73"/>
      <c r="AV654" s="73"/>
      <c r="AW654" s="73"/>
      <c r="AX654" s="73"/>
      <c r="AY654" s="73"/>
      <c r="AZ654" s="73"/>
      <c r="BA654" s="73"/>
      <c r="BB654" s="73"/>
    </row>
    <row r="655">
      <c r="A655" s="73"/>
      <c r="B655" s="73"/>
      <c r="C655" s="73"/>
      <c r="D655" s="73"/>
      <c r="E655" s="73"/>
      <c r="F655" s="73"/>
      <c r="G655" s="73"/>
      <c r="H655" s="73"/>
      <c r="I655" s="73"/>
      <c r="J655" s="73"/>
      <c r="K655" s="73"/>
      <c r="L655" s="73"/>
      <c r="M655" s="73"/>
      <c r="N655" s="73"/>
      <c r="O655" s="73"/>
      <c r="P655" s="73"/>
      <c r="Q655" s="73"/>
      <c r="R655" s="73"/>
      <c r="S655" s="73"/>
      <c r="T655" s="73"/>
      <c r="U655" s="73"/>
      <c r="V655" s="73"/>
      <c r="W655" s="73"/>
      <c r="X655" s="73"/>
      <c r="Y655" s="73"/>
      <c r="Z655" s="73"/>
      <c r="AA655" s="73"/>
      <c r="AB655" s="73"/>
      <c r="AC655" s="73"/>
      <c r="AD655" s="73"/>
      <c r="AE655" s="73"/>
      <c r="AF655" s="73"/>
      <c r="AG655" s="73"/>
      <c r="AH655" s="73"/>
      <c r="AI655" s="73"/>
      <c r="AJ655" s="73"/>
      <c r="AK655" s="73"/>
      <c r="AL655" s="73"/>
      <c r="AM655" s="73"/>
      <c r="AN655" s="73"/>
      <c r="AO655" s="73"/>
      <c r="AP655" s="73"/>
      <c r="AQ655" s="73"/>
      <c r="AR655" s="73"/>
      <c r="AS655" s="73"/>
      <c r="AT655" s="73"/>
      <c r="AU655" s="73"/>
      <c r="AV655" s="73"/>
      <c r="AW655" s="73"/>
      <c r="AX655" s="73"/>
      <c r="AY655" s="73"/>
      <c r="AZ655" s="73"/>
      <c r="BA655" s="73"/>
      <c r="BB655" s="73"/>
    </row>
    <row r="656">
      <c r="A656" s="73"/>
      <c r="B656" s="73"/>
      <c r="C656" s="73"/>
      <c r="D656" s="73"/>
      <c r="E656" s="73"/>
      <c r="F656" s="73"/>
      <c r="G656" s="73"/>
      <c r="H656" s="73"/>
      <c r="I656" s="73"/>
      <c r="J656" s="73"/>
      <c r="K656" s="73"/>
      <c r="L656" s="73"/>
      <c r="M656" s="73"/>
      <c r="N656" s="73"/>
      <c r="O656" s="73"/>
      <c r="P656" s="73"/>
      <c r="Q656" s="73"/>
      <c r="R656" s="73"/>
      <c r="S656" s="73"/>
      <c r="T656" s="73"/>
      <c r="U656" s="73"/>
      <c r="V656" s="73"/>
      <c r="W656" s="73"/>
      <c r="X656" s="73"/>
      <c r="Y656" s="73"/>
      <c r="Z656" s="73"/>
      <c r="AA656" s="73"/>
      <c r="AB656" s="73"/>
      <c r="AC656" s="73"/>
      <c r="AD656" s="73"/>
      <c r="AE656" s="73"/>
      <c r="AF656" s="73"/>
      <c r="AG656" s="73"/>
      <c r="AH656" s="73"/>
      <c r="AI656" s="73"/>
      <c r="AJ656" s="73"/>
      <c r="AK656" s="73"/>
      <c r="AL656" s="73"/>
      <c r="AM656" s="73"/>
      <c r="AN656" s="73"/>
      <c r="AO656" s="73"/>
      <c r="AP656" s="73"/>
      <c r="AQ656" s="73"/>
      <c r="AR656" s="73"/>
      <c r="AS656" s="73"/>
      <c r="AT656" s="73"/>
      <c r="AU656" s="73"/>
      <c r="AV656" s="73"/>
      <c r="AW656" s="73"/>
      <c r="AX656" s="73"/>
      <c r="AY656" s="73"/>
      <c r="AZ656" s="73"/>
      <c r="BA656" s="73"/>
      <c r="BB656" s="73"/>
    </row>
    <row r="657">
      <c r="A657" s="73"/>
      <c r="B657" s="73"/>
      <c r="C657" s="73"/>
      <c r="D657" s="73"/>
      <c r="E657" s="73"/>
      <c r="F657" s="73"/>
      <c r="G657" s="73"/>
      <c r="H657" s="73"/>
      <c r="I657" s="73"/>
      <c r="J657" s="73"/>
      <c r="K657" s="73"/>
      <c r="L657" s="73"/>
      <c r="M657" s="73"/>
      <c r="N657" s="73"/>
      <c r="O657" s="73"/>
      <c r="P657" s="73"/>
      <c r="Q657" s="73"/>
      <c r="R657" s="73"/>
      <c r="S657" s="73"/>
      <c r="T657" s="73"/>
      <c r="U657" s="73"/>
      <c r="V657" s="73"/>
      <c r="W657" s="73"/>
      <c r="X657" s="73"/>
      <c r="Y657" s="73"/>
      <c r="Z657" s="73"/>
      <c r="AA657" s="73"/>
      <c r="AB657" s="73"/>
      <c r="AC657" s="73"/>
      <c r="AD657" s="73"/>
      <c r="AE657" s="73"/>
      <c r="AF657" s="73"/>
      <c r="AG657" s="73"/>
      <c r="AH657" s="73"/>
      <c r="AI657" s="73"/>
      <c r="AJ657" s="73"/>
      <c r="AK657" s="73"/>
      <c r="AL657" s="73"/>
      <c r="AM657" s="73"/>
      <c r="AN657" s="73"/>
      <c r="AO657" s="73"/>
      <c r="AP657" s="73"/>
      <c r="AQ657" s="73"/>
      <c r="AR657" s="73"/>
      <c r="AS657" s="73"/>
      <c r="AT657" s="73"/>
      <c r="AU657" s="73"/>
      <c r="AV657" s="73"/>
      <c r="AW657" s="73"/>
      <c r="AX657" s="73"/>
      <c r="AY657" s="73"/>
      <c r="AZ657" s="73"/>
      <c r="BA657" s="73"/>
      <c r="BB657" s="73"/>
    </row>
    <row r="658">
      <c r="A658" s="73"/>
      <c r="B658" s="73"/>
      <c r="C658" s="73"/>
      <c r="D658" s="73"/>
      <c r="E658" s="73"/>
      <c r="F658" s="73"/>
      <c r="G658" s="73"/>
      <c r="H658" s="73"/>
      <c r="I658" s="73"/>
      <c r="J658" s="73"/>
      <c r="K658" s="73"/>
      <c r="L658" s="73"/>
      <c r="M658" s="73"/>
      <c r="N658" s="73"/>
      <c r="O658" s="73"/>
      <c r="P658" s="73"/>
      <c r="Q658" s="73"/>
      <c r="R658" s="73"/>
      <c r="S658" s="73"/>
      <c r="T658" s="73"/>
      <c r="U658" s="73"/>
      <c r="V658" s="73"/>
      <c r="W658" s="73"/>
      <c r="X658" s="73"/>
      <c r="Y658" s="73"/>
      <c r="Z658" s="73"/>
      <c r="AA658" s="73"/>
      <c r="AB658" s="73"/>
      <c r="AC658" s="73"/>
      <c r="AD658" s="73"/>
      <c r="AE658" s="73"/>
      <c r="AF658" s="73"/>
      <c r="AG658" s="73"/>
      <c r="AH658" s="73"/>
      <c r="AI658" s="73"/>
      <c r="AJ658" s="73"/>
      <c r="AK658" s="73"/>
      <c r="AL658" s="73"/>
      <c r="AM658" s="73"/>
      <c r="AN658" s="73"/>
      <c r="AO658" s="73"/>
      <c r="AP658" s="73"/>
      <c r="AQ658" s="73"/>
      <c r="AR658" s="73"/>
      <c r="AS658" s="73"/>
      <c r="AT658" s="73"/>
      <c r="AU658" s="73"/>
      <c r="AV658" s="73"/>
      <c r="AW658" s="73"/>
      <c r="AX658" s="73"/>
      <c r="AY658" s="73"/>
      <c r="AZ658" s="73"/>
      <c r="BA658" s="73"/>
      <c r="BB658" s="73"/>
    </row>
    <row r="659">
      <c r="A659" s="73"/>
      <c r="B659" s="73"/>
      <c r="C659" s="73"/>
      <c r="D659" s="73"/>
      <c r="E659" s="73"/>
      <c r="F659" s="73"/>
      <c r="G659" s="73"/>
      <c r="H659" s="73"/>
      <c r="I659" s="73"/>
      <c r="J659" s="73"/>
      <c r="K659" s="73"/>
      <c r="L659" s="73"/>
      <c r="M659" s="73"/>
      <c r="N659" s="73"/>
      <c r="O659" s="73"/>
      <c r="P659" s="73"/>
      <c r="Q659" s="73"/>
      <c r="R659" s="73"/>
      <c r="S659" s="73"/>
      <c r="T659" s="73"/>
      <c r="U659" s="73"/>
      <c r="V659" s="73"/>
      <c r="W659" s="73"/>
      <c r="X659" s="73"/>
      <c r="Y659" s="73"/>
      <c r="Z659" s="73"/>
      <c r="AA659" s="73"/>
      <c r="AB659" s="73"/>
      <c r="AC659" s="73"/>
      <c r="AD659" s="73"/>
      <c r="AE659" s="73"/>
      <c r="AF659" s="73"/>
      <c r="AG659" s="73"/>
      <c r="AH659" s="73"/>
      <c r="AI659" s="73"/>
      <c r="AJ659" s="73"/>
      <c r="AK659" s="73"/>
      <c r="AL659" s="73"/>
      <c r="AM659" s="73"/>
      <c r="AN659" s="73"/>
      <c r="AO659" s="73"/>
      <c r="AP659" s="73"/>
      <c r="AQ659" s="73"/>
      <c r="AR659" s="73"/>
      <c r="AS659" s="73"/>
      <c r="AT659" s="73"/>
      <c r="AU659" s="73"/>
      <c r="AV659" s="73"/>
      <c r="AW659" s="73"/>
      <c r="AX659" s="73"/>
      <c r="AY659" s="73"/>
      <c r="AZ659" s="73"/>
      <c r="BA659" s="73"/>
      <c r="BB659" s="73"/>
    </row>
    <row r="660">
      <c r="A660" s="73"/>
      <c r="B660" s="73"/>
      <c r="C660" s="73"/>
      <c r="D660" s="73"/>
      <c r="E660" s="73"/>
      <c r="F660" s="73"/>
      <c r="G660" s="73"/>
      <c r="H660" s="73"/>
      <c r="I660" s="73"/>
      <c r="J660" s="73"/>
      <c r="K660" s="73"/>
      <c r="L660" s="73"/>
      <c r="M660" s="73"/>
      <c r="N660" s="73"/>
      <c r="O660" s="73"/>
      <c r="P660" s="73"/>
      <c r="Q660" s="73"/>
      <c r="R660" s="73"/>
      <c r="S660" s="73"/>
      <c r="T660" s="73"/>
      <c r="U660" s="73"/>
      <c r="V660" s="73"/>
      <c r="W660" s="73"/>
      <c r="X660" s="73"/>
      <c r="Y660" s="73"/>
      <c r="Z660" s="73"/>
      <c r="AA660" s="73"/>
      <c r="AB660" s="73"/>
      <c r="AC660" s="73"/>
      <c r="AD660" s="73"/>
      <c r="AE660" s="73"/>
      <c r="AF660" s="73"/>
      <c r="AG660" s="73"/>
      <c r="AH660" s="73"/>
      <c r="AI660" s="73"/>
      <c r="AJ660" s="73"/>
      <c r="AK660" s="73"/>
      <c r="AL660" s="73"/>
      <c r="AM660" s="73"/>
      <c r="AN660" s="73"/>
      <c r="AO660" s="73"/>
      <c r="AP660" s="73"/>
      <c r="AQ660" s="73"/>
      <c r="AR660" s="73"/>
      <c r="AS660" s="73"/>
      <c r="AT660" s="73"/>
      <c r="AU660" s="73"/>
      <c r="AV660" s="73"/>
      <c r="AW660" s="73"/>
      <c r="AX660" s="73"/>
      <c r="AY660" s="73"/>
      <c r="AZ660" s="73"/>
      <c r="BA660" s="73"/>
      <c r="BB660" s="73"/>
    </row>
    <row r="661">
      <c r="A661" s="73"/>
      <c r="B661" s="73"/>
      <c r="C661" s="73"/>
      <c r="D661" s="73"/>
      <c r="E661" s="73"/>
      <c r="F661" s="73"/>
      <c r="G661" s="73"/>
      <c r="H661" s="73"/>
      <c r="I661" s="73"/>
      <c r="J661" s="73"/>
      <c r="K661" s="73"/>
      <c r="L661" s="73"/>
      <c r="M661" s="73"/>
      <c r="N661" s="73"/>
      <c r="O661" s="73"/>
      <c r="P661" s="73"/>
      <c r="Q661" s="73"/>
      <c r="R661" s="73"/>
      <c r="S661" s="73"/>
      <c r="T661" s="73"/>
      <c r="U661" s="73"/>
      <c r="V661" s="73"/>
      <c r="W661" s="73"/>
      <c r="X661" s="73"/>
      <c r="Y661" s="73"/>
      <c r="Z661" s="73"/>
      <c r="AA661" s="73"/>
      <c r="AB661" s="73"/>
      <c r="AC661" s="73"/>
      <c r="AD661" s="73"/>
      <c r="AE661" s="73"/>
      <c r="AF661" s="73"/>
      <c r="AG661" s="73"/>
      <c r="AH661" s="73"/>
      <c r="AI661" s="73"/>
      <c r="AJ661" s="73"/>
      <c r="AK661" s="73"/>
      <c r="AL661" s="73"/>
      <c r="AM661" s="73"/>
      <c r="AN661" s="73"/>
      <c r="AO661" s="73"/>
      <c r="AP661" s="73"/>
      <c r="AQ661" s="73"/>
      <c r="AR661" s="73"/>
      <c r="AS661" s="73"/>
      <c r="AT661" s="73"/>
      <c r="AU661" s="73"/>
      <c r="AV661" s="73"/>
      <c r="AW661" s="73"/>
      <c r="AX661" s="73"/>
      <c r="AY661" s="73"/>
      <c r="AZ661" s="73"/>
      <c r="BA661" s="73"/>
      <c r="BB661" s="73"/>
    </row>
    <row r="662">
      <c r="A662" s="73"/>
      <c r="B662" s="73"/>
      <c r="C662" s="73"/>
      <c r="D662" s="73"/>
      <c r="E662" s="73"/>
      <c r="F662" s="73"/>
      <c r="G662" s="73"/>
      <c r="H662" s="73"/>
      <c r="I662" s="73"/>
      <c r="J662" s="73"/>
      <c r="K662" s="73"/>
      <c r="L662" s="73"/>
      <c r="M662" s="73"/>
      <c r="N662" s="73"/>
      <c r="O662" s="73"/>
      <c r="P662" s="73"/>
      <c r="Q662" s="73"/>
      <c r="R662" s="73"/>
      <c r="S662" s="73"/>
      <c r="T662" s="73"/>
      <c r="U662" s="73"/>
      <c r="V662" s="73"/>
      <c r="W662" s="73"/>
      <c r="X662" s="73"/>
      <c r="Y662" s="73"/>
      <c r="Z662" s="73"/>
      <c r="AA662" s="73"/>
      <c r="AB662" s="73"/>
      <c r="AC662" s="73"/>
      <c r="AD662" s="73"/>
      <c r="AE662" s="73"/>
      <c r="AF662" s="73"/>
      <c r="AG662" s="73"/>
      <c r="AH662" s="73"/>
      <c r="AI662" s="73"/>
      <c r="AJ662" s="73"/>
      <c r="AK662" s="73"/>
      <c r="AL662" s="73"/>
      <c r="AM662" s="73"/>
      <c r="AN662" s="73"/>
      <c r="AO662" s="73"/>
      <c r="AP662" s="73"/>
      <c r="AQ662" s="73"/>
      <c r="AR662" s="73"/>
      <c r="AS662" s="73"/>
      <c r="AT662" s="73"/>
      <c r="AU662" s="73"/>
      <c r="AV662" s="73"/>
      <c r="AW662" s="73"/>
      <c r="AX662" s="73"/>
      <c r="AY662" s="73"/>
      <c r="AZ662" s="73"/>
      <c r="BA662" s="73"/>
      <c r="BB662" s="73"/>
    </row>
    <row r="663">
      <c r="A663" s="73"/>
      <c r="B663" s="73"/>
      <c r="C663" s="73"/>
      <c r="D663" s="73"/>
      <c r="E663" s="73"/>
      <c r="F663" s="73"/>
      <c r="G663" s="73"/>
      <c r="H663" s="73"/>
      <c r="I663" s="73"/>
      <c r="J663" s="73"/>
      <c r="K663" s="73"/>
      <c r="L663" s="73"/>
      <c r="M663" s="73"/>
      <c r="N663" s="73"/>
      <c r="O663" s="73"/>
      <c r="P663" s="73"/>
      <c r="Q663" s="73"/>
      <c r="R663" s="73"/>
      <c r="S663" s="73"/>
      <c r="T663" s="73"/>
      <c r="U663" s="73"/>
      <c r="V663" s="73"/>
      <c r="W663" s="73"/>
      <c r="X663" s="73"/>
      <c r="Y663" s="73"/>
      <c r="Z663" s="73"/>
      <c r="AA663" s="73"/>
      <c r="AB663" s="73"/>
      <c r="AC663" s="73"/>
      <c r="AD663" s="73"/>
      <c r="AE663" s="73"/>
      <c r="AF663" s="73"/>
      <c r="AG663" s="73"/>
      <c r="AH663" s="73"/>
      <c r="AI663" s="73"/>
      <c r="AJ663" s="73"/>
      <c r="AK663" s="73"/>
      <c r="AL663" s="73"/>
      <c r="AM663" s="73"/>
      <c r="AN663" s="73"/>
      <c r="AO663" s="73"/>
      <c r="AP663" s="73"/>
      <c r="AQ663" s="73"/>
      <c r="AR663" s="73"/>
      <c r="AS663" s="73"/>
      <c r="AT663" s="73"/>
      <c r="AU663" s="73"/>
      <c r="AV663" s="73"/>
      <c r="AW663" s="73"/>
      <c r="AX663" s="73"/>
      <c r="AY663" s="73"/>
      <c r="AZ663" s="73"/>
      <c r="BA663" s="73"/>
      <c r="BB663" s="73"/>
    </row>
    <row r="664">
      <c r="A664" s="73"/>
      <c r="B664" s="73"/>
      <c r="C664" s="73"/>
      <c r="D664" s="73"/>
      <c r="E664" s="73"/>
      <c r="F664" s="73"/>
      <c r="G664" s="73"/>
      <c r="H664" s="73"/>
      <c r="I664" s="73"/>
      <c r="J664" s="73"/>
      <c r="K664" s="73"/>
      <c r="L664" s="73"/>
      <c r="M664" s="73"/>
      <c r="N664" s="73"/>
      <c r="O664" s="73"/>
      <c r="P664" s="73"/>
      <c r="Q664" s="73"/>
      <c r="R664" s="73"/>
      <c r="S664" s="73"/>
      <c r="T664" s="73"/>
      <c r="U664" s="73"/>
      <c r="V664" s="73"/>
      <c r="W664" s="73"/>
      <c r="X664" s="73"/>
      <c r="Y664" s="73"/>
      <c r="Z664" s="73"/>
      <c r="AA664" s="73"/>
      <c r="AB664" s="73"/>
      <c r="AC664" s="73"/>
      <c r="AD664" s="73"/>
      <c r="AE664" s="73"/>
      <c r="AF664" s="73"/>
      <c r="AG664" s="73"/>
      <c r="AH664" s="73"/>
      <c r="AI664" s="73"/>
      <c r="AJ664" s="73"/>
      <c r="AK664" s="73"/>
      <c r="AL664" s="73"/>
      <c r="AM664" s="73"/>
      <c r="AN664" s="73"/>
      <c r="AO664" s="73"/>
      <c r="AP664" s="73"/>
      <c r="AQ664" s="73"/>
      <c r="AR664" s="73"/>
      <c r="AS664" s="73"/>
      <c r="AT664" s="73"/>
      <c r="AU664" s="73"/>
      <c r="AV664" s="73"/>
      <c r="AW664" s="73"/>
      <c r="AX664" s="73"/>
      <c r="AY664" s="73"/>
      <c r="AZ664" s="73"/>
      <c r="BA664" s="73"/>
      <c r="BB664" s="73"/>
    </row>
    <row r="665">
      <c r="A665" s="73"/>
      <c r="B665" s="73"/>
      <c r="C665" s="73"/>
      <c r="D665" s="73"/>
      <c r="E665" s="73"/>
      <c r="F665" s="73"/>
      <c r="G665" s="73"/>
      <c r="H665" s="73"/>
      <c r="I665" s="73"/>
      <c r="J665" s="73"/>
      <c r="K665" s="73"/>
      <c r="L665" s="73"/>
      <c r="M665" s="73"/>
      <c r="N665" s="73"/>
      <c r="O665" s="73"/>
      <c r="P665" s="73"/>
      <c r="Q665" s="73"/>
      <c r="R665" s="73"/>
      <c r="S665" s="73"/>
      <c r="T665" s="73"/>
      <c r="U665" s="73"/>
      <c r="V665" s="73"/>
      <c r="W665" s="73"/>
      <c r="X665" s="73"/>
      <c r="Y665" s="73"/>
      <c r="Z665" s="73"/>
      <c r="AA665" s="73"/>
      <c r="AB665" s="73"/>
      <c r="AC665" s="73"/>
      <c r="AD665" s="73"/>
      <c r="AE665" s="73"/>
      <c r="AF665" s="73"/>
      <c r="AG665" s="73"/>
      <c r="AH665" s="73"/>
      <c r="AI665" s="73"/>
      <c r="AJ665" s="73"/>
      <c r="AK665" s="73"/>
      <c r="AL665" s="73"/>
      <c r="AM665" s="73"/>
      <c r="AN665" s="73"/>
      <c r="AO665" s="73"/>
      <c r="AP665" s="73"/>
      <c r="AQ665" s="73"/>
      <c r="AR665" s="73"/>
      <c r="AS665" s="73"/>
      <c r="AT665" s="73"/>
      <c r="AU665" s="73"/>
      <c r="AV665" s="73"/>
      <c r="AW665" s="73"/>
      <c r="AX665" s="73"/>
      <c r="AY665" s="73"/>
      <c r="AZ665" s="73"/>
      <c r="BA665" s="73"/>
      <c r="BB665" s="73"/>
    </row>
    <row r="666">
      <c r="A666" s="73"/>
      <c r="B666" s="73"/>
      <c r="C666" s="73"/>
      <c r="D666" s="73"/>
      <c r="E666" s="73"/>
      <c r="F666" s="73"/>
      <c r="G666" s="73"/>
      <c r="H666" s="73"/>
      <c r="I666" s="73"/>
      <c r="J666" s="73"/>
      <c r="K666" s="73"/>
      <c r="L666" s="73"/>
      <c r="M666" s="73"/>
      <c r="N666" s="73"/>
      <c r="O666" s="73"/>
      <c r="P666" s="73"/>
      <c r="Q666" s="73"/>
      <c r="R666" s="73"/>
      <c r="S666" s="73"/>
      <c r="T666" s="73"/>
      <c r="U666" s="73"/>
      <c r="V666" s="73"/>
      <c r="W666" s="73"/>
      <c r="X666" s="73"/>
      <c r="Y666" s="73"/>
      <c r="Z666" s="73"/>
      <c r="AA666" s="73"/>
      <c r="AB666" s="73"/>
      <c r="AC666" s="73"/>
      <c r="AD666" s="73"/>
      <c r="AE666" s="73"/>
      <c r="AF666" s="73"/>
      <c r="AG666" s="73"/>
      <c r="AH666" s="73"/>
      <c r="AI666" s="73"/>
      <c r="AJ666" s="73"/>
      <c r="AK666" s="73"/>
      <c r="AL666" s="73"/>
      <c r="AM666" s="73"/>
      <c r="AN666" s="73"/>
      <c r="AO666" s="73"/>
      <c r="AP666" s="73"/>
      <c r="AQ666" s="73"/>
      <c r="AR666" s="73"/>
      <c r="AS666" s="73"/>
      <c r="AT666" s="73"/>
      <c r="AU666" s="73"/>
      <c r="AV666" s="73"/>
      <c r="AW666" s="73"/>
      <c r="AX666" s="73"/>
      <c r="AY666" s="73"/>
      <c r="AZ666" s="73"/>
      <c r="BA666" s="73"/>
      <c r="BB666" s="73"/>
    </row>
    <row r="667">
      <c r="A667" s="73"/>
      <c r="B667" s="73"/>
      <c r="C667" s="73"/>
      <c r="D667" s="73"/>
      <c r="E667" s="73"/>
      <c r="F667" s="73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73"/>
      <c r="V667" s="73"/>
      <c r="W667" s="73"/>
      <c r="X667" s="73"/>
      <c r="Y667" s="73"/>
      <c r="Z667" s="73"/>
      <c r="AA667" s="73"/>
      <c r="AB667" s="73"/>
      <c r="AC667" s="73"/>
      <c r="AD667" s="73"/>
      <c r="AE667" s="73"/>
      <c r="AF667" s="73"/>
      <c r="AG667" s="73"/>
      <c r="AH667" s="73"/>
      <c r="AI667" s="73"/>
      <c r="AJ667" s="73"/>
      <c r="AK667" s="73"/>
      <c r="AL667" s="73"/>
      <c r="AM667" s="73"/>
      <c r="AN667" s="73"/>
      <c r="AO667" s="73"/>
      <c r="AP667" s="73"/>
      <c r="AQ667" s="73"/>
      <c r="AR667" s="73"/>
      <c r="AS667" s="73"/>
      <c r="AT667" s="73"/>
      <c r="AU667" s="73"/>
      <c r="AV667" s="73"/>
      <c r="AW667" s="73"/>
      <c r="AX667" s="73"/>
      <c r="AY667" s="73"/>
      <c r="AZ667" s="73"/>
      <c r="BA667" s="73"/>
      <c r="BB667" s="73"/>
    </row>
    <row r="668">
      <c r="A668" s="73"/>
      <c r="B668" s="73"/>
      <c r="C668" s="73"/>
      <c r="D668" s="73"/>
      <c r="E668" s="73"/>
      <c r="F668" s="73"/>
      <c r="G668" s="73"/>
      <c r="H668" s="73"/>
      <c r="I668" s="73"/>
      <c r="J668" s="73"/>
      <c r="K668" s="73"/>
      <c r="L668" s="73"/>
      <c r="M668" s="73"/>
      <c r="N668" s="73"/>
      <c r="O668" s="73"/>
      <c r="P668" s="73"/>
      <c r="Q668" s="73"/>
      <c r="R668" s="73"/>
      <c r="S668" s="73"/>
      <c r="T668" s="73"/>
      <c r="U668" s="73"/>
      <c r="V668" s="73"/>
      <c r="W668" s="73"/>
      <c r="X668" s="73"/>
      <c r="Y668" s="73"/>
      <c r="Z668" s="73"/>
      <c r="AA668" s="73"/>
      <c r="AB668" s="73"/>
      <c r="AC668" s="73"/>
      <c r="AD668" s="73"/>
      <c r="AE668" s="73"/>
      <c r="AF668" s="73"/>
      <c r="AG668" s="73"/>
      <c r="AH668" s="73"/>
      <c r="AI668" s="73"/>
      <c r="AJ668" s="73"/>
      <c r="AK668" s="73"/>
      <c r="AL668" s="73"/>
      <c r="AM668" s="73"/>
      <c r="AN668" s="73"/>
      <c r="AO668" s="73"/>
      <c r="AP668" s="73"/>
      <c r="AQ668" s="73"/>
      <c r="AR668" s="73"/>
      <c r="AS668" s="73"/>
      <c r="AT668" s="73"/>
      <c r="AU668" s="73"/>
      <c r="AV668" s="73"/>
      <c r="AW668" s="73"/>
      <c r="AX668" s="73"/>
      <c r="AY668" s="73"/>
      <c r="AZ668" s="73"/>
      <c r="BA668" s="73"/>
      <c r="BB668" s="73"/>
    </row>
    <row r="669">
      <c r="A669" s="73"/>
      <c r="B669" s="73"/>
      <c r="C669" s="73"/>
      <c r="D669" s="73"/>
      <c r="E669" s="73"/>
      <c r="F669" s="73"/>
      <c r="G669" s="73"/>
      <c r="H669" s="73"/>
      <c r="I669" s="73"/>
      <c r="J669" s="73"/>
      <c r="K669" s="73"/>
      <c r="L669" s="73"/>
      <c r="M669" s="73"/>
      <c r="N669" s="73"/>
      <c r="O669" s="73"/>
      <c r="P669" s="73"/>
      <c r="Q669" s="73"/>
      <c r="R669" s="73"/>
      <c r="S669" s="73"/>
      <c r="T669" s="73"/>
      <c r="U669" s="73"/>
      <c r="V669" s="73"/>
      <c r="W669" s="73"/>
      <c r="X669" s="73"/>
      <c r="Y669" s="73"/>
      <c r="Z669" s="73"/>
      <c r="AA669" s="73"/>
      <c r="AB669" s="73"/>
      <c r="AC669" s="73"/>
      <c r="AD669" s="73"/>
      <c r="AE669" s="73"/>
      <c r="AF669" s="73"/>
      <c r="AG669" s="73"/>
      <c r="AH669" s="73"/>
      <c r="AI669" s="73"/>
      <c r="AJ669" s="73"/>
      <c r="AK669" s="73"/>
      <c r="AL669" s="73"/>
      <c r="AM669" s="73"/>
      <c r="AN669" s="73"/>
      <c r="AO669" s="73"/>
      <c r="AP669" s="73"/>
      <c r="AQ669" s="73"/>
      <c r="AR669" s="73"/>
      <c r="AS669" s="73"/>
      <c r="AT669" s="73"/>
      <c r="AU669" s="73"/>
      <c r="AV669" s="73"/>
      <c r="AW669" s="73"/>
      <c r="AX669" s="73"/>
      <c r="AY669" s="73"/>
      <c r="AZ669" s="73"/>
      <c r="BA669" s="73"/>
      <c r="BB669" s="73"/>
    </row>
    <row r="670">
      <c r="A670" s="73"/>
      <c r="B670" s="73"/>
      <c r="C670" s="73"/>
      <c r="D670" s="73"/>
      <c r="E670" s="73"/>
      <c r="F670" s="73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73"/>
      <c r="V670" s="73"/>
      <c r="W670" s="73"/>
      <c r="X670" s="73"/>
      <c r="Y670" s="73"/>
      <c r="Z670" s="73"/>
      <c r="AA670" s="73"/>
      <c r="AB670" s="73"/>
      <c r="AC670" s="73"/>
      <c r="AD670" s="73"/>
      <c r="AE670" s="73"/>
      <c r="AF670" s="73"/>
      <c r="AG670" s="73"/>
      <c r="AH670" s="73"/>
      <c r="AI670" s="73"/>
      <c r="AJ670" s="73"/>
      <c r="AK670" s="73"/>
      <c r="AL670" s="73"/>
      <c r="AM670" s="73"/>
      <c r="AN670" s="73"/>
      <c r="AO670" s="73"/>
      <c r="AP670" s="73"/>
      <c r="AQ670" s="73"/>
      <c r="AR670" s="73"/>
      <c r="AS670" s="73"/>
      <c r="AT670" s="73"/>
      <c r="AU670" s="73"/>
      <c r="AV670" s="73"/>
      <c r="AW670" s="73"/>
      <c r="AX670" s="73"/>
      <c r="AY670" s="73"/>
      <c r="AZ670" s="73"/>
      <c r="BA670" s="73"/>
      <c r="BB670" s="73"/>
    </row>
    <row r="671">
      <c r="A671" s="73"/>
      <c r="B671" s="73"/>
      <c r="C671" s="73"/>
      <c r="D671" s="73"/>
      <c r="E671" s="73"/>
      <c r="F671" s="73"/>
      <c r="G671" s="73"/>
      <c r="H671" s="73"/>
      <c r="I671" s="73"/>
      <c r="J671" s="73"/>
      <c r="K671" s="73"/>
      <c r="L671" s="73"/>
      <c r="M671" s="73"/>
      <c r="N671" s="73"/>
      <c r="O671" s="73"/>
      <c r="P671" s="73"/>
      <c r="Q671" s="73"/>
      <c r="R671" s="73"/>
      <c r="S671" s="73"/>
      <c r="T671" s="73"/>
      <c r="U671" s="73"/>
      <c r="V671" s="73"/>
      <c r="W671" s="73"/>
      <c r="X671" s="73"/>
      <c r="Y671" s="73"/>
      <c r="Z671" s="73"/>
      <c r="AA671" s="73"/>
      <c r="AB671" s="73"/>
      <c r="AC671" s="73"/>
      <c r="AD671" s="73"/>
      <c r="AE671" s="73"/>
      <c r="AF671" s="73"/>
      <c r="AG671" s="73"/>
      <c r="AH671" s="73"/>
      <c r="AI671" s="73"/>
      <c r="AJ671" s="73"/>
      <c r="AK671" s="73"/>
      <c r="AL671" s="73"/>
      <c r="AM671" s="73"/>
      <c r="AN671" s="73"/>
      <c r="AO671" s="73"/>
      <c r="AP671" s="73"/>
      <c r="AQ671" s="73"/>
      <c r="AR671" s="73"/>
      <c r="AS671" s="73"/>
      <c r="AT671" s="73"/>
      <c r="AU671" s="73"/>
      <c r="AV671" s="73"/>
      <c r="AW671" s="73"/>
      <c r="AX671" s="73"/>
      <c r="AY671" s="73"/>
      <c r="AZ671" s="73"/>
      <c r="BA671" s="73"/>
      <c r="BB671" s="73"/>
    </row>
    <row r="672">
      <c r="A672" s="73"/>
      <c r="B672" s="73"/>
      <c r="C672" s="73"/>
      <c r="D672" s="73"/>
      <c r="E672" s="73"/>
      <c r="F672" s="73"/>
      <c r="G672" s="73"/>
      <c r="H672" s="73"/>
      <c r="I672" s="73"/>
      <c r="J672" s="73"/>
      <c r="K672" s="73"/>
      <c r="L672" s="73"/>
      <c r="M672" s="73"/>
      <c r="N672" s="73"/>
      <c r="O672" s="73"/>
      <c r="P672" s="73"/>
      <c r="Q672" s="73"/>
      <c r="R672" s="73"/>
      <c r="S672" s="73"/>
      <c r="T672" s="73"/>
      <c r="U672" s="73"/>
      <c r="V672" s="73"/>
      <c r="W672" s="73"/>
      <c r="X672" s="73"/>
      <c r="Y672" s="73"/>
      <c r="Z672" s="73"/>
      <c r="AA672" s="73"/>
      <c r="AB672" s="73"/>
      <c r="AC672" s="73"/>
      <c r="AD672" s="73"/>
      <c r="AE672" s="73"/>
      <c r="AF672" s="73"/>
      <c r="AG672" s="73"/>
      <c r="AH672" s="73"/>
      <c r="AI672" s="73"/>
      <c r="AJ672" s="73"/>
      <c r="AK672" s="73"/>
      <c r="AL672" s="73"/>
      <c r="AM672" s="73"/>
      <c r="AN672" s="73"/>
      <c r="AO672" s="73"/>
      <c r="AP672" s="73"/>
      <c r="AQ672" s="73"/>
      <c r="AR672" s="73"/>
      <c r="AS672" s="73"/>
      <c r="AT672" s="73"/>
      <c r="AU672" s="73"/>
      <c r="AV672" s="73"/>
      <c r="AW672" s="73"/>
      <c r="AX672" s="73"/>
      <c r="AY672" s="73"/>
      <c r="AZ672" s="73"/>
      <c r="BA672" s="73"/>
      <c r="BB672" s="73"/>
    </row>
    <row r="673">
      <c r="A673" s="73"/>
      <c r="B673" s="73"/>
      <c r="C673" s="73"/>
      <c r="D673" s="73"/>
      <c r="E673" s="73"/>
      <c r="F673" s="73"/>
      <c r="G673" s="73"/>
      <c r="H673" s="73"/>
      <c r="I673" s="73"/>
      <c r="J673" s="73"/>
      <c r="K673" s="73"/>
      <c r="L673" s="73"/>
      <c r="M673" s="73"/>
      <c r="N673" s="73"/>
      <c r="O673" s="73"/>
      <c r="P673" s="73"/>
      <c r="Q673" s="73"/>
      <c r="R673" s="73"/>
      <c r="S673" s="73"/>
      <c r="T673" s="73"/>
      <c r="U673" s="73"/>
      <c r="V673" s="73"/>
      <c r="W673" s="73"/>
      <c r="X673" s="73"/>
      <c r="Y673" s="73"/>
      <c r="Z673" s="73"/>
      <c r="AA673" s="73"/>
      <c r="AB673" s="73"/>
      <c r="AC673" s="73"/>
      <c r="AD673" s="73"/>
      <c r="AE673" s="73"/>
      <c r="AF673" s="73"/>
      <c r="AG673" s="73"/>
      <c r="AH673" s="73"/>
      <c r="AI673" s="73"/>
      <c r="AJ673" s="73"/>
      <c r="AK673" s="73"/>
      <c r="AL673" s="73"/>
      <c r="AM673" s="73"/>
      <c r="AN673" s="73"/>
      <c r="AO673" s="73"/>
      <c r="AP673" s="73"/>
      <c r="AQ673" s="73"/>
      <c r="AR673" s="73"/>
      <c r="AS673" s="73"/>
      <c r="AT673" s="73"/>
      <c r="AU673" s="73"/>
      <c r="AV673" s="73"/>
      <c r="AW673" s="73"/>
      <c r="AX673" s="73"/>
      <c r="AY673" s="73"/>
      <c r="AZ673" s="73"/>
      <c r="BA673" s="73"/>
      <c r="BB673" s="73"/>
    </row>
    <row r="674">
      <c r="A674" s="73"/>
      <c r="B674" s="73"/>
      <c r="C674" s="73"/>
      <c r="D674" s="73"/>
      <c r="E674" s="73"/>
      <c r="F674" s="73"/>
      <c r="G674" s="73"/>
      <c r="H674" s="73"/>
      <c r="I674" s="73"/>
      <c r="J674" s="73"/>
      <c r="K674" s="73"/>
      <c r="L674" s="73"/>
      <c r="M674" s="73"/>
      <c r="N674" s="73"/>
      <c r="O674" s="73"/>
      <c r="P674" s="73"/>
      <c r="Q674" s="73"/>
      <c r="R674" s="73"/>
      <c r="S674" s="73"/>
      <c r="T674" s="73"/>
      <c r="U674" s="73"/>
      <c r="V674" s="73"/>
      <c r="W674" s="73"/>
      <c r="X674" s="73"/>
      <c r="Y674" s="73"/>
      <c r="Z674" s="73"/>
      <c r="AA674" s="73"/>
      <c r="AB674" s="73"/>
      <c r="AC674" s="73"/>
      <c r="AD674" s="73"/>
      <c r="AE674" s="73"/>
      <c r="AF674" s="73"/>
      <c r="AG674" s="73"/>
      <c r="AH674" s="73"/>
      <c r="AI674" s="73"/>
      <c r="AJ674" s="73"/>
      <c r="AK674" s="73"/>
      <c r="AL674" s="73"/>
      <c r="AM674" s="73"/>
      <c r="AN674" s="73"/>
      <c r="AO674" s="73"/>
      <c r="AP674" s="73"/>
      <c r="AQ674" s="73"/>
      <c r="AR674" s="73"/>
      <c r="AS674" s="73"/>
      <c r="AT674" s="73"/>
      <c r="AU674" s="73"/>
      <c r="AV674" s="73"/>
      <c r="AW674" s="73"/>
      <c r="AX674" s="73"/>
      <c r="AY674" s="73"/>
      <c r="AZ674" s="73"/>
      <c r="BA674" s="73"/>
      <c r="BB674" s="73"/>
    </row>
    <row r="675">
      <c r="A675" s="73"/>
      <c r="B675" s="73"/>
      <c r="C675" s="73"/>
      <c r="D675" s="73"/>
      <c r="E675" s="73"/>
      <c r="F675" s="73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73"/>
      <c r="V675" s="73"/>
      <c r="W675" s="73"/>
      <c r="X675" s="73"/>
      <c r="Y675" s="73"/>
      <c r="Z675" s="73"/>
      <c r="AA675" s="73"/>
      <c r="AB675" s="73"/>
      <c r="AC675" s="73"/>
      <c r="AD675" s="73"/>
      <c r="AE675" s="73"/>
      <c r="AF675" s="73"/>
      <c r="AG675" s="73"/>
      <c r="AH675" s="73"/>
      <c r="AI675" s="73"/>
      <c r="AJ675" s="73"/>
      <c r="AK675" s="73"/>
      <c r="AL675" s="73"/>
      <c r="AM675" s="73"/>
      <c r="AN675" s="73"/>
      <c r="AO675" s="73"/>
      <c r="AP675" s="73"/>
      <c r="AQ675" s="73"/>
      <c r="AR675" s="73"/>
      <c r="AS675" s="73"/>
      <c r="AT675" s="73"/>
      <c r="AU675" s="73"/>
      <c r="AV675" s="73"/>
      <c r="AW675" s="73"/>
      <c r="AX675" s="73"/>
      <c r="AY675" s="73"/>
      <c r="AZ675" s="73"/>
      <c r="BA675" s="73"/>
      <c r="BB675" s="73"/>
    </row>
    <row r="676">
      <c r="A676" s="73"/>
      <c r="B676" s="73"/>
      <c r="C676" s="73"/>
      <c r="D676" s="73"/>
      <c r="E676" s="73"/>
      <c r="F676" s="73"/>
      <c r="G676" s="73"/>
      <c r="H676" s="73"/>
      <c r="I676" s="73"/>
      <c r="J676" s="73"/>
      <c r="K676" s="73"/>
      <c r="L676" s="73"/>
      <c r="M676" s="73"/>
      <c r="N676" s="73"/>
      <c r="O676" s="73"/>
      <c r="P676" s="73"/>
      <c r="Q676" s="73"/>
      <c r="R676" s="73"/>
      <c r="S676" s="73"/>
      <c r="T676" s="73"/>
      <c r="U676" s="73"/>
      <c r="V676" s="73"/>
      <c r="W676" s="73"/>
      <c r="X676" s="73"/>
      <c r="Y676" s="73"/>
      <c r="Z676" s="73"/>
      <c r="AA676" s="73"/>
      <c r="AB676" s="73"/>
      <c r="AC676" s="73"/>
      <c r="AD676" s="73"/>
      <c r="AE676" s="73"/>
      <c r="AF676" s="73"/>
      <c r="AG676" s="73"/>
      <c r="AH676" s="73"/>
      <c r="AI676" s="73"/>
      <c r="AJ676" s="73"/>
      <c r="AK676" s="73"/>
      <c r="AL676" s="73"/>
      <c r="AM676" s="73"/>
      <c r="AN676" s="73"/>
      <c r="AO676" s="73"/>
      <c r="AP676" s="73"/>
      <c r="AQ676" s="73"/>
      <c r="AR676" s="73"/>
      <c r="AS676" s="73"/>
      <c r="AT676" s="73"/>
      <c r="AU676" s="73"/>
      <c r="AV676" s="73"/>
      <c r="AW676" s="73"/>
      <c r="AX676" s="73"/>
      <c r="AY676" s="73"/>
      <c r="AZ676" s="73"/>
      <c r="BA676" s="73"/>
      <c r="BB676" s="73"/>
    </row>
    <row r="677">
      <c r="A677" s="73"/>
      <c r="B677" s="73"/>
      <c r="C677" s="73"/>
      <c r="D677" s="73"/>
      <c r="E677" s="73"/>
      <c r="F677" s="73"/>
      <c r="G677" s="73"/>
      <c r="H677" s="73"/>
      <c r="I677" s="73"/>
      <c r="J677" s="73"/>
      <c r="K677" s="73"/>
      <c r="L677" s="73"/>
      <c r="M677" s="73"/>
      <c r="N677" s="73"/>
      <c r="O677" s="73"/>
      <c r="P677" s="73"/>
      <c r="Q677" s="73"/>
      <c r="R677" s="73"/>
      <c r="S677" s="73"/>
      <c r="T677" s="73"/>
      <c r="U677" s="73"/>
      <c r="V677" s="73"/>
      <c r="W677" s="73"/>
      <c r="X677" s="73"/>
      <c r="Y677" s="73"/>
      <c r="Z677" s="73"/>
      <c r="AA677" s="73"/>
      <c r="AB677" s="73"/>
      <c r="AC677" s="73"/>
      <c r="AD677" s="73"/>
      <c r="AE677" s="73"/>
      <c r="AF677" s="73"/>
      <c r="AG677" s="73"/>
      <c r="AH677" s="73"/>
      <c r="AI677" s="73"/>
      <c r="AJ677" s="73"/>
      <c r="AK677" s="73"/>
      <c r="AL677" s="73"/>
      <c r="AM677" s="73"/>
      <c r="AN677" s="73"/>
      <c r="AO677" s="73"/>
      <c r="AP677" s="73"/>
      <c r="AQ677" s="73"/>
      <c r="AR677" s="73"/>
      <c r="AS677" s="73"/>
      <c r="AT677" s="73"/>
      <c r="AU677" s="73"/>
      <c r="AV677" s="73"/>
      <c r="AW677" s="73"/>
      <c r="AX677" s="73"/>
      <c r="AY677" s="73"/>
      <c r="AZ677" s="73"/>
      <c r="BA677" s="73"/>
      <c r="BB677" s="73"/>
    </row>
    <row r="678">
      <c r="A678" s="73"/>
      <c r="B678" s="73"/>
      <c r="C678" s="73"/>
      <c r="D678" s="73"/>
      <c r="E678" s="73"/>
      <c r="F678" s="73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73"/>
      <c r="V678" s="73"/>
      <c r="W678" s="73"/>
      <c r="X678" s="73"/>
      <c r="Y678" s="73"/>
      <c r="Z678" s="73"/>
      <c r="AA678" s="73"/>
      <c r="AB678" s="73"/>
      <c r="AC678" s="73"/>
      <c r="AD678" s="73"/>
      <c r="AE678" s="73"/>
      <c r="AF678" s="73"/>
      <c r="AG678" s="73"/>
      <c r="AH678" s="73"/>
      <c r="AI678" s="73"/>
      <c r="AJ678" s="73"/>
      <c r="AK678" s="73"/>
      <c r="AL678" s="73"/>
      <c r="AM678" s="73"/>
      <c r="AN678" s="73"/>
      <c r="AO678" s="73"/>
      <c r="AP678" s="73"/>
      <c r="AQ678" s="73"/>
      <c r="AR678" s="73"/>
      <c r="AS678" s="73"/>
      <c r="AT678" s="73"/>
      <c r="AU678" s="73"/>
      <c r="AV678" s="73"/>
      <c r="AW678" s="73"/>
      <c r="AX678" s="73"/>
      <c r="AY678" s="73"/>
      <c r="AZ678" s="73"/>
      <c r="BA678" s="73"/>
      <c r="BB678" s="73"/>
    </row>
    <row r="679">
      <c r="A679" s="73"/>
      <c r="B679" s="73"/>
      <c r="C679" s="73"/>
      <c r="D679" s="73"/>
      <c r="E679" s="73"/>
      <c r="F679" s="73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73"/>
      <c r="V679" s="73"/>
      <c r="W679" s="73"/>
      <c r="X679" s="73"/>
      <c r="Y679" s="73"/>
      <c r="Z679" s="73"/>
      <c r="AA679" s="73"/>
      <c r="AB679" s="73"/>
      <c r="AC679" s="73"/>
      <c r="AD679" s="73"/>
      <c r="AE679" s="73"/>
      <c r="AF679" s="73"/>
      <c r="AG679" s="73"/>
      <c r="AH679" s="73"/>
      <c r="AI679" s="73"/>
      <c r="AJ679" s="73"/>
      <c r="AK679" s="73"/>
      <c r="AL679" s="73"/>
      <c r="AM679" s="73"/>
      <c r="AN679" s="73"/>
      <c r="AO679" s="73"/>
      <c r="AP679" s="73"/>
      <c r="AQ679" s="73"/>
      <c r="AR679" s="73"/>
      <c r="AS679" s="73"/>
      <c r="AT679" s="73"/>
      <c r="AU679" s="73"/>
      <c r="AV679" s="73"/>
      <c r="AW679" s="73"/>
      <c r="AX679" s="73"/>
      <c r="AY679" s="73"/>
      <c r="AZ679" s="73"/>
      <c r="BA679" s="73"/>
      <c r="BB679" s="73"/>
    </row>
    <row r="680">
      <c r="A680" s="73"/>
      <c r="B680" s="73"/>
      <c r="C680" s="73"/>
      <c r="D680" s="73"/>
      <c r="E680" s="73"/>
      <c r="F680" s="73"/>
      <c r="G680" s="73"/>
      <c r="H680" s="73"/>
      <c r="I680" s="73"/>
      <c r="J680" s="73"/>
      <c r="K680" s="73"/>
      <c r="L680" s="73"/>
      <c r="M680" s="73"/>
      <c r="N680" s="73"/>
      <c r="O680" s="73"/>
      <c r="P680" s="73"/>
      <c r="Q680" s="73"/>
      <c r="R680" s="73"/>
      <c r="S680" s="73"/>
      <c r="T680" s="73"/>
      <c r="U680" s="73"/>
      <c r="V680" s="73"/>
      <c r="W680" s="73"/>
      <c r="X680" s="73"/>
      <c r="Y680" s="73"/>
      <c r="Z680" s="73"/>
      <c r="AA680" s="73"/>
      <c r="AB680" s="73"/>
      <c r="AC680" s="73"/>
      <c r="AD680" s="73"/>
      <c r="AE680" s="73"/>
      <c r="AF680" s="73"/>
      <c r="AG680" s="73"/>
      <c r="AH680" s="73"/>
      <c r="AI680" s="73"/>
      <c r="AJ680" s="73"/>
      <c r="AK680" s="73"/>
      <c r="AL680" s="73"/>
      <c r="AM680" s="73"/>
      <c r="AN680" s="73"/>
      <c r="AO680" s="73"/>
      <c r="AP680" s="73"/>
      <c r="AQ680" s="73"/>
      <c r="AR680" s="73"/>
      <c r="AS680" s="73"/>
      <c r="AT680" s="73"/>
      <c r="AU680" s="73"/>
      <c r="AV680" s="73"/>
      <c r="AW680" s="73"/>
      <c r="AX680" s="73"/>
      <c r="AY680" s="73"/>
      <c r="AZ680" s="73"/>
      <c r="BA680" s="73"/>
      <c r="BB680" s="73"/>
    </row>
    <row r="681">
      <c r="A681" s="73"/>
      <c r="B681" s="73"/>
      <c r="C681" s="73"/>
      <c r="D681" s="73"/>
      <c r="E681" s="73"/>
      <c r="F681" s="73"/>
      <c r="G681" s="73"/>
      <c r="H681" s="73"/>
      <c r="I681" s="73"/>
      <c r="J681" s="73"/>
      <c r="K681" s="73"/>
      <c r="L681" s="73"/>
      <c r="M681" s="73"/>
      <c r="N681" s="73"/>
      <c r="O681" s="73"/>
      <c r="P681" s="73"/>
      <c r="Q681" s="73"/>
      <c r="R681" s="73"/>
      <c r="S681" s="73"/>
      <c r="T681" s="73"/>
      <c r="U681" s="73"/>
      <c r="V681" s="73"/>
      <c r="W681" s="73"/>
      <c r="X681" s="73"/>
      <c r="Y681" s="73"/>
      <c r="Z681" s="73"/>
      <c r="AA681" s="73"/>
      <c r="AB681" s="73"/>
      <c r="AC681" s="73"/>
      <c r="AD681" s="73"/>
      <c r="AE681" s="73"/>
      <c r="AF681" s="73"/>
      <c r="AG681" s="73"/>
      <c r="AH681" s="73"/>
      <c r="AI681" s="73"/>
      <c r="AJ681" s="73"/>
      <c r="AK681" s="73"/>
      <c r="AL681" s="73"/>
      <c r="AM681" s="73"/>
      <c r="AN681" s="73"/>
      <c r="AO681" s="73"/>
      <c r="AP681" s="73"/>
      <c r="AQ681" s="73"/>
      <c r="AR681" s="73"/>
      <c r="AS681" s="73"/>
      <c r="AT681" s="73"/>
      <c r="AU681" s="73"/>
      <c r="AV681" s="73"/>
      <c r="AW681" s="73"/>
      <c r="AX681" s="73"/>
      <c r="AY681" s="73"/>
      <c r="AZ681" s="73"/>
      <c r="BA681" s="73"/>
      <c r="BB681" s="73"/>
    </row>
    <row r="682">
      <c r="A682" s="73"/>
      <c r="B682" s="73"/>
      <c r="C682" s="73"/>
      <c r="D682" s="73"/>
      <c r="E682" s="73"/>
      <c r="F682" s="73"/>
      <c r="G682" s="73"/>
      <c r="H682" s="73"/>
      <c r="I682" s="73"/>
      <c r="J682" s="73"/>
      <c r="K682" s="73"/>
      <c r="L682" s="73"/>
      <c r="M682" s="73"/>
      <c r="N682" s="73"/>
      <c r="O682" s="73"/>
      <c r="P682" s="73"/>
      <c r="Q682" s="73"/>
      <c r="R682" s="73"/>
      <c r="S682" s="73"/>
      <c r="T682" s="73"/>
      <c r="U682" s="73"/>
      <c r="V682" s="73"/>
      <c r="W682" s="73"/>
      <c r="X682" s="73"/>
      <c r="Y682" s="73"/>
      <c r="Z682" s="73"/>
      <c r="AA682" s="73"/>
      <c r="AB682" s="73"/>
      <c r="AC682" s="73"/>
      <c r="AD682" s="73"/>
      <c r="AE682" s="73"/>
      <c r="AF682" s="73"/>
      <c r="AG682" s="73"/>
      <c r="AH682" s="73"/>
      <c r="AI682" s="73"/>
      <c r="AJ682" s="73"/>
      <c r="AK682" s="73"/>
      <c r="AL682" s="73"/>
      <c r="AM682" s="73"/>
      <c r="AN682" s="73"/>
      <c r="AO682" s="73"/>
      <c r="AP682" s="73"/>
      <c r="AQ682" s="73"/>
      <c r="AR682" s="73"/>
      <c r="AS682" s="73"/>
      <c r="AT682" s="73"/>
      <c r="AU682" s="73"/>
      <c r="AV682" s="73"/>
      <c r="AW682" s="73"/>
      <c r="AX682" s="73"/>
      <c r="AY682" s="73"/>
      <c r="AZ682" s="73"/>
      <c r="BA682" s="73"/>
      <c r="BB682" s="73"/>
    </row>
    <row r="683">
      <c r="A683" s="73"/>
      <c r="B683" s="73"/>
      <c r="C683" s="73"/>
      <c r="D683" s="73"/>
      <c r="E683" s="73"/>
      <c r="F683" s="73"/>
      <c r="G683" s="73"/>
      <c r="H683" s="73"/>
      <c r="I683" s="73"/>
      <c r="J683" s="73"/>
      <c r="K683" s="73"/>
      <c r="L683" s="73"/>
      <c r="M683" s="73"/>
      <c r="N683" s="73"/>
      <c r="O683" s="73"/>
      <c r="P683" s="73"/>
      <c r="Q683" s="73"/>
      <c r="R683" s="73"/>
      <c r="S683" s="73"/>
      <c r="T683" s="73"/>
      <c r="U683" s="73"/>
      <c r="V683" s="73"/>
      <c r="W683" s="73"/>
      <c r="X683" s="73"/>
      <c r="Y683" s="73"/>
      <c r="Z683" s="73"/>
      <c r="AA683" s="73"/>
      <c r="AB683" s="73"/>
      <c r="AC683" s="73"/>
      <c r="AD683" s="73"/>
      <c r="AE683" s="73"/>
      <c r="AF683" s="73"/>
      <c r="AG683" s="73"/>
      <c r="AH683" s="73"/>
      <c r="AI683" s="73"/>
      <c r="AJ683" s="73"/>
      <c r="AK683" s="73"/>
      <c r="AL683" s="73"/>
      <c r="AM683" s="73"/>
      <c r="AN683" s="73"/>
      <c r="AO683" s="73"/>
      <c r="AP683" s="73"/>
      <c r="AQ683" s="73"/>
      <c r="AR683" s="73"/>
      <c r="AS683" s="73"/>
      <c r="AT683" s="73"/>
      <c r="AU683" s="73"/>
      <c r="AV683" s="73"/>
      <c r="AW683" s="73"/>
      <c r="AX683" s="73"/>
      <c r="AY683" s="73"/>
      <c r="AZ683" s="73"/>
      <c r="BA683" s="73"/>
      <c r="BB683" s="73"/>
    </row>
    <row r="684">
      <c r="A684" s="73"/>
      <c r="B684" s="73"/>
      <c r="C684" s="73"/>
      <c r="D684" s="73"/>
      <c r="E684" s="73"/>
      <c r="F684" s="73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73"/>
      <c r="V684" s="73"/>
      <c r="W684" s="73"/>
      <c r="X684" s="73"/>
      <c r="Y684" s="73"/>
      <c r="Z684" s="73"/>
      <c r="AA684" s="73"/>
      <c r="AB684" s="73"/>
      <c r="AC684" s="73"/>
      <c r="AD684" s="73"/>
      <c r="AE684" s="73"/>
      <c r="AF684" s="73"/>
      <c r="AG684" s="73"/>
      <c r="AH684" s="73"/>
      <c r="AI684" s="73"/>
      <c r="AJ684" s="73"/>
      <c r="AK684" s="73"/>
      <c r="AL684" s="73"/>
      <c r="AM684" s="73"/>
      <c r="AN684" s="73"/>
      <c r="AO684" s="73"/>
      <c r="AP684" s="73"/>
      <c r="AQ684" s="73"/>
      <c r="AR684" s="73"/>
      <c r="AS684" s="73"/>
      <c r="AT684" s="73"/>
      <c r="AU684" s="73"/>
      <c r="AV684" s="73"/>
      <c r="AW684" s="73"/>
      <c r="AX684" s="73"/>
      <c r="AY684" s="73"/>
      <c r="AZ684" s="73"/>
      <c r="BA684" s="73"/>
      <c r="BB684" s="73"/>
    </row>
    <row r="685">
      <c r="A685" s="73"/>
      <c r="B685" s="73"/>
      <c r="C685" s="73"/>
      <c r="D685" s="73"/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/>
      <c r="AB685" s="73"/>
      <c r="AC685" s="73"/>
      <c r="AD685" s="73"/>
      <c r="AE685" s="73"/>
      <c r="AF685" s="73"/>
      <c r="AG685" s="73"/>
      <c r="AH685" s="73"/>
      <c r="AI685" s="73"/>
      <c r="AJ685" s="73"/>
      <c r="AK685" s="73"/>
      <c r="AL685" s="73"/>
      <c r="AM685" s="73"/>
      <c r="AN685" s="73"/>
      <c r="AO685" s="73"/>
      <c r="AP685" s="73"/>
      <c r="AQ685" s="73"/>
      <c r="AR685" s="73"/>
      <c r="AS685" s="73"/>
      <c r="AT685" s="73"/>
      <c r="AU685" s="73"/>
      <c r="AV685" s="73"/>
      <c r="AW685" s="73"/>
      <c r="AX685" s="73"/>
      <c r="AY685" s="73"/>
      <c r="AZ685" s="73"/>
      <c r="BA685" s="73"/>
      <c r="BB685" s="73"/>
    </row>
    <row r="686">
      <c r="A686" s="73"/>
      <c r="B686" s="73"/>
      <c r="C686" s="73"/>
      <c r="D686" s="73"/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  <c r="AE686" s="73"/>
      <c r="AF686" s="73"/>
      <c r="AG686" s="73"/>
      <c r="AH686" s="73"/>
      <c r="AI686" s="73"/>
      <c r="AJ686" s="73"/>
      <c r="AK686" s="73"/>
      <c r="AL686" s="73"/>
      <c r="AM686" s="73"/>
      <c r="AN686" s="73"/>
      <c r="AO686" s="73"/>
      <c r="AP686" s="73"/>
      <c r="AQ686" s="73"/>
      <c r="AR686" s="73"/>
      <c r="AS686" s="73"/>
      <c r="AT686" s="73"/>
      <c r="AU686" s="73"/>
      <c r="AV686" s="73"/>
      <c r="AW686" s="73"/>
      <c r="AX686" s="73"/>
      <c r="AY686" s="73"/>
      <c r="AZ686" s="73"/>
      <c r="BA686" s="73"/>
      <c r="BB686" s="73"/>
    </row>
    <row r="687">
      <c r="A687" s="73"/>
      <c r="B687" s="73"/>
      <c r="C687" s="73"/>
      <c r="D687" s="73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  <c r="AB687" s="73"/>
      <c r="AC687" s="73"/>
      <c r="AD687" s="73"/>
      <c r="AE687" s="73"/>
      <c r="AF687" s="73"/>
      <c r="AG687" s="73"/>
      <c r="AH687" s="73"/>
      <c r="AI687" s="73"/>
      <c r="AJ687" s="73"/>
      <c r="AK687" s="73"/>
      <c r="AL687" s="73"/>
      <c r="AM687" s="73"/>
      <c r="AN687" s="73"/>
      <c r="AO687" s="73"/>
      <c r="AP687" s="73"/>
      <c r="AQ687" s="73"/>
      <c r="AR687" s="73"/>
      <c r="AS687" s="73"/>
      <c r="AT687" s="73"/>
      <c r="AU687" s="73"/>
      <c r="AV687" s="73"/>
      <c r="AW687" s="73"/>
      <c r="AX687" s="73"/>
      <c r="AY687" s="73"/>
      <c r="AZ687" s="73"/>
      <c r="BA687" s="73"/>
      <c r="BB687" s="73"/>
    </row>
    <row r="688">
      <c r="A688" s="73"/>
      <c r="B688" s="73"/>
      <c r="C688" s="73"/>
      <c r="D688" s="73"/>
      <c r="E688" s="73"/>
      <c r="F688" s="73"/>
      <c r="G688" s="73"/>
      <c r="H688" s="73"/>
      <c r="I688" s="73"/>
      <c r="J688" s="73"/>
      <c r="K688" s="73"/>
      <c r="L688" s="73"/>
      <c r="M688" s="73"/>
      <c r="N688" s="73"/>
      <c r="O688" s="73"/>
      <c r="P688" s="73"/>
      <c r="Q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/>
      <c r="AB688" s="73"/>
      <c r="AC688" s="73"/>
      <c r="AD688" s="73"/>
      <c r="AE688" s="73"/>
      <c r="AF688" s="73"/>
      <c r="AG688" s="73"/>
      <c r="AH688" s="73"/>
      <c r="AI688" s="73"/>
      <c r="AJ688" s="73"/>
      <c r="AK688" s="73"/>
      <c r="AL688" s="73"/>
      <c r="AM688" s="73"/>
      <c r="AN688" s="73"/>
      <c r="AO688" s="73"/>
      <c r="AP688" s="73"/>
      <c r="AQ688" s="73"/>
      <c r="AR688" s="73"/>
      <c r="AS688" s="73"/>
      <c r="AT688" s="73"/>
      <c r="AU688" s="73"/>
      <c r="AV688" s="73"/>
      <c r="AW688" s="73"/>
      <c r="AX688" s="73"/>
      <c r="AY688" s="73"/>
      <c r="AZ688" s="73"/>
      <c r="BA688" s="73"/>
      <c r="BB688" s="73"/>
    </row>
    <row r="689">
      <c r="A689" s="73"/>
      <c r="B689" s="73"/>
      <c r="C689" s="73"/>
      <c r="D689" s="73"/>
      <c r="E689" s="73"/>
      <c r="F689" s="73"/>
      <c r="G689" s="73"/>
      <c r="H689" s="73"/>
      <c r="I689" s="73"/>
      <c r="J689" s="73"/>
      <c r="K689" s="73"/>
      <c r="L689" s="73"/>
      <c r="M689" s="73"/>
      <c r="N689" s="73"/>
      <c r="O689" s="73"/>
      <c r="P689" s="73"/>
      <c r="Q689" s="73"/>
      <c r="R689" s="73"/>
      <c r="S689" s="73"/>
      <c r="T689" s="73"/>
      <c r="U689" s="73"/>
      <c r="V689" s="73"/>
      <c r="W689" s="73"/>
      <c r="X689" s="73"/>
      <c r="Y689" s="73"/>
      <c r="Z689" s="73"/>
      <c r="AA689" s="73"/>
      <c r="AB689" s="73"/>
      <c r="AC689" s="73"/>
      <c r="AD689" s="73"/>
      <c r="AE689" s="73"/>
      <c r="AF689" s="73"/>
      <c r="AG689" s="73"/>
      <c r="AH689" s="73"/>
      <c r="AI689" s="73"/>
      <c r="AJ689" s="73"/>
      <c r="AK689" s="73"/>
      <c r="AL689" s="73"/>
      <c r="AM689" s="73"/>
      <c r="AN689" s="73"/>
      <c r="AO689" s="73"/>
      <c r="AP689" s="73"/>
      <c r="AQ689" s="73"/>
      <c r="AR689" s="73"/>
      <c r="AS689" s="73"/>
      <c r="AT689" s="73"/>
      <c r="AU689" s="73"/>
      <c r="AV689" s="73"/>
      <c r="AW689" s="73"/>
      <c r="AX689" s="73"/>
      <c r="AY689" s="73"/>
      <c r="AZ689" s="73"/>
      <c r="BA689" s="73"/>
      <c r="BB689" s="73"/>
    </row>
    <row r="690">
      <c r="A690" s="73"/>
      <c r="B690" s="73"/>
      <c r="C690" s="73"/>
      <c r="D690" s="73"/>
      <c r="E690" s="73"/>
      <c r="F690" s="73"/>
      <c r="G690" s="73"/>
      <c r="H690" s="73"/>
      <c r="I690" s="73"/>
      <c r="J690" s="73"/>
      <c r="K690" s="73"/>
      <c r="L690" s="73"/>
      <c r="M690" s="73"/>
      <c r="N690" s="73"/>
      <c r="O690" s="73"/>
      <c r="P690" s="73"/>
      <c r="Q690" s="73"/>
      <c r="R690" s="73"/>
      <c r="S690" s="73"/>
      <c r="T690" s="73"/>
      <c r="U690" s="73"/>
      <c r="V690" s="73"/>
      <c r="W690" s="73"/>
      <c r="X690" s="73"/>
      <c r="Y690" s="73"/>
      <c r="Z690" s="73"/>
      <c r="AA690" s="73"/>
      <c r="AB690" s="73"/>
      <c r="AC690" s="73"/>
      <c r="AD690" s="73"/>
      <c r="AE690" s="73"/>
      <c r="AF690" s="73"/>
      <c r="AG690" s="73"/>
      <c r="AH690" s="73"/>
      <c r="AI690" s="73"/>
      <c r="AJ690" s="73"/>
      <c r="AK690" s="73"/>
      <c r="AL690" s="73"/>
      <c r="AM690" s="73"/>
      <c r="AN690" s="73"/>
      <c r="AO690" s="73"/>
      <c r="AP690" s="73"/>
      <c r="AQ690" s="73"/>
      <c r="AR690" s="73"/>
      <c r="AS690" s="73"/>
      <c r="AT690" s="73"/>
      <c r="AU690" s="73"/>
      <c r="AV690" s="73"/>
      <c r="AW690" s="73"/>
      <c r="AX690" s="73"/>
      <c r="AY690" s="73"/>
      <c r="AZ690" s="73"/>
      <c r="BA690" s="73"/>
      <c r="BB690" s="73"/>
    </row>
    <row r="691">
      <c r="A691" s="73"/>
      <c r="B691" s="73"/>
      <c r="C691" s="73"/>
      <c r="D691" s="73"/>
      <c r="E691" s="73"/>
      <c r="F691" s="73"/>
      <c r="G691" s="73"/>
      <c r="H691" s="73"/>
      <c r="I691" s="73"/>
      <c r="J691" s="73"/>
      <c r="K691" s="73"/>
      <c r="L691" s="73"/>
      <c r="M691" s="73"/>
      <c r="N691" s="73"/>
      <c r="O691" s="73"/>
      <c r="P691" s="73"/>
      <c r="Q691" s="73"/>
      <c r="R691" s="73"/>
      <c r="S691" s="73"/>
      <c r="T691" s="73"/>
      <c r="U691" s="73"/>
      <c r="V691" s="73"/>
      <c r="W691" s="73"/>
      <c r="X691" s="73"/>
      <c r="Y691" s="73"/>
      <c r="Z691" s="73"/>
      <c r="AA691" s="73"/>
      <c r="AB691" s="73"/>
      <c r="AC691" s="73"/>
      <c r="AD691" s="73"/>
      <c r="AE691" s="73"/>
      <c r="AF691" s="73"/>
      <c r="AG691" s="73"/>
      <c r="AH691" s="73"/>
      <c r="AI691" s="73"/>
      <c r="AJ691" s="73"/>
      <c r="AK691" s="73"/>
      <c r="AL691" s="73"/>
      <c r="AM691" s="73"/>
      <c r="AN691" s="73"/>
      <c r="AO691" s="73"/>
      <c r="AP691" s="73"/>
      <c r="AQ691" s="73"/>
      <c r="AR691" s="73"/>
      <c r="AS691" s="73"/>
      <c r="AT691" s="73"/>
      <c r="AU691" s="73"/>
      <c r="AV691" s="73"/>
      <c r="AW691" s="73"/>
      <c r="AX691" s="73"/>
      <c r="AY691" s="73"/>
      <c r="AZ691" s="73"/>
      <c r="BA691" s="73"/>
      <c r="BB691" s="73"/>
    </row>
    <row r="692">
      <c r="A692" s="73"/>
      <c r="B692" s="73"/>
      <c r="C692" s="73"/>
      <c r="D692" s="73"/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73"/>
      <c r="X692" s="73"/>
      <c r="Y692" s="73"/>
      <c r="Z692" s="73"/>
      <c r="AA692" s="73"/>
      <c r="AB692" s="73"/>
      <c r="AC692" s="73"/>
      <c r="AD692" s="73"/>
      <c r="AE692" s="73"/>
      <c r="AF692" s="73"/>
      <c r="AG692" s="73"/>
      <c r="AH692" s="73"/>
      <c r="AI692" s="73"/>
      <c r="AJ692" s="73"/>
      <c r="AK692" s="73"/>
      <c r="AL692" s="73"/>
      <c r="AM692" s="73"/>
      <c r="AN692" s="73"/>
      <c r="AO692" s="73"/>
      <c r="AP692" s="73"/>
      <c r="AQ692" s="73"/>
      <c r="AR692" s="73"/>
      <c r="AS692" s="73"/>
      <c r="AT692" s="73"/>
      <c r="AU692" s="73"/>
      <c r="AV692" s="73"/>
      <c r="AW692" s="73"/>
      <c r="AX692" s="73"/>
      <c r="AY692" s="73"/>
      <c r="AZ692" s="73"/>
      <c r="BA692" s="73"/>
      <c r="BB692" s="73"/>
    </row>
    <row r="693">
      <c r="A693" s="73"/>
      <c r="B693" s="73"/>
      <c r="C693" s="73"/>
      <c r="D693" s="73"/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  <c r="AE693" s="73"/>
      <c r="AF693" s="73"/>
      <c r="AG693" s="73"/>
      <c r="AH693" s="73"/>
      <c r="AI693" s="73"/>
      <c r="AJ693" s="73"/>
      <c r="AK693" s="73"/>
      <c r="AL693" s="73"/>
      <c r="AM693" s="73"/>
      <c r="AN693" s="73"/>
      <c r="AO693" s="73"/>
      <c r="AP693" s="73"/>
      <c r="AQ693" s="73"/>
      <c r="AR693" s="73"/>
      <c r="AS693" s="73"/>
      <c r="AT693" s="73"/>
      <c r="AU693" s="73"/>
      <c r="AV693" s="73"/>
      <c r="AW693" s="73"/>
      <c r="AX693" s="73"/>
      <c r="AY693" s="73"/>
      <c r="AZ693" s="73"/>
      <c r="BA693" s="73"/>
      <c r="BB693" s="73"/>
    </row>
    <row r="694">
      <c r="A694" s="73"/>
      <c r="B694" s="73"/>
      <c r="C694" s="73"/>
      <c r="D694" s="73"/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  <c r="AE694" s="73"/>
      <c r="AF694" s="73"/>
      <c r="AG694" s="73"/>
      <c r="AH694" s="73"/>
      <c r="AI694" s="73"/>
      <c r="AJ694" s="73"/>
      <c r="AK694" s="73"/>
      <c r="AL694" s="73"/>
      <c r="AM694" s="73"/>
      <c r="AN694" s="73"/>
      <c r="AO694" s="73"/>
      <c r="AP694" s="73"/>
      <c r="AQ694" s="73"/>
      <c r="AR694" s="73"/>
      <c r="AS694" s="73"/>
      <c r="AT694" s="73"/>
      <c r="AU694" s="73"/>
      <c r="AV694" s="73"/>
      <c r="AW694" s="73"/>
      <c r="AX694" s="73"/>
      <c r="AY694" s="73"/>
      <c r="AZ694" s="73"/>
      <c r="BA694" s="73"/>
      <c r="BB694" s="73"/>
    </row>
    <row r="695">
      <c r="A695" s="73"/>
      <c r="B695" s="73"/>
      <c r="C695" s="73"/>
      <c r="D695" s="73"/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  <c r="AE695" s="73"/>
      <c r="AF695" s="73"/>
      <c r="AG695" s="73"/>
      <c r="AH695" s="73"/>
      <c r="AI695" s="73"/>
      <c r="AJ695" s="73"/>
      <c r="AK695" s="73"/>
      <c r="AL695" s="73"/>
      <c r="AM695" s="73"/>
      <c r="AN695" s="73"/>
      <c r="AO695" s="73"/>
      <c r="AP695" s="73"/>
      <c r="AQ695" s="73"/>
      <c r="AR695" s="73"/>
      <c r="AS695" s="73"/>
      <c r="AT695" s="73"/>
      <c r="AU695" s="73"/>
      <c r="AV695" s="73"/>
      <c r="AW695" s="73"/>
      <c r="AX695" s="73"/>
      <c r="AY695" s="73"/>
      <c r="AZ695" s="73"/>
      <c r="BA695" s="73"/>
      <c r="BB695" s="73"/>
    </row>
    <row r="696">
      <c r="A696" s="73"/>
      <c r="B696" s="73"/>
      <c r="C696" s="73"/>
      <c r="D696" s="73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/>
      <c r="AE696" s="73"/>
      <c r="AF696" s="73"/>
      <c r="AG696" s="73"/>
      <c r="AH696" s="73"/>
      <c r="AI696" s="73"/>
      <c r="AJ696" s="73"/>
      <c r="AK696" s="73"/>
      <c r="AL696" s="73"/>
      <c r="AM696" s="73"/>
      <c r="AN696" s="73"/>
      <c r="AO696" s="73"/>
      <c r="AP696" s="73"/>
      <c r="AQ696" s="73"/>
      <c r="AR696" s="73"/>
      <c r="AS696" s="73"/>
      <c r="AT696" s="73"/>
      <c r="AU696" s="73"/>
      <c r="AV696" s="73"/>
      <c r="AW696" s="73"/>
      <c r="AX696" s="73"/>
      <c r="AY696" s="73"/>
      <c r="AZ696" s="73"/>
      <c r="BA696" s="73"/>
      <c r="BB696" s="73"/>
    </row>
    <row r="697">
      <c r="A697" s="73"/>
      <c r="B697" s="73"/>
      <c r="C697" s="73"/>
      <c r="D697" s="73"/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B697" s="73"/>
      <c r="AC697" s="73"/>
      <c r="AD697" s="73"/>
      <c r="AE697" s="73"/>
      <c r="AF697" s="73"/>
      <c r="AG697" s="73"/>
      <c r="AH697" s="73"/>
      <c r="AI697" s="73"/>
      <c r="AJ697" s="73"/>
      <c r="AK697" s="73"/>
      <c r="AL697" s="73"/>
      <c r="AM697" s="73"/>
      <c r="AN697" s="73"/>
      <c r="AO697" s="73"/>
      <c r="AP697" s="73"/>
      <c r="AQ697" s="73"/>
      <c r="AR697" s="73"/>
      <c r="AS697" s="73"/>
      <c r="AT697" s="73"/>
      <c r="AU697" s="73"/>
      <c r="AV697" s="73"/>
      <c r="AW697" s="73"/>
      <c r="AX697" s="73"/>
      <c r="AY697" s="73"/>
      <c r="AZ697" s="73"/>
      <c r="BA697" s="73"/>
      <c r="BB697" s="73"/>
    </row>
    <row r="698">
      <c r="A698" s="73"/>
      <c r="B698" s="73"/>
      <c r="C698" s="73"/>
      <c r="D698" s="73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/>
      <c r="AE698" s="73"/>
      <c r="AF698" s="73"/>
      <c r="AG698" s="73"/>
      <c r="AH698" s="73"/>
      <c r="AI698" s="73"/>
      <c r="AJ698" s="73"/>
      <c r="AK698" s="73"/>
      <c r="AL698" s="73"/>
      <c r="AM698" s="73"/>
      <c r="AN698" s="73"/>
      <c r="AO698" s="73"/>
      <c r="AP698" s="73"/>
      <c r="AQ698" s="73"/>
      <c r="AR698" s="73"/>
      <c r="AS698" s="73"/>
      <c r="AT698" s="73"/>
      <c r="AU698" s="73"/>
      <c r="AV698" s="73"/>
      <c r="AW698" s="73"/>
      <c r="AX698" s="73"/>
      <c r="AY698" s="73"/>
      <c r="AZ698" s="73"/>
      <c r="BA698" s="73"/>
      <c r="BB698" s="73"/>
    </row>
    <row r="699">
      <c r="A699" s="73"/>
      <c r="B699" s="73"/>
      <c r="C699" s="73"/>
      <c r="D699" s="73"/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B699" s="73"/>
      <c r="AC699" s="73"/>
      <c r="AD699" s="73"/>
      <c r="AE699" s="73"/>
      <c r="AF699" s="73"/>
      <c r="AG699" s="73"/>
      <c r="AH699" s="73"/>
      <c r="AI699" s="73"/>
      <c r="AJ699" s="73"/>
      <c r="AK699" s="73"/>
      <c r="AL699" s="73"/>
      <c r="AM699" s="73"/>
      <c r="AN699" s="73"/>
      <c r="AO699" s="73"/>
      <c r="AP699" s="73"/>
      <c r="AQ699" s="73"/>
      <c r="AR699" s="73"/>
      <c r="AS699" s="73"/>
      <c r="AT699" s="73"/>
      <c r="AU699" s="73"/>
      <c r="AV699" s="73"/>
      <c r="AW699" s="73"/>
      <c r="AX699" s="73"/>
      <c r="AY699" s="73"/>
      <c r="AZ699" s="73"/>
      <c r="BA699" s="73"/>
      <c r="BB699" s="73"/>
    </row>
    <row r="700">
      <c r="A700" s="73"/>
      <c r="B700" s="73"/>
      <c r="C700" s="73"/>
      <c r="D700" s="73"/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B700" s="73"/>
      <c r="AC700" s="73"/>
      <c r="AD700" s="73"/>
      <c r="AE700" s="73"/>
      <c r="AF700" s="73"/>
      <c r="AG700" s="73"/>
      <c r="AH700" s="73"/>
      <c r="AI700" s="73"/>
      <c r="AJ700" s="73"/>
      <c r="AK700" s="73"/>
      <c r="AL700" s="73"/>
      <c r="AM700" s="73"/>
      <c r="AN700" s="73"/>
      <c r="AO700" s="73"/>
      <c r="AP700" s="73"/>
      <c r="AQ700" s="73"/>
      <c r="AR700" s="73"/>
      <c r="AS700" s="73"/>
      <c r="AT700" s="73"/>
      <c r="AU700" s="73"/>
      <c r="AV700" s="73"/>
      <c r="AW700" s="73"/>
      <c r="AX700" s="73"/>
      <c r="AY700" s="73"/>
      <c r="AZ700" s="73"/>
      <c r="BA700" s="73"/>
      <c r="BB700" s="73"/>
    </row>
    <row r="701">
      <c r="A701" s="73"/>
      <c r="B701" s="73"/>
      <c r="C701" s="73"/>
      <c r="D701" s="73"/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B701" s="73"/>
      <c r="AC701" s="73"/>
      <c r="AD701" s="73"/>
      <c r="AE701" s="73"/>
      <c r="AF701" s="73"/>
      <c r="AG701" s="73"/>
      <c r="AH701" s="73"/>
      <c r="AI701" s="73"/>
      <c r="AJ701" s="73"/>
      <c r="AK701" s="73"/>
      <c r="AL701" s="73"/>
      <c r="AM701" s="73"/>
      <c r="AN701" s="73"/>
      <c r="AO701" s="73"/>
      <c r="AP701" s="73"/>
      <c r="AQ701" s="73"/>
      <c r="AR701" s="73"/>
      <c r="AS701" s="73"/>
      <c r="AT701" s="73"/>
      <c r="AU701" s="73"/>
      <c r="AV701" s="73"/>
      <c r="AW701" s="73"/>
      <c r="AX701" s="73"/>
      <c r="AY701" s="73"/>
      <c r="AZ701" s="73"/>
      <c r="BA701" s="73"/>
      <c r="BB701" s="73"/>
    </row>
    <row r="702">
      <c r="A702" s="73"/>
      <c r="B702" s="73"/>
      <c r="C702" s="73"/>
      <c r="D702" s="73"/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  <c r="AE702" s="73"/>
      <c r="AF702" s="73"/>
      <c r="AG702" s="73"/>
      <c r="AH702" s="73"/>
      <c r="AI702" s="73"/>
      <c r="AJ702" s="73"/>
      <c r="AK702" s="73"/>
      <c r="AL702" s="73"/>
      <c r="AM702" s="73"/>
      <c r="AN702" s="73"/>
      <c r="AO702" s="73"/>
      <c r="AP702" s="73"/>
      <c r="AQ702" s="73"/>
      <c r="AR702" s="73"/>
      <c r="AS702" s="73"/>
      <c r="AT702" s="73"/>
      <c r="AU702" s="73"/>
      <c r="AV702" s="73"/>
      <c r="AW702" s="73"/>
      <c r="AX702" s="73"/>
      <c r="AY702" s="73"/>
      <c r="AZ702" s="73"/>
      <c r="BA702" s="73"/>
      <c r="BB702" s="73"/>
    </row>
    <row r="703">
      <c r="A703" s="73"/>
      <c r="B703" s="73"/>
      <c r="C703" s="73"/>
      <c r="D703" s="73"/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73"/>
      <c r="V703" s="73"/>
      <c r="W703" s="73"/>
      <c r="X703" s="73"/>
      <c r="Y703" s="73"/>
      <c r="Z703" s="73"/>
      <c r="AA703" s="73"/>
      <c r="AB703" s="73"/>
      <c r="AC703" s="73"/>
      <c r="AD703" s="73"/>
      <c r="AE703" s="73"/>
      <c r="AF703" s="73"/>
      <c r="AG703" s="73"/>
      <c r="AH703" s="73"/>
      <c r="AI703" s="73"/>
      <c r="AJ703" s="73"/>
      <c r="AK703" s="73"/>
      <c r="AL703" s="73"/>
      <c r="AM703" s="73"/>
      <c r="AN703" s="73"/>
      <c r="AO703" s="73"/>
      <c r="AP703" s="73"/>
      <c r="AQ703" s="73"/>
      <c r="AR703" s="73"/>
      <c r="AS703" s="73"/>
      <c r="AT703" s="73"/>
      <c r="AU703" s="73"/>
      <c r="AV703" s="73"/>
      <c r="AW703" s="73"/>
      <c r="AX703" s="73"/>
      <c r="AY703" s="73"/>
      <c r="AZ703" s="73"/>
      <c r="BA703" s="73"/>
      <c r="BB703" s="73"/>
    </row>
    <row r="704">
      <c r="A704" s="73"/>
      <c r="B704" s="73"/>
      <c r="C704" s="73"/>
      <c r="D704" s="73"/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73"/>
      <c r="V704" s="73"/>
      <c r="W704" s="73"/>
      <c r="X704" s="73"/>
      <c r="Y704" s="73"/>
      <c r="Z704" s="73"/>
      <c r="AA704" s="73"/>
      <c r="AB704" s="73"/>
      <c r="AC704" s="73"/>
      <c r="AD704" s="73"/>
      <c r="AE704" s="73"/>
      <c r="AF704" s="73"/>
      <c r="AG704" s="73"/>
      <c r="AH704" s="73"/>
      <c r="AI704" s="73"/>
      <c r="AJ704" s="73"/>
      <c r="AK704" s="73"/>
      <c r="AL704" s="73"/>
      <c r="AM704" s="73"/>
      <c r="AN704" s="73"/>
      <c r="AO704" s="73"/>
      <c r="AP704" s="73"/>
      <c r="AQ704" s="73"/>
      <c r="AR704" s="73"/>
      <c r="AS704" s="73"/>
      <c r="AT704" s="73"/>
      <c r="AU704" s="73"/>
      <c r="AV704" s="73"/>
      <c r="AW704" s="73"/>
      <c r="AX704" s="73"/>
      <c r="AY704" s="73"/>
      <c r="AZ704" s="73"/>
      <c r="BA704" s="73"/>
      <c r="BB704" s="73"/>
    </row>
    <row r="705">
      <c r="A705" s="73"/>
      <c r="B705" s="73"/>
      <c r="C705" s="73"/>
      <c r="D705" s="73"/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/>
      <c r="AB705" s="73"/>
      <c r="AC705" s="73"/>
      <c r="AD705" s="73"/>
      <c r="AE705" s="73"/>
      <c r="AF705" s="73"/>
      <c r="AG705" s="73"/>
      <c r="AH705" s="73"/>
      <c r="AI705" s="73"/>
      <c r="AJ705" s="73"/>
      <c r="AK705" s="73"/>
      <c r="AL705" s="73"/>
      <c r="AM705" s="73"/>
      <c r="AN705" s="73"/>
      <c r="AO705" s="73"/>
      <c r="AP705" s="73"/>
      <c r="AQ705" s="73"/>
      <c r="AR705" s="73"/>
      <c r="AS705" s="73"/>
      <c r="AT705" s="73"/>
      <c r="AU705" s="73"/>
      <c r="AV705" s="73"/>
      <c r="AW705" s="73"/>
      <c r="AX705" s="73"/>
      <c r="AY705" s="73"/>
      <c r="AZ705" s="73"/>
      <c r="BA705" s="73"/>
      <c r="BB705" s="73"/>
    </row>
    <row r="706">
      <c r="A706" s="73"/>
      <c r="B706" s="73"/>
      <c r="C706" s="73"/>
      <c r="D706" s="73"/>
      <c r="E706" s="73"/>
      <c r="F706" s="73"/>
      <c r="G706" s="73"/>
      <c r="H706" s="73"/>
      <c r="I706" s="73"/>
      <c r="J706" s="73"/>
      <c r="K706" s="73"/>
      <c r="L706" s="73"/>
      <c r="M706" s="73"/>
      <c r="N706" s="73"/>
      <c r="O706" s="73"/>
      <c r="P706" s="73"/>
      <c r="Q706" s="73"/>
      <c r="R706" s="73"/>
      <c r="S706" s="73"/>
      <c r="T706" s="73"/>
      <c r="U706" s="73"/>
      <c r="V706" s="73"/>
      <c r="W706" s="73"/>
      <c r="X706" s="73"/>
      <c r="Y706" s="73"/>
      <c r="Z706" s="73"/>
      <c r="AA706" s="73"/>
      <c r="AB706" s="73"/>
      <c r="AC706" s="73"/>
      <c r="AD706" s="73"/>
      <c r="AE706" s="73"/>
      <c r="AF706" s="73"/>
      <c r="AG706" s="73"/>
      <c r="AH706" s="73"/>
      <c r="AI706" s="73"/>
      <c r="AJ706" s="73"/>
      <c r="AK706" s="73"/>
      <c r="AL706" s="73"/>
      <c r="AM706" s="73"/>
      <c r="AN706" s="73"/>
      <c r="AO706" s="73"/>
      <c r="AP706" s="73"/>
      <c r="AQ706" s="73"/>
      <c r="AR706" s="73"/>
      <c r="AS706" s="73"/>
      <c r="AT706" s="73"/>
      <c r="AU706" s="73"/>
      <c r="AV706" s="73"/>
      <c r="AW706" s="73"/>
      <c r="AX706" s="73"/>
      <c r="AY706" s="73"/>
      <c r="AZ706" s="73"/>
      <c r="BA706" s="73"/>
      <c r="BB706" s="73"/>
    </row>
    <row r="707">
      <c r="A707" s="73"/>
      <c r="B707" s="73"/>
      <c r="C707" s="73"/>
      <c r="D707" s="73"/>
      <c r="E707" s="73"/>
      <c r="F707" s="73"/>
      <c r="G707" s="73"/>
      <c r="H707" s="73"/>
      <c r="I707" s="73"/>
      <c r="J707" s="73"/>
      <c r="K707" s="73"/>
      <c r="L707" s="73"/>
      <c r="M707" s="73"/>
      <c r="N707" s="73"/>
      <c r="O707" s="73"/>
      <c r="P707" s="73"/>
      <c r="Q707" s="73"/>
      <c r="R707" s="73"/>
      <c r="S707" s="73"/>
      <c r="T707" s="73"/>
      <c r="U707" s="73"/>
      <c r="V707" s="73"/>
      <c r="W707" s="73"/>
      <c r="X707" s="73"/>
      <c r="Y707" s="73"/>
      <c r="Z707" s="73"/>
      <c r="AA707" s="73"/>
      <c r="AB707" s="73"/>
      <c r="AC707" s="73"/>
      <c r="AD707" s="73"/>
      <c r="AE707" s="73"/>
      <c r="AF707" s="73"/>
      <c r="AG707" s="73"/>
      <c r="AH707" s="73"/>
      <c r="AI707" s="73"/>
      <c r="AJ707" s="73"/>
      <c r="AK707" s="73"/>
      <c r="AL707" s="73"/>
      <c r="AM707" s="73"/>
      <c r="AN707" s="73"/>
      <c r="AO707" s="73"/>
      <c r="AP707" s="73"/>
      <c r="AQ707" s="73"/>
      <c r="AR707" s="73"/>
      <c r="AS707" s="73"/>
      <c r="AT707" s="73"/>
      <c r="AU707" s="73"/>
      <c r="AV707" s="73"/>
      <c r="AW707" s="73"/>
      <c r="AX707" s="73"/>
      <c r="AY707" s="73"/>
      <c r="AZ707" s="73"/>
      <c r="BA707" s="73"/>
      <c r="BB707" s="73"/>
    </row>
    <row r="708">
      <c r="A708" s="73"/>
      <c r="B708" s="73"/>
      <c r="C708" s="73"/>
      <c r="D708" s="73"/>
      <c r="E708" s="73"/>
      <c r="F708" s="73"/>
      <c r="G708" s="73"/>
      <c r="H708" s="73"/>
      <c r="I708" s="73"/>
      <c r="J708" s="73"/>
      <c r="K708" s="73"/>
      <c r="L708" s="73"/>
      <c r="M708" s="73"/>
      <c r="N708" s="73"/>
      <c r="O708" s="73"/>
      <c r="P708" s="73"/>
      <c r="Q708" s="73"/>
      <c r="R708" s="73"/>
      <c r="S708" s="73"/>
      <c r="T708" s="73"/>
      <c r="U708" s="73"/>
      <c r="V708" s="73"/>
      <c r="W708" s="73"/>
      <c r="X708" s="73"/>
      <c r="Y708" s="73"/>
      <c r="Z708" s="73"/>
      <c r="AA708" s="73"/>
      <c r="AB708" s="73"/>
      <c r="AC708" s="73"/>
      <c r="AD708" s="73"/>
      <c r="AE708" s="73"/>
      <c r="AF708" s="73"/>
      <c r="AG708" s="73"/>
      <c r="AH708" s="73"/>
      <c r="AI708" s="73"/>
      <c r="AJ708" s="73"/>
      <c r="AK708" s="73"/>
      <c r="AL708" s="73"/>
      <c r="AM708" s="73"/>
      <c r="AN708" s="73"/>
      <c r="AO708" s="73"/>
      <c r="AP708" s="73"/>
      <c r="AQ708" s="73"/>
      <c r="AR708" s="73"/>
      <c r="AS708" s="73"/>
      <c r="AT708" s="73"/>
      <c r="AU708" s="73"/>
      <c r="AV708" s="73"/>
      <c r="AW708" s="73"/>
      <c r="AX708" s="73"/>
      <c r="AY708" s="73"/>
      <c r="AZ708" s="73"/>
      <c r="BA708" s="73"/>
      <c r="BB708" s="73"/>
    </row>
    <row r="709">
      <c r="A709" s="73"/>
      <c r="B709" s="73"/>
      <c r="C709" s="73"/>
      <c r="D709" s="73"/>
      <c r="E709" s="73"/>
      <c r="F709" s="73"/>
      <c r="G709" s="73"/>
      <c r="H709" s="73"/>
      <c r="I709" s="73"/>
      <c r="J709" s="73"/>
      <c r="K709" s="73"/>
      <c r="L709" s="73"/>
      <c r="M709" s="73"/>
      <c r="N709" s="73"/>
      <c r="O709" s="73"/>
      <c r="P709" s="73"/>
      <c r="Q709" s="73"/>
      <c r="R709" s="73"/>
      <c r="S709" s="73"/>
      <c r="T709" s="73"/>
      <c r="U709" s="73"/>
      <c r="V709" s="73"/>
      <c r="W709" s="73"/>
      <c r="X709" s="73"/>
      <c r="Y709" s="73"/>
      <c r="Z709" s="73"/>
      <c r="AA709" s="73"/>
      <c r="AB709" s="73"/>
      <c r="AC709" s="73"/>
      <c r="AD709" s="73"/>
      <c r="AE709" s="73"/>
      <c r="AF709" s="73"/>
      <c r="AG709" s="73"/>
      <c r="AH709" s="73"/>
      <c r="AI709" s="73"/>
      <c r="AJ709" s="73"/>
      <c r="AK709" s="73"/>
      <c r="AL709" s="73"/>
      <c r="AM709" s="73"/>
      <c r="AN709" s="73"/>
      <c r="AO709" s="73"/>
      <c r="AP709" s="73"/>
      <c r="AQ709" s="73"/>
      <c r="AR709" s="73"/>
      <c r="AS709" s="73"/>
      <c r="AT709" s="73"/>
      <c r="AU709" s="73"/>
      <c r="AV709" s="73"/>
      <c r="AW709" s="73"/>
      <c r="AX709" s="73"/>
      <c r="AY709" s="73"/>
      <c r="AZ709" s="73"/>
      <c r="BA709" s="73"/>
      <c r="BB709" s="73"/>
    </row>
    <row r="710">
      <c r="A710" s="73"/>
      <c r="B710" s="73"/>
      <c r="C710" s="73"/>
      <c r="D710" s="73"/>
      <c r="E710" s="73"/>
      <c r="F710" s="73"/>
      <c r="G710" s="73"/>
      <c r="H710" s="73"/>
      <c r="I710" s="73"/>
      <c r="J710" s="73"/>
      <c r="K710" s="73"/>
      <c r="L710" s="73"/>
      <c r="M710" s="73"/>
      <c r="N710" s="73"/>
      <c r="O710" s="73"/>
      <c r="P710" s="73"/>
      <c r="Q710" s="73"/>
      <c r="R710" s="73"/>
      <c r="S710" s="73"/>
      <c r="T710" s="73"/>
      <c r="U710" s="73"/>
      <c r="V710" s="73"/>
      <c r="W710" s="73"/>
      <c r="X710" s="73"/>
      <c r="Y710" s="73"/>
      <c r="Z710" s="73"/>
      <c r="AA710" s="73"/>
      <c r="AB710" s="73"/>
      <c r="AC710" s="73"/>
      <c r="AD710" s="73"/>
      <c r="AE710" s="73"/>
      <c r="AF710" s="73"/>
      <c r="AG710" s="73"/>
      <c r="AH710" s="73"/>
      <c r="AI710" s="73"/>
      <c r="AJ710" s="73"/>
      <c r="AK710" s="73"/>
      <c r="AL710" s="73"/>
      <c r="AM710" s="73"/>
      <c r="AN710" s="73"/>
      <c r="AO710" s="73"/>
      <c r="AP710" s="73"/>
      <c r="AQ710" s="73"/>
      <c r="AR710" s="73"/>
      <c r="AS710" s="73"/>
      <c r="AT710" s="73"/>
      <c r="AU710" s="73"/>
      <c r="AV710" s="73"/>
      <c r="AW710" s="73"/>
      <c r="AX710" s="73"/>
      <c r="AY710" s="73"/>
      <c r="AZ710" s="73"/>
      <c r="BA710" s="73"/>
      <c r="BB710" s="73"/>
    </row>
    <row r="711">
      <c r="A711" s="73"/>
      <c r="B711" s="73"/>
      <c r="C711" s="73"/>
      <c r="D711" s="73"/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  <c r="V711" s="73"/>
      <c r="W711" s="73"/>
      <c r="X711" s="73"/>
      <c r="Y711" s="73"/>
      <c r="Z711" s="73"/>
      <c r="AA711" s="73"/>
      <c r="AB711" s="73"/>
      <c r="AC711" s="73"/>
      <c r="AD711" s="73"/>
      <c r="AE711" s="73"/>
      <c r="AF711" s="73"/>
      <c r="AG711" s="73"/>
      <c r="AH711" s="73"/>
      <c r="AI711" s="73"/>
      <c r="AJ711" s="73"/>
      <c r="AK711" s="73"/>
      <c r="AL711" s="73"/>
      <c r="AM711" s="73"/>
      <c r="AN711" s="73"/>
      <c r="AO711" s="73"/>
      <c r="AP711" s="73"/>
      <c r="AQ711" s="73"/>
      <c r="AR711" s="73"/>
      <c r="AS711" s="73"/>
      <c r="AT711" s="73"/>
      <c r="AU711" s="73"/>
      <c r="AV711" s="73"/>
      <c r="AW711" s="73"/>
      <c r="AX711" s="73"/>
      <c r="AY711" s="73"/>
      <c r="AZ711" s="73"/>
      <c r="BA711" s="73"/>
      <c r="BB711" s="73"/>
    </row>
    <row r="712">
      <c r="A712" s="73"/>
      <c r="B712" s="73"/>
      <c r="C712" s="73"/>
      <c r="D712" s="73"/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B712" s="73"/>
      <c r="AC712" s="73"/>
      <c r="AD712" s="73"/>
      <c r="AE712" s="73"/>
      <c r="AF712" s="73"/>
      <c r="AG712" s="73"/>
      <c r="AH712" s="73"/>
      <c r="AI712" s="73"/>
      <c r="AJ712" s="73"/>
      <c r="AK712" s="73"/>
      <c r="AL712" s="73"/>
      <c r="AM712" s="73"/>
      <c r="AN712" s="73"/>
      <c r="AO712" s="73"/>
      <c r="AP712" s="73"/>
      <c r="AQ712" s="73"/>
      <c r="AR712" s="73"/>
      <c r="AS712" s="73"/>
      <c r="AT712" s="73"/>
      <c r="AU712" s="73"/>
      <c r="AV712" s="73"/>
      <c r="AW712" s="73"/>
      <c r="AX712" s="73"/>
      <c r="AY712" s="73"/>
      <c r="AZ712" s="73"/>
      <c r="BA712" s="73"/>
      <c r="BB712" s="73"/>
    </row>
    <row r="713">
      <c r="A713" s="73"/>
      <c r="B713" s="73"/>
      <c r="C713" s="73"/>
      <c r="D713" s="73"/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  <c r="AB713" s="73"/>
      <c r="AC713" s="73"/>
      <c r="AD713" s="73"/>
      <c r="AE713" s="73"/>
      <c r="AF713" s="73"/>
      <c r="AG713" s="73"/>
      <c r="AH713" s="73"/>
      <c r="AI713" s="73"/>
      <c r="AJ713" s="73"/>
      <c r="AK713" s="73"/>
      <c r="AL713" s="73"/>
      <c r="AM713" s="73"/>
      <c r="AN713" s="73"/>
      <c r="AO713" s="73"/>
      <c r="AP713" s="73"/>
      <c r="AQ713" s="73"/>
      <c r="AR713" s="73"/>
      <c r="AS713" s="73"/>
      <c r="AT713" s="73"/>
      <c r="AU713" s="73"/>
      <c r="AV713" s="73"/>
      <c r="AW713" s="73"/>
      <c r="AX713" s="73"/>
      <c r="AY713" s="73"/>
      <c r="AZ713" s="73"/>
      <c r="BA713" s="73"/>
      <c r="BB713" s="73"/>
    </row>
    <row r="714">
      <c r="A714" s="73"/>
      <c r="B714" s="73"/>
      <c r="C714" s="73"/>
      <c r="D714" s="73"/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  <c r="AB714" s="73"/>
      <c r="AC714" s="73"/>
      <c r="AD714" s="73"/>
      <c r="AE714" s="73"/>
      <c r="AF714" s="73"/>
      <c r="AG714" s="73"/>
      <c r="AH714" s="73"/>
      <c r="AI714" s="73"/>
      <c r="AJ714" s="73"/>
      <c r="AK714" s="73"/>
      <c r="AL714" s="73"/>
      <c r="AM714" s="73"/>
      <c r="AN714" s="73"/>
      <c r="AO714" s="73"/>
      <c r="AP714" s="73"/>
      <c r="AQ714" s="73"/>
      <c r="AR714" s="73"/>
      <c r="AS714" s="73"/>
      <c r="AT714" s="73"/>
      <c r="AU714" s="73"/>
      <c r="AV714" s="73"/>
      <c r="AW714" s="73"/>
      <c r="AX714" s="73"/>
      <c r="AY714" s="73"/>
      <c r="AZ714" s="73"/>
      <c r="BA714" s="73"/>
      <c r="BB714" s="73"/>
    </row>
    <row r="715">
      <c r="A715" s="73"/>
      <c r="B715" s="73"/>
      <c r="C715" s="73"/>
      <c r="D715" s="73"/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  <c r="AB715" s="73"/>
      <c r="AC715" s="73"/>
      <c r="AD715" s="73"/>
      <c r="AE715" s="73"/>
      <c r="AF715" s="73"/>
      <c r="AG715" s="73"/>
      <c r="AH715" s="73"/>
      <c r="AI715" s="73"/>
      <c r="AJ715" s="73"/>
      <c r="AK715" s="73"/>
      <c r="AL715" s="73"/>
      <c r="AM715" s="73"/>
      <c r="AN715" s="73"/>
      <c r="AO715" s="73"/>
      <c r="AP715" s="73"/>
      <c r="AQ715" s="73"/>
      <c r="AR715" s="73"/>
      <c r="AS715" s="73"/>
      <c r="AT715" s="73"/>
      <c r="AU715" s="73"/>
      <c r="AV715" s="73"/>
      <c r="AW715" s="73"/>
      <c r="AX715" s="73"/>
      <c r="AY715" s="73"/>
      <c r="AZ715" s="73"/>
      <c r="BA715" s="73"/>
      <c r="BB715" s="73"/>
    </row>
    <row r="716">
      <c r="A716" s="73"/>
      <c r="B716" s="73"/>
      <c r="C716" s="73"/>
      <c r="D716" s="73"/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  <c r="AB716" s="73"/>
      <c r="AC716" s="73"/>
      <c r="AD716" s="73"/>
      <c r="AE716" s="73"/>
      <c r="AF716" s="73"/>
      <c r="AG716" s="73"/>
      <c r="AH716" s="73"/>
      <c r="AI716" s="73"/>
      <c r="AJ716" s="73"/>
      <c r="AK716" s="73"/>
      <c r="AL716" s="73"/>
      <c r="AM716" s="73"/>
      <c r="AN716" s="73"/>
      <c r="AO716" s="73"/>
      <c r="AP716" s="73"/>
      <c r="AQ716" s="73"/>
      <c r="AR716" s="73"/>
      <c r="AS716" s="73"/>
      <c r="AT716" s="73"/>
      <c r="AU716" s="73"/>
      <c r="AV716" s="73"/>
      <c r="AW716" s="73"/>
      <c r="AX716" s="73"/>
      <c r="AY716" s="73"/>
      <c r="AZ716" s="73"/>
      <c r="BA716" s="73"/>
      <c r="BB716" s="73"/>
    </row>
    <row r="717">
      <c r="A717" s="73"/>
      <c r="B717" s="73"/>
      <c r="C717" s="73"/>
      <c r="D717" s="73"/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73"/>
      <c r="V717" s="73"/>
      <c r="W717" s="73"/>
      <c r="X717" s="73"/>
      <c r="Y717" s="73"/>
      <c r="Z717" s="73"/>
      <c r="AA717" s="73"/>
      <c r="AB717" s="73"/>
      <c r="AC717" s="73"/>
      <c r="AD717" s="73"/>
      <c r="AE717" s="73"/>
      <c r="AF717" s="73"/>
      <c r="AG717" s="73"/>
      <c r="AH717" s="73"/>
      <c r="AI717" s="73"/>
      <c r="AJ717" s="73"/>
      <c r="AK717" s="73"/>
      <c r="AL717" s="73"/>
      <c r="AM717" s="73"/>
      <c r="AN717" s="73"/>
      <c r="AO717" s="73"/>
      <c r="AP717" s="73"/>
      <c r="AQ717" s="73"/>
      <c r="AR717" s="73"/>
      <c r="AS717" s="73"/>
      <c r="AT717" s="73"/>
      <c r="AU717" s="73"/>
      <c r="AV717" s="73"/>
      <c r="AW717" s="73"/>
      <c r="AX717" s="73"/>
      <c r="AY717" s="73"/>
      <c r="AZ717" s="73"/>
      <c r="BA717" s="73"/>
      <c r="BB717" s="73"/>
    </row>
    <row r="718">
      <c r="A718" s="73"/>
      <c r="B718" s="73"/>
      <c r="C718" s="73"/>
      <c r="D718" s="73"/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/>
      <c r="AB718" s="73"/>
      <c r="AC718" s="73"/>
      <c r="AD718" s="73"/>
      <c r="AE718" s="73"/>
      <c r="AF718" s="73"/>
      <c r="AG718" s="73"/>
      <c r="AH718" s="73"/>
      <c r="AI718" s="73"/>
      <c r="AJ718" s="73"/>
      <c r="AK718" s="73"/>
      <c r="AL718" s="73"/>
      <c r="AM718" s="73"/>
      <c r="AN718" s="73"/>
      <c r="AO718" s="73"/>
      <c r="AP718" s="73"/>
      <c r="AQ718" s="73"/>
      <c r="AR718" s="73"/>
      <c r="AS718" s="73"/>
      <c r="AT718" s="73"/>
      <c r="AU718" s="73"/>
      <c r="AV718" s="73"/>
      <c r="AW718" s="73"/>
      <c r="AX718" s="73"/>
      <c r="AY718" s="73"/>
      <c r="AZ718" s="73"/>
      <c r="BA718" s="73"/>
      <c r="BB718" s="73"/>
    </row>
    <row r="719">
      <c r="A719" s="73"/>
      <c r="B719" s="73"/>
      <c r="C719" s="73"/>
      <c r="D719" s="73"/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/>
      <c r="AB719" s="73"/>
      <c r="AC719" s="73"/>
      <c r="AD719" s="73"/>
      <c r="AE719" s="73"/>
      <c r="AF719" s="73"/>
      <c r="AG719" s="73"/>
      <c r="AH719" s="73"/>
      <c r="AI719" s="73"/>
      <c r="AJ719" s="73"/>
      <c r="AK719" s="73"/>
      <c r="AL719" s="73"/>
      <c r="AM719" s="73"/>
      <c r="AN719" s="73"/>
      <c r="AO719" s="73"/>
      <c r="AP719" s="73"/>
      <c r="AQ719" s="73"/>
      <c r="AR719" s="73"/>
      <c r="AS719" s="73"/>
      <c r="AT719" s="73"/>
      <c r="AU719" s="73"/>
      <c r="AV719" s="73"/>
      <c r="AW719" s="73"/>
      <c r="AX719" s="73"/>
      <c r="AY719" s="73"/>
      <c r="AZ719" s="73"/>
      <c r="BA719" s="73"/>
      <c r="BB719" s="73"/>
    </row>
    <row r="720">
      <c r="A720" s="73"/>
      <c r="B720" s="73"/>
      <c r="C720" s="73"/>
      <c r="D720" s="73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73"/>
      <c r="U720" s="73"/>
      <c r="V720" s="73"/>
      <c r="W720" s="73"/>
      <c r="X720" s="73"/>
      <c r="Y720" s="73"/>
      <c r="Z720" s="73"/>
      <c r="AA720" s="73"/>
      <c r="AB720" s="73"/>
      <c r="AC720" s="73"/>
      <c r="AD720" s="73"/>
      <c r="AE720" s="73"/>
      <c r="AF720" s="73"/>
      <c r="AG720" s="73"/>
      <c r="AH720" s="73"/>
      <c r="AI720" s="73"/>
      <c r="AJ720" s="73"/>
      <c r="AK720" s="73"/>
      <c r="AL720" s="73"/>
      <c r="AM720" s="73"/>
      <c r="AN720" s="73"/>
      <c r="AO720" s="73"/>
      <c r="AP720" s="73"/>
      <c r="AQ720" s="73"/>
      <c r="AR720" s="73"/>
      <c r="AS720" s="73"/>
      <c r="AT720" s="73"/>
      <c r="AU720" s="73"/>
      <c r="AV720" s="73"/>
      <c r="AW720" s="73"/>
      <c r="AX720" s="73"/>
      <c r="AY720" s="73"/>
      <c r="AZ720" s="73"/>
      <c r="BA720" s="73"/>
      <c r="BB720" s="73"/>
    </row>
    <row r="721">
      <c r="A721" s="73"/>
      <c r="B721" s="73"/>
      <c r="C721" s="73"/>
      <c r="D721" s="73"/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  <c r="AE721" s="73"/>
      <c r="AF721" s="73"/>
      <c r="AG721" s="73"/>
      <c r="AH721" s="73"/>
      <c r="AI721" s="73"/>
      <c r="AJ721" s="73"/>
      <c r="AK721" s="73"/>
      <c r="AL721" s="73"/>
      <c r="AM721" s="73"/>
      <c r="AN721" s="73"/>
      <c r="AO721" s="73"/>
      <c r="AP721" s="73"/>
      <c r="AQ721" s="73"/>
      <c r="AR721" s="73"/>
      <c r="AS721" s="73"/>
      <c r="AT721" s="73"/>
      <c r="AU721" s="73"/>
      <c r="AV721" s="73"/>
      <c r="AW721" s="73"/>
      <c r="AX721" s="73"/>
      <c r="AY721" s="73"/>
      <c r="AZ721" s="73"/>
      <c r="BA721" s="73"/>
      <c r="BB721" s="73"/>
    </row>
    <row r="722">
      <c r="A722" s="73"/>
      <c r="B722" s="73"/>
      <c r="C722" s="73"/>
      <c r="D722" s="73"/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  <c r="AE722" s="73"/>
      <c r="AF722" s="73"/>
      <c r="AG722" s="73"/>
      <c r="AH722" s="73"/>
      <c r="AI722" s="73"/>
      <c r="AJ722" s="73"/>
      <c r="AK722" s="73"/>
      <c r="AL722" s="73"/>
      <c r="AM722" s="73"/>
      <c r="AN722" s="73"/>
      <c r="AO722" s="73"/>
      <c r="AP722" s="73"/>
      <c r="AQ722" s="73"/>
      <c r="AR722" s="73"/>
      <c r="AS722" s="73"/>
      <c r="AT722" s="73"/>
      <c r="AU722" s="73"/>
      <c r="AV722" s="73"/>
      <c r="AW722" s="73"/>
      <c r="AX722" s="73"/>
      <c r="AY722" s="73"/>
      <c r="AZ722" s="73"/>
      <c r="BA722" s="73"/>
      <c r="BB722" s="73"/>
    </row>
    <row r="723">
      <c r="A723" s="73"/>
      <c r="B723" s="73"/>
      <c r="C723" s="73"/>
      <c r="D723" s="73"/>
      <c r="E723" s="73"/>
      <c r="F723" s="73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73"/>
      <c r="U723" s="73"/>
      <c r="V723" s="73"/>
      <c r="W723" s="73"/>
      <c r="X723" s="73"/>
      <c r="Y723" s="73"/>
      <c r="Z723" s="73"/>
      <c r="AA723" s="73"/>
      <c r="AB723" s="73"/>
      <c r="AC723" s="73"/>
      <c r="AD723" s="73"/>
      <c r="AE723" s="73"/>
      <c r="AF723" s="73"/>
      <c r="AG723" s="73"/>
      <c r="AH723" s="73"/>
      <c r="AI723" s="73"/>
      <c r="AJ723" s="73"/>
      <c r="AK723" s="73"/>
      <c r="AL723" s="73"/>
      <c r="AM723" s="73"/>
      <c r="AN723" s="73"/>
      <c r="AO723" s="73"/>
      <c r="AP723" s="73"/>
      <c r="AQ723" s="73"/>
      <c r="AR723" s="73"/>
      <c r="AS723" s="73"/>
      <c r="AT723" s="73"/>
      <c r="AU723" s="73"/>
      <c r="AV723" s="73"/>
      <c r="AW723" s="73"/>
      <c r="AX723" s="73"/>
      <c r="AY723" s="73"/>
      <c r="AZ723" s="73"/>
      <c r="BA723" s="73"/>
      <c r="BB723" s="73"/>
    </row>
    <row r="724">
      <c r="A724" s="73"/>
      <c r="B724" s="73"/>
      <c r="C724" s="73"/>
      <c r="D724" s="73"/>
      <c r="E724" s="73"/>
      <c r="F724" s="73"/>
      <c r="G724" s="73"/>
      <c r="H724" s="73"/>
      <c r="I724" s="73"/>
      <c r="J724" s="73"/>
      <c r="K724" s="73"/>
      <c r="L724" s="73"/>
      <c r="M724" s="73"/>
      <c r="N724" s="73"/>
      <c r="O724" s="73"/>
      <c r="P724" s="73"/>
      <c r="Q724" s="73"/>
      <c r="R724" s="73"/>
      <c r="S724" s="73"/>
      <c r="T724" s="73"/>
      <c r="U724" s="73"/>
      <c r="V724" s="73"/>
      <c r="W724" s="73"/>
      <c r="X724" s="73"/>
      <c r="Y724" s="73"/>
      <c r="Z724" s="73"/>
      <c r="AA724" s="73"/>
      <c r="AB724" s="73"/>
      <c r="AC724" s="73"/>
      <c r="AD724" s="73"/>
      <c r="AE724" s="73"/>
      <c r="AF724" s="73"/>
      <c r="AG724" s="73"/>
      <c r="AH724" s="73"/>
      <c r="AI724" s="73"/>
      <c r="AJ724" s="73"/>
      <c r="AK724" s="73"/>
      <c r="AL724" s="73"/>
      <c r="AM724" s="73"/>
      <c r="AN724" s="73"/>
      <c r="AO724" s="73"/>
      <c r="AP724" s="73"/>
      <c r="AQ724" s="73"/>
      <c r="AR724" s="73"/>
      <c r="AS724" s="73"/>
      <c r="AT724" s="73"/>
      <c r="AU724" s="73"/>
      <c r="AV724" s="73"/>
      <c r="AW724" s="73"/>
      <c r="AX724" s="73"/>
      <c r="AY724" s="73"/>
      <c r="AZ724" s="73"/>
      <c r="BA724" s="73"/>
      <c r="BB724" s="73"/>
    </row>
    <row r="725">
      <c r="A725" s="73"/>
      <c r="B725" s="73"/>
      <c r="C725" s="73"/>
      <c r="D725" s="73"/>
      <c r="E725" s="73"/>
      <c r="F725" s="73"/>
      <c r="G725" s="73"/>
      <c r="H725" s="73"/>
      <c r="I725" s="73"/>
      <c r="J725" s="73"/>
      <c r="K725" s="73"/>
      <c r="L725" s="73"/>
      <c r="M725" s="73"/>
      <c r="N725" s="73"/>
      <c r="O725" s="73"/>
      <c r="P725" s="73"/>
      <c r="Q725" s="73"/>
      <c r="R725" s="73"/>
      <c r="S725" s="73"/>
      <c r="T725" s="73"/>
      <c r="U725" s="73"/>
      <c r="V725" s="73"/>
      <c r="W725" s="73"/>
      <c r="X725" s="73"/>
      <c r="Y725" s="73"/>
      <c r="Z725" s="73"/>
      <c r="AA725" s="73"/>
      <c r="AB725" s="73"/>
      <c r="AC725" s="73"/>
      <c r="AD725" s="73"/>
      <c r="AE725" s="73"/>
      <c r="AF725" s="73"/>
      <c r="AG725" s="73"/>
      <c r="AH725" s="73"/>
      <c r="AI725" s="73"/>
      <c r="AJ725" s="73"/>
      <c r="AK725" s="73"/>
      <c r="AL725" s="73"/>
      <c r="AM725" s="73"/>
      <c r="AN725" s="73"/>
      <c r="AO725" s="73"/>
      <c r="AP725" s="73"/>
      <c r="AQ725" s="73"/>
      <c r="AR725" s="73"/>
      <c r="AS725" s="73"/>
      <c r="AT725" s="73"/>
      <c r="AU725" s="73"/>
      <c r="AV725" s="73"/>
      <c r="AW725" s="73"/>
      <c r="AX725" s="73"/>
      <c r="AY725" s="73"/>
      <c r="AZ725" s="73"/>
      <c r="BA725" s="73"/>
      <c r="BB725" s="73"/>
    </row>
    <row r="726">
      <c r="A726" s="73"/>
      <c r="B726" s="73"/>
      <c r="C726" s="73"/>
      <c r="D726" s="73"/>
      <c r="E726" s="73"/>
      <c r="F726" s="73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73"/>
      <c r="U726" s="73"/>
      <c r="V726" s="73"/>
      <c r="W726" s="73"/>
      <c r="X726" s="73"/>
      <c r="Y726" s="73"/>
      <c r="Z726" s="73"/>
      <c r="AA726" s="73"/>
      <c r="AB726" s="73"/>
      <c r="AC726" s="73"/>
      <c r="AD726" s="73"/>
      <c r="AE726" s="73"/>
      <c r="AF726" s="73"/>
      <c r="AG726" s="73"/>
      <c r="AH726" s="73"/>
      <c r="AI726" s="73"/>
      <c r="AJ726" s="73"/>
      <c r="AK726" s="73"/>
      <c r="AL726" s="73"/>
      <c r="AM726" s="73"/>
      <c r="AN726" s="73"/>
      <c r="AO726" s="73"/>
      <c r="AP726" s="73"/>
      <c r="AQ726" s="73"/>
      <c r="AR726" s="73"/>
      <c r="AS726" s="73"/>
      <c r="AT726" s="73"/>
      <c r="AU726" s="73"/>
      <c r="AV726" s="73"/>
      <c r="AW726" s="73"/>
      <c r="AX726" s="73"/>
      <c r="AY726" s="73"/>
      <c r="AZ726" s="73"/>
      <c r="BA726" s="73"/>
      <c r="BB726" s="73"/>
    </row>
    <row r="727">
      <c r="A727" s="73"/>
      <c r="B727" s="73"/>
      <c r="C727" s="73"/>
      <c r="D727" s="73"/>
      <c r="E727" s="73"/>
      <c r="F727" s="73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73"/>
      <c r="U727" s="73"/>
      <c r="V727" s="73"/>
      <c r="W727" s="73"/>
      <c r="X727" s="73"/>
      <c r="Y727" s="73"/>
      <c r="Z727" s="73"/>
      <c r="AA727" s="73"/>
      <c r="AB727" s="73"/>
      <c r="AC727" s="73"/>
      <c r="AD727" s="73"/>
      <c r="AE727" s="73"/>
      <c r="AF727" s="73"/>
      <c r="AG727" s="73"/>
      <c r="AH727" s="73"/>
      <c r="AI727" s="73"/>
      <c r="AJ727" s="73"/>
      <c r="AK727" s="73"/>
      <c r="AL727" s="73"/>
      <c r="AM727" s="73"/>
      <c r="AN727" s="73"/>
      <c r="AO727" s="73"/>
      <c r="AP727" s="73"/>
      <c r="AQ727" s="73"/>
      <c r="AR727" s="73"/>
      <c r="AS727" s="73"/>
      <c r="AT727" s="73"/>
      <c r="AU727" s="73"/>
      <c r="AV727" s="73"/>
      <c r="AW727" s="73"/>
      <c r="AX727" s="73"/>
      <c r="AY727" s="73"/>
      <c r="AZ727" s="73"/>
      <c r="BA727" s="73"/>
      <c r="BB727" s="73"/>
    </row>
    <row r="728">
      <c r="A728" s="73"/>
      <c r="B728" s="73"/>
      <c r="C728" s="73"/>
      <c r="D728" s="73"/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  <c r="AE728" s="73"/>
      <c r="AF728" s="73"/>
      <c r="AG728" s="73"/>
      <c r="AH728" s="73"/>
      <c r="AI728" s="73"/>
      <c r="AJ728" s="73"/>
      <c r="AK728" s="73"/>
      <c r="AL728" s="73"/>
      <c r="AM728" s="73"/>
      <c r="AN728" s="73"/>
      <c r="AO728" s="73"/>
      <c r="AP728" s="73"/>
      <c r="AQ728" s="73"/>
      <c r="AR728" s="73"/>
      <c r="AS728" s="73"/>
      <c r="AT728" s="73"/>
      <c r="AU728" s="73"/>
      <c r="AV728" s="73"/>
      <c r="AW728" s="73"/>
      <c r="AX728" s="73"/>
      <c r="AY728" s="73"/>
      <c r="AZ728" s="73"/>
      <c r="BA728" s="73"/>
      <c r="BB728" s="73"/>
    </row>
    <row r="729">
      <c r="A729" s="73"/>
      <c r="B729" s="73"/>
      <c r="C729" s="73"/>
      <c r="D729" s="73"/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  <c r="AE729" s="73"/>
      <c r="AF729" s="73"/>
      <c r="AG729" s="73"/>
      <c r="AH729" s="73"/>
      <c r="AI729" s="73"/>
      <c r="AJ729" s="73"/>
      <c r="AK729" s="73"/>
      <c r="AL729" s="73"/>
      <c r="AM729" s="73"/>
      <c r="AN729" s="73"/>
      <c r="AO729" s="73"/>
      <c r="AP729" s="73"/>
      <c r="AQ729" s="73"/>
      <c r="AR729" s="73"/>
      <c r="AS729" s="73"/>
      <c r="AT729" s="73"/>
      <c r="AU729" s="73"/>
      <c r="AV729" s="73"/>
      <c r="AW729" s="73"/>
      <c r="AX729" s="73"/>
      <c r="AY729" s="73"/>
      <c r="AZ729" s="73"/>
      <c r="BA729" s="73"/>
      <c r="BB729" s="73"/>
    </row>
    <row r="730">
      <c r="A730" s="73"/>
      <c r="B730" s="73"/>
      <c r="C730" s="73"/>
      <c r="D730" s="73"/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  <c r="AE730" s="73"/>
      <c r="AF730" s="73"/>
      <c r="AG730" s="73"/>
      <c r="AH730" s="73"/>
      <c r="AI730" s="73"/>
      <c r="AJ730" s="73"/>
      <c r="AK730" s="73"/>
      <c r="AL730" s="73"/>
      <c r="AM730" s="73"/>
      <c r="AN730" s="73"/>
      <c r="AO730" s="73"/>
      <c r="AP730" s="73"/>
      <c r="AQ730" s="73"/>
      <c r="AR730" s="73"/>
      <c r="AS730" s="73"/>
      <c r="AT730" s="73"/>
      <c r="AU730" s="73"/>
      <c r="AV730" s="73"/>
      <c r="AW730" s="73"/>
      <c r="AX730" s="73"/>
      <c r="AY730" s="73"/>
      <c r="AZ730" s="73"/>
      <c r="BA730" s="73"/>
      <c r="BB730" s="73"/>
    </row>
    <row r="731">
      <c r="A731" s="73"/>
      <c r="B731" s="73"/>
      <c r="C731" s="73"/>
      <c r="D731" s="73"/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  <c r="AE731" s="73"/>
      <c r="AF731" s="73"/>
      <c r="AG731" s="73"/>
      <c r="AH731" s="73"/>
      <c r="AI731" s="73"/>
      <c r="AJ731" s="73"/>
      <c r="AK731" s="73"/>
      <c r="AL731" s="73"/>
      <c r="AM731" s="73"/>
      <c r="AN731" s="73"/>
      <c r="AO731" s="73"/>
      <c r="AP731" s="73"/>
      <c r="AQ731" s="73"/>
      <c r="AR731" s="73"/>
      <c r="AS731" s="73"/>
      <c r="AT731" s="73"/>
      <c r="AU731" s="73"/>
      <c r="AV731" s="73"/>
      <c r="AW731" s="73"/>
      <c r="AX731" s="73"/>
      <c r="AY731" s="73"/>
      <c r="AZ731" s="73"/>
      <c r="BA731" s="73"/>
      <c r="BB731" s="73"/>
    </row>
    <row r="732">
      <c r="A732" s="73"/>
      <c r="B732" s="73"/>
      <c r="C732" s="73"/>
      <c r="D732" s="73"/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  <c r="AE732" s="73"/>
      <c r="AF732" s="73"/>
      <c r="AG732" s="73"/>
      <c r="AH732" s="73"/>
      <c r="AI732" s="73"/>
      <c r="AJ732" s="73"/>
      <c r="AK732" s="73"/>
      <c r="AL732" s="73"/>
      <c r="AM732" s="73"/>
      <c r="AN732" s="73"/>
      <c r="AO732" s="73"/>
      <c r="AP732" s="73"/>
      <c r="AQ732" s="73"/>
      <c r="AR732" s="73"/>
      <c r="AS732" s="73"/>
      <c r="AT732" s="73"/>
      <c r="AU732" s="73"/>
      <c r="AV732" s="73"/>
      <c r="AW732" s="73"/>
      <c r="AX732" s="73"/>
      <c r="AY732" s="73"/>
      <c r="AZ732" s="73"/>
      <c r="BA732" s="73"/>
      <c r="BB732" s="73"/>
    </row>
    <row r="733">
      <c r="A733" s="73"/>
      <c r="B733" s="73"/>
      <c r="C733" s="73"/>
      <c r="D733" s="73"/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  <c r="AE733" s="73"/>
      <c r="AF733" s="73"/>
      <c r="AG733" s="73"/>
      <c r="AH733" s="73"/>
      <c r="AI733" s="73"/>
      <c r="AJ733" s="73"/>
      <c r="AK733" s="73"/>
      <c r="AL733" s="73"/>
      <c r="AM733" s="73"/>
      <c r="AN733" s="73"/>
      <c r="AO733" s="73"/>
      <c r="AP733" s="73"/>
      <c r="AQ733" s="73"/>
      <c r="AR733" s="73"/>
      <c r="AS733" s="73"/>
      <c r="AT733" s="73"/>
      <c r="AU733" s="73"/>
      <c r="AV733" s="73"/>
      <c r="AW733" s="73"/>
      <c r="AX733" s="73"/>
      <c r="AY733" s="73"/>
      <c r="AZ733" s="73"/>
      <c r="BA733" s="73"/>
      <c r="BB733" s="73"/>
    </row>
    <row r="734">
      <c r="A734" s="73"/>
      <c r="B734" s="73"/>
      <c r="C734" s="73"/>
      <c r="D734" s="73"/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  <c r="AE734" s="73"/>
      <c r="AF734" s="73"/>
      <c r="AG734" s="73"/>
      <c r="AH734" s="73"/>
      <c r="AI734" s="73"/>
      <c r="AJ734" s="73"/>
      <c r="AK734" s="73"/>
      <c r="AL734" s="73"/>
      <c r="AM734" s="73"/>
      <c r="AN734" s="73"/>
      <c r="AO734" s="73"/>
      <c r="AP734" s="73"/>
      <c r="AQ734" s="73"/>
      <c r="AR734" s="73"/>
      <c r="AS734" s="73"/>
      <c r="AT734" s="73"/>
      <c r="AU734" s="73"/>
      <c r="AV734" s="73"/>
      <c r="AW734" s="73"/>
      <c r="AX734" s="73"/>
      <c r="AY734" s="73"/>
      <c r="AZ734" s="73"/>
      <c r="BA734" s="73"/>
      <c r="BB734" s="73"/>
    </row>
    <row r="735">
      <c r="A735" s="73"/>
      <c r="B735" s="73"/>
      <c r="C735" s="73"/>
      <c r="D735" s="73"/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  <c r="AE735" s="73"/>
      <c r="AF735" s="73"/>
      <c r="AG735" s="73"/>
      <c r="AH735" s="73"/>
      <c r="AI735" s="73"/>
      <c r="AJ735" s="73"/>
      <c r="AK735" s="73"/>
      <c r="AL735" s="73"/>
      <c r="AM735" s="73"/>
      <c r="AN735" s="73"/>
      <c r="AO735" s="73"/>
      <c r="AP735" s="73"/>
      <c r="AQ735" s="73"/>
      <c r="AR735" s="73"/>
      <c r="AS735" s="73"/>
      <c r="AT735" s="73"/>
      <c r="AU735" s="73"/>
      <c r="AV735" s="73"/>
      <c r="AW735" s="73"/>
      <c r="AX735" s="73"/>
      <c r="AY735" s="73"/>
      <c r="AZ735" s="73"/>
      <c r="BA735" s="73"/>
      <c r="BB735" s="73"/>
    </row>
    <row r="736">
      <c r="A736" s="73"/>
      <c r="B736" s="73"/>
      <c r="C736" s="73"/>
      <c r="D736" s="73"/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  <c r="AE736" s="73"/>
      <c r="AF736" s="73"/>
      <c r="AG736" s="73"/>
      <c r="AH736" s="73"/>
      <c r="AI736" s="73"/>
      <c r="AJ736" s="73"/>
      <c r="AK736" s="73"/>
      <c r="AL736" s="73"/>
      <c r="AM736" s="73"/>
      <c r="AN736" s="73"/>
      <c r="AO736" s="73"/>
      <c r="AP736" s="73"/>
      <c r="AQ736" s="73"/>
      <c r="AR736" s="73"/>
      <c r="AS736" s="73"/>
      <c r="AT736" s="73"/>
      <c r="AU736" s="73"/>
      <c r="AV736" s="73"/>
      <c r="AW736" s="73"/>
      <c r="AX736" s="73"/>
      <c r="AY736" s="73"/>
      <c r="AZ736" s="73"/>
      <c r="BA736" s="73"/>
      <c r="BB736" s="73"/>
    </row>
    <row r="737">
      <c r="A737" s="73"/>
      <c r="B737" s="73"/>
      <c r="C737" s="73"/>
      <c r="D737" s="73"/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  <c r="AE737" s="73"/>
      <c r="AF737" s="73"/>
      <c r="AG737" s="73"/>
      <c r="AH737" s="73"/>
      <c r="AI737" s="73"/>
      <c r="AJ737" s="73"/>
      <c r="AK737" s="73"/>
      <c r="AL737" s="73"/>
      <c r="AM737" s="73"/>
      <c r="AN737" s="73"/>
      <c r="AO737" s="73"/>
      <c r="AP737" s="73"/>
      <c r="AQ737" s="73"/>
      <c r="AR737" s="73"/>
      <c r="AS737" s="73"/>
      <c r="AT737" s="73"/>
      <c r="AU737" s="73"/>
      <c r="AV737" s="73"/>
      <c r="AW737" s="73"/>
      <c r="AX737" s="73"/>
      <c r="AY737" s="73"/>
      <c r="AZ737" s="73"/>
      <c r="BA737" s="73"/>
      <c r="BB737" s="73"/>
    </row>
    <row r="738">
      <c r="A738" s="73"/>
      <c r="B738" s="73"/>
      <c r="C738" s="73"/>
      <c r="D738" s="73"/>
      <c r="E738" s="73"/>
      <c r="F738" s="73"/>
      <c r="G738" s="73"/>
      <c r="H738" s="73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73"/>
      <c r="U738" s="73"/>
      <c r="V738" s="73"/>
      <c r="W738" s="73"/>
      <c r="X738" s="73"/>
      <c r="Y738" s="73"/>
      <c r="Z738" s="73"/>
      <c r="AA738" s="73"/>
      <c r="AB738" s="73"/>
      <c r="AC738" s="73"/>
      <c r="AD738" s="73"/>
      <c r="AE738" s="73"/>
      <c r="AF738" s="73"/>
      <c r="AG738" s="73"/>
      <c r="AH738" s="73"/>
      <c r="AI738" s="73"/>
      <c r="AJ738" s="73"/>
      <c r="AK738" s="73"/>
      <c r="AL738" s="73"/>
      <c r="AM738" s="73"/>
      <c r="AN738" s="73"/>
      <c r="AO738" s="73"/>
      <c r="AP738" s="73"/>
      <c r="AQ738" s="73"/>
      <c r="AR738" s="73"/>
      <c r="AS738" s="73"/>
      <c r="AT738" s="73"/>
      <c r="AU738" s="73"/>
      <c r="AV738" s="73"/>
      <c r="AW738" s="73"/>
      <c r="AX738" s="73"/>
      <c r="AY738" s="73"/>
      <c r="AZ738" s="73"/>
      <c r="BA738" s="73"/>
      <c r="BB738" s="73"/>
    </row>
    <row r="739">
      <c r="A739" s="73"/>
      <c r="B739" s="73"/>
      <c r="C739" s="73"/>
      <c r="D739" s="73"/>
      <c r="E739" s="73"/>
      <c r="F739" s="73"/>
      <c r="G739" s="73"/>
      <c r="H739" s="73"/>
      <c r="I739" s="73"/>
      <c r="J739" s="73"/>
      <c r="K739" s="73"/>
      <c r="L739" s="73"/>
      <c r="M739" s="73"/>
      <c r="N739" s="73"/>
      <c r="O739" s="73"/>
      <c r="P739" s="73"/>
      <c r="Q739" s="73"/>
      <c r="R739" s="73"/>
      <c r="S739" s="73"/>
      <c r="T739" s="73"/>
      <c r="U739" s="73"/>
      <c r="V739" s="73"/>
      <c r="W739" s="73"/>
      <c r="X739" s="73"/>
      <c r="Y739" s="73"/>
      <c r="Z739" s="73"/>
      <c r="AA739" s="73"/>
      <c r="AB739" s="73"/>
      <c r="AC739" s="73"/>
      <c r="AD739" s="73"/>
      <c r="AE739" s="73"/>
      <c r="AF739" s="73"/>
      <c r="AG739" s="73"/>
      <c r="AH739" s="73"/>
      <c r="AI739" s="73"/>
      <c r="AJ739" s="73"/>
      <c r="AK739" s="73"/>
      <c r="AL739" s="73"/>
      <c r="AM739" s="73"/>
      <c r="AN739" s="73"/>
      <c r="AO739" s="73"/>
      <c r="AP739" s="73"/>
      <c r="AQ739" s="73"/>
      <c r="AR739" s="73"/>
      <c r="AS739" s="73"/>
      <c r="AT739" s="73"/>
      <c r="AU739" s="73"/>
      <c r="AV739" s="73"/>
      <c r="AW739" s="73"/>
      <c r="AX739" s="73"/>
      <c r="AY739" s="73"/>
      <c r="AZ739" s="73"/>
      <c r="BA739" s="73"/>
      <c r="BB739" s="73"/>
    </row>
    <row r="740">
      <c r="A740" s="73"/>
      <c r="B740" s="73"/>
      <c r="C740" s="73"/>
      <c r="D740" s="73"/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  <c r="AD740" s="73"/>
      <c r="AE740" s="73"/>
      <c r="AF740" s="73"/>
      <c r="AG740" s="73"/>
      <c r="AH740" s="73"/>
      <c r="AI740" s="73"/>
      <c r="AJ740" s="73"/>
      <c r="AK740" s="73"/>
      <c r="AL740" s="73"/>
      <c r="AM740" s="73"/>
      <c r="AN740" s="73"/>
      <c r="AO740" s="73"/>
      <c r="AP740" s="73"/>
      <c r="AQ740" s="73"/>
      <c r="AR740" s="73"/>
      <c r="AS740" s="73"/>
      <c r="AT740" s="73"/>
      <c r="AU740" s="73"/>
      <c r="AV740" s="73"/>
      <c r="AW740" s="73"/>
      <c r="AX740" s="73"/>
      <c r="AY740" s="73"/>
      <c r="AZ740" s="73"/>
      <c r="BA740" s="73"/>
      <c r="BB740" s="73"/>
    </row>
    <row r="741">
      <c r="A741" s="73"/>
      <c r="B741" s="73"/>
      <c r="C741" s="73"/>
      <c r="D741" s="73"/>
      <c r="E741" s="73"/>
      <c r="F741" s="73"/>
      <c r="G741" s="73"/>
      <c r="H741" s="73"/>
      <c r="I741" s="73"/>
      <c r="J741" s="73"/>
      <c r="K741" s="73"/>
      <c r="L741" s="73"/>
      <c r="M741" s="73"/>
      <c r="N741" s="73"/>
      <c r="O741" s="73"/>
      <c r="P741" s="73"/>
      <c r="Q741" s="73"/>
      <c r="R741" s="73"/>
      <c r="S741" s="73"/>
      <c r="T741" s="73"/>
      <c r="U741" s="73"/>
      <c r="V741" s="73"/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  <c r="AG741" s="73"/>
      <c r="AH741" s="73"/>
      <c r="AI741" s="73"/>
      <c r="AJ741" s="73"/>
      <c r="AK741" s="73"/>
      <c r="AL741" s="73"/>
      <c r="AM741" s="73"/>
      <c r="AN741" s="73"/>
      <c r="AO741" s="73"/>
      <c r="AP741" s="73"/>
      <c r="AQ741" s="73"/>
      <c r="AR741" s="73"/>
      <c r="AS741" s="73"/>
      <c r="AT741" s="73"/>
      <c r="AU741" s="73"/>
      <c r="AV741" s="73"/>
      <c r="AW741" s="73"/>
      <c r="AX741" s="73"/>
      <c r="AY741" s="73"/>
      <c r="AZ741" s="73"/>
      <c r="BA741" s="73"/>
      <c r="BB741" s="73"/>
    </row>
    <row r="742">
      <c r="A742" s="73"/>
      <c r="B742" s="73"/>
      <c r="C742" s="73"/>
      <c r="D742" s="73"/>
      <c r="E742" s="73"/>
      <c r="F742" s="73"/>
      <c r="G742" s="73"/>
      <c r="H742" s="73"/>
      <c r="I742" s="73"/>
      <c r="J742" s="73"/>
      <c r="K742" s="73"/>
      <c r="L742" s="73"/>
      <c r="M742" s="73"/>
      <c r="N742" s="73"/>
      <c r="O742" s="73"/>
      <c r="P742" s="73"/>
      <c r="Q742" s="73"/>
      <c r="R742" s="73"/>
      <c r="S742" s="73"/>
      <c r="T742" s="73"/>
      <c r="U742" s="73"/>
      <c r="V742" s="73"/>
      <c r="W742" s="73"/>
      <c r="X742" s="73"/>
      <c r="Y742" s="73"/>
      <c r="Z742" s="73"/>
      <c r="AA742" s="73"/>
      <c r="AB742" s="73"/>
      <c r="AC742" s="73"/>
      <c r="AD742" s="73"/>
      <c r="AE742" s="73"/>
      <c r="AF742" s="73"/>
      <c r="AG742" s="73"/>
      <c r="AH742" s="73"/>
      <c r="AI742" s="73"/>
      <c r="AJ742" s="73"/>
      <c r="AK742" s="73"/>
      <c r="AL742" s="73"/>
      <c r="AM742" s="73"/>
      <c r="AN742" s="73"/>
      <c r="AO742" s="73"/>
      <c r="AP742" s="73"/>
      <c r="AQ742" s="73"/>
      <c r="AR742" s="73"/>
      <c r="AS742" s="73"/>
      <c r="AT742" s="73"/>
      <c r="AU742" s="73"/>
      <c r="AV742" s="73"/>
      <c r="AW742" s="73"/>
      <c r="AX742" s="73"/>
      <c r="AY742" s="73"/>
      <c r="AZ742" s="73"/>
      <c r="BA742" s="73"/>
      <c r="BB742" s="73"/>
    </row>
    <row r="743">
      <c r="A743" s="73"/>
      <c r="B743" s="73"/>
      <c r="C743" s="73"/>
      <c r="D743" s="73"/>
      <c r="E743" s="73"/>
      <c r="F743" s="73"/>
      <c r="G743" s="73"/>
      <c r="H743" s="73"/>
      <c r="I743" s="73"/>
      <c r="J743" s="73"/>
      <c r="K743" s="73"/>
      <c r="L743" s="73"/>
      <c r="M743" s="73"/>
      <c r="N743" s="73"/>
      <c r="O743" s="73"/>
      <c r="P743" s="73"/>
      <c r="Q743" s="73"/>
      <c r="R743" s="73"/>
      <c r="S743" s="73"/>
      <c r="T743" s="73"/>
      <c r="U743" s="73"/>
      <c r="V743" s="73"/>
      <c r="W743" s="73"/>
      <c r="X743" s="73"/>
      <c r="Y743" s="73"/>
      <c r="Z743" s="73"/>
      <c r="AA743" s="73"/>
      <c r="AB743" s="73"/>
      <c r="AC743" s="73"/>
      <c r="AD743" s="73"/>
      <c r="AE743" s="73"/>
      <c r="AF743" s="73"/>
      <c r="AG743" s="73"/>
      <c r="AH743" s="73"/>
      <c r="AI743" s="73"/>
      <c r="AJ743" s="73"/>
      <c r="AK743" s="73"/>
      <c r="AL743" s="73"/>
      <c r="AM743" s="73"/>
      <c r="AN743" s="73"/>
      <c r="AO743" s="73"/>
      <c r="AP743" s="73"/>
      <c r="AQ743" s="73"/>
      <c r="AR743" s="73"/>
      <c r="AS743" s="73"/>
      <c r="AT743" s="73"/>
      <c r="AU743" s="73"/>
      <c r="AV743" s="73"/>
      <c r="AW743" s="73"/>
      <c r="AX743" s="73"/>
      <c r="AY743" s="73"/>
      <c r="AZ743" s="73"/>
      <c r="BA743" s="73"/>
      <c r="BB743" s="73"/>
    </row>
    <row r="744">
      <c r="A744" s="73"/>
      <c r="B744" s="73"/>
      <c r="C744" s="73"/>
      <c r="D744" s="73"/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73"/>
      <c r="U744" s="73"/>
      <c r="V744" s="73"/>
      <c r="W744" s="73"/>
      <c r="X744" s="73"/>
      <c r="Y744" s="73"/>
      <c r="Z744" s="73"/>
      <c r="AA744" s="73"/>
      <c r="AB744" s="73"/>
      <c r="AC744" s="73"/>
      <c r="AD744" s="73"/>
      <c r="AE744" s="73"/>
      <c r="AF744" s="73"/>
      <c r="AG744" s="73"/>
      <c r="AH744" s="73"/>
      <c r="AI744" s="73"/>
      <c r="AJ744" s="73"/>
      <c r="AK744" s="73"/>
      <c r="AL744" s="73"/>
      <c r="AM744" s="73"/>
      <c r="AN744" s="73"/>
      <c r="AO744" s="73"/>
      <c r="AP744" s="73"/>
      <c r="AQ744" s="73"/>
      <c r="AR744" s="73"/>
      <c r="AS744" s="73"/>
      <c r="AT744" s="73"/>
      <c r="AU744" s="73"/>
      <c r="AV744" s="73"/>
      <c r="AW744" s="73"/>
      <c r="AX744" s="73"/>
      <c r="AY744" s="73"/>
      <c r="AZ744" s="73"/>
      <c r="BA744" s="73"/>
      <c r="BB744" s="73"/>
    </row>
    <row r="745">
      <c r="A745" s="73"/>
      <c r="B745" s="73"/>
      <c r="C745" s="73"/>
      <c r="D745" s="73"/>
      <c r="E745" s="73"/>
      <c r="F745" s="73"/>
      <c r="G745" s="73"/>
      <c r="H745" s="73"/>
      <c r="I745" s="73"/>
      <c r="J745" s="73"/>
      <c r="K745" s="73"/>
      <c r="L745" s="73"/>
      <c r="M745" s="73"/>
      <c r="N745" s="73"/>
      <c r="O745" s="73"/>
      <c r="P745" s="73"/>
      <c r="Q745" s="73"/>
      <c r="R745" s="73"/>
      <c r="S745" s="73"/>
      <c r="T745" s="73"/>
      <c r="U745" s="73"/>
      <c r="V745" s="73"/>
      <c r="W745" s="73"/>
      <c r="X745" s="73"/>
      <c r="Y745" s="73"/>
      <c r="Z745" s="73"/>
      <c r="AA745" s="73"/>
      <c r="AB745" s="73"/>
      <c r="AC745" s="73"/>
      <c r="AD745" s="73"/>
      <c r="AE745" s="73"/>
      <c r="AF745" s="73"/>
      <c r="AG745" s="73"/>
      <c r="AH745" s="73"/>
      <c r="AI745" s="73"/>
      <c r="AJ745" s="73"/>
      <c r="AK745" s="73"/>
      <c r="AL745" s="73"/>
      <c r="AM745" s="73"/>
      <c r="AN745" s="73"/>
      <c r="AO745" s="73"/>
      <c r="AP745" s="73"/>
      <c r="AQ745" s="73"/>
      <c r="AR745" s="73"/>
      <c r="AS745" s="73"/>
      <c r="AT745" s="73"/>
      <c r="AU745" s="73"/>
      <c r="AV745" s="73"/>
      <c r="AW745" s="73"/>
      <c r="AX745" s="73"/>
      <c r="AY745" s="73"/>
      <c r="AZ745" s="73"/>
      <c r="BA745" s="73"/>
      <c r="BB745" s="73"/>
    </row>
    <row r="746">
      <c r="A746" s="73"/>
      <c r="B746" s="73"/>
      <c r="C746" s="73"/>
      <c r="D746" s="73"/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  <c r="AD746" s="73"/>
      <c r="AE746" s="73"/>
      <c r="AF746" s="73"/>
      <c r="AG746" s="73"/>
      <c r="AH746" s="73"/>
      <c r="AI746" s="73"/>
      <c r="AJ746" s="73"/>
      <c r="AK746" s="73"/>
      <c r="AL746" s="73"/>
      <c r="AM746" s="73"/>
      <c r="AN746" s="73"/>
      <c r="AO746" s="73"/>
      <c r="AP746" s="73"/>
      <c r="AQ746" s="73"/>
      <c r="AR746" s="73"/>
      <c r="AS746" s="73"/>
      <c r="AT746" s="73"/>
      <c r="AU746" s="73"/>
      <c r="AV746" s="73"/>
      <c r="AW746" s="73"/>
      <c r="AX746" s="73"/>
      <c r="AY746" s="73"/>
      <c r="AZ746" s="73"/>
      <c r="BA746" s="73"/>
      <c r="BB746" s="73"/>
    </row>
    <row r="747">
      <c r="A747" s="73"/>
      <c r="B747" s="73"/>
      <c r="C747" s="73"/>
      <c r="D747" s="73"/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  <c r="AD747" s="73"/>
      <c r="AE747" s="73"/>
      <c r="AF747" s="73"/>
      <c r="AG747" s="73"/>
      <c r="AH747" s="73"/>
      <c r="AI747" s="73"/>
      <c r="AJ747" s="73"/>
      <c r="AK747" s="73"/>
      <c r="AL747" s="73"/>
      <c r="AM747" s="73"/>
      <c r="AN747" s="73"/>
      <c r="AO747" s="73"/>
      <c r="AP747" s="73"/>
      <c r="AQ747" s="73"/>
      <c r="AR747" s="73"/>
      <c r="AS747" s="73"/>
      <c r="AT747" s="73"/>
      <c r="AU747" s="73"/>
      <c r="AV747" s="73"/>
      <c r="AW747" s="73"/>
      <c r="AX747" s="73"/>
      <c r="AY747" s="73"/>
      <c r="AZ747" s="73"/>
      <c r="BA747" s="73"/>
      <c r="BB747" s="73"/>
    </row>
    <row r="748">
      <c r="A748" s="73"/>
      <c r="B748" s="73"/>
      <c r="C748" s="73"/>
      <c r="D748" s="73"/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  <c r="AD748" s="73"/>
      <c r="AE748" s="73"/>
      <c r="AF748" s="73"/>
      <c r="AG748" s="73"/>
      <c r="AH748" s="73"/>
      <c r="AI748" s="73"/>
      <c r="AJ748" s="73"/>
      <c r="AK748" s="73"/>
      <c r="AL748" s="73"/>
      <c r="AM748" s="73"/>
      <c r="AN748" s="73"/>
      <c r="AO748" s="73"/>
      <c r="AP748" s="73"/>
      <c r="AQ748" s="73"/>
      <c r="AR748" s="73"/>
      <c r="AS748" s="73"/>
      <c r="AT748" s="73"/>
      <c r="AU748" s="73"/>
      <c r="AV748" s="73"/>
      <c r="AW748" s="73"/>
      <c r="AX748" s="73"/>
      <c r="AY748" s="73"/>
      <c r="AZ748" s="73"/>
      <c r="BA748" s="73"/>
      <c r="BB748" s="73"/>
    </row>
    <row r="749">
      <c r="A749" s="73"/>
      <c r="B749" s="73"/>
      <c r="C749" s="73"/>
      <c r="D749" s="73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  <c r="AD749" s="73"/>
      <c r="AE749" s="73"/>
      <c r="AF749" s="73"/>
      <c r="AG749" s="73"/>
      <c r="AH749" s="73"/>
      <c r="AI749" s="73"/>
      <c r="AJ749" s="73"/>
      <c r="AK749" s="73"/>
      <c r="AL749" s="73"/>
      <c r="AM749" s="73"/>
      <c r="AN749" s="73"/>
      <c r="AO749" s="73"/>
      <c r="AP749" s="73"/>
      <c r="AQ749" s="73"/>
      <c r="AR749" s="73"/>
      <c r="AS749" s="73"/>
      <c r="AT749" s="73"/>
      <c r="AU749" s="73"/>
      <c r="AV749" s="73"/>
      <c r="AW749" s="73"/>
      <c r="AX749" s="73"/>
      <c r="AY749" s="73"/>
      <c r="AZ749" s="73"/>
      <c r="BA749" s="73"/>
      <c r="BB749" s="73"/>
    </row>
    <row r="750">
      <c r="A750" s="73"/>
      <c r="B750" s="73"/>
      <c r="C750" s="73"/>
      <c r="D750" s="73"/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  <c r="AD750" s="73"/>
      <c r="AE750" s="73"/>
      <c r="AF750" s="73"/>
      <c r="AG750" s="73"/>
      <c r="AH750" s="73"/>
      <c r="AI750" s="73"/>
      <c r="AJ750" s="73"/>
      <c r="AK750" s="73"/>
      <c r="AL750" s="73"/>
      <c r="AM750" s="73"/>
      <c r="AN750" s="73"/>
      <c r="AO750" s="73"/>
      <c r="AP750" s="73"/>
      <c r="AQ750" s="73"/>
      <c r="AR750" s="73"/>
      <c r="AS750" s="73"/>
      <c r="AT750" s="73"/>
      <c r="AU750" s="73"/>
      <c r="AV750" s="73"/>
      <c r="AW750" s="73"/>
      <c r="AX750" s="73"/>
      <c r="AY750" s="73"/>
      <c r="AZ750" s="73"/>
      <c r="BA750" s="73"/>
      <c r="BB750" s="73"/>
    </row>
    <row r="751">
      <c r="A751" s="73"/>
      <c r="B751" s="73"/>
      <c r="C751" s="73"/>
      <c r="D751" s="73"/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  <c r="AD751" s="73"/>
      <c r="AE751" s="73"/>
      <c r="AF751" s="73"/>
      <c r="AG751" s="73"/>
      <c r="AH751" s="73"/>
      <c r="AI751" s="73"/>
      <c r="AJ751" s="73"/>
      <c r="AK751" s="73"/>
      <c r="AL751" s="73"/>
      <c r="AM751" s="73"/>
      <c r="AN751" s="73"/>
      <c r="AO751" s="73"/>
      <c r="AP751" s="73"/>
      <c r="AQ751" s="73"/>
      <c r="AR751" s="73"/>
      <c r="AS751" s="73"/>
      <c r="AT751" s="73"/>
      <c r="AU751" s="73"/>
      <c r="AV751" s="73"/>
      <c r="AW751" s="73"/>
      <c r="AX751" s="73"/>
      <c r="AY751" s="73"/>
      <c r="AZ751" s="73"/>
      <c r="BA751" s="73"/>
      <c r="BB751" s="73"/>
    </row>
    <row r="752">
      <c r="A752" s="73"/>
      <c r="B752" s="73"/>
      <c r="C752" s="73"/>
      <c r="D752" s="73"/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  <c r="AD752" s="73"/>
      <c r="AE752" s="73"/>
      <c r="AF752" s="73"/>
      <c r="AG752" s="73"/>
      <c r="AH752" s="73"/>
      <c r="AI752" s="73"/>
      <c r="AJ752" s="73"/>
      <c r="AK752" s="73"/>
      <c r="AL752" s="73"/>
      <c r="AM752" s="73"/>
      <c r="AN752" s="73"/>
      <c r="AO752" s="73"/>
      <c r="AP752" s="73"/>
      <c r="AQ752" s="73"/>
      <c r="AR752" s="73"/>
      <c r="AS752" s="73"/>
      <c r="AT752" s="73"/>
      <c r="AU752" s="73"/>
      <c r="AV752" s="73"/>
      <c r="AW752" s="73"/>
      <c r="AX752" s="73"/>
      <c r="AY752" s="73"/>
      <c r="AZ752" s="73"/>
      <c r="BA752" s="73"/>
      <c r="BB752" s="73"/>
    </row>
    <row r="753">
      <c r="A753" s="73"/>
      <c r="B753" s="73"/>
      <c r="C753" s="73"/>
      <c r="D753" s="73"/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  <c r="AD753" s="73"/>
      <c r="AE753" s="73"/>
      <c r="AF753" s="73"/>
      <c r="AG753" s="73"/>
      <c r="AH753" s="73"/>
      <c r="AI753" s="73"/>
      <c r="AJ753" s="73"/>
      <c r="AK753" s="73"/>
      <c r="AL753" s="73"/>
      <c r="AM753" s="73"/>
      <c r="AN753" s="73"/>
      <c r="AO753" s="73"/>
      <c r="AP753" s="73"/>
      <c r="AQ753" s="73"/>
      <c r="AR753" s="73"/>
      <c r="AS753" s="73"/>
      <c r="AT753" s="73"/>
      <c r="AU753" s="73"/>
      <c r="AV753" s="73"/>
      <c r="AW753" s="73"/>
      <c r="AX753" s="73"/>
      <c r="AY753" s="73"/>
      <c r="AZ753" s="73"/>
      <c r="BA753" s="73"/>
      <c r="BB753" s="73"/>
    </row>
    <row r="754">
      <c r="A754" s="73"/>
      <c r="B754" s="73"/>
      <c r="C754" s="73"/>
      <c r="D754" s="73"/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  <c r="AD754" s="73"/>
      <c r="AE754" s="73"/>
      <c r="AF754" s="73"/>
      <c r="AG754" s="73"/>
      <c r="AH754" s="73"/>
      <c r="AI754" s="73"/>
      <c r="AJ754" s="73"/>
      <c r="AK754" s="73"/>
      <c r="AL754" s="73"/>
      <c r="AM754" s="73"/>
      <c r="AN754" s="73"/>
      <c r="AO754" s="73"/>
      <c r="AP754" s="73"/>
      <c r="AQ754" s="73"/>
      <c r="AR754" s="73"/>
      <c r="AS754" s="73"/>
      <c r="AT754" s="73"/>
      <c r="AU754" s="73"/>
      <c r="AV754" s="73"/>
      <c r="AW754" s="73"/>
      <c r="AX754" s="73"/>
      <c r="AY754" s="73"/>
      <c r="AZ754" s="73"/>
      <c r="BA754" s="73"/>
      <c r="BB754" s="73"/>
    </row>
    <row r="755">
      <c r="A755" s="73"/>
      <c r="B755" s="73"/>
      <c r="C755" s="73"/>
      <c r="D755" s="73"/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73"/>
      <c r="U755" s="73"/>
      <c r="V755" s="73"/>
      <c r="W755" s="73"/>
      <c r="X755" s="73"/>
      <c r="Y755" s="73"/>
      <c r="Z755" s="73"/>
      <c r="AA755" s="73"/>
      <c r="AB755" s="73"/>
      <c r="AC755" s="73"/>
      <c r="AD755" s="73"/>
      <c r="AE755" s="73"/>
      <c r="AF755" s="73"/>
      <c r="AG755" s="73"/>
      <c r="AH755" s="73"/>
      <c r="AI755" s="73"/>
      <c r="AJ755" s="73"/>
      <c r="AK755" s="73"/>
      <c r="AL755" s="73"/>
      <c r="AM755" s="73"/>
      <c r="AN755" s="73"/>
      <c r="AO755" s="73"/>
      <c r="AP755" s="73"/>
      <c r="AQ755" s="73"/>
      <c r="AR755" s="73"/>
      <c r="AS755" s="73"/>
      <c r="AT755" s="73"/>
      <c r="AU755" s="73"/>
      <c r="AV755" s="73"/>
      <c r="AW755" s="73"/>
      <c r="AX755" s="73"/>
      <c r="AY755" s="73"/>
      <c r="AZ755" s="73"/>
      <c r="BA755" s="73"/>
      <c r="BB755" s="73"/>
    </row>
    <row r="756">
      <c r="A756" s="73"/>
      <c r="B756" s="73"/>
      <c r="C756" s="73"/>
      <c r="D756" s="73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73"/>
      <c r="V756" s="73"/>
      <c r="W756" s="73"/>
      <c r="X756" s="73"/>
      <c r="Y756" s="73"/>
      <c r="Z756" s="73"/>
      <c r="AA756" s="73"/>
      <c r="AB756" s="73"/>
      <c r="AC756" s="73"/>
      <c r="AD756" s="73"/>
      <c r="AE756" s="73"/>
      <c r="AF756" s="73"/>
      <c r="AG756" s="73"/>
      <c r="AH756" s="73"/>
      <c r="AI756" s="73"/>
      <c r="AJ756" s="73"/>
      <c r="AK756" s="73"/>
      <c r="AL756" s="73"/>
      <c r="AM756" s="73"/>
      <c r="AN756" s="73"/>
      <c r="AO756" s="73"/>
      <c r="AP756" s="73"/>
      <c r="AQ756" s="73"/>
      <c r="AR756" s="73"/>
      <c r="AS756" s="73"/>
      <c r="AT756" s="73"/>
      <c r="AU756" s="73"/>
      <c r="AV756" s="73"/>
      <c r="AW756" s="73"/>
      <c r="AX756" s="73"/>
      <c r="AY756" s="73"/>
      <c r="AZ756" s="73"/>
      <c r="BA756" s="73"/>
      <c r="BB756" s="73"/>
    </row>
    <row r="757">
      <c r="A757" s="73"/>
      <c r="B757" s="73"/>
      <c r="C757" s="73"/>
      <c r="D757" s="73"/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73"/>
      <c r="U757" s="73"/>
      <c r="V757" s="73"/>
      <c r="W757" s="73"/>
      <c r="X757" s="73"/>
      <c r="Y757" s="73"/>
      <c r="Z757" s="73"/>
      <c r="AA757" s="73"/>
      <c r="AB757" s="73"/>
      <c r="AC757" s="73"/>
      <c r="AD757" s="73"/>
      <c r="AE757" s="73"/>
      <c r="AF757" s="73"/>
      <c r="AG757" s="73"/>
      <c r="AH757" s="73"/>
      <c r="AI757" s="73"/>
      <c r="AJ757" s="73"/>
      <c r="AK757" s="73"/>
      <c r="AL757" s="73"/>
      <c r="AM757" s="73"/>
      <c r="AN757" s="73"/>
      <c r="AO757" s="73"/>
      <c r="AP757" s="73"/>
      <c r="AQ757" s="73"/>
      <c r="AR757" s="73"/>
      <c r="AS757" s="73"/>
      <c r="AT757" s="73"/>
      <c r="AU757" s="73"/>
      <c r="AV757" s="73"/>
      <c r="AW757" s="73"/>
      <c r="AX757" s="73"/>
      <c r="AY757" s="73"/>
      <c r="AZ757" s="73"/>
      <c r="BA757" s="73"/>
      <c r="BB757" s="73"/>
    </row>
    <row r="758">
      <c r="A758" s="73"/>
      <c r="B758" s="73"/>
      <c r="C758" s="73"/>
      <c r="D758" s="73"/>
      <c r="E758" s="73"/>
      <c r="F758" s="73"/>
      <c r="G758" s="73"/>
      <c r="H758" s="73"/>
      <c r="I758" s="73"/>
      <c r="J758" s="73"/>
      <c r="K758" s="73"/>
      <c r="L758" s="73"/>
      <c r="M758" s="73"/>
      <c r="N758" s="73"/>
      <c r="O758" s="73"/>
      <c r="P758" s="73"/>
      <c r="Q758" s="73"/>
      <c r="R758" s="73"/>
      <c r="S758" s="73"/>
      <c r="T758" s="73"/>
      <c r="U758" s="73"/>
      <c r="V758" s="73"/>
      <c r="W758" s="73"/>
      <c r="X758" s="73"/>
      <c r="Y758" s="73"/>
      <c r="Z758" s="73"/>
      <c r="AA758" s="73"/>
      <c r="AB758" s="73"/>
      <c r="AC758" s="73"/>
      <c r="AD758" s="73"/>
      <c r="AE758" s="73"/>
      <c r="AF758" s="73"/>
      <c r="AG758" s="73"/>
      <c r="AH758" s="73"/>
      <c r="AI758" s="73"/>
      <c r="AJ758" s="73"/>
      <c r="AK758" s="73"/>
      <c r="AL758" s="73"/>
      <c r="AM758" s="73"/>
      <c r="AN758" s="73"/>
      <c r="AO758" s="73"/>
      <c r="AP758" s="73"/>
      <c r="AQ758" s="73"/>
      <c r="AR758" s="73"/>
      <c r="AS758" s="73"/>
      <c r="AT758" s="73"/>
      <c r="AU758" s="73"/>
      <c r="AV758" s="73"/>
      <c r="AW758" s="73"/>
      <c r="AX758" s="73"/>
      <c r="AY758" s="73"/>
      <c r="AZ758" s="73"/>
      <c r="BA758" s="73"/>
      <c r="BB758" s="73"/>
    </row>
    <row r="759">
      <c r="A759" s="73"/>
      <c r="B759" s="73"/>
      <c r="C759" s="73"/>
      <c r="D759" s="73"/>
      <c r="E759" s="73"/>
      <c r="F759" s="73"/>
      <c r="G759" s="73"/>
      <c r="H759" s="73"/>
      <c r="I759" s="73"/>
      <c r="J759" s="73"/>
      <c r="K759" s="73"/>
      <c r="L759" s="73"/>
      <c r="M759" s="73"/>
      <c r="N759" s="73"/>
      <c r="O759" s="73"/>
      <c r="P759" s="73"/>
      <c r="Q759" s="73"/>
      <c r="R759" s="73"/>
      <c r="S759" s="73"/>
      <c r="T759" s="73"/>
      <c r="U759" s="73"/>
      <c r="V759" s="73"/>
      <c r="W759" s="73"/>
      <c r="X759" s="73"/>
      <c r="Y759" s="73"/>
      <c r="Z759" s="73"/>
      <c r="AA759" s="73"/>
      <c r="AB759" s="73"/>
      <c r="AC759" s="73"/>
      <c r="AD759" s="73"/>
      <c r="AE759" s="73"/>
      <c r="AF759" s="73"/>
      <c r="AG759" s="73"/>
      <c r="AH759" s="73"/>
      <c r="AI759" s="73"/>
      <c r="AJ759" s="73"/>
      <c r="AK759" s="73"/>
      <c r="AL759" s="73"/>
      <c r="AM759" s="73"/>
      <c r="AN759" s="73"/>
      <c r="AO759" s="73"/>
      <c r="AP759" s="73"/>
      <c r="AQ759" s="73"/>
      <c r="AR759" s="73"/>
      <c r="AS759" s="73"/>
      <c r="AT759" s="73"/>
      <c r="AU759" s="73"/>
      <c r="AV759" s="73"/>
      <c r="AW759" s="73"/>
      <c r="AX759" s="73"/>
      <c r="AY759" s="73"/>
      <c r="AZ759" s="73"/>
      <c r="BA759" s="73"/>
      <c r="BB759" s="73"/>
    </row>
    <row r="760">
      <c r="A760" s="73"/>
      <c r="B760" s="73"/>
      <c r="C760" s="73"/>
      <c r="D760" s="73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73"/>
      <c r="U760" s="73"/>
      <c r="V760" s="73"/>
      <c r="W760" s="73"/>
      <c r="X760" s="73"/>
      <c r="Y760" s="73"/>
      <c r="Z760" s="73"/>
      <c r="AA760" s="73"/>
      <c r="AB760" s="73"/>
      <c r="AC760" s="73"/>
      <c r="AD760" s="73"/>
      <c r="AE760" s="73"/>
      <c r="AF760" s="73"/>
      <c r="AG760" s="73"/>
      <c r="AH760" s="73"/>
      <c r="AI760" s="73"/>
      <c r="AJ760" s="73"/>
      <c r="AK760" s="73"/>
      <c r="AL760" s="73"/>
      <c r="AM760" s="73"/>
      <c r="AN760" s="73"/>
      <c r="AO760" s="73"/>
      <c r="AP760" s="73"/>
      <c r="AQ760" s="73"/>
      <c r="AR760" s="73"/>
      <c r="AS760" s="73"/>
      <c r="AT760" s="73"/>
      <c r="AU760" s="73"/>
      <c r="AV760" s="73"/>
      <c r="AW760" s="73"/>
      <c r="AX760" s="73"/>
      <c r="AY760" s="73"/>
      <c r="AZ760" s="73"/>
      <c r="BA760" s="73"/>
      <c r="BB760" s="73"/>
    </row>
    <row r="761">
      <c r="A761" s="73"/>
      <c r="B761" s="73"/>
      <c r="C761" s="73"/>
      <c r="D761" s="73"/>
      <c r="E761" s="73"/>
      <c r="F761" s="73"/>
      <c r="G761" s="73"/>
      <c r="H761" s="73"/>
      <c r="I761" s="73"/>
      <c r="J761" s="73"/>
      <c r="K761" s="73"/>
      <c r="L761" s="73"/>
      <c r="M761" s="73"/>
      <c r="N761" s="73"/>
      <c r="O761" s="73"/>
      <c r="P761" s="73"/>
      <c r="Q761" s="73"/>
      <c r="R761" s="73"/>
      <c r="S761" s="73"/>
      <c r="T761" s="73"/>
      <c r="U761" s="73"/>
      <c r="V761" s="73"/>
      <c r="W761" s="73"/>
      <c r="X761" s="73"/>
      <c r="Y761" s="73"/>
      <c r="Z761" s="73"/>
      <c r="AA761" s="73"/>
      <c r="AB761" s="73"/>
      <c r="AC761" s="73"/>
      <c r="AD761" s="73"/>
      <c r="AE761" s="73"/>
      <c r="AF761" s="73"/>
      <c r="AG761" s="73"/>
      <c r="AH761" s="73"/>
      <c r="AI761" s="73"/>
      <c r="AJ761" s="73"/>
      <c r="AK761" s="73"/>
      <c r="AL761" s="73"/>
      <c r="AM761" s="73"/>
      <c r="AN761" s="73"/>
      <c r="AO761" s="73"/>
      <c r="AP761" s="73"/>
      <c r="AQ761" s="73"/>
      <c r="AR761" s="73"/>
      <c r="AS761" s="73"/>
      <c r="AT761" s="73"/>
      <c r="AU761" s="73"/>
      <c r="AV761" s="73"/>
      <c r="AW761" s="73"/>
      <c r="AX761" s="73"/>
      <c r="AY761" s="73"/>
      <c r="AZ761" s="73"/>
      <c r="BA761" s="73"/>
      <c r="BB761" s="73"/>
    </row>
    <row r="762">
      <c r="A762" s="73"/>
      <c r="B762" s="73"/>
      <c r="C762" s="73"/>
      <c r="D762" s="73"/>
      <c r="E762" s="73"/>
      <c r="F762" s="73"/>
      <c r="G762" s="73"/>
      <c r="H762" s="73"/>
      <c r="I762" s="73"/>
      <c r="J762" s="73"/>
      <c r="K762" s="73"/>
      <c r="L762" s="73"/>
      <c r="M762" s="73"/>
      <c r="N762" s="73"/>
      <c r="O762" s="73"/>
      <c r="P762" s="73"/>
      <c r="Q762" s="73"/>
      <c r="R762" s="73"/>
      <c r="S762" s="73"/>
      <c r="T762" s="73"/>
      <c r="U762" s="73"/>
      <c r="V762" s="73"/>
      <c r="W762" s="73"/>
      <c r="X762" s="73"/>
      <c r="Y762" s="73"/>
      <c r="Z762" s="73"/>
      <c r="AA762" s="73"/>
      <c r="AB762" s="73"/>
      <c r="AC762" s="73"/>
      <c r="AD762" s="73"/>
      <c r="AE762" s="73"/>
      <c r="AF762" s="73"/>
      <c r="AG762" s="73"/>
      <c r="AH762" s="73"/>
      <c r="AI762" s="73"/>
      <c r="AJ762" s="73"/>
      <c r="AK762" s="73"/>
      <c r="AL762" s="73"/>
      <c r="AM762" s="73"/>
      <c r="AN762" s="73"/>
      <c r="AO762" s="73"/>
      <c r="AP762" s="73"/>
      <c r="AQ762" s="73"/>
      <c r="AR762" s="73"/>
      <c r="AS762" s="73"/>
      <c r="AT762" s="73"/>
      <c r="AU762" s="73"/>
      <c r="AV762" s="73"/>
      <c r="AW762" s="73"/>
      <c r="AX762" s="73"/>
      <c r="AY762" s="73"/>
      <c r="AZ762" s="73"/>
      <c r="BA762" s="73"/>
      <c r="BB762" s="73"/>
    </row>
    <row r="763">
      <c r="A763" s="73"/>
      <c r="B763" s="73"/>
      <c r="C763" s="73"/>
      <c r="D763" s="73"/>
      <c r="E763" s="73"/>
      <c r="F763" s="73"/>
      <c r="G763" s="73"/>
      <c r="H763" s="73"/>
      <c r="I763" s="73"/>
      <c r="J763" s="73"/>
      <c r="K763" s="73"/>
      <c r="L763" s="73"/>
      <c r="M763" s="73"/>
      <c r="N763" s="73"/>
      <c r="O763" s="73"/>
      <c r="P763" s="73"/>
      <c r="Q763" s="73"/>
      <c r="R763" s="73"/>
      <c r="S763" s="73"/>
      <c r="T763" s="73"/>
      <c r="U763" s="73"/>
      <c r="V763" s="73"/>
      <c r="W763" s="73"/>
      <c r="X763" s="73"/>
      <c r="Y763" s="73"/>
      <c r="Z763" s="73"/>
      <c r="AA763" s="73"/>
      <c r="AB763" s="73"/>
      <c r="AC763" s="73"/>
      <c r="AD763" s="73"/>
      <c r="AE763" s="73"/>
      <c r="AF763" s="73"/>
      <c r="AG763" s="73"/>
      <c r="AH763" s="73"/>
      <c r="AI763" s="73"/>
      <c r="AJ763" s="73"/>
      <c r="AK763" s="73"/>
      <c r="AL763" s="73"/>
      <c r="AM763" s="73"/>
      <c r="AN763" s="73"/>
      <c r="AO763" s="73"/>
      <c r="AP763" s="73"/>
      <c r="AQ763" s="73"/>
      <c r="AR763" s="73"/>
      <c r="AS763" s="73"/>
      <c r="AT763" s="73"/>
      <c r="AU763" s="73"/>
      <c r="AV763" s="73"/>
      <c r="AW763" s="73"/>
      <c r="AX763" s="73"/>
      <c r="AY763" s="73"/>
      <c r="AZ763" s="73"/>
      <c r="BA763" s="73"/>
      <c r="BB763" s="73"/>
    </row>
    <row r="764">
      <c r="A764" s="73"/>
      <c r="B764" s="73"/>
      <c r="C764" s="73"/>
      <c r="D764" s="73"/>
      <c r="E764" s="73"/>
      <c r="F764" s="73"/>
      <c r="G764" s="73"/>
      <c r="H764" s="73"/>
      <c r="I764" s="73"/>
      <c r="J764" s="73"/>
      <c r="K764" s="73"/>
      <c r="L764" s="73"/>
      <c r="M764" s="73"/>
      <c r="N764" s="73"/>
      <c r="O764" s="73"/>
      <c r="P764" s="73"/>
      <c r="Q764" s="73"/>
      <c r="R764" s="73"/>
      <c r="S764" s="73"/>
      <c r="T764" s="73"/>
      <c r="U764" s="73"/>
      <c r="V764" s="73"/>
      <c r="W764" s="73"/>
      <c r="X764" s="73"/>
      <c r="Y764" s="73"/>
      <c r="Z764" s="73"/>
      <c r="AA764" s="73"/>
      <c r="AB764" s="73"/>
      <c r="AC764" s="73"/>
      <c r="AD764" s="73"/>
      <c r="AE764" s="73"/>
      <c r="AF764" s="73"/>
      <c r="AG764" s="73"/>
      <c r="AH764" s="73"/>
      <c r="AI764" s="73"/>
      <c r="AJ764" s="73"/>
      <c r="AK764" s="73"/>
      <c r="AL764" s="73"/>
      <c r="AM764" s="73"/>
      <c r="AN764" s="73"/>
      <c r="AO764" s="73"/>
      <c r="AP764" s="73"/>
      <c r="AQ764" s="73"/>
      <c r="AR764" s="73"/>
      <c r="AS764" s="73"/>
      <c r="AT764" s="73"/>
      <c r="AU764" s="73"/>
      <c r="AV764" s="73"/>
      <c r="AW764" s="73"/>
      <c r="AX764" s="73"/>
      <c r="AY764" s="73"/>
      <c r="AZ764" s="73"/>
      <c r="BA764" s="73"/>
      <c r="BB764" s="73"/>
    </row>
    <row r="765">
      <c r="A765" s="73"/>
      <c r="B765" s="73"/>
      <c r="C765" s="73"/>
      <c r="D765" s="73"/>
      <c r="E765" s="73"/>
      <c r="F765" s="73"/>
      <c r="G765" s="73"/>
      <c r="H765" s="73"/>
      <c r="I765" s="73"/>
      <c r="J765" s="73"/>
      <c r="K765" s="73"/>
      <c r="L765" s="73"/>
      <c r="M765" s="73"/>
      <c r="N765" s="73"/>
      <c r="O765" s="73"/>
      <c r="P765" s="73"/>
      <c r="Q765" s="73"/>
      <c r="R765" s="73"/>
      <c r="S765" s="73"/>
      <c r="T765" s="73"/>
      <c r="U765" s="73"/>
      <c r="V765" s="73"/>
      <c r="W765" s="73"/>
      <c r="X765" s="73"/>
      <c r="Y765" s="73"/>
      <c r="Z765" s="73"/>
      <c r="AA765" s="73"/>
      <c r="AB765" s="73"/>
      <c r="AC765" s="73"/>
      <c r="AD765" s="73"/>
      <c r="AE765" s="73"/>
      <c r="AF765" s="73"/>
      <c r="AG765" s="73"/>
      <c r="AH765" s="73"/>
      <c r="AI765" s="73"/>
      <c r="AJ765" s="73"/>
      <c r="AK765" s="73"/>
      <c r="AL765" s="73"/>
      <c r="AM765" s="73"/>
      <c r="AN765" s="73"/>
      <c r="AO765" s="73"/>
      <c r="AP765" s="73"/>
      <c r="AQ765" s="73"/>
      <c r="AR765" s="73"/>
      <c r="AS765" s="73"/>
      <c r="AT765" s="73"/>
      <c r="AU765" s="73"/>
      <c r="AV765" s="73"/>
      <c r="AW765" s="73"/>
      <c r="AX765" s="73"/>
      <c r="AY765" s="73"/>
      <c r="AZ765" s="73"/>
      <c r="BA765" s="73"/>
      <c r="BB765" s="73"/>
    </row>
    <row r="766">
      <c r="A766" s="73"/>
      <c r="B766" s="73"/>
      <c r="C766" s="73"/>
      <c r="D766" s="73"/>
      <c r="E766" s="73"/>
      <c r="F766" s="73"/>
      <c r="G766" s="73"/>
      <c r="H766" s="73"/>
      <c r="I766" s="73"/>
      <c r="J766" s="73"/>
      <c r="K766" s="73"/>
      <c r="L766" s="73"/>
      <c r="M766" s="73"/>
      <c r="N766" s="73"/>
      <c r="O766" s="73"/>
      <c r="P766" s="73"/>
      <c r="Q766" s="73"/>
      <c r="R766" s="73"/>
      <c r="S766" s="73"/>
      <c r="T766" s="73"/>
      <c r="U766" s="73"/>
      <c r="V766" s="73"/>
      <c r="W766" s="73"/>
      <c r="X766" s="73"/>
      <c r="Y766" s="73"/>
      <c r="Z766" s="73"/>
      <c r="AA766" s="73"/>
      <c r="AB766" s="73"/>
      <c r="AC766" s="73"/>
      <c r="AD766" s="73"/>
      <c r="AE766" s="73"/>
      <c r="AF766" s="73"/>
      <c r="AG766" s="73"/>
      <c r="AH766" s="73"/>
      <c r="AI766" s="73"/>
      <c r="AJ766" s="73"/>
      <c r="AK766" s="73"/>
      <c r="AL766" s="73"/>
      <c r="AM766" s="73"/>
      <c r="AN766" s="73"/>
      <c r="AO766" s="73"/>
      <c r="AP766" s="73"/>
      <c r="AQ766" s="73"/>
      <c r="AR766" s="73"/>
      <c r="AS766" s="73"/>
      <c r="AT766" s="73"/>
      <c r="AU766" s="73"/>
      <c r="AV766" s="73"/>
      <c r="AW766" s="73"/>
      <c r="AX766" s="73"/>
      <c r="AY766" s="73"/>
      <c r="AZ766" s="73"/>
      <c r="BA766" s="73"/>
      <c r="BB766" s="73"/>
    </row>
    <row r="767">
      <c r="A767" s="73"/>
      <c r="B767" s="73"/>
      <c r="C767" s="73"/>
      <c r="D767" s="73"/>
      <c r="E767" s="73"/>
      <c r="F767" s="73"/>
      <c r="G767" s="73"/>
      <c r="H767" s="73"/>
      <c r="I767" s="73"/>
      <c r="J767" s="73"/>
      <c r="K767" s="73"/>
      <c r="L767" s="73"/>
      <c r="M767" s="73"/>
      <c r="N767" s="73"/>
      <c r="O767" s="73"/>
      <c r="P767" s="73"/>
      <c r="Q767" s="73"/>
      <c r="R767" s="73"/>
      <c r="S767" s="73"/>
      <c r="T767" s="73"/>
      <c r="U767" s="73"/>
      <c r="V767" s="73"/>
      <c r="W767" s="73"/>
      <c r="X767" s="73"/>
      <c r="Y767" s="73"/>
      <c r="Z767" s="73"/>
      <c r="AA767" s="73"/>
      <c r="AB767" s="73"/>
      <c r="AC767" s="73"/>
      <c r="AD767" s="73"/>
      <c r="AE767" s="73"/>
      <c r="AF767" s="73"/>
      <c r="AG767" s="73"/>
      <c r="AH767" s="73"/>
      <c r="AI767" s="73"/>
      <c r="AJ767" s="73"/>
      <c r="AK767" s="73"/>
      <c r="AL767" s="73"/>
      <c r="AM767" s="73"/>
      <c r="AN767" s="73"/>
      <c r="AO767" s="73"/>
      <c r="AP767" s="73"/>
      <c r="AQ767" s="73"/>
      <c r="AR767" s="73"/>
      <c r="AS767" s="73"/>
      <c r="AT767" s="73"/>
      <c r="AU767" s="73"/>
      <c r="AV767" s="73"/>
      <c r="AW767" s="73"/>
      <c r="AX767" s="73"/>
      <c r="AY767" s="73"/>
      <c r="AZ767" s="73"/>
      <c r="BA767" s="73"/>
      <c r="BB767" s="73"/>
    </row>
    <row r="768">
      <c r="A768" s="73"/>
      <c r="B768" s="73"/>
      <c r="C768" s="73"/>
      <c r="D768" s="73"/>
      <c r="E768" s="73"/>
      <c r="F768" s="73"/>
      <c r="G768" s="73"/>
      <c r="H768" s="73"/>
      <c r="I768" s="73"/>
      <c r="J768" s="73"/>
      <c r="K768" s="73"/>
      <c r="L768" s="73"/>
      <c r="M768" s="73"/>
      <c r="N768" s="73"/>
      <c r="O768" s="73"/>
      <c r="P768" s="73"/>
      <c r="Q768" s="73"/>
      <c r="R768" s="73"/>
      <c r="S768" s="73"/>
      <c r="T768" s="73"/>
      <c r="U768" s="73"/>
      <c r="V768" s="73"/>
      <c r="W768" s="73"/>
      <c r="X768" s="73"/>
      <c r="Y768" s="73"/>
      <c r="Z768" s="73"/>
      <c r="AA768" s="73"/>
      <c r="AB768" s="73"/>
      <c r="AC768" s="73"/>
      <c r="AD768" s="73"/>
      <c r="AE768" s="73"/>
      <c r="AF768" s="73"/>
      <c r="AG768" s="73"/>
      <c r="AH768" s="73"/>
      <c r="AI768" s="73"/>
      <c r="AJ768" s="73"/>
      <c r="AK768" s="73"/>
      <c r="AL768" s="73"/>
      <c r="AM768" s="73"/>
      <c r="AN768" s="73"/>
      <c r="AO768" s="73"/>
      <c r="AP768" s="73"/>
      <c r="AQ768" s="73"/>
      <c r="AR768" s="73"/>
      <c r="AS768" s="73"/>
      <c r="AT768" s="73"/>
      <c r="AU768" s="73"/>
      <c r="AV768" s="73"/>
      <c r="AW768" s="73"/>
      <c r="AX768" s="73"/>
      <c r="AY768" s="73"/>
      <c r="AZ768" s="73"/>
      <c r="BA768" s="73"/>
      <c r="BB768" s="73"/>
    </row>
    <row r="769">
      <c r="A769" s="73"/>
      <c r="B769" s="73"/>
      <c r="C769" s="73"/>
      <c r="D769" s="73"/>
      <c r="E769" s="73"/>
      <c r="F769" s="73"/>
      <c r="G769" s="73"/>
      <c r="H769" s="73"/>
      <c r="I769" s="73"/>
      <c r="J769" s="73"/>
      <c r="K769" s="73"/>
      <c r="L769" s="73"/>
      <c r="M769" s="73"/>
      <c r="N769" s="73"/>
      <c r="O769" s="73"/>
      <c r="P769" s="73"/>
      <c r="Q769" s="73"/>
      <c r="R769" s="73"/>
      <c r="S769" s="73"/>
      <c r="T769" s="73"/>
      <c r="U769" s="73"/>
      <c r="V769" s="73"/>
      <c r="W769" s="73"/>
      <c r="X769" s="73"/>
      <c r="Y769" s="73"/>
      <c r="Z769" s="73"/>
      <c r="AA769" s="73"/>
      <c r="AB769" s="73"/>
      <c r="AC769" s="73"/>
      <c r="AD769" s="73"/>
      <c r="AE769" s="73"/>
      <c r="AF769" s="73"/>
      <c r="AG769" s="73"/>
      <c r="AH769" s="73"/>
      <c r="AI769" s="73"/>
      <c r="AJ769" s="73"/>
      <c r="AK769" s="73"/>
      <c r="AL769" s="73"/>
      <c r="AM769" s="73"/>
      <c r="AN769" s="73"/>
      <c r="AO769" s="73"/>
      <c r="AP769" s="73"/>
      <c r="AQ769" s="73"/>
      <c r="AR769" s="73"/>
      <c r="AS769" s="73"/>
      <c r="AT769" s="73"/>
      <c r="AU769" s="73"/>
      <c r="AV769" s="73"/>
      <c r="AW769" s="73"/>
      <c r="AX769" s="73"/>
      <c r="AY769" s="73"/>
      <c r="AZ769" s="73"/>
      <c r="BA769" s="73"/>
      <c r="BB769" s="73"/>
    </row>
    <row r="770">
      <c r="A770" s="73"/>
      <c r="B770" s="73"/>
      <c r="C770" s="73"/>
      <c r="D770" s="73"/>
      <c r="E770" s="73"/>
      <c r="F770" s="73"/>
      <c r="G770" s="73"/>
      <c r="H770" s="73"/>
      <c r="I770" s="73"/>
      <c r="J770" s="73"/>
      <c r="K770" s="73"/>
      <c r="L770" s="73"/>
      <c r="M770" s="73"/>
      <c r="N770" s="73"/>
      <c r="O770" s="73"/>
      <c r="P770" s="73"/>
      <c r="Q770" s="73"/>
      <c r="R770" s="73"/>
      <c r="S770" s="73"/>
      <c r="T770" s="73"/>
      <c r="U770" s="73"/>
      <c r="V770" s="73"/>
      <c r="W770" s="73"/>
      <c r="X770" s="73"/>
      <c r="Y770" s="73"/>
      <c r="Z770" s="73"/>
      <c r="AA770" s="73"/>
      <c r="AB770" s="73"/>
      <c r="AC770" s="73"/>
      <c r="AD770" s="73"/>
      <c r="AE770" s="73"/>
      <c r="AF770" s="73"/>
      <c r="AG770" s="73"/>
      <c r="AH770" s="73"/>
      <c r="AI770" s="73"/>
      <c r="AJ770" s="73"/>
      <c r="AK770" s="73"/>
      <c r="AL770" s="73"/>
      <c r="AM770" s="73"/>
      <c r="AN770" s="73"/>
      <c r="AO770" s="73"/>
      <c r="AP770" s="73"/>
      <c r="AQ770" s="73"/>
      <c r="AR770" s="73"/>
      <c r="AS770" s="73"/>
      <c r="AT770" s="73"/>
      <c r="AU770" s="73"/>
      <c r="AV770" s="73"/>
      <c r="AW770" s="73"/>
      <c r="AX770" s="73"/>
      <c r="AY770" s="73"/>
      <c r="AZ770" s="73"/>
      <c r="BA770" s="73"/>
      <c r="BB770" s="73"/>
    </row>
    <row r="771">
      <c r="A771" s="73"/>
      <c r="B771" s="73"/>
      <c r="C771" s="73"/>
      <c r="D771" s="73"/>
      <c r="E771" s="73"/>
      <c r="F771" s="73"/>
      <c r="G771" s="73"/>
      <c r="H771" s="73"/>
      <c r="I771" s="73"/>
      <c r="J771" s="73"/>
      <c r="K771" s="73"/>
      <c r="L771" s="73"/>
      <c r="M771" s="73"/>
      <c r="N771" s="73"/>
      <c r="O771" s="73"/>
      <c r="P771" s="73"/>
      <c r="Q771" s="73"/>
      <c r="R771" s="73"/>
      <c r="S771" s="73"/>
      <c r="T771" s="73"/>
      <c r="U771" s="73"/>
      <c r="V771" s="73"/>
      <c r="W771" s="73"/>
      <c r="X771" s="73"/>
      <c r="Y771" s="73"/>
      <c r="Z771" s="73"/>
      <c r="AA771" s="73"/>
      <c r="AB771" s="73"/>
      <c r="AC771" s="73"/>
      <c r="AD771" s="73"/>
      <c r="AE771" s="73"/>
      <c r="AF771" s="73"/>
      <c r="AG771" s="73"/>
      <c r="AH771" s="73"/>
      <c r="AI771" s="73"/>
      <c r="AJ771" s="73"/>
      <c r="AK771" s="73"/>
      <c r="AL771" s="73"/>
      <c r="AM771" s="73"/>
      <c r="AN771" s="73"/>
      <c r="AO771" s="73"/>
      <c r="AP771" s="73"/>
      <c r="AQ771" s="73"/>
      <c r="AR771" s="73"/>
      <c r="AS771" s="73"/>
      <c r="AT771" s="73"/>
      <c r="AU771" s="73"/>
      <c r="AV771" s="73"/>
      <c r="AW771" s="73"/>
      <c r="AX771" s="73"/>
      <c r="AY771" s="73"/>
      <c r="AZ771" s="73"/>
      <c r="BA771" s="73"/>
      <c r="BB771" s="73"/>
    </row>
    <row r="772">
      <c r="A772" s="73"/>
      <c r="B772" s="73"/>
      <c r="C772" s="73"/>
      <c r="D772" s="73"/>
      <c r="E772" s="73"/>
      <c r="F772" s="73"/>
      <c r="G772" s="73"/>
      <c r="H772" s="73"/>
      <c r="I772" s="73"/>
      <c r="J772" s="73"/>
      <c r="K772" s="73"/>
      <c r="L772" s="73"/>
      <c r="M772" s="73"/>
      <c r="N772" s="73"/>
      <c r="O772" s="73"/>
      <c r="P772" s="73"/>
      <c r="Q772" s="73"/>
      <c r="R772" s="73"/>
      <c r="S772" s="73"/>
      <c r="T772" s="73"/>
      <c r="U772" s="73"/>
      <c r="V772" s="73"/>
      <c r="W772" s="73"/>
      <c r="X772" s="73"/>
      <c r="Y772" s="73"/>
      <c r="Z772" s="73"/>
      <c r="AA772" s="73"/>
      <c r="AB772" s="73"/>
      <c r="AC772" s="73"/>
      <c r="AD772" s="73"/>
      <c r="AE772" s="73"/>
      <c r="AF772" s="73"/>
      <c r="AG772" s="73"/>
      <c r="AH772" s="73"/>
      <c r="AI772" s="73"/>
      <c r="AJ772" s="73"/>
      <c r="AK772" s="73"/>
      <c r="AL772" s="73"/>
      <c r="AM772" s="73"/>
      <c r="AN772" s="73"/>
      <c r="AO772" s="73"/>
      <c r="AP772" s="73"/>
      <c r="AQ772" s="73"/>
      <c r="AR772" s="73"/>
      <c r="AS772" s="73"/>
      <c r="AT772" s="73"/>
      <c r="AU772" s="73"/>
      <c r="AV772" s="73"/>
      <c r="AW772" s="73"/>
      <c r="AX772" s="73"/>
      <c r="AY772" s="73"/>
      <c r="AZ772" s="73"/>
      <c r="BA772" s="73"/>
      <c r="BB772" s="73"/>
    </row>
    <row r="773">
      <c r="A773" s="73"/>
      <c r="B773" s="73"/>
      <c r="C773" s="73"/>
      <c r="D773" s="73"/>
      <c r="E773" s="73"/>
      <c r="F773" s="73"/>
      <c r="G773" s="73"/>
      <c r="H773" s="73"/>
      <c r="I773" s="73"/>
      <c r="J773" s="73"/>
      <c r="K773" s="73"/>
      <c r="L773" s="73"/>
      <c r="M773" s="73"/>
      <c r="N773" s="73"/>
      <c r="O773" s="73"/>
      <c r="P773" s="73"/>
      <c r="Q773" s="73"/>
      <c r="R773" s="73"/>
      <c r="S773" s="73"/>
      <c r="T773" s="73"/>
      <c r="U773" s="73"/>
      <c r="V773" s="73"/>
      <c r="W773" s="73"/>
      <c r="X773" s="73"/>
      <c r="Y773" s="73"/>
      <c r="Z773" s="73"/>
      <c r="AA773" s="73"/>
      <c r="AB773" s="73"/>
      <c r="AC773" s="73"/>
      <c r="AD773" s="73"/>
      <c r="AE773" s="73"/>
      <c r="AF773" s="73"/>
      <c r="AG773" s="73"/>
      <c r="AH773" s="73"/>
      <c r="AI773" s="73"/>
      <c r="AJ773" s="73"/>
      <c r="AK773" s="73"/>
      <c r="AL773" s="73"/>
      <c r="AM773" s="73"/>
      <c r="AN773" s="73"/>
      <c r="AO773" s="73"/>
      <c r="AP773" s="73"/>
      <c r="AQ773" s="73"/>
      <c r="AR773" s="73"/>
      <c r="AS773" s="73"/>
      <c r="AT773" s="73"/>
      <c r="AU773" s="73"/>
      <c r="AV773" s="73"/>
      <c r="AW773" s="73"/>
      <c r="AX773" s="73"/>
      <c r="AY773" s="73"/>
      <c r="AZ773" s="73"/>
      <c r="BA773" s="73"/>
      <c r="BB773" s="73"/>
    </row>
    <row r="774">
      <c r="A774" s="73"/>
      <c r="B774" s="73"/>
      <c r="C774" s="73"/>
      <c r="D774" s="73"/>
      <c r="E774" s="73"/>
      <c r="F774" s="73"/>
      <c r="G774" s="73"/>
      <c r="H774" s="73"/>
      <c r="I774" s="73"/>
      <c r="J774" s="73"/>
      <c r="K774" s="73"/>
      <c r="L774" s="73"/>
      <c r="M774" s="73"/>
      <c r="N774" s="73"/>
      <c r="O774" s="73"/>
      <c r="P774" s="73"/>
      <c r="Q774" s="73"/>
      <c r="R774" s="73"/>
      <c r="S774" s="73"/>
      <c r="T774" s="73"/>
      <c r="U774" s="73"/>
      <c r="V774" s="73"/>
      <c r="W774" s="73"/>
      <c r="X774" s="73"/>
      <c r="Y774" s="73"/>
      <c r="Z774" s="73"/>
      <c r="AA774" s="73"/>
      <c r="AB774" s="73"/>
      <c r="AC774" s="73"/>
      <c r="AD774" s="73"/>
      <c r="AE774" s="73"/>
      <c r="AF774" s="73"/>
      <c r="AG774" s="73"/>
      <c r="AH774" s="73"/>
      <c r="AI774" s="73"/>
      <c r="AJ774" s="73"/>
      <c r="AK774" s="73"/>
      <c r="AL774" s="73"/>
      <c r="AM774" s="73"/>
      <c r="AN774" s="73"/>
      <c r="AO774" s="73"/>
      <c r="AP774" s="73"/>
      <c r="AQ774" s="73"/>
      <c r="AR774" s="73"/>
      <c r="AS774" s="73"/>
      <c r="AT774" s="73"/>
      <c r="AU774" s="73"/>
      <c r="AV774" s="73"/>
      <c r="AW774" s="73"/>
      <c r="AX774" s="73"/>
      <c r="AY774" s="73"/>
      <c r="AZ774" s="73"/>
      <c r="BA774" s="73"/>
      <c r="BB774" s="73"/>
    </row>
    <row r="775">
      <c r="A775" s="73"/>
      <c r="B775" s="73"/>
      <c r="C775" s="73"/>
      <c r="D775" s="73"/>
      <c r="E775" s="73"/>
      <c r="F775" s="73"/>
      <c r="G775" s="73"/>
      <c r="H775" s="73"/>
      <c r="I775" s="73"/>
      <c r="J775" s="73"/>
      <c r="K775" s="73"/>
      <c r="L775" s="73"/>
      <c r="M775" s="73"/>
      <c r="N775" s="73"/>
      <c r="O775" s="73"/>
      <c r="P775" s="73"/>
      <c r="Q775" s="73"/>
      <c r="R775" s="73"/>
      <c r="S775" s="73"/>
      <c r="T775" s="73"/>
      <c r="U775" s="73"/>
      <c r="V775" s="73"/>
      <c r="W775" s="73"/>
      <c r="X775" s="73"/>
      <c r="Y775" s="73"/>
      <c r="Z775" s="73"/>
      <c r="AA775" s="73"/>
      <c r="AB775" s="73"/>
      <c r="AC775" s="73"/>
      <c r="AD775" s="73"/>
      <c r="AE775" s="73"/>
      <c r="AF775" s="73"/>
      <c r="AG775" s="73"/>
      <c r="AH775" s="73"/>
      <c r="AI775" s="73"/>
      <c r="AJ775" s="73"/>
      <c r="AK775" s="73"/>
      <c r="AL775" s="73"/>
      <c r="AM775" s="73"/>
      <c r="AN775" s="73"/>
      <c r="AO775" s="73"/>
      <c r="AP775" s="73"/>
      <c r="AQ775" s="73"/>
      <c r="AR775" s="73"/>
      <c r="AS775" s="73"/>
      <c r="AT775" s="73"/>
      <c r="AU775" s="73"/>
      <c r="AV775" s="73"/>
      <c r="AW775" s="73"/>
      <c r="AX775" s="73"/>
      <c r="AY775" s="73"/>
      <c r="AZ775" s="73"/>
      <c r="BA775" s="73"/>
      <c r="BB775" s="73"/>
    </row>
    <row r="776">
      <c r="A776" s="73"/>
      <c r="B776" s="73"/>
      <c r="C776" s="73"/>
      <c r="D776" s="73"/>
      <c r="E776" s="73"/>
      <c r="F776" s="73"/>
      <c r="G776" s="73"/>
      <c r="H776" s="73"/>
      <c r="I776" s="73"/>
      <c r="J776" s="73"/>
      <c r="K776" s="73"/>
      <c r="L776" s="73"/>
      <c r="M776" s="73"/>
      <c r="N776" s="73"/>
      <c r="O776" s="73"/>
      <c r="P776" s="73"/>
      <c r="Q776" s="73"/>
      <c r="R776" s="73"/>
      <c r="S776" s="73"/>
      <c r="T776" s="73"/>
      <c r="U776" s="73"/>
      <c r="V776" s="73"/>
      <c r="W776" s="73"/>
      <c r="X776" s="73"/>
      <c r="Y776" s="73"/>
      <c r="Z776" s="73"/>
      <c r="AA776" s="73"/>
      <c r="AB776" s="73"/>
      <c r="AC776" s="73"/>
      <c r="AD776" s="73"/>
      <c r="AE776" s="73"/>
      <c r="AF776" s="73"/>
      <c r="AG776" s="73"/>
      <c r="AH776" s="73"/>
      <c r="AI776" s="73"/>
      <c r="AJ776" s="73"/>
      <c r="AK776" s="73"/>
      <c r="AL776" s="73"/>
      <c r="AM776" s="73"/>
      <c r="AN776" s="73"/>
      <c r="AO776" s="73"/>
      <c r="AP776" s="73"/>
      <c r="AQ776" s="73"/>
      <c r="AR776" s="73"/>
      <c r="AS776" s="73"/>
      <c r="AT776" s="73"/>
      <c r="AU776" s="73"/>
      <c r="AV776" s="73"/>
      <c r="AW776" s="73"/>
      <c r="AX776" s="73"/>
      <c r="AY776" s="73"/>
      <c r="AZ776" s="73"/>
      <c r="BA776" s="73"/>
      <c r="BB776" s="73"/>
    </row>
    <row r="777">
      <c r="A777" s="73"/>
      <c r="B777" s="73"/>
      <c r="C777" s="73"/>
      <c r="D777" s="73"/>
      <c r="E777" s="73"/>
      <c r="F777" s="73"/>
      <c r="G777" s="73"/>
      <c r="H777" s="73"/>
      <c r="I777" s="73"/>
      <c r="J777" s="73"/>
      <c r="K777" s="73"/>
      <c r="L777" s="73"/>
      <c r="M777" s="73"/>
      <c r="N777" s="73"/>
      <c r="O777" s="73"/>
      <c r="P777" s="73"/>
      <c r="Q777" s="73"/>
      <c r="R777" s="73"/>
      <c r="S777" s="73"/>
      <c r="T777" s="73"/>
      <c r="U777" s="73"/>
      <c r="V777" s="73"/>
      <c r="W777" s="73"/>
      <c r="X777" s="73"/>
      <c r="Y777" s="73"/>
      <c r="Z777" s="73"/>
      <c r="AA777" s="73"/>
      <c r="AB777" s="73"/>
      <c r="AC777" s="73"/>
      <c r="AD777" s="73"/>
      <c r="AE777" s="73"/>
      <c r="AF777" s="73"/>
      <c r="AG777" s="73"/>
      <c r="AH777" s="73"/>
      <c r="AI777" s="73"/>
      <c r="AJ777" s="73"/>
      <c r="AK777" s="73"/>
      <c r="AL777" s="73"/>
      <c r="AM777" s="73"/>
      <c r="AN777" s="73"/>
      <c r="AO777" s="73"/>
      <c r="AP777" s="73"/>
      <c r="AQ777" s="73"/>
      <c r="AR777" s="73"/>
      <c r="AS777" s="73"/>
      <c r="AT777" s="73"/>
      <c r="AU777" s="73"/>
      <c r="AV777" s="73"/>
      <c r="AW777" s="73"/>
      <c r="AX777" s="73"/>
      <c r="AY777" s="73"/>
      <c r="AZ777" s="73"/>
      <c r="BA777" s="73"/>
      <c r="BB777" s="73"/>
    </row>
    <row r="778">
      <c r="A778" s="73"/>
      <c r="B778" s="73"/>
      <c r="C778" s="73"/>
      <c r="D778" s="73"/>
      <c r="E778" s="73"/>
      <c r="F778" s="73"/>
      <c r="G778" s="73"/>
      <c r="H778" s="73"/>
      <c r="I778" s="73"/>
      <c r="J778" s="73"/>
      <c r="K778" s="73"/>
      <c r="L778" s="73"/>
      <c r="M778" s="73"/>
      <c r="N778" s="73"/>
      <c r="O778" s="73"/>
      <c r="P778" s="73"/>
      <c r="Q778" s="73"/>
      <c r="R778" s="73"/>
      <c r="S778" s="73"/>
      <c r="T778" s="73"/>
      <c r="U778" s="73"/>
      <c r="V778" s="73"/>
      <c r="W778" s="73"/>
      <c r="X778" s="73"/>
      <c r="Y778" s="73"/>
      <c r="Z778" s="73"/>
      <c r="AA778" s="73"/>
      <c r="AB778" s="73"/>
      <c r="AC778" s="73"/>
      <c r="AD778" s="73"/>
      <c r="AE778" s="73"/>
      <c r="AF778" s="73"/>
      <c r="AG778" s="73"/>
      <c r="AH778" s="73"/>
      <c r="AI778" s="73"/>
      <c r="AJ778" s="73"/>
      <c r="AK778" s="73"/>
      <c r="AL778" s="73"/>
      <c r="AM778" s="73"/>
      <c r="AN778" s="73"/>
      <c r="AO778" s="73"/>
      <c r="AP778" s="73"/>
      <c r="AQ778" s="73"/>
      <c r="AR778" s="73"/>
      <c r="AS778" s="73"/>
      <c r="AT778" s="73"/>
      <c r="AU778" s="73"/>
      <c r="AV778" s="73"/>
      <c r="AW778" s="73"/>
      <c r="AX778" s="73"/>
      <c r="AY778" s="73"/>
      <c r="AZ778" s="73"/>
      <c r="BA778" s="73"/>
      <c r="BB778" s="73"/>
    </row>
    <row r="779">
      <c r="A779" s="73"/>
      <c r="B779" s="73"/>
      <c r="C779" s="73"/>
      <c r="D779" s="73"/>
      <c r="E779" s="73"/>
      <c r="F779" s="73"/>
      <c r="G779" s="73"/>
      <c r="H779" s="73"/>
      <c r="I779" s="73"/>
      <c r="J779" s="73"/>
      <c r="K779" s="73"/>
      <c r="L779" s="73"/>
      <c r="M779" s="73"/>
      <c r="N779" s="73"/>
      <c r="O779" s="73"/>
      <c r="P779" s="73"/>
      <c r="Q779" s="73"/>
      <c r="R779" s="73"/>
      <c r="S779" s="73"/>
      <c r="T779" s="73"/>
      <c r="U779" s="73"/>
      <c r="V779" s="73"/>
      <c r="W779" s="73"/>
      <c r="X779" s="73"/>
      <c r="Y779" s="73"/>
      <c r="Z779" s="73"/>
      <c r="AA779" s="73"/>
      <c r="AB779" s="73"/>
      <c r="AC779" s="73"/>
      <c r="AD779" s="73"/>
      <c r="AE779" s="73"/>
      <c r="AF779" s="73"/>
      <c r="AG779" s="73"/>
      <c r="AH779" s="73"/>
      <c r="AI779" s="73"/>
      <c r="AJ779" s="73"/>
      <c r="AK779" s="73"/>
      <c r="AL779" s="73"/>
      <c r="AM779" s="73"/>
      <c r="AN779" s="73"/>
      <c r="AO779" s="73"/>
      <c r="AP779" s="73"/>
      <c r="AQ779" s="73"/>
      <c r="AR779" s="73"/>
      <c r="AS779" s="73"/>
      <c r="AT779" s="73"/>
      <c r="AU779" s="73"/>
      <c r="AV779" s="73"/>
      <c r="AW779" s="73"/>
      <c r="AX779" s="73"/>
      <c r="AY779" s="73"/>
      <c r="AZ779" s="73"/>
      <c r="BA779" s="73"/>
      <c r="BB779" s="73"/>
    </row>
    <row r="780">
      <c r="A780" s="73"/>
      <c r="B780" s="73"/>
      <c r="C780" s="73"/>
      <c r="D780" s="73"/>
      <c r="E780" s="73"/>
      <c r="F780" s="73"/>
      <c r="G780" s="73"/>
      <c r="H780" s="73"/>
      <c r="I780" s="73"/>
      <c r="J780" s="73"/>
      <c r="K780" s="73"/>
      <c r="L780" s="73"/>
      <c r="M780" s="73"/>
      <c r="N780" s="73"/>
      <c r="O780" s="73"/>
      <c r="P780" s="73"/>
      <c r="Q780" s="73"/>
      <c r="R780" s="73"/>
      <c r="S780" s="73"/>
      <c r="T780" s="73"/>
      <c r="U780" s="73"/>
      <c r="V780" s="73"/>
      <c r="W780" s="73"/>
      <c r="X780" s="73"/>
      <c r="Y780" s="73"/>
      <c r="Z780" s="73"/>
      <c r="AA780" s="73"/>
      <c r="AB780" s="73"/>
      <c r="AC780" s="73"/>
      <c r="AD780" s="73"/>
      <c r="AE780" s="73"/>
      <c r="AF780" s="73"/>
      <c r="AG780" s="73"/>
      <c r="AH780" s="73"/>
      <c r="AI780" s="73"/>
      <c r="AJ780" s="73"/>
      <c r="AK780" s="73"/>
      <c r="AL780" s="73"/>
      <c r="AM780" s="73"/>
      <c r="AN780" s="73"/>
      <c r="AO780" s="73"/>
      <c r="AP780" s="73"/>
      <c r="AQ780" s="73"/>
      <c r="AR780" s="73"/>
      <c r="AS780" s="73"/>
      <c r="AT780" s="73"/>
      <c r="AU780" s="73"/>
      <c r="AV780" s="73"/>
      <c r="AW780" s="73"/>
      <c r="AX780" s="73"/>
      <c r="AY780" s="73"/>
      <c r="AZ780" s="73"/>
      <c r="BA780" s="73"/>
      <c r="BB780" s="73"/>
    </row>
    <row r="781">
      <c r="A781" s="73"/>
      <c r="B781" s="73"/>
      <c r="C781" s="73"/>
      <c r="D781" s="73"/>
      <c r="E781" s="73"/>
      <c r="F781" s="73"/>
      <c r="G781" s="73"/>
      <c r="H781" s="73"/>
      <c r="I781" s="73"/>
      <c r="J781" s="73"/>
      <c r="K781" s="73"/>
      <c r="L781" s="73"/>
      <c r="M781" s="73"/>
      <c r="N781" s="73"/>
      <c r="O781" s="73"/>
      <c r="P781" s="73"/>
      <c r="Q781" s="73"/>
      <c r="R781" s="73"/>
      <c r="S781" s="73"/>
      <c r="T781" s="73"/>
      <c r="U781" s="73"/>
      <c r="V781" s="73"/>
      <c r="W781" s="73"/>
      <c r="X781" s="73"/>
      <c r="Y781" s="73"/>
      <c r="Z781" s="73"/>
      <c r="AA781" s="73"/>
      <c r="AB781" s="73"/>
      <c r="AC781" s="73"/>
      <c r="AD781" s="73"/>
      <c r="AE781" s="73"/>
      <c r="AF781" s="73"/>
      <c r="AG781" s="73"/>
      <c r="AH781" s="73"/>
      <c r="AI781" s="73"/>
      <c r="AJ781" s="73"/>
      <c r="AK781" s="73"/>
      <c r="AL781" s="73"/>
      <c r="AM781" s="73"/>
      <c r="AN781" s="73"/>
      <c r="AO781" s="73"/>
      <c r="AP781" s="73"/>
      <c r="AQ781" s="73"/>
      <c r="AR781" s="73"/>
      <c r="AS781" s="73"/>
      <c r="AT781" s="73"/>
      <c r="AU781" s="73"/>
      <c r="AV781" s="73"/>
      <c r="AW781" s="73"/>
      <c r="AX781" s="73"/>
      <c r="AY781" s="73"/>
      <c r="AZ781" s="73"/>
      <c r="BA781" s="73"/>
      <c r="BB781" s="73"/>
    </row>
    <row r="782">
      <c r="A782" s="73"/>
      <c r="B782" s="73"/>
      <c r="C782" s="73"/>
      <c r="D782" s="73"/>
      <c r="E782" s="73"/>
      <c r="F782" s="73"/>
      <c r="G782" s="73"/>
      <c r="H782" s="73"/>
      <c r="I782" s="73"/>
      <c r="J782" s="73"/>
      <c r="K782" s="73"/>
      <c r="L782" s="73"/>
      <c r="M782" s="73"/>
      <c r="N782" s="73"/>
      <c r="O782" s="73"/>
      <c r="P782" s="73"/>
      <c r="Q782" s="73"/>
      <c r="R782" s="73"/>
      <c r="S782" s="73"/>
      <c r="T782" s="73"/>
      <c r="U782" s="73"/>
      <c r="V782" s="73"/>
      <c r="W782" s="73"/>
      <c r="X782" s="73"/>
      <c r="Y782" s="73"/>
      <c r="Z782" s="73"/>
      <c r="AA782" s="73"/>
      <c r="AB782" s="73"/>
      <c r="AC782" s="73"/>
      <c r="AD782" s="73"/>
      <c r="AE782" s="73"/>
      <c r="AF782" s="73"/>
      <c r="AG782" s="73"/>
      <c r="AH782" s="73"/>
      <c r="AI782" s="73"/>
      <c r="AJ782" s="73"/>
      <c r="AK782" s="73"/>
      <c r="AL782" s="73"/>
      <c r="AM782" s="73"/>
      <c r="AN782" s="73"/>
      <c r="AO782" s="73"/>
      <c r="AP782" s="73"/>
      <c r="AQ782" s="73"/>
      <c r="AR782" s="73"/>
      <c r="AS782" s="73"/>
      <c r="AT782" s="73"/>
      <c r="AU782" s="73"/>
      <c r="AV782" s="73"/>
      <c r="AW782" s="73"/>
      <c r="AX782" s="73"/>
      <c r="AY782" s="73"/>
      <c r="AZ782" s="73"/>
      <c r="BA782" s="73"/>
      <c r="BB782" s="73"/>
    </row>
    <row r="783">
      <c r="A783" s="73"/>
      <c r="B783" s="73"/>
      <c r="C783" s="73"/>
      <c r="D783" s="73"/>
      <c r="E783" s="73"/>
      <c r="F783" s="73"/>
      <c r="G783" s="73"/>
      <c r="H783" s="73"/>
      <c r="I783" s="73"/>
      <c r="J783" s="73"/>
      <c r="K783" s="73"/>
      <c r="L783" s="73"/>
      <c r="M783" s="73"/>
      <c r="N783" s="73"/>
      <c r="O783" s="73"/>
      <c r="P783" s="73"/>
      <c r="Q783" s="73"/>
      <c r="R783" s="73"/>
      <c r="S783" s="73"/>
      <c r="T783" s="73"/>
      <c r="U783" s="73"/>
      <c r="V783" s="73"/>
      <c r="W783" s="73"/>
      <c r="X783" s="73"/>
      <c r="Y783" s="73"/>
      <c r="Z783" s="73"/>
      <c r="AA783" s="73"/>
      <c r="AB783" s="73"/>
      <c r="AC783" s="73"/>
      <c r="AD783" s="73"/>
      <c r="AE783" s="73"/>
      <c r="AF783" s="73"/>
      <c r="AG783" s="73"/>
      <c r="AH783" s="73"/>
      <c r="AI783" s="73"/>
      <c r="AJ783" s="73"/>
      <c r="AK783" s="73"/>
      <c r="AL783" s="73"/>
      <c r="AM783" s="73"/>
      <c r="AN783" s="73"/>
      <c r="AO783" s="73"/>
      <c r="AP783" s="73"/>
      <c r="AQ783" s="73"/>
      <c r="AR783" s="73"/>
      <c r="AS783" s="73"/>
      <c r="AT783" s="73"/>
      <c r="AU783" s="73"/>
      <c r="AV783" s="73"/>
      <c r="AW783" s="73"/>
      <c r="AX783" s="73"/>
      <c r="AY783" s="73"/>
      <c r="AZ783" s="73"/>
      <c r="BA783" s="73"/>
      <c r="BB783" s="73"/>
    </row>
    <row r="784">
      <c r="A784" s="73"/>
      <c r="B784" s="73"/>
      <c r="C784" s="73"/>
      <c r="D784" s="73"/>
      <c r="E784" s="73"/>
      <c r="F784" s="73"/>
      <c r="G784" s="73"/>
      <c r="H784" s="73"/>
      <c r="I784" s="73"/>
      <c r="J784" s="73"/>
      <c r="K784" s="73"/>
      <c r="L784" s="73"/>
      <c r="M784" s="73"/>
      <c r="N784" s="73"/>
      <c r="O784" s="73"/>
      <c r="P784" s="73"/>
      <c r="Q784" s="73"/>
      <c r="R784" s="73"/>
      <c r="S784" s="73"/>
      <c r="T784" s="73"/>
      <c r="U784" s="73"/>
      <c r="V784" s="73"/>
      <c r="W784" s="73"/>
      <c r="X784" s="73"/>
      <c r="Y784" s="73"/>
      <c r="Z784" s="73"/>
      <c r="AA784" s="73"/>
      <c r="AB784" s="73"/>
      <c r="AC784" s="73"/>
      <c r="AD784" s="73"/>
      <c r="AE784" s="73"/>
      <c r="AF784" s="73"/>
      <c r="AG784" s="73"/>
      <c r="AH784" s="73"/>
      <c r="AI784" s="73"/>
      <c r="AJ784" s="73"/>
      <c r="AK784" s="73"/>
      <c r="AL784" s="73"/>
      <c r="AM784" s="73"/>
      <c r="AN784" s="73"/>
      <c r="AO784" s="73"/>
      <c r="AP784" s="73"/>
      <c r="AQ784" s="73"/>
      <c r="AR784" s="73"/>
      <c r="AS784" s="73"/>
      <c r="AT784" s="73"/>
      <c r="AU784" s="73"/>
      <c r="AV784" s="73"/>
      <c r="AW784" s="73"/>
      <c r="AX784" s="73"/>
      <c r="AY784" s="73"/>
      <c r="AZ784" s="73"/>
      <c r="BA784" s="73"/>
      <c r="BB784" s="73"/>
    </row>
    <row r="785">
      <c r="A785" s="73"/>
      <c r="B785" s="73"/>
      <c r="C785" s="73"/>
      <c r="D785" s="73"/>
      <c r="E785" s="73"/>
      <c r="F785" s="73"/>
      <c r="G785" s="73"/>
      <c r="H785" s="73"/>
      <c r="I785" s="73"/>
      <c r="J785" s="73"/>
      <c r="K785" s="73"/>
      <c r="L785" s="73"/>
      <c r="M785" s="73"/>
      <c r="N785" s="73"/>
      <c r="O785" s="73"/>
      <c r="P785" s="73"/>
      <c r="Q785" s="73"/>
      <c r="R785" s="73"/>
      <c r="S785" s="73"/>
      <c r="T785" s="73"/>
      <c r="U785" s="73"/>
      <c r="V785" s="73"/>
      <c r="W785" s="73"/>
      <c r="X785" s="73"/>
      <c r="Y785" s="73"/>
      <c r="Z785" s="73"/>
      <c r="AA785" s="73"/>
      <c r="AB785" s="73"/>
      <c r="AC785" s="73"/>
      <c r="AD785" s="73"/>
      <c r="AE785" s="73"/>
      <c r="AF785" s="73"/>
      <c r="AG785" s="73"/>
      <c r="AH785" s="73"/>
      <c r="AI785" s="73"/>
      <c r="AJ785" s="73"/>
      <c r="AK785" s="73"/>
      <c r="AL785" s="73"/>
      <c r="AM785" s="73"/>
      <c r="AN785" s="73"/>
      <c r="AO785" s="73"/>
      <c r="AP785" s="73"/>
      <c r="AQ785" s="73"/>
      <c r="AR785" s="73"/>
      <c r="AS785" s="73"/>
      <c r="AT785" s="73"/>
      <c r="AU785" s="73"/>
      <c r="AV785" s="73"/>
      <c r="AW785" s="73"/>
      <c r="AX785" s="73"/>
      <c r="AY785" s="73"/>
      <c r="AZ785" s="73"/>
      <c r="BA785" s="73"/>
      <c r="BB785" s="73"/>
    </row>
    <row r="786">
      <c r="A786" s="73"/>
      <c r="B786" s="73"/>
      <c r="C786" s="73"/>
      <c r="D786" s="73"/>
      <c r="E786" s="73"/>
      <c r="F786" s="73"/>
      <c r="G786" s="73"/>
      <c r="H786" s="73"/>
      <c r="I786" s="73"/>
      <c r="J786" s="73"/>
      <c r="K786" s="73"/>
      <c r="L786" s="73"/>
      <c r="M786" s="73"/>
      <c r="N786" s="73"/>
      <c r="O786" s="73"/>
      <c r="P786" s="73"/>
      <c r="Q786" s="73"/>
      <c r="R786" s="73"/>
      <c r="S786" s="73"/>
      <c r="T786" s="73"/>
      <c r="U786" s="73"/>
      <c r="V786" s="73"/>
      <c r="W786" s="73"/>
      <c r="X786" s="73"/>
      <c r="Y786" s="73"/>
      <c r="Z786" s="73"/>
      <c r="AA786" s="73"/>
      <c r="AB786" s="73"/>
      <c r="AC786" s="73"/>
      <c r="AD786" s="73"/>
      <c r="AE786" s="73"/>
      <c r="AF786" s="73"/>
      <c r="AG786" s="73"/>
      <c r="AH786" s="73"/>
      <c r="AI786" s="73"/>
      <c r="AJ786" s="73"/>
      <c r="AK786" s="73"/>
      <c r="AL786" s="73"/>
      <c r="AM786" s="73"/>
      <c r="AN786" s="73"/>
      <c r="AO786" s="73"/>
      <c r="AP786" s="73"/>
      <c r="AQ786" s="73"/>
      <c r="AR786" s="73"/>
      <c r="AS786" s="73"/>
      <c r="AT786" s="73"/>
      <c r="AU786" s="73"/>
      <c r="AV786" s="73"/>
      <c r="AW786" s="73"/>
      <c r="AX786" s="73"/>
      <c r="AY786" s="73"/>
      <c r="AZ786" s="73"/>
      <c r="BA786" s="73"/>
      <c r="BB786" s="73"/>
    </row>
    <row r="787">
      <c r="A787" s="73"/>
      <c r="B787" s="73"/>
      <c r="C787" s="73"/>
      <c r="D787" s="73"/>
      <c r="E787" s="73"/>
      <c r="F787" s="73"/>
      <c r="G787" s="73"/>
      <c r="H787" s="73"/>
      <c r="I787" s="73"/>
      <c r="J787" s="73"/>
      <c r="K787" s="73"/>
      <c r="L787" s="73"/>
      <c r="M787" s="73"/>
      <c r="N787" s="73"/>
      <c r="O787" s="73"/>
      <c r="P787" s="73"/>
      <c r="Q787" s="73"/>
      <c r="R787" s="73"/>
      <c r="S787" s="73"/>
      <c r="T787" s="73"/>
      <c r="U787" s="73"/>
      <c r="V787" s="73"/>
      <c r="W787" s="73"/>
      <c r="X787" s="73"/>
      <c r="Y787" s="73"/>
      <c r="Z787" s="73"/>
      <c r="AA787" s="73"/>
      <c r="AB787" s="73"/>
      <c r="AC787" s="73"/>
      <c r="AD787" s="73"/>
      <c r="AE787" s="73"/>
      <c r="AF787" s="73"/>
      <c r="AG787" s="73"/>
      <c r="AH787" s="73"/>
      <c r="AI787" s="73"/>
      <c r="AJ787" s="73"/>
      <c r="AK787" s="73"/>
      <c r="AL787" s="73"/>
      <c r="AM787" s="73"/>
      <c r="AN787" s="73"/>
      <c r="AO787" s="73"/>
      <c r="AP787" s="73"/>
      <c r="AQ787" s="73"/>
      <c r="AR787" s="73"/>
      <c r="AS787" s="73"/>
      <c r="AT787" s="73"/>
      <c r="AU787" s="73"/>
      <c r="AV787" s="73"/>
      <c r="AW787" s="73"/>
      <c r="AX787" s="73"/>
      <c r="AY787" s="73"/>
      <c r="AZ787" s="73"/>
      <c r="BA787" s="73"/>
      <c r="BB787" s="73"/>
    </row>
    <row r="788">
      <c r="A788" s="73"/>
      <c r="B788" s="73"/>
      <c r="C788" s="73"/>
      <c r="D788" s="73"/>
      <c r="E788" s="73"/>
      <c r="F788" s="73"/>
      <c r="G788" s="73"/>
      <c r="H788" s="73"/>
      <c r="I788" s="73"/>
      <c r="J788" s="73"/>
      <c r="K788" s="73"/>
      <c r="L788" s="73"/>
      <c r="M788" s="73"/>
      <c r="N788" s="73"/>
      <c r="O788" s="73"/>
      <c r="P788" s="73"/>
      <c r="Q788" s="73"/>
      <c r="R788" s="73"/>
      <c r="S788" s="73"/>
      <c r="T788" s="73"/>
      <c r="U788" s="73"/>
      <c r="V788" s="73"/>
      <c r="W788" s="73"/>
      <c r="X788" s="73"/>
      <c r="Y788" s="73"/>
      <c r="Z788" s="73"/>
      <c r="AA788" s="73"/>
      <c r="AB788" s="73"/>
      <c r="AC788" s="73"/>
      <c r="AD788" s="73"/>
      <c r="AE788" s="73"/>
      <c r="AF788" s="73"/>
      <c r="AG788" s="73"/>
      <c r="AH788" s="73"/>
      <c r="AI788" s="73"/>
      <c r="AJ788" s="73"/>
      <c r="AK788" s="73"/>
      <c r="AL788" s="73"/>
      <c r="AM788" s="73"/>
      <c r="AN788" s="73"/>
      <c r="AO788" s="73"/>
      <c r="AP788" s="73"/>
      <c r="AQ788" s="73"/>
      <c r="AR788" s="73"/>
      <c r="AS788" s="73"/>
      <c r="AT788" s="73"/>
      <c r="AU788" s="73"/>
      <c r="AV788" s="73"/>
      <c r="AW788" s="73"/>
      <c r="AX788" s="73"/>
      <c r="AY788" s="73"/>
      <c r="AZ788" s="73"/>
      <c r="BA788" s="73"/>
      <c r="BB788" s="73"/>
    </row>
    <row r="789">
      <c r="A789" s="73"/>
      <c r="B789" s="73"/>
      <c r="C789" s="73"/>
      <c r="D789" s="73"/>
      <c r="E789" s="73"/>
      <c r="F789" s="73"/>
      <c r="G789" s="73"/>
      <c r="H789" s="73"/>
      <c r="I789" s="73"/>
      <c r="J789" s="73"/>
      <c r="K789" s="73"/>
      <c r="L789" s="73"/>
      <c r="M789" s="73"/>
      <c r="N789" s="73"/>
      <c r="O789" s="73"/>
      <c r="P789" s="73"/>
      <c r="Q789" s="73"/>
      <c r="R789" s="73"/>
      <c r="S789" s="73"/>
      <c r="T789" s="73"/>
      <c r="U789" s="73"/>
      <c r="V789" s="73"/>
      <c r="W789" s="73"/>
      <c r="X789" s="73"/>
      <c r="Y789" s="73"/>
      <c r="Z789" s="73"/>
      <c r="AA789" s="73"/>
      <c r="AB789" s="73"/>
      <c r="AC789" s="73"/>
      <c r="AD789" s="73"/>
      <c r="AE789" s="73"/>
      <c r="AF789" s="73"/>
      <c r="AG789" s="73"/>
      <c r="AH789" s="73"/>
      <c r="AI789" s="73"/>
      <c r="AJ789" s="73"/>
      <c r="AK789" s="73"/>
      <c r="AL789" s="73"/>
      <c r="AM789" s="73"/>
      <c r="AN789" s="73"/>
      <c r="AO789" s="73"/>
      <c r="AP789" s="73"/>
      <c r="AQ789" s="73"/>
      <c r="AR789" s="73"/>
      <c r="AS789" s="73"/>
      <c r="AT789" s="73"/>
      <c r="AU789" s="73"/>
      <c r="AV789" s="73"/>
      <c r="AW789" s="73"/>
      <c r="AX789" s="73"/>
      <c r="AY789" s="73"/>
      <c r="AZ789" s="73"/>
      <c r="BA789" s="73"/>
      <c r="BB789" s="73"/>
    </row>
    <row r="790">
      <c r="A790" s="73"/>
      <c r="B790" s="73"/>
      <c r="C790" s="73"/>
      <c r="D790" s="73"/>
      <c r="E790" s="73"/>
      <c r="F790" s="73"/>
      <c r="G790" s="73"/>
      <c r="H790" s="73"/>
      <c r="I790" s="73"/>
      <c r="J790" s="73"/>
      <c r="K790" s="73"/>
      <c r="L790" s="73"/>
      <c r="M790" s="73"/>
      <c r="N790" s="73"/>
      <c r="O790" s="73"/>
      <c r="P790" s="73"/>
      <c r="Q790" s="73"/>
      <c r="R790" s="73"/>
      <c r="S790" s="73"/>
      <c r="T790" s="73"/>
      <c r="U790" s="73"/>
      <c r="V790" s="73"/>
      <c r="W790" s="73"/>
      <c r="X790" s="73"/>
      <c r="Y790" s="73"/>
      <c r="Z790" s="73"/>
      <c r="AA790" s="73"/>
      <c r="AB790" s="73"/>
      <c r="AC790" s="73"/>
      <c r="AD790" s="73"/>
      <c r="AE790" s="73"/>
      <c r="AF790" s="73"/>
      <c r="AG790" s="73"/>
      <c r="AH790" s="73"/>
      <c r="AI790" s="73"/>
      <c r="AJ790" s="73"/>
      <c r="AK790" s="73"/>
      <c r="AL790" s="73"/>
      <c r="AM790" s="73"/>
      <c r="AN790" s="73"/>
      <c r="AO790" s="73"/>
      <c r="AP790" s="73"/>
      <c r="AQ790" s="73"/>
      <c r="AR790" s="73"/>
      <c r="AS790" s="73"/>
      <c r="AT790" s="73"/>
      <c r="AU790" s="73"/>
      <c r="AV790" s="73"/>
      <c r="AW790" s="73"/>
      <c r="AX790" s="73"/>
      <c r="AY790" s="73"/>
      <c r="AZ790" s="73"/>
      <c r="BA790" s="73"/>
      <c r="BB790" s="73"/>
    </row>
    <row r="791">
      <c r="A791" s="73"/>
      <c r="B791" s="73"/>
      <c r="C791" s="73"/>
      <c r="D791" s="73"/>
      <c r="E791" s="73"/>
      <c r="F791" s="73"/>
      <c r="G791" s="73"/>
      <c r="H791" s="73"/>
      <c r="I791" s="73"/>
      <c r="J791" s="73"/>
      <c r="K791" s="73"/>
      <c r="L791" s="73"/>
      <c r="M791" s="73"/>
      <c r="N791" s="73"/>
      <c r="O791" s="73"/>
      <c r="P791" s="73"/>
      <c r="Q791" s="73"/>
      <c r="R791" s="73"/>
      <c r="S791" s="73"/>
      <c r="T791" s="73"/>
      <c r="U791" s="73"/>
      <c r="V791" s="73"/>
      <c r="W791" s="73"/>
      <c r="X791" s="73"/>
      <c r="Y791" s="73"/>
      <c r="Z791" s="73"/>
      <c r="AA791" s="73"/>
      <c r="AB791" s="73"/>
      <c r="AC791" s="73"/>
      <c r="AD791" s="73"/>
      <c r="AE791" s="73"/>
      <c r="AF791" s="73"/>
      <c r="AG791" s="73"/>
      <c r="AH791" s="73"/>
      <c r="AI791" s="73"/>
      <c r="AJ791" s="73"/>
      <c r="AK791" s="73"/>
      <c r="AL791" s="73"/>
      <c r="AM791" s="73"/>
      <c r="AN791" s="73"/>
      <c r="AO791" s="73"/>
      <c r="AP791" s="73"/>
      <c r="AQ791" s="73"/>
      <c r="AR791" s="73"/>
      <c r="AS791" s="73"/>
      <c r="AT791" s="73"/>
      <c r="AU791" s="73"/>
      <c r="AV791" s="73"/>
      <c r="AW791" s="73"/>
      <c r="AX791" s="73"/>
      <c r="AY791" s="73"/>
      <c r="AZ791" s="73"/>
      <c r="BA791" s="73"/>
      <c r="BB791" s="73"/>
    </row>
    <row r="792">
      <c r="A792" s="73"/>
      <c r="B792" s="73"/>
      <c r="C792" s="73"/>
      <c r="D792" s="73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73"/>
      <c r="V792" s="73"/>
      <c r="W792" s="73"/>
      <c r="X792" s="73"/>
      <c r="Y792" s="73"/>
      <c r="Z792" s="73"/>
      <c r="AA792" s="73"/>
      <c r="AB792" s="73"/>
      <c r="AC792" s="73"/>
      <c r="AD792" s="73"/>
      <c r="AE792" s="73"/>
      <c r="AF792" s="73"/>
      <c r="AG792" s="73"/>
      <c r="AH792" s="73"/>
      <c r="AI792" s="73"/>
      <c r="AJ792" s="73"/>
      <c r="AK792" s="73"/>
      <c r="AL792" s="73"/>
      <c r="AM792" s="73"/>
      <c r="AN792" s="73"/>
      <c r="AO792" s="73"/>
      <c r="AP792" s="73"/>
      <c r="AQ792" s="73"/>
      <c r="AR792" s="73"/>
      <c r="AS792" s="73"/>
      <c r="AT792" s="73"/>
      <c r="AU792" s="73"/>
      <c r="AV792" s="73"/>
      <c r="AW792" s="73"/>
      <c r="AX792" s="73"/>
      <c r="AY792" s="73"/>
      <c r="AZ792" s="73"/>
      <c r="BA792" s="73"/>
      <c r="BB792" s="73"/>
    </row>
    <row r="793">
      <c r="A793" s="73"/>
      <c r="B793" s="73"/>
      <c r="C793" s="73"/>
      <c r="D793" s="73"/>
      <c r="E793" s="73"/>
      <c r="F793" s="73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73"/>
      <c r="U793" s="73"/>
      <c r="V793" s="73"/>
      <c r="W793" s="73"/>
      <c r="X793" s="73"/>
      <c r="Y793" s="73"/>
      <c r="Z793" s="73"/>
      <c r="AA793" s="73"/>
      <c r="AB793" s="73"/>
      <c r="AC793" s="73"/>
      <c r="AD793" s="73"/>
      <c r="AE793" s="73"/>
      <c r="AF793" s="73"/>
      <c r="AG793" s="73"/>
      <c r="AH793" s="73"/>
      <c r="AI793" s="73"/>
      <c r="AJ793" s="73"/>
      <c r="AK793" s="73"/>
      <c r="AL793" s="73"/>
      <c r="AM793" s="73"/>
      <c r="AN793" s="73"/>
      <c r="AO793" s="73"/>
      <c r="AP793" s="73"/>
      <c r="AQ793" s="73"/>
      <c r="AR793" s="73"/>
      <c r="AS793" s="73"/>
      <c r="AT793" s="73"/>
      <c r="AU793" s="73"/>
      <c r="AV793" s="73"/>
      <c r="AW793" s="73"/>
      <c r="AX793" s="73"/>
      <c r="AY793" s="73"/>
      <c r="AZ793" s="73"/>
      <c r="BA793" s="73"/>
      <c r="BB793" s="73"/>
    </row>
    <row r="794">
      <c r="A794" s="73"/>
      <c r="B794" s="73"/>
      <c r="C794" s="73"/>
      <c r="D794" s="73"/>
      <c r="E794" s="73"/>
      <c r="F794" s="73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73"/>
      <c r="U794" s="73"/>
      <c r="V794" s="73"/>
      <c r="W794" s="73"/>
      <c r="X794" s="73"/>
      <c r="Y794" s="73"/>
      <c r="Z794" s="73"/>
      <c r="AA794" s="73"/>
      <c r="AB794" s="73"/>
      <c r="AC794" s="73"/>
      <c r="AD794" s="73"/>
      <c r="AE794" s="73"/>
      <c r="AF794" s="73"/>
      <c r="AG794" s="73"/>
      <c r="AH794" s="73"/>
      <c r="AI794" s="73"/>
      <c r="AJ794" s="73"/>
      <c r="AK794" s="73"/>
      <c r="AL794" s="73"/>
      <c r="AM794" s="73"/>
      <c r="AN794" s="73"/>
      <c r="AO794" s="73"/>
      <c r="AP794" s="73"/>
      <c r="AQ794" s="73"/>
      <c r="AR794" s="73"/>
      <c r="AS794" s="73"/>
      <c r="AT794" s="73"/>
      <c r="AU794" s="73"/>
      <c r="AV794" s="73"/>
      <c r="AW794" s="73"/>
      <c r="AX794" s="73"/>
      <c r="AY794" s="73"/>
      <c r="AZ794" s="73"/>
      <c r="BA794" s="73"/>
      <c r="BB794" s="73"/>
    </row>
    <row r="795">
      <c r="A795" s="73"/>
      <c r="B795" s="73"/>
      <c r="C795" s="73"/>
      <c r="D795" s="73"/>
      <c r="E795" s="73"/>
      <c r="F795" s="73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73"/>
      <c r="U795" s="73"/>
      <c r="V795" s="73"/>
      <c r="W795" s="73"/>
      <c r="X795" s="73"/>
      <c r="Y795" s="73"/>
      <c r="Z795" s="73"/>
      <c r="AA795" s="73"/>
      <c r="AB795" s="73"/>
      <c r="AC795" s="73"/>
      <c r="AD795" s="73"/>
      <c r="AE795" s="73"/>
      <c r="AF795" s="73"/>
      <c r="AG795" s="73"/>
      <c r="AH795" s="73"/>
      <c r="AI795" s="73"/>
      <c r="AJ795" s="73"/>
      <c r="AK795" s="73"/>
      <c r="AL795" s="73"/>
      <c r="AM795" s="73"/>
      <c r="AN795" s="73"/>
      <c r="AO795" s="73"/>
      <c r="AP795" s="73"/>
      <c r="AQ795" s="73"/>
      <c r="AR795" s="73"/>
      <c r="AS795" s="73"/>
      <c r="AT795" s="73"/>
      <c r="AU795" s="73"/>
      <c r="AV795" s="73"/>
      <c r="AW795" s="73"/>
      <c r="AX795" s="73"/>
      <c r="AY795" s="73"/>
      <c r="AZ795" s="73"/>
      <c r="BA795" s="73"/>
      <c r="BB795" s="73"/>
    </row>
    <row r="796">
      <c r="A796" s="73"/>
      <c r="B796" s="73"/>
      <c r="C796" s="73"/>
      <c r="D796" s="73"/>
      <c r="E796" s="73"/>
      <c r="F796" s="73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73"/>
      <c r="U796" s="73"/>
      <c r="V796" s="73"/>
      <c r="W796" s="73"/>
      <c r="X796" s="73"/>
      <c r="Y796" s="73"/>
      <c r="Z796" s="73"/>
      <c r="AA796" s="73"/>
      <c r="AB796" s="73"/>
      <c r="AC796" s="73"/>
      <c r="AD796" s="73"/>
      <c r="AE796" s="73"/>
      <c r="AF796" s="73"/>
      <c r="AG796" s="73"/>
      <c r="AH796" s="73"/>
      <c r="AI796" s="73"/>
      <c r="AJ796" s="73"/>
      <c r="AK796" s="73"/>
      <c r="AL796" s="73"/>
      <c r="AM796" s="73"/>
      <c r="AN796" s="73"/>
      <c r="AO796" s="73"/>
      <c r="AP796" s="73"/>
      <c r="AQ796" s="73"/>
      <c r="AR796" s="73"/>
      <c r="AS796" s="73"/>
      <c r="AT796" s="73"/>
      <c r="AU796" s="73"/>
      <c r="AV796" s="73"/>
      <c r="AW796" s="73"/>
      <c r="AX796" s="73"/>
      <c r="AY796" s="73"/>
      <c r="AZ796" s="73"/>
      <c r="BA796" s="73"/>
      <c r="BB796" s="73"/>
    </row>
    <row r="797">
      <c r="A797" s="73"/>
      <c r="B797" s="73"/>
      <c r="C797" s="73"/>
      <c r="D797" s="73"/>
      <c r="E797" s="73"/>
      <c r="F797" s="73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73"/>
      <c r="U797" s="73"/>
      <c r="V797" s="73"/>
      <c r="W797" s="73"/>
      <c r="X797" s="73"/>
      <c r="Y797" s="73"/>
      <c r="Z797" s="73"/>
      <c r="AA797" s="73"/>
      <c r="AB797" s="73"/>
      <c r="AC797" s="73"/>
      <c r="AD797" s="73"/>
      <c r="AE797" s="73"/>
      <c r="AF797" s="73"/>
      <c r="AG797" s="73"/>
      <c r="AH797" s="73"/>
      <c r="AI797" s="73"/>
      <c r="AJ797" s="73"/>
      <c r="AK797" s="73"/>
      <c r="AL797" s="73"/>
      <c r="AM797" s="73"/>
      <c r="AN797" s="73"/>
      <c r="AO797" s="73"/>
      <c r="AP797" s="73"/>
      <c r="AQ797" s="73"/>
      <c r="AR797" s="73"/>
      <c r="AS797" s="73"/>
      <c r="AT797" s="73"/>
      <c r="AU797" s="73"/>
      <c r="AV797" s="73"/>
      <c r="AW797" s="73"/>
      <c r="AX797" s="73"/>
      <c r="AY797" s="73"/>
      <c r="AZ797" s="73"/>
      <c r="BA797" s="73"/>
      <c r="BB797" s="73"/>
    </row>
    <row r="798">
      <c r="A798" s="73"/>
      <c r="B798" s="73"/>
      <c r="C798" s="73"/>
      <c r="D798" s="73"/>
      <c r="E798" s="73"/>
      <c r="F798" s="73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73"/>
      <c r="U798" s="73"/>
      <c r="V798" s="73"/>
      <c r="W798" s="73"/>
      <c r="X798" s="73"/>
      <c r="Y798" s="73"/>
      <c r="Z798" s="73"/>
      <c r="AA798" s="73"/>
      <c r="AB798" s="73"/>
      <c r="AC798" s="73"/>
      <c r="AD798" s="73"/>
      <c r="AE798" s="73"/>
      <c r="AF798" s="73"/>
      <c r="AG798" s="73"/>
      <c r="AH798" s="73"/>
      <c r="AI798" s="73"/>
      <c r="AJ798" s="73"/>
      <c r="AK798" s="73"/>
      <c r="AL798" s="73"/>
      <c r="AM798" s="73"/>
      <c r="AN798" s="73"/>
      <c r="AO798" s="73"/>
      <c r="AP798" s="73"/>
      <c r="AQ798" s="73"/>
      <c r="AR798" s="73"/>
      <c r="AS798" s="73"/>
      <c r="AT798" s="73"/>
      <c r="AU798" s="73"/>
      <c r="AV798" s="73"/>
      <c r="AW798" s="73"/>
      <c r="AX798" s="73"/>
      <c r="AY798" s="73"/>
      <c r="AZ798" s="73"/>
      <c r="BA798" s="73"/>
      <c r="BB798" s="73"/>
    </row>
    <row r="799">
      <c r="A799" s="73"/>
      <c r="B799" s="73"/>
      <c r="C799" s="73"/>
      <c r="D799" s="73"/>
      <c r="E799" s="73"/>
      <c r="F799" s="73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73"/>
      <c r="U799" s="73"/>
      <c r="V799" s="73"/>
      <c r="W799" s="73"/>
      <c r="X799" s="73"/>
      <c r="Y799" s="73"/>
      <c r="Z799" s="73"/>
      <c r="AA799" s="73"/>
      <c r="AB799" s="73"/>
      <c r="AC799" s="73"/>
      <c r="AD799" s="73"/>
      <c r="AE799" s="73"/>
      <c r="AF799" s="73"/>
      <c r="AG799" s="73"/>
      <c r="AH799" s="73"/>
      <c r="AI799" s="73"/>
      <c r="AJ799" s="73"/>
      <c r="AK799" s="73"/>
      <c r="AL799" s="73"/>
      <c r="AM799" s="73"/>
      <c r="AN799" s="73"/>
      <c r="AO799" s="73"/>
      <c r="AP799" s="73"/>
      <c r="AQ799" s="73"/>
      <c r="AR799" s="73"/>
      <c r="AS799" s="73"/>
      <c r="AT799" s="73"/>
      <c r="AU799" s="73"/>
      <c r="AV799" s="73"/>
      <c r="AW799" s="73"/>
      <c r="AX799" s="73"/>
      <c r="AY799" s="73"/>
      <c r="AZ799" s="73"/>
      <c r="BA799" s="73"/>
      <c r="BB799" s="73"/>
    </row>
    <row r="800">
      <c r="A800" s="73"/>
      <c r="B800" s="73"/>
      <c r="C800" s="73"/>
      <c r="D800" s="73"/>
      <c r="E800" s="73"/>
      <c r="F800" s="73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73"/>
      <c r="U800" s="73"/>
      <c r="V800" s="73"/>
      <c r="W800" s="73"/>
      <c r="X800" s="73"/>
      <c r="Y800" s="73"/>
      <c r="Z800" s="73"/>
      <c r="AA800" s="73"/>
      <c r="AB800" s="73"/>
      <c r="AC800" s="73"/>
      <c r="AD800" s="73"/>
      <c r="AE800" s="73"/>
      <c r="AF800" s="73"/>
      <c r="AG800" s="73"/>
      <c r="AH800" s="73"/>
      <c r="AI800" s="73"/>
      <c r="AJ800" s="73"/>
      <c r="AK800" s="73"/>
      <c r="AL800" s="73"/>
      <c r="AM800" s="73"/>
      <c r="AN800" s="73"/>
      <c r="AO800" s="73"/>
      <c r="AP800" s="73"/>
      <c r="AQ800" s="73"/>
      <c r="AR800" s="73"/>
      <c r="AS800" s="73"/>
      <c r="AT800" s="73"/>
      <c r="AU800" s="73"/>
      <c r="AV800" s="73"/>
      <c r="AW800" s="73"/>
      <c r="AX800" s="73"/>
      <c r="AY800" s="73"/>
      <c r="AZ800" s="73"/>
      <c r="BA800" s="73"/>
      <c r="BB800" s="73"/>
    </row>
    <row r="801">
      <c r="A801" s="73"/>
      <c r="B801" s="73"/>
      <c r="C801" s="73"/>
      <c r="D801" s="73"/>
      <c r="E801" s="73"/>
      <c r="F801" s="73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73"/>
      <c r="U801" s="73"/>
      <c r="V801" s="73"/>
      <c r="W801" s="73"/>
      <c r="X801" s="73"/>
      <c r="Y801" s="73"/>
      <c r="Z801" s="73"/>
      <c r="AA801" s="73"/>
      <c r="AB801" s="73"/>
      <c r="AC801" s="73"/>
      <c r="AD801" s="73"/>
      <c r="AE801" s="73"/>
      <c r="AF801" s="73"/>
      <c r="AG801" s="73"/>
      <c r="AH801" s="73"/>
      <c r="AI801" s="73"/>
      <c r="AJ801" s="73"/>
      <c r="AK801" s="73"/>
      <c r="AL801" s="73"/>
      <c r="AM801" s="73"/>
      <c r="AN801" s="73"/>
      <c r="AO801" s="73"/>
      <c r="AP801" s="73"/>
      <c r="AQ801" s="73"/>
      <c r="AR801" s="73"/>
      <c r="AS801" s="73"/>
      <c r="AT801" s="73"/>
      <c r="AU801" s="73"/>
      <c r="AV801" s="73"/>
      <c r="AW801" s="73"/>
      <c r="AX801" s="73"/>
      <c r="AY801" s="73"/>
      <c r="AZ801" s="73"/>
      <c r="BA801" s="73"/>
      <c r="BB801" s="73"/>
    </row>
    <row r="802">
      <c r="A802" s="73"/>
      <c r="B802" s="73"/>
      <c r="C802" s="73"/>
      <c r="D802" s="73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73"/>
      <c r="U802" s="73"/>
      <c r="V802" s="73"/>
      <c r="W802" s="73"/>
      <c r="X802" s="73"/>
      <c r="Y802" s="73"/>
      <c r="Z802" s="73"/>
      <c r="AA802" s="73"/>
      <c r="AB802" s="73"/>
      <c r="AC802" s="73"/>
      <c r="AD802" s="73"/>
      <c r="AE802" s="73"/>
      <c r="AF802" s="73"/>
      <c r="AG802" s="73"/>
      <c r="AH802" s="73"/>
      <c r="AI802" s="73"/>
      <c r="AJ802" s="73"/>
      <c r="AK802" s="73"/>
      <c r="AL802" s="73"/>
      <c r="AM802" s="73"/>
      <c r="AN802" s="73"/>
      <c r="AO802" s="73"/>
      <c r="AP802" s="73"/>
      <c r="AQ802" s="73"/>
      <c r="AR802" s="73"/>
      <c r="AS802" s="73"/>
      <c r="AT802" s="73"/>
      <c r="AU802" s="73"/>
      <c r="AV802" s="73"/>
      <c r="AW802" s="73"/>
      <c r="AX802" s="73"/>
      <c r="AY802" s="73"/>
      <c r="AZ802" s="73"/>
      <c r="BA802" s="73"/>
      <c r="BB802" s="73"/>
    </row>
    <row r="803">
      <c r="A803" s="73"/>
      <c r="B803" s="73"/>
      <c r="C803" s="73"/>
      <c r="D803" s="73"/>
      <c r="E803" s="73"/>
      <c r="F803" s="73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73"/>
      <c r="U803" s="73"/>
      <c r="V803" s="73"/>
      <c r="W803" s="73"/>
      <c r="X803" s="73"/>
      <c r="Y803" s="73"/>
      <c r="Z803" s="73"/>
      <c r="AA803" s="73"/>
      <c r="AB803" s="73"/>
      <c r="AC803" s="73"/>
      <c r="AD803" s="73"/>
      <c r="AE803" s="73"/>
      <c r="AF803" s="73"/>
      <c r="AG803" s="73"/>
      <c r="AH803" s="73"/>
      <c r="AI803" s="73"/>
      <c r="AJ803" s="73"/>
      <c r="AK803" s="73"/>
      <c r="AL803" s="73"/>
      <c r="AM803" s="73"/>
      <c r="AN803" s="73"/>
      <c r="AO803" s="73"/>
      <c r="AP803" s="73"/>
      <c r="AQ803" s="73"/>
      <c r="AR803" s="73"/>
      <c r="AS803" s="73"/>
      <c r="AT803" s="73"/>
      <c r="AU803" s="73"/>
      <c r="AV803" s="73"/>
      <c r="AW803" s="73"/>
      <c r="AX803" s="73"/>
      <c r="AY803" s="73"/>
      <c r="AZ803" s="73"/>
      <c r="BA803" s="73"/>
      <c r="BB803" s="73"/>
    </row>
    <row r="804">
      <c r="A804" s="73"/>
      <c r="B804" s="73"/>
      <c r="C804" s="73"/>
      <c r="D804" s="73"/>
      <c r="E804" s="73"/>
      <c r="F804" s="73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73"/>
      <c r="U804" s="73"/>
      <c r="V804" s="73"/>
      <c r="W804" s="73"/>
      <c r="X804" s="73"/>
      <c r="Y804" s="73"/>
      <c r="Z804" s="73"/>
      <c r="AA804" s="73"/>
      <c r="AB804" s="73"/>
      <c r="AC804" s="73"/>
      <c r="AD804" s="73"/>
      <c r="AE804" s="73"/>
      <c r="AF804" s="73"/>
      <c r="AG804" s="73"/>
      <c r="AH804" s="73"/>
      <c r="AI804" s="73"/>
      <c r="AJ804" s="73"/>
      <c r="AK804" s="73"/>
      <c r="AL804" s="73"/>
      <c r="AM804" s="73"/>
      <c r="AN804" s="73"/>
      <c r="AO804" s="73"/>
      <c r="AP804" s="73"/>
      <c r="AQ804" s="73"/>
      <c r="AR804" s="73"/>
      <c r="AS804" s="73"/>
      <c r="AT804" s="73"/>
      <c r="AU804" s="73"/>
      <c r="AV804" s="73"/>
      <c r="AW804" s="73"/>
      <c r="AX804" s="73"/>
      <c r="AY804" s="73"/>
      <c r="AZ804" s="73"/>
      <c r="BA804" s="73"/>
      <c r="BB804" s="73"/>
    </row>
    <row r="805">
      <c r="A805" s="73"/>
      <c r="B805" s="73"/>
      <c r="C805" s="73"/>
      <c r="D805" s="73"/>
      <c r="E805" s="73"/>
      <c r="F805" s="73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73"/>
      <c r="U805" s="73"/>
      <c r="V805" s="73"/>
      <c r="W805" s="73"/>
      <c r="X805" s="73"/>
      <c r="Y805" s="73"/>
      <c r="Z805" s="73"/>
      <c r="AA805" s="73"/>
      <c r="AB805" s="73"/>
      <c r="AC805" s="73"/>
      <c r="AD805" s="73"/>
      <c r="AE805" s="73"/>
      <c r="AF805" s="73"/>
      <c r="AG805" s="73"/>
      <c r="AH805" s="73"/>
      <c r="AI805" s="73"/>
      <c r="AJ805" s="73"/>
      <c r="AK805" s="73"/>
      <c r="AL805" s="73"/>
      <c r="AM805" s="73"/>
      <c r="AN805" s="73"/>
      <c r="AO805" s="73"/>
      <c r="AP805" s="73"/>
      <c r="AQ805" s="73"/>
      <c r="AR805" s="73"/>
      <c r="AS805" s="73"/>
      <c r="AT805" s="73"/>
      <c r="AU805" s="73"/>
      <c r="AV805" s="73"/>
      <c r="AW805" s="73"/>
      <c r="AX805" s="73"/>
      <c r="AY805" s="73"/>
      <c r="AZ805" s="73"/>
      <c r="BA805" s="73"/>
      <c r="BB805" s="73"/>
    </row>
    <row r="806">
      <c r="A806" s="73"/>
      <c r="B806" s="73"/>
      <c r="C806" s="73"/>
      <c r="D806" s="73"/>
      <c r="E806" s="73"/>
      <c r="F806" s="73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73"/>
      <c r="U806" s="73"/>
      <c r="V806" s="73"/>
      <c r="W806" s="73"/>
      <c r="X806" s="73"/>
      <c r="Y806" s="73"/>
      <c r="Z806" s="73"/>
      <c r="AA806" s="73"/>
      <c r="AB806" s="73"/>
      <c r="AC806" s="73"/>
      <c r="AD806" s="73"/>
      <c r="AE806" s="73"/>
      <c r="AF806" s="73"/>
      <c r="AG806" s="73"/>
      <c r="AH806" s="73"/>
      <c r="AI806" s="73"/>
      <c r="AJ806" s="73"/>
      <c r="AK806" s="73"/>
      <c r="AL806" s="73"/>
      <c r="AM806" s="73"/>
      <c r="AN806" s="73"/>
      <c r="AO806" s="73"/>
      <c r="AP806" s="73"/>
      <c r="AQ806" s="73"/>
      <c r="AR806" s="73"/>
      <c r="AS806" s="73"/>
      <c r="AT806" s="73"/>
      <c r="AU806" s="73"/>
      <c r="AV806" s="73"/>
      <c r="AW806" s="73"/>
      <c r="AX806" s="73"/>
      <c r="AY806" s="73"/>
      <c r="AZ806" s="73"/>
      <c r="BA806" s="73"/>
      <c r="BB806" s="73"/>
    </row>
    <row r="807">
      <c r="A807" s="73"/>
      <c r="B807" s="73"/>
      <c r="C807" s="73"/>
      <c r="D807" s="73"/>
      <c r="E807" s="73"/>
      <c r="F807" s="73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73"/>
      <c r="U807" s="73"/>
      <c r="V807" s="73"/>
      <c r="W807" s="73"/>
      <c r="X807" s="73"/>
      <c r="Y807" s="73"/>
      <c r="Z807" s="73"/>
      <c r="AA807" s="73"/>
      <c r="AB807" s="73"/>
      <c r="AC807" s="73"/>
      <c r="AD807" s="73"/>
      <c r="AE807" s="73"/>
      <c r="AF807" s="73"/>
      <c r="AG807" s="73"/>
      <c r="AH807" s="73"/>
      <c r="AI807" s="73"/>
      <c r="AJ807" s="73"/>
      <c r="AK807" s="73"/>
      <c r="AL807" s="73"/>
      <c r="AM807" s="73"/>
      <c r="AN807" s="73"/>
      <c r="AO807" s="73"/>
      <c r="AP807" s="73"/>
      <c r="AQ807" s="73"/>
      <c r="AR807" s="73"/>
      <c r="AS807" s="73"/>
      <c r="AT807" s="73"/>
      <c r="AU807" s="73"/>
      <c r="AV807" s="73"/>
      <c r="AW807" s="73"/>
      <c r="AX807" s="73"/>
      <c r="AY807" s="73"/>
      <c r="AZ807" s="73"/>
      <c r="BA807" s="73"/>
      <c r="BB807" s="73"/>
    </row>
    <row r="808">
      <c r="A808" s="73"/>
      <c r="B808" s="73"/>
      <c r="C808" s="73"/>
      <c r="D808" s="73"/>
      <c r="E808" s="73"/>
      <c r="F808" s="73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73"/>
      <c r="U808" s="73"/>
      <c r="V808" s="73"/>
      <c r="W808" s="73"/>
      <c r="X808" s="73"/>
      <c r="Y808" s="73"/>
      <c r="Z808" s="73"/>
      <c r="AA808" s="73"/>
      <c r="AB808" s="73"/>
      <c r="AC808" s="73"/>
      <c r="AD808" s="73"/>
      <c r="AE808" s="73"/>
      <c r="AF808" s="73"/>
      <c r="AG808" s="73"/>
      <c r="AH808" s="73"/>
      <c r="AI808" s="73"/>
      <c r="AJ808" s="73"/>
      <c r="AK808" s="73"/>
      <c r="AL808" s="73"/>
      <c r="AM808" s="73"/>
      <c r="AN808" s="73"/>
      <c r="AO808" s="73"/>
      <c r="AP808" s="73"/>
      <c r="AQ808" s="73"/>
      <c r="AR808" s="73"/>
      <c r="AS808" s="73"/>
      <c r="AT808" s="73"/>
      <c r="AU808" s="73"/>
      <c r="AV808" s="73"/>
      <c r="AW808" s="73"/>
      <c r="AX808" s="73"/>
      <c r="AY808" s="73"/>
      <c r="AZ808" s="73"/>
      <c r="BA808" s="73"/>
      <c r="BB808" s="73"/>
    </row>
    <row r="809">
      <c r="A809" s="73"/>
      <c r="B809" s="73"/>
      <c r="C809" s="73"/>
      <c r="D809" s="73"/>
      <c r="E809" s="73"/>
      <c r="F809" s="73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73"/>
      <c r="U809" s="73"/>
      <c r="V809" s="73"/>
      <c r="W809" s="73"/>
      <c r="X809" s="73"/>
      <c r="Y809" s="73"/>
      <c r="Z809" s="73"/>
      <c r="AA809" s="73"/>
      <c r="AB809" s="73"/>
      <c r="AC809" s="73"/>
      <c r="AD809" s="73"/>
      <c r="AE809" s="73"/>
      <c r="AF809" s="73"/>
      <c r="AG809" s="73"/>
      <c r="AH809" s="73"/>
      <c r="AI809" s="73"/>
      <c r="AJ809" s="73"/>
      <c r="AK809" s="73"/>
      <c r="AL809" s="73"/>
      <c r="AM809" s="73"/>
      <c r="AN809" s="73"/>
      <c r="AO809" s="73"/>
      <c r="AP809" s="73"/>
      <c r="AQ809" s="73"/>
      <c r="AR809" s="73"/>
      <c r="AS809" s="73"/>
      <c r="AT809" s="73"/>
      <c r="AU809" s="73"/>
      <c r="AV809" s="73"/>
      <c r="AW809" s="73"/>
      <c r="AX809" s="73"/>
      <c r="AY809" s="73"/>
      <c r="AZ809" s="73"/>
      <c r="BA809" s="73"/>
      <c r="BB809" s="73"/>
    </row>
    <row r="810">
      <c r="A810" s="73"/>
      <c r="B810" s="73"/>
      <c r="C810" s="73"/>
      <c r="D810" s="73"/>
      <c r="E810" s="73"/>
      <c r="F810" s="73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73"/>
      <c r="U810" s="73"/>
      <c r="V810" s="73"/>
      <c r="W810" s="73"/>
      <c r="X810" s="73"/>
      <c r="Y810" s="73"/>
      <c r="Z810" s="73"/>
      <c r="AA810" s="73"/>
      <c r="AB810" s="73"/>
      <c r="AC810" s="73"/>
      <c r="AD810" s="73"/>
      <c r="AE810" s="73"/>
      <c r="AF810" s="73"/>
      <c r="AG810" s="73"/>
      <c r="AH810" s="73"/>
      <c r="AI810" s="73"/>
      <c r="AJ810" s="73"/>
      <c r="AK810" s="73"/>
      <c r="AL810" s="73"/>
      <c r="AM810" s="73"/>
      <c r="AN810" s="73"/>
      <c r="AO810" s="73"/>
      <c r="AP810" s="73"/>
      <c r="AQ810" s="73"/>
      <c r="AR810" s="73"/>
      <c r="AS810" s="73"/>
      <c r="AT810" s="73"/>
      <c r="AU810" s="73"/>
      <c r="AV810" s="73"/>
      <c r="AW810" s="73"/>
      <c r="AX810" s="73"/>
      <c r="AY810" s="73"/>
      <c r="AZ810" s="73"/>
      <c r="BA810" s="73"/>
      <c r="BB810" s="73"/>
    </row>
    <row r="811">
      <c r="A811" s="73"/>
      <c r="B811" s="73"/>
      <c r="C811" s="73"/>
      <c r="D811" s="73"/>
      <c r="E811" s="73"/>
      <c r="F811" s="73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73"/>
      <c r="U811" s="73"/>
      <c r="V811" s="73"/>
      <c r="W811" s="73"/>
      <c r="X811" s="73"/>
      <c r="Y811" s="73"/>
      <c r="Z811" s="73"/>
      <c r="AA811" s="73"/>
      <c r="AB811" s="73"/>
      <c r="AC811" s="73"/>
      <c r="AD811" s="73"/>
      <c r="AE811" s="73"/>
      <c r="AF811" s="73"/>
      <c r="AG811" s="73"/>
      <c r="AH811" s="73"/>
      <c r="AI811" s="73"/>
      <c r="AJ811" s="73"/>
      <c r="AK811" s="73"/>
      <c r="AL811" s="73"/>
      <c r="AM811" s="73"/>
      <c r="AN811" s="73"/>
      <c r="AO811" s="73"/>
      <c r="AP811" s="73"/>
      <c r="AQ811" s="73"/>
      <c r="AR811" s="73"/>
      <c r="AS811" s="73"/>
      <c r="AT811" s="73"/>
      <c r="AU811" s="73"/>
      <c r="AV811" s="73"/>
      <c r="AW811" s="73"/>
      <c r="AX811" s="73"/>
      <c r="AY811" s="73"/>
      <c r="AZ811" s="73"/>
      <c r="BA811" s="73"/>
      <c r="BB811" s="73"/>
    </row>
    <row r="812">
      <c r="A812" s="73"/>
      <c r="B812" s="73"/>
      <c r="C812" s="73"/>
      <c r="D812" s="73"/>
      <c r="E812" s="73"/>
      <c r="F812" s="73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73"/>
      <c r="U812" s="73"/>
      <c r="V812" s="73"/>
      <c r="W812" s="73"/>
      <c r="X812" s="73"/>
      <c r="Y812" s="73"/>
      <c r="Z812" s="73"/>
      <c r="AA812" s="73"/>
      <c r="AB812" s="73"/>
      <c r="AC812" s="73"/>
      <c r="AD812" s="73"/>
      <c r="AE812" s="73"/>
      <c r="AF812" s="73"/>
      <c r="AG812" s="73"/>
      <c r="AH812" s="73"/>
      <c r="AI812" s="73"/>
      <c r="AJ812" s="73"/>
      <c r="AK812" s="73"/>
      <c r="AL812" s="73"/>
      <c r="AM812" s="73"/>
      <c r="AN812" s="73"/>
      <c r="AO812" s="73"/>
      <c r="AP812" s="73"/>
      <c r="AQ812" s="73"/>
      <c r="AR812" s="73"/>
      <c r="AS812" s="73"/>
      <c r="AT812" s="73"/>
      <c r="AU812" s="73"/>
      <c r="AV812" s="73"/>
      <c r="AW812" s="73"/>
      <c r="AX812" s="73"/>
      <c r="AY812" s="73"/>
      <c r="AZ812" s="73"/>
      <c r="BA812" s="73"/>
      <c r="BB812" s="73"/>
    </row>
    <row r="813">
      <c r="A813" s="73"/>
      <c r="B813" s="73"/>
      <c r="C813" s="73"/>
      <c r="D813" s="73"/>
      <c r="E813" s="73"/>
      <c r="F813" s="73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73"/>
      <c r="U813" s="73"/>
      <c r="V813" s="73"/>
      <c r="W813" s="73"/>
      <c r="X813" s="73"/>
      <c r="Y813" s="73"/>
      <c r="Z813" s="73"/>
      <c r="AA813" s="73"/>
      <c r="AB813" s="73"/>
      <c r="AC813" s="73"/>
      <c r="AD813" s="73"/>
      <c r="AE813" s="73"/>
      <c r="AF813" s="73"/>
      <c r="AG813" s="73"/>
      <c r="AH813" s="73"/>
      <c r="AI813" s="73"/>
      <c r="AJ813" s="73"/>
      <c r="AK813" s="73"/>
      <c r="AL813" s="73"/>
      <c r="AM813" s="73"/>
      <c r="AN813" s="73"/>
      <c r="AO813" s="73"/>
      <c r="AP813" s="73"/>
      <c r="AQ813" s="73"/>
      <c r="AR813" s="73"/>
      <c r="AS813" s="73"/>
      <c r="AT813" s="73"/>
      <c r="AU813" s="73"/>
      <c r="AV813" s="73"/>
      <c r="AW813" s="73"/>
      <c r="AX813" s="73"/>
      <c r="AY813" s="73"/>
      <c r="AZ813" s="73"/>
      <c r="BA813" s="73"/>
      <c r="BB813" s="73"/>
    </row>
    <row r="814">
      <c r="A814" s="73"/>
      <c r="B814" s="73"/>
      <c r="C814" s="73"/>
      <c r="D814" s="73"/>
      <c r="E814" s="73"/>
      <c r="F814" s="73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73"/>
      <c r="U814" s="73"/>
      <c r="V814" s="73"/>
      <c r="W814" s="73"/>
      <c r="X814" s="73"/>
      <c r="Y814" s="73"/>
      <c r="Z814" s="73"/>
      <c r="AA814" s="73"/>
      <c r="AB814" s="73"/>
      <c r="AC814" s="73"/>
      <c r="AD814" s="73"/>
      <c r="AE814" s="73"/>
      <c r="AF814" s="73"/>
      <c r="AG814" s="73"/>
      <c r="AH814" s="73"/>
      <c r="AI814" s="73"/>
      <c r="AJ814" s="73"/>
      <c r="AK814" s="73"/>
      <c r="AL814" s="73"/>
      <c r="AM814" s="73"/>
      <c r="AN814" s="73"/>
      <c r="AO814" s="73"/>
      <c r="AP814" s="73"/>
      <c r="AQ814" s="73"/>
      <c r="AR814" s="73"/>
      <c r="AS814" s="73"/>
      <c r="AT814" s="73"/>
      <c r="AU814" s="73"/>
      <c r="AV814" s="73"/>
      <c r="AW814" s="73"/>
      <c r="AX814" s="73"/>
      <c r="AY814" s="73"/>
      <c r="AZ814" s="73"/>
      <c r="BA814" s="73"/>
      <c r="BB814" s="73"/>
    </row>
    <row r="815">
      <c r="A815" s="73"/>
      <c r="B815" s="73"/>
      <c r="C815" s="73"/>
      <c r="D815" s="73"/>
      <c r="E815" s="73"/>
      <c r="F815" s="73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73"/>
      <c r="U815" s="73"/>
      <c r="V815" s="73"/>
      <c r="W815" s="73"/>
      <c r="X815" s="73"/>
      <c r="Y815" s="73"/>
      <c r="Z815" s="73"/>
      <c r="AA815" s="73"/>
      <c r="AB815" s="73"/>
      <c r="AC815" s="73"/>
      <c r="AD815" s="73"/>
      <c r="AE815" s="73"/>
      <c r="AF815" s="73"/>
      <c r="AG815" s="73"/>
      <c r="AH815" s="73"/>
      <c r="AI815" s="73"/>
      <c r="AJ815" s="73"/>
      <c r="AK815" s="73"/>
      <c r="AL815" s="73"/>
      <c r="AM815" s="73"/>
      <c r="AN815" s="73"/>
      <c r="AO815" s="73"/>
      <c r="AP815" s="73"/>
      <c r="AQ815" s="73"/>
      <c r="AR815" s="73"/>
      <c r="AS815" s="73"/>
      <c r="AT815" s="73"/>
      <c r="AU815" s="73"/>
      <c r="AV815" s="73"/>
      <c r="AW815" s="73"/>
      <c r="AX815" s="73"/>
      <c r="AY815" s="73"/>
      <c r="AZ815" s="73"/>
      <c r="BA815" s="73"/>
      <c r="BB815" s="73"/>
    </row>
    <row r="816">
      <c r="A816" s="73"/>
      <c r="B816" s="73"/>
      <c r="C816" s="73"/>
      <c r="D816" s="73"/>
      <c r="E816" s="73"/>
      <c r="F816" s="73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73"/>
      <c r="U816" s="73"/>
      <c r="V816" s="73"/>
      <c r="W816" s="73"/>
      <c r="X816" s="73"/>
      <c r="Y816" s="73"/>
      <c r="Z816" s="73"/>
      <c r="AA816" s="73"/>
      <c r="AB816" s="73"/>
      <c r="AC816" s="73"/>
      <c r="AD816" s="73"/>
      <c r="AE816" s="73"/>
      <c r="AF816" s="73"/>
      <c r="AG816" s="73"/>
      <c r="AH816" s="73"/>
      <c r="AI816" s="73"/>
      <c r="AJ816" s="73"/>
      <c r="AK816" s="73"/>
      <c r="AL816" s="73"/>
      <c r="AM816" s="73"/>
      <c r="AN816" s="73"/>
      <c r="AO816" s="73"/>
      <c r="AP816" s="73"/>
      <c r="AQ816" s="73"/>
      <c r="AR816" s="73"/>
      <c r="AS816" s="73"/>
      <c r="AT816" s="73"/>
      <c r="AU816" s="73"/>
      <c r="AV816" s="73"/>
      <c r="AW816" s="73"/>
      <c r="AX816" s="73"/>
      <c r="AY816" s="73"/>
      <c r="AZ816" s="73"/>
      <c r="BA816" s="73"/>
      <c r="BB816" s="73"/>
    </row>
    <row r="817">
      <c r="A817" s="73"/>
      <c r="B817" s="73"/>
      <c r="C817" s="73"/>
      <c r="D817" s="73"/>
      <c r="E817" s="73"/>
      <c r="F817" s="73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73"/>
      <c r="U817" s="73"/>
      <c r="V817" s="73"/>
      <c r="W817" s="73"/>
      <c r="X817" s="73"/>
      <c r="Y817" s="73"/>
      <c r="Z817" s="73"/>
      <c r="AA817" s="73"/>
      <c r="AB817" s="73"/>
      <c r="AC817" s="73"/>
      <c r="AD817" s="73"/>
      <c r="AE817" s="73"/>
      <c r="AF817" s="73"/>
      <c r="AG817" s="73"/>
      <c r="AH817" s="73"/>
      <c r="AI817" s="73"/>
      <c r="AJ817" s="73"/>
      <c r="AK817" s="73"/>
      <c r="AL817" s="73"/>
      <c r="AM817" s="73"/>
      <c r="AN817" s="73"/>
      <c r="AO817" s="73"/>
      <c r="AP817" s="73"/>
      <c r="AQ817" s="73"/>
      <c r="AR817" s="73"/>
      <c r="AS817" s="73"/>
      <c r="AT817" s="73"/>
      <c r="AU817" s="73"/>
      <c r="AV817" s="73"/>
      <c r="AW817" s="73"/>
      <c r="AX817" s="73"/>
      <c r="AY817" s="73"/>
      <c r="AZ817" s="73"/>
      <c r="BA817" s="73"/>
      <c r="BB817" s="73"/>
    </row>
    <row r="818">
      <c r="A818" s="73"/>
      <c r="B818" s="73"/>
      <c r="C818" s="73"/>
      <c r="D818" s="73"/>
      <c r="E818" s="73"/>
      <c r="F818" s="73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73"/>
      <c r="U818" s="73"/>
      <c r="V818" s="73"/>
      <c r="W818" s="73"/>
      <c r="X818" s="73"/>
      <c r="Y818" s="73"/>
      <c r="Z818" s="73"/>
      <c r="AA818" s="73"/>
      <c r="AB818" s="73"/>
      <c r="AC818" s="73"/>
      <c r="AD818" s="73"/>
      <c r="AE818" s="73"/>
      <c r="AF818" s="73"/>
      <c r="AG818" s="73"/>
      <c r="AH818" s="73"/>
      <c r="AI818" s="73"/>
      <c r="AJ818" s="73"/>
      <c r="AK818" s="73"/>
      <c r="AL818" s="73"/>
      <c r="AM818" s="73"/>
      <c r="AN818" s="73"/>
      <c r="AO818" s="73"/>
      <c r="AP818" s="73"/>
      <c r="AQ818" s="73"/>
      <c r="AR818" s="73"/>
      <c r="AS818" s="73"/>
      <c r="AT818" s="73"/>
      <c r="AU818" s="73"/>
      <c r="AV818" s="73"/>
      <c r="AW818" s="73"/>
      <c r="AX818" s="73"/>
      <c r="AY818" s="73"/>
      <c r="AZ818" s="73"/>
      <c r="BA818" s="73"/>
      <c r="BB818" s="73"/>
    </row>
    <row r="819">
      <c r="A819" s="73"/>
      <c r="B819" s="73"/>
      <c r="C819" s="73"/>
      <c r="D819" s="73"/>
      <c r="E819" s="73"/>
      <c r="F819" s="73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73"/>
      <c r="U819" s="73"/>
      <c r="V819" s="73"/>
      <c r="W819" s="73"/>
      <c r="X819" s="73"/>
      <c r="Y819" s="73"/>
      <c r="Z819" s="73"/>
      <c r="AA819" s="73"/>
      <c r="AB819" s="73"/>
      <c r="AC819" s="73"/>
      <c r="AD819" s="73"/>
      <c r="AE819" s="73"/>
      <c r="AF819" s="73"/>
      <c r="AG819" s="73"/>
      <c r="AH819" s="73"/>
      <c r="AI819" s="73"/>
      <c r="AJ819" s="73"/>
      <c r="AK819" s="73"/>
      <c r="AL819" s="73"/>
      <c r="AM819" s="73"/>
      <c r="AN819" s="73"/>
      <c r="AO819" s="73"/>
      <c r="AP819" s="73"/>
      <c r="AQ819" s="73"/>
      <c r="AR819" s="73"/>
      <c r="AS819" s="73"/>
      <c r="AT819" s="73"/>
      <c r="AU819" s="73"/>
      <c r="AV819" s="73"/>
      <c r="AW819" s="73"/>
      <c r="AX819" s="73"/>
      <c r="AY819" s="73"/>
      <c r="AZ819" s="73"/>
      <c r="BA819" s="73"/>
      <c r="BB819" s="73"/>
    </row>
    <row r="820">
      <c r="A820" s="73"/>
      <c r="B820" s="73"/>
      <c r="C820" s="73"/>
      <c r="D820" s="73"/>
      <c r="E820" s="73"/>
      <c r="F820" s="73"/>
      <c r="G820" s="73"/>
      <c r="H820" s="73"/>
      <c r="I820" s="73"/>
      <c r="J820" s="73"/>
      <c r="K820" s="73"/>
      <c r="L820" s="73"/>
      <c r="M820" s="73"/>
      <c r="N820" s="73"/>
      <c r="O820" s="73"/>
      <c r="P820" s="73"/>
      <c r="Q820" s="73"/>
      <c r="R820" s="73"/>
      <c r="S820" s="73"/>
      <c r="T820" s="73"/>
      <c r="U820" s="73"/>
      <c r="V820" s="73"/>
      <c r="W820" s="73"/>
      <c r="X820" s="73"/>
      <c r="Y820" s="73"/>
      <c r="Z820" s="73"/>
      <c r="AA820" s="73"/>
      <c r="AB820" s="73"/>
      <c r="AC820" s="73"/>
      <c r="AD820" s="73"/>
      <c r="AE820" s="73"/>
      <c r="AF820" s="73"/>
      <c r="AG820" s="73"/>
      <c r="AH820" s="73"/>
      <c r="AI820" s="73"/>
      <c r="AJ820" s="73"/>
      <c r="AK820" s="73"/>
      <c r="AL820" s="73"/>
      <c r="AM820" s="73"/>
      <c r="AN820" s="73"/>
      <c r="AO820" s="73"/>
      <c r="AP820" s="73"/>
      <c r="AQ820" s="73"/>
      <c r="AR820" s="73"/>
      <c r="AS820" s="73"/>
      <c r="AT820" s="73"/>
      <c r="AU820" s="73"/>
      <c r="AV820" s="73"/>
      <c r="AW820" s="73"/>
      <c r="AX820" s="73"/>
      <c r="AY820" s="73"/>
      <c r="AZ820" s="73"/>
      <c r="BA820" s="73"/>
      <c r="BB820" s="73"/>
    </row>
    <row r="821">
      <c r="A821" s="73"/>
      <c r="B821" s="73"/>
      <c r="C821" s="73"/>
      <c r="D821" s="73"/>
      <c r="E821" s="73"/>
      <c r="F821" s="73"/>
      <c r="G821" s="73"/>
      <c r="H821" s="73"/>
      <c r="I821" s="73"/>
      <c r="J821" s="73"/>
      <c r="K821" s="73"/>
      <c r="L821" s="73"/>
      <c r="M821" s="73"/>
      <c r="N821" s="73"/>
      <c r="O821" s="73"/>
      <c r="P821" s="73"/>
      <c r="Q821" s="73"/>
      <c r="R821" s="73"/>
      <c r="S821" s="73"/>
      <c r="T821" s="73"/>
      <c r="U821" s="73"/>
      <c r="V821" s="73"/>
      <c r="W821" s="73"/>
      <c r="X821" s="73"/>
      <c r="Y821" s="73"/>
      <c r="Z821" s="73"/>
      <c r="AA821" s="73"/>
      <c r="AB821" s="73"/>
      <c r="AC821" s="73"/>
      <c r="AD821" s="73"/>
      <c r="AE821" s="73"/>
      <c r="AF821" s="73"/>
      <c r="AG821" s="73"/>
      <c r="AH821" s="73"/>
      <c r="AI821" s="73"/>
      <c r="AJ821" s="73"/>
      <c r="AK821" s="73"/>
      <c r="AL821" s="73"/>
      <c r="AM821" s="73"/>
      <c r="AN821" s="73"/>
      <c r="AO821" s="73"/>
      <c r="AP821" s="73"/>
      <c r="AQ821" s="73"/>
      <c r="AR821" s="73"/>
      <c r="AS821" s="73"/>
      <c r="AT821" s="73"/>
      <c r="AU821" s="73"/>
      <c r="AV821" s="73"/>
      <c r="AW821" s="73"/>
      <c r="AX821" s="73"/>
      <c r="AY821" s="73"/>
      <c r="AZ821" s="73"/>
      <c r="BA821" s="73"/>
      <c r="BB821" s="73"/>
    </row>
    <row r="822">
      <c r="A822" s="73"/>
      <c r="B822" s="73"/>
      <c r="C822" s="73"/>
      <c r="D822" s="73"/>
      <c r="E822" s="73"/>
      <c r="F822" s="73"/>
      <c r="G822" s="73"/>
      <c r="H822" s="73"/>
      <c r="I822" s="73"/>
      <c r="J822" s="73"/>
      <c r="K822" s="73"/>
      <c r="L822" s="73"/>
      <c r="M822" s="73"/>
      <c r="N822" s="73"/>
      <c r="O822" s="73"/>
      <c r="P822" s="73"/>
      <c r="Q822" s="73"/>
      <c r="R822" s="73"/>
      <c r="S822" s="73"/>
      <c r="T822" s="73"/>
      <c r="U822" s="73"/>
      <c r="V822" s="73"/>
      <c r="W822" s="73"/>
      <c r="X822" s="73"/>
      <c r="Y822" s="73"/>
      <c r="Z822" s="73"/>
      <c r="AA822" s="73"/>
      <c r="AB822" s="73"/>
      <c r="AC822" s="73"/>
      <c r="AD822" s="73"/>
      <c r="AE822" s="73"/>
      <c r="AF822" s="73"/>
      <c r="AG822" s="73"/>
      <c r="AH822" s="73"/>
      <c r="AI822" s="73"/>
      <c r="AJ822" s="73"/>
      <c r="AK822" s="73"/>
      <c r="AL822" s="73"/>
      <c r="AM822" s="73"/>
      <c r="AN822" s="73"/>
      <c r="AO822" s="73"/>
      <c r="AP822" s="73"/>
      <c r="AQ822" s="73"/>
      <c r="AR822" s="73"/>
      <c r="AS822" s="73"/>
      <c r="AT822" s="73"/>
      <c r="AU822" s="73"/>
      <c r="AV822" s="73"/>
      <c r="AW822" s="73"/>
      <c r="AX822" s="73"/>
      <c r="AY822" s="73"/>
      <c r="AZ822" s="73"/>
      <c r="BA822" s="73"/>
      <c r="BB822" s="73"/>
    </row>
    <row r="823">
      <c r="A823" s="73"/>
      <c r="B823" s="73"/>
      <c r="C823" s="73"/>
      <c r="D823" s="73"/>
      <c r="E823" s="73"/>
      <c r="F823" s="73"/>
      <c r="G823" s="73"/>
      <c r="H823" s="73"/>
      <c r="I823" s="73"/>
      <c r="J823" s="73"/>
      <c r="K823" s="73"/>
      <c r="L823" s="73"/>
      <c r="M823" s="73"/>
      <c r="N823" s="73"/>
      <c r="O823" s="73"/>
      <c r="P823" s="73"/>
      <c r="Q823" s="73"/>
      <c r="R823" s="73"/>
      <c r="S823" s="73"/>
      <c r="T823" s="73"/>
      <c r="U823" s="73"/>
      <c r="V823" s="73"/>
      <c r="W823" s="73"/>
      <c r="X823" s="73"/>
      <c r="Y823" s="73"/>
      <c r="Z823" s="73"/>
      <c r="AA823" s="73"/>
      <c r="AB823" s="73"/>
      <c r="AC823" s="73"/>
      <c r="AD823" s="73"/>
      <c r="AE823" s="73"/>
      <c r="AF823" s="73"/>
      <c r="AG823" s="73"/>
      <c r="AH823" s="73"/>
      <c r="AI823" s="73"/>
      <c r="AJ823" s="73"/>
      <c r="AK823" s="73"/>
      <c r="AL823" s="73"/>
      <c r="AM823" s="73"/>
      <c r="AN823" s="73"/>
      <c r="AO823" s="73"/>
      <c r="AP823" s="73"/>
      <c r="AQ823" s="73"/>
      <c r="AR823" s="73"/>
      <c r="AS823" s="73"/>
      <c r="AT823" s="73"/>
      <c r="AU823" s="73"/>
      <c r="AV823" s="73"/>
      <c r="AW823" s="73"/>
      <c r="AX823" s="73"/>
      <c r="AY823" s="73"/>
      <c r="AZ823" s="73"/>
      <c r="BA823" s="73"/>
      <c r="BB823" s="73"/>
    </row>
    <row r="824">
      <c r="A824" s="73"/>
      <c r="B824" s="73"/>
      <c r="C824" s="73"/>
      <c r="D824" s="73"/>
      <c r="E824" s="73"/>
      <c r="F824" s="73"/>
      <c r="G824" s="73"/>
      <c r="H824" s="73"/>
      <c r="I824" s="73"/>
      <c r="J824" s="73"/>
      <c r="K824" s="73"/>
      <c r="L824" s="73"/>
      <c r="M824" s="73"/>
      <c r="N824" s="73"/>
      <c r="O824" s="73"/>
      <c r="P824" s="73"/>
      <c r="Q824" s="73"/>
      <c r="R824" s="73"/>
      <c r="S824" s="73"/>
      <c r="T824" s="73"/>
      <c r="U824" s="73"/>
      <c r="V824" s="73"/>
      <c r="W824" s="73"/>
      <c r="X824" s="73"/>
      <c r="Y824" s="73"/>
      <c r="Z824" s="73"/>
      <c r="AA824" s="73"/>
      <c r="AB824" s="73"/>
      <c r="AC824" s="73"/>
      <c r="AD824" s="73"/>
      <c r="AE824" s="73"/>
      <c r="AF824" s="73"/>
      <c r="AG824" s="73"/>
      <c r="AH824" s="73"/>
      <c r="AI824" s="73"/>
      <c r="AJ824" s="73"/>
      <c r="AK824" s="73"/>
      <c r="AL824" s="73"/>
      <c r="AM824" s="73"/>
      <c r="AN824" s="73"/>
      <c r="AO824" s="73"/>
      <c r="AP824" s="73"/>
      <c r="AQ824" s="73"/>
      <c r="AR824" s="73"/>
      <c r="AS824" s="73"/>
      <c r="AT824" s="73"/>
      <c r="AU824" s="73"/>
      <c r="AV824" s="73"/>
      <c r="AW824" s="73"/>
      <c r="AX824" s="73"/>
      <c r="AY824" s="73"/>
      <c r="AZ824" s="73"/>
      <c r="BA824" s="73"/>
      <c r="BB824" s="73"/>
    </row>
    <row r="825">
      <c r="A825" s="73"/>
      <c r="B825" s="73"/>
      <c r="C825" s="73"/>
      <c r="D825" s="73"/>
      <c r="E825" s="73"/>
      <c r="F825" s="73"/>
      <c r="G825" s="73"/>
      <c r="H825" s="73"/>
      <c r="I825" s="73"/>
      <c r="J825" s="73"/>
      <c r="K825" s="73"/>
      <c r="L825" s="73"/>
      <c r="M825" s="73"/>
      <c r="N825" s="73"/>
      <c r="O825" s="73"/>
      <c r="P825" s="73"/>
      <c r="Q825" s="73"/>
      <c r="R825" s="73"/>
      <c r="S825" s="73"/>
      <c r="T825" s="73"/>
      <c r="U825" s="73"/>
      <c r="V825" s="73"/>
      <c r="W825" s="73"/>
      <c r="X825" s="73"/>
      <c r="Y825" s="73"/>
      <c r="Z825" s="73"/>
      <c r="AA825" s="73"/>
      <c r="AB825" s="73"/>
      <c r="AC825" s="73"/>
      <c r="AD825" s="73"/>
      <c r="AE825" s="73"/>
      <c r="AF825" s="73"/>
      <c r="AG825" s="73"/>
      <c r="AH825" s="73"/>
      <c r="AI825" s="73"/>
      <c r="AJ825" s="73"/>
      <c r="AK825" s="73"/>
      <c r="AL825" s="73"/>
      <c r="AM825" s="73"/>
      <c r="AN825" s="73"/>
      <c r="AO825" s="73"/>
      <c r="AP825" s="73"/>
      <c r="AQ825" s="73"/>
      <c r="AR825" s="73"/>
      <c r="AS825" s="73"/>
      <c r="AT825" s="73"/>
      <c r="AU825" s="73"/>
      <c r="AV825" s="73"/>
      <c r="AW825" s="73"/>
      <c r="AX825" s="73"/>
      <c r="AY825" s="73"/>
      <c r="AZ825" s="73"/>
      <c r="BA825" s="73"/>
      <c r="BB825" s="73"/>
    </row>
    <row r="826">
      <c r="A826" s="73"/>
      <c r="B826" s="73"/>
      <c r="C826" s="73"/>
      <c r="D826" s="73"/>
      <c r="E826" s="73"/>
      <c r="F826" s="73"/>
      <c r="G826" s="73"/>
      <c r="H826" s="73"/>
      <c r="I826" s="73"/>
      <c r="J826" s="73"/>
      <c r="K826" s="73"/>
      <c r="L826" s="73"/>
      <c r="M826" s="73"/>
      <c r="N826" s="73"/>
      <c r="O826" s="73"/>
      <c r="P826" s="73"/>
      <c r="Q826" s="73"/>
      <c r="R826" s="73"/>
      <c r="S826" s="73"/>
      <c r="T826" s="73"/>
      <c r="U826" s="73"/>
      <c r="V826" s="73"/>
      <c r="W826" s="73"/>
      <c r="X826" s="73"/>
      <c r="Y826" s="73"/>
      <c r="Z826" s="73"/>
      <c r="AA826" s="73"/>
      <c r="AB826" s="73"/>
      <c r="AC826" s="73"/>
      <c r="AD826" s="73"/>
      <c r="AE826" s="73"/>
      <c r="AF826" s="73"/>
      <c r="AG826" s="73"/>
      <c r="AH826" s="73"/>
      <c r="AI826" s="73"/>
      <c r="AJ826" s="73"/>
      <c r="AK826" s="73"/>
      <c r="AL826" s="73"/>
      <c r="AM826" s="73"/>
      <c r="AN826" s="73"/>
      <c r="AO826" s="73"/>
      <c r="AP826" s="73"/>
      <c r="AQ826" s="73"/>
      <c r="AR826" s="73"/>
      <c r="AS826" s="73"/>
      <c r="AT826" s="73"/>
      <c r="AU826" s="73"/>
      <c r="AV826" s="73"/>
      <c r="AW826" s="73"/>
      <c r="AX826" s="73"/>
      <c r="AY826" s="73"/>
      <c r="AZ826" s="73"/>
      <c r="BA826" s="73"/>
      <c r="BB826" s="73"/>
    </row>
    <row r="827">
      <c r="A827" s="73"/>
      <c r="B827" s="73"/>
      <c r="C827" s="73"/>
      <c r="D827" s="73"/>
      <c r="E827" s="73"/>
      <c r="F827" s="73"/>
      <c r="G827" s="73"/>
      <c r="H827" s="73"/>
      <c r="I827" s="73"/>
      <c r="J827" s="73"/>
      <c r="K827" s="73"/>
      <c r="L827" s="73"/>
      <c r="M827" s="73"/>
      <c r="N827" s="73"/>
      <c r="O827" s="73"/>
      <c r="P827" s="73"/>
      <c r="Q827" s="73"/>
      <c r="R827" s="73"/>
      <c r="S827" s="73"/>
      <c r="T827" s="73"/>
      <c r="U827" s="73"/>
      <c r="V827" s="73"/>
      <c r="W827" s="73"/>
      <c r="X827" s="73"/>
      <c r="Y827" s="73"/>
      <c r="Z827" s="73"/>
      <c r="AA827" s="73"/>
      <c r="AB827" s="73"/>
      <c r="AC827" s="73"/>
      <c r="AD827" s="73"/>
      <c r="AE827" s="73"/>
      <c r="AF827" s="73"/>
      <c r="AG827" s="73"/>
      <c r="AH827" s="73"/>
      <c r="AI827" s="73"/>
      <c r="AJ827" s="73"/>
      <c r="AK827" s="73"/>
      <c r="AL827" s="73"/>
      <c r="AM827" s="73"/>
      <c r="AN827" s="73"/>
      <c r="AO827" s="73"/>
      <c r="AP827" s="73"/>
      <c r="AQ827" s="73"/>
      <c r="AR827" s="73"/>
      <c r="AS827" s="73"/>
      <c r="AT827" s="73"/>
      <c r="AU827" s="73"/>
      <c r="AV827" s="73"/>
      <c r="AW827" s="73"/>
      <c r="AX827" s="73"/>
      <c r="AY827" s="73"/>
      <c r="AZ827" s="73"/>
      <c r="BA827" s="73"/>
      <c r="BB827" s="73"/>
    </row>
    <row r="828">
      <c r="A828" s="73"/>
      <c r="B828" s="73"/>
      <c r="C828" s="73"/>
      <c r="D828" s="73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  <c r="Z828" s="73"/>
      <c r="AA828" s="73"/>
      <c r="AB828" s="73"/>
      <c r="AC828" s="73"/>
      <c r="AD828" s="73"/>
      <c r="AE828" s="73"/>
      <c r="AF828" s="73"/>
      <c r="AG828" s="73"/>
      <c r="AH828" s="73"/>
      <c r="AI828" s="73"/>
      <c r="AJ828" s="73"/>
      <c r="AK828" s="73"/>
      <c r="AL828" s="73"/>
      <c r="AM828" s="73"/>
      <c r="AN828" s="73"/>
      <c r="AO828" s="73"/>
      <c r="AP828" s="73"/>
      <c r="AQ828" s="73"/>
      <c r="AR828" s="73"/>
      <c r="AS828" s="73"/>
      <c r="AT828" s="73"/>
      <c r="AU828" s="73"/>
      <c r="AV828" s="73"/>
      <c r="AW828" s="73"/>
      <c r="AX828" s="73"/>
      <c r="AY828" s="73"/>
      <c r="AZ828" s="73"/>
      <c r="BA828" s="73"/>
      <c r="BB828" s="73"/>
    </row>
    <row r="829">
      <c r="A829" s="73"/>
      <c r="B829" s="73"/>
      <c r="C829" s="73"/>
      <c r="D829" s="73"/>
      <c r="E829" s="73"/>
      <c r="F829" s="73"/>
      <c r="G829" s="73"/>
      <c r="H829" s="73"/>
      <c r="I829" s="73"/>
      <c r="J829" s="73"/>
      <c r="K829" s="73"/>
      <c r="L829" s="73"/>
      <c r="M829" s="73"/>
      <c r="N829" s="73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3"/>
      <c r="Z829" s="73"/>
      <c r="AA829" s="73"/>
      <c r="AB829" s="73"/>
      <c r="AC829" s="73"/>
      <c r="AD829" s="73"/>
      <c r="AE829" s="73"/>
      <c r="AF829" s="73"/>
      <c r="AG829" s="73"/>
      <c r="AH829" s="73"/>
      <c r="AI829" s="73"/>
      <c r="AJ829" s="73"/>
      <c r="AK829" s="73"/>
      <c r="AL829" s="73"/>
      <c r="AM829" s="73"/>
      <c r="AN829" s="73"/>
      <c r="AO829" s="73"/>
      <c r="AP829" s="73"/>
      <c r="AQ829" s="73"/>
      <c r="AR829" s="73"/>
      <c r="AS829" s="73"/>
      <c r="AT829" s="73"/>
      <c r="AU829" s="73"/>
      <c r="AV829" s="73"/>
      <c r="AW829" s="73"/>
      <c r="AX829" s="73"/>
      <c r="AY829" s="73"/>
      <c r="AZ829" s="73"/>
      <c r="BA829" s="73"/>
      <c r="BB829" s="73"/>
    </row>
    <row r="830">
      <c r="A830" s="73"/>
      <c r="B830" s="73"/>
      <c r="C830" s="73"/>
      <c r="D830" s="73"/>
      <c r="E830" s="73"/>
      <c r="F830" s="73"/>
      <c r="G830" s="73"/>
      <c r="H830" s="73"/>
      <c r="I830" s="73"/>
      <c r="J830" s="73"/>
      <c r="K830" s="73"/>
      <c r="L830" s="73"/>
      <c r="M830" s="73"/>
      <c r="N830" s="73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3"/>
      <c r="Z830" s="73"/>
      <c r="AA830" s="73"/>
      <c r="AB830" s="73"/>
      <c r="AC830" s="73"/>
      <c r="AD830" s="73"/>
      <c r="AE830" s="73"/>
      <c r="AF830" s="73"/>
      <c r="AG830" s="73"/>
      <c r="AH830" s="73"/>
      <c r="AI830" s="73"/>
      <c r="AJ830" s="73"/>
      <c r="AK830" s="73"/>
      <c r="AL830" s="73"/>
      <c r="AM830" s="73"/>
      <c r="AN830" s="73"/>
      <c r="AO830" s="73"/>
      <c r="AP830" s="73"/>
      <c r="AQ830" s="73"/>
      <c r="AR830" s="73"/>
      <c r="AS830" s="73"/>
      <c r="AT830" s="73"/>
      <c r="AU830" s="73"/>
      <c r="AV830" s="73"/>
      <c r="AW830" s="73"/>
      <c r="AX830" s="73"/>
      <c r="AY830" s="73"/>
      <c r="AZ830" s="73"/>
      <c r="BA830" s="73"/>
      <c r="BB830" s="73"/>
    </row>
    <row r="831">
      <c r="A831" s="73"/>
      <c r="B831" s="73"/>
      <c r="C831" s="73"/>
      <c r="D831" s="73"/>
      <c r="E831" s="73"/>
      <c r="F831" s="73"/>
      <c r="G831" s="73"/>
      <c r="H831" s="73"/>
      <c r="I831" s="73"/>
      <c r="J831" s="73"/>
      <c r="K831" s="73"/>
      <c r="L831" s="73"/>
      <c r="M831" s="73"/>
      <c r="N831" s="73"/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3"/>
      <c r="Z831" s="73"/>
      <c r="AA831" s="73"/>
      <c r="AB831" s="73"/>
      <c r="AC831" s="73"/>
      <c r="AD831" s="73"/>
      <c r="AE831" s="73"/>
      <c r="AF831" s="73"/>
      <c r="AG831" s="73"/>
      <c r="AH831" s="73"/>
      <c r="AI831" s="73"/>
      <c r="AJ831" s="73"/>
      <c r="AK831" s="73"/>
      <c r="AL831" s="73"/>
      <c r="AM831" s="73"/>
      <c r="AN831" s="73"/>
      <c r="AO831" s="73"/>
      <c r="AP831" s="73"/>
      <c r="AQ831" s="73"/>
      <c r="AR831" s="73"/>
      <c r="AS831" s="73"/>
      <c r="AT831" s="73"/>
      <c r="AU831" s="73"/>
      <c r="AV831" s="73"/>
      <c r="AW831" s="73"/>
      <c r="AX831" s="73"/>
      <c r="AY831" s="73"/>
      <c r="AZ831" s="73"/>
      <c r="BA831" s="73"/>
      <c r="BB831" s="73"/>
    </row>
    <row r="832">
      <c r="A832" s="73"/>
      <c r="B832" s="73"/>
      <c r="C832" s="73"/>
      <c r="D832" s="73"/>
      <c r="E832" s="73"/>
      <c r="F832" s="73"/>
      <c r="G832" s="73"/>
      <c r="H832" s="73"/>
      <c r="I832" s="73"/>
      <c r="J832" s="73"/>
      <c r="K832" s="73"/>
      <c r="L832" s="73"/>
      <c r="M832" s="73"/>
      <c r="N832" s="73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3"/>
      <c r="Z832" s="73"/>
      <c r="AA832" s="73"/>
      <c r="AB832" s="73"/>
      <c r="AC832" s="73"/>
      <c r="AD832" s="73"/>
      <c r="AE832" s="73"/>
      <c r="AF832" s="73"/>
      <c r="AG832" s="73"/>
      <c r="AH832" s="73"/>
      <c r="AI832" s="73"/>
      <c r="AJ832" s="73"/>
      <c r="AK832" s="73"/>
      <c r="AL832" s="73"/>
      <c r="AM832" s="73"/>
      <c r="AN832" s="73"/>
      <c r="AO832" s="73"/>
      <c r="AP832" s="73"/>
      <c r="AQ832" s="73"/>
      <c r="AR832" s="73"/>
      <c r="AS832" s="73"/>
      <c r="AT832" s="73"/>
      <c r="AU832" s="73"/>
      <c r="AV832" s="73"/>
      <c r="AW832" s="73"/>
      <c r="AX832" s="73"/>
      <c r="AY832" s="73"/>
      <c r="AZ832" s="73"/>
      <c r="BA832" s="73"/>
      <c r="BB832" s="73"/>
    </row>
    <row r="833">
      <c r="A833" s="73"/>
      <c r="B833" s="73"/>
      <c r="C833" s="73"/>
      <c r="D833" s="73"/>
      <c r="E833" s="73"/>
      <c r="F833" s="73"/>
      <c r="G833" s="73"/>
      <c r="H833" s="73"/>
      <c r="I833" s="73"/>
      <c r="J833" s="73"/>
      <c r="K833" s="73"/>
      <c r="L833" s="73"/>
      <c r="M833" s="73"/>
      <c r="N833" s="73"/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3"/>
      <c r="Z833" s="73"/>
      <c r="AA833" s="73"/>
      <c r="AB833" s="73"/>
      <c r="AC833" s="73"/>
      <c r="AD833" s="73"/>
      <c r="AE833" s="73"/>
      <c r="AF833" s="73"/>
      <c r="AG833" s="73"/>
      <c r="AH833" s="73"/>
      <c r="AI833" s="73"/>
      <c r="AJ833" s="73"/>
      <c r="AK833" s="73"/>
      <c r="AL833" s="73"/>
      <c r="AM833" s="73"/>
      <c r="AN833" s="73"/>
      <c r="AO833" s="73"/>
      <c r="AP833" s="73"/>
      <c r="AQ833" s="73"/>
      <c r="AR833" s="73"/>
      <c r="AS833" s="73"/>
      <c r="AT833" s="73"/>
      <c r="AU833" s="73"/>
      <c r="AV833" s="73"/>
      <c r="AW833" s="73"/>
      <c r="AX833" s="73"/>
      <c r="AY833" s="73"/>
      <c r="AZ833" s="73"/>
      <c r="BA833" s="73"/>
      <c r="BB833" s="73"/>
    </row>
    <row r="834">
      <c r="A834" s="73"/>
      <c r="B834" s="73"/>
      <c r="C834" s="73"/>
      <c r="D834" s="73"/>
      <c r="E834" s="73"/>
      <c r="F834" s="73"/>
      <c r="G834" s="73"/>
      <c r="H834" s="73"/>
      <c r="I834" s="73"/>
      <c r="J834" s="73"/>
      <c r="K834" s="73"/>
      <c r="L834" s="73"/>
      <c r="M834" s="73"/>
      <c r="N834" s="73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3"/>
      <c r="Z834" s="73"/>
      <c r="AA834" s="73"/>
      <c r="AB834" s="73"/>
      <c r="AC834" s="73"/>
      <c r="AD834" s="73"/>
      <c r="AE834" s="73"/>
      <c r="AF834" s="73"/>
      <c r="AG834" s="73"/>
      <c r="AH834" s="73"/>
      <c r="AI834" s="73"/>
      <c r="AJ834" s="73"/>
      <c r="AK834" s="73"/>
      <c r="AL834" s="73"/>
      <c r="AM834" s="73"/>
      <c r="AN834" s="73"/>
      <c r="AO834" s="73"/>
      <c r="AP834" s="73"/>
      <c r="AQ834" s="73"/>
      <c r="AR834" s="73"/>
      <c r="AS834" s="73"/>
      <c r="AT834" s="73"/>
      <c r="AU834" s="73"/>
      <c r="AV834" s="73"/>
      <c r="AW834" s="73"/>
      <c r="AX834" s="73"/>
      <c r="AY834" s="73"/>
      <c r="AZ834" s="73"/>
      <c r="BA834" s="73"/>
      <c r="BB834" s="73"/>
    </row>
    <row r="835">
      <c r="A835" s="73"/>
      <c r="B835" s="73"/>
      <c r="C835" s="73"/>
      <c r="D835" s="73"/>
      <c r="E835" s="73"/>
      <c r="F835" s="73"/>
      <c r="G835" s="73"/>
      <c r="H835" s="73"/>
      <c r="I835" s="73"/>
      <c r="J835" s="73"/>
      <c r="K835" s="73"/>
      <c r="L835" s="73"/>
      <c r="M835" s="73"/>
      <c r="N835" s="73"/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3"/>
      <c r="Z835" s="73"/>
      <c r="AA835" s="73"/>
      <c r="AB835" s="73"/>
      <c r="AC835" s="73"/>
      <c r="AD835" s="73"/>
      <c r="AE835" s="73"/>
      <c r="AF835" s="73"/>
      <c r="AG835" s="73"/>
      <c r="AH835" s="73"/>
      <c r="AI835" s="73"/>
      <c r="AJ835" s="73"/>
      <c r="AK835" s="73"/>
      <c r="AL835" s="73"/>
      <c r="AM835" s="73"/>
      <c r="AN835" s="73"/>
      <c r="AO835" s="73"/>
      <c r="AP835" s="73"/>
      <c r="AQ835" s="73"/>
      <c r="AR835" s="73"/>
      <c r="AS835" s="73"/>
      <c r="AT835" s="73"/>
      <c r="AU835" s="73"/>
      <c r="AV835" s="73"/>
      <c r="AW835" s="73"/>
      <c r="AX835" s="73"/>
      <c r="AY835" s="73"/>
      <c r="AZ835" s="73"/>
      <c r="BA835" s="73"/>
      <c r="BB835" s="73"/>
    </row>
    <row r="836">
      <c r="A836" s="73"/>
      <c r="B836" s="73"/>
      <c r="C836" s="73"/>
      <c r="D836" s="73"/>
      <c r="E836" s="73"/>
      <c r="F836" s="73"/>
      <c r="G836" s="73"/>
      <c r="H836" s="73"/>
      <c r="I836" s="73"/>
      <c r="J836" s="73"/>
      <c r="K836" s="73"/>
      <c r="L836" s="73"/>
      <c r="M836" s="73"/>
      <c r="N836" s="73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3"/>
      <c r="Z836" s="73"/>
      <c r="AA836" s="73"/>
      <c r="AB836" s="73"/>
      <c r="AC836" s="73"/>
      <c r="AD836" s="73"/>
      <c r="AE836" s="73"/>
      <c r="AF836" s="73"/>
      <c r="AG836" s="73"/>
      <c r="AH836" s="73"/>
      <c r="AI836" s="73"/>
      <c r="AJ836" s="73"/>
      <c r="AK836" s="73"/>
      <c r="AL836" s="73"/>
      <c r="AM836" s="73"/>
      <c r="AN836" s="73"/>
      <c r="AO836" s="73"/>
      <c r="AP836" s="73"/>
      <c r="AQ836" s="73"/>
      <c r="AR836" s="73"/>
      <c r="AS836" s="73"/>
      <c r="AT836" s="73"/>
      <c r="AU836" s="73"/>
      <c r="AV836" s="73"/>
      <c r="AW836" s="73"/>
      <c r="AX836" s="73"/>
      <c r="AY836" s="73"/>
      <c r="AZ836" s="73"/>
      <c r="BA836" s="73"/>
      <c r="BB836" s="73"/>
    </row>
    <row r="837">
      <c r="A837" s="73"/>
      <c r="B837" s="73"/>
      <c r="C837" s="73"/>
      <c r="D837" s="73"/>
      <c r="E837" s="73"/>
      <c r="F837" s="73"/>
      <c r="G837" s="73"/>
      <c r="H837" s="73"/>
      <c r="I837" s="73"/>
      <c r="J837" s="73"/>
      <c r="K837" s="73"/>
      <c r="L837" s="73"/>
      <c r="M837" s="73"/>
      <c r="N837" s="73"/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3"/>
      <c r="Z837" s="73"/>
      <c r="AA837" s="73"/>
      <c r="AB837" s="73"/>
      <c r="AC837" s="73"/>
      <c r="AD837" s="73"/>
      <c r="AE837" s="73"/>
      <c r="AF837" s="73"/>
      <c r="AG837" s="73"/>
      <c r="AH837" s="73"/>
      <c r="AI837" s="73"/>
      <c r="AJ837" s="73"/>
      <c r="AK837" s="73"/>
      <c r="AL837" s="73"/>
      <c r="AM837" s="73"/>
      <c r="AN837" s="73"/>
      <c r="AO837" s="73"/>
      <c r="AP837" s="73"/>
      <c r="AQ837" s="73"/>
      <c r="AR837" s="73"/>
      <c r="AS837" s="73"/>
      <c r="AT837" s="73"/>
      <c r="AU837" s="73"/>
      <c r="AV837" s="73"/>
      <c r="AW837" s="73"/>
      <c r="AX837" s="73"/>
      <c r="AY837" s="73"/>
      <c r="AZ837" s="73"/>
      <c r="BA837" s="73"/>
      <c r="BB837" s="73"/>
    </row>
    <row r="838">
      <c r="A838" s="73"/>
      <c r="B838" s="73"/>
      <c r="C838" s="73"/>
      <c r="D838" s="73"/>
      <c r="E838" s="73"/>
      <c r="F838" s="73"/>
      <c r="G838" s="73"/>
      <c r="H838" s="73"/>
      <c r="I838" s="73"/>
      <c r="J838" s="73"/>
      <c r="K838" s="73"/>
      <c r="L838" s="73"/>
      <c r="M838" s="73"/>
      <c r="N838" s="73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3"/>
      <c r="Z838" s="73"/>
      <c r="AA838" s="73"/>
      <c r="AB838" s="73"/>
      <c r="AC838" s="73"/>
      <c r="AD838" s="73"/>
      <c r="AE838" s="73"/>
      <c r="AF838" s="73"/>
      <c r="AG838" s="73"/>
      <c r="AH838" s="73"/>
      <c r="AI838" s="73"/>
      <c r="AJ838" s="73"/>
      <c r="AK838" s="73"/>
      <c r="AL838" s="73"/>
      <c r="AM838" s="73"/>
      <c r="AN838" s="73"/>
      <c r="AO838" s="73"/>
      <c r="AP838" s="73"/>
      <c r="AQ838" s="73"/>
      <c r="AR838" s="73"/>
      <c r="AS838" s="73"/>
      <c r="AT838" s="73"/>
      <c r="AU838" s="73"/>
      <c r="AV838" s="73"/>
      <c r="AW838" s="73"/>
      <c r="AX838" s="73"/>
      <c r="AY838" s="73"/>
      <c r="AZ838" s="73"/>
      <c r="BA838" s="73"/>
      <c r="BB838" s="73"/>
    </row>
    <row r="839">
      <c r="A839" s="73"/>
      <c r="B839" s="73"/>
      <c r="C839" s="73"/>
      <c r="D839" s="73"/>
      <c r="E839" s="73"/>
      <c r="F839" s="73"/>
      <c r="G839" s="73"/>
      <c r="H839" s="73"/>
      <c r="I839" s="73"/>
      <c r="J839" s="73"/>
      <c r="K839" s="73"/>
      <c r="L839" s="73"/>
      <c r="M839" s="73"/>
      <c r="N839" s="73"/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3"/>
      <c r="Z839" s="73"/>
      <c r="AA839" s="73"/>
      <c r="AB839" s="73"/>
      <c r="AC839" s="73"/>
      <c r="AD839" s="73"/>
      <c r="AE839" s="73"/>
      <c r="AF839" s="73"/>
      <c r="AG839" s="73"/>
      <c r="AH839" s="73"/>
      <c r="AI839" s="73"/>
      <c r="AJ839" s="73"/>
      <c r="AK839" s="73"/>
      <c r="AL839" s="73"/>
      <c r="AM839" s="73"/>
      <c r="AN839" s="73"/>
      <c r="AO839" s="73"/>
      <c r="AP839" s="73"/>
      <c r="AQ839" s="73"/>
      <c r="AR839" s="73"/>
      <c r="AS839" s="73"/>
      <c r="AT839" s="73"/>
      <c r="AU839" s="73"/>
      <c r="AV839" s="73"/>
      <c r="AW839" s="73"/>
      <c r="AX839" s="73"/>
      <c r="AY839" s="73"/>
      <c r="AZ839" s="73"/>
      <c r="BA839" s="73"/>
      <c r="BB839" s="73"/>
    </row>
    <row r="840">
      <c r="A840" s="73"/>
      <c r="B840" s="73"/>
      <c r="C840" s="73"/>
      <c r="D840" s="73"/>
      <c r="E840" s="73"/>
      <c r="F840" s="73"/>
      <c r="G840" s="73"/>
      <c r="H840" s="73"/>
      <c r="I840" s="73"/>
      <c r="J840" s="73"/>
      <c r="K840" s="73"/>
      <c r="L840" s="73"/>
      <c r="M840" s="73"/>
      <c r="N840" s="73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3"/>
      <c r="Z840" s="73"/>
      <c r="AA840" s="73"/>
      <c r="AB840" s="73"/>
      <c r="AC840" s="73"/>
      <c r="AD840" s="73"/>
      <c r="AE840" s="73"/>
      <c r="AF840" s="73"/>
      <c r="AG840" s="73"/>
      <c r="AH840" s="73"/>
      <c r="AI840" s="73"/>
      <c r="AJ840" s="73"/>
      <c r="AK840" s="73"/>
      <c r="AL840" s="73"/>
      <c r="AM840" s="73"/>
      <c r="AN840" s="73"/>
      <c r="AO840" s="73"/>
      <c r="AP840" s="73"/>
      <c r="AQ840" s="73"/>
      <c r="AR840" s="73"/>
      <c r="AS840" s="73"/>
      <c r="AT840" s="73"/>
      <c r="AU840" s="73"/>
      <c r="AV840" s="73"/>
      <c r="AW840" s="73"/>
      <c r="AX840" s="73"/>
      <c r="AY840" s="73"/>
      <c r="AZ840" s="73"/>
      <c r="BA840" s="73"/>
      <c r="BB840" s="73"/>
    </row>
    <row r="841">
      <c r="A841" s="73"/>
      <c r="B841" s="73"/>
      <c r="C841" s="73"/>
      <c r="D841" s="73"/>
      <c r="E841" s="73"/>
      <c r="F841" s="73"/>
      <c r="G841" s="73"/>
      <c r="H841" s="73"/>
      <c r="I841" s="73"/>
      <c r="J841" s="73"/>
      <c r="K841" s="73"/>
      <c r="L841" s="73"/>
      <c r="M841" s="73"/>
      <c r="N841" s="73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3"/>
      <c r="Z841" s="73"/>
      <c r="AA841" s="73"/>
      <c r="AB841" s="73"/>
      <c r="AC841" s="73"/>
      <c r="AD841" s="73"/>
      <c r="AE841" s="73"/>
      <c r="AF841" s="73"/>
      <c r="AG841" s="73"/>
      <c r="AH841" s="73"/>
      <c r="AI841" s="73"/>
      <c r="AJ841" s="73"/>
      <c r="AK841" s="73"/>
      <c r="AL841" s="73"/>
      <c r="AM841" s="73"/>
      <c r="AN841" s="73"/>
      <c r="AO841" s="73"/>
      <c r="AP841" s="73"/>
      <c r="AQ841" s="73"/>
      <c r="AR841" s="73"/>
      <c r="AS841" s="73"/>
      <c r="AT841" s="73"/>
      <c r="AU841" s="73"/>
      <c r="AV841" s="73"/>
      <c r="AW841" s="73"/>
      <c r="AX841" s="73"/>
      <c r="AY841" s="73"/>
      <c r="AZ841" s="73"/>
      <c r="BA841" s="73"/>
      <c r="BB841" s="73"/>
    </row>
    <row r="842">
      <c r="A842" s="73"/>
      <c r="B842" s="73"/>
      <c r="C842" s="73"/>
      <c r="D842" s="73"/>
      <c r="E842" s="73"/>
      <c r="F842" s="73"/>
      <c r="G842" s="73"/>
      <c r="H842" s="73"/>
      <c r="I842" s="73"/>
      <c r="J842" s="73"/>
      <c r="K842" s="73"/>
      <c r="L842" s="73"/>
      <c r="M842" s="73"/>
      <c r="N842" s="73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3"/>
      <c r="Z842" s="73"/>
      <c r="AA842" s="73"/>
      <c r="AB842" s="73"/>
      <c r="AC842" s="73"/>
      <c r="AD842" s="73"/>
      <c r="AE842" s="73"/>
      <c r="AF842" s="73"/>
      <c r="AG842" s="73"/>
      <c r="AH842" s="73"/>
      <c r="AI842" s="73"/>
      <c r="AJ842" s="73"/>
      <c r="AK842" s="73"/>
      <c r="AL842" s="73"/>
      <c r="AM842" s="73"/>
      <c r="AN842" s="73"/>
      <c r="AO842" s="73"/>
      <c r="AP842" s="73"/>
      <c r="AQ842" s="73"/>
      <c r="AR842" s="73"/>
      <c r="AS842" s="73"/>
      <c r="AT842" s="73"/>
      <c r="AU842" s="73"/>
      <c r="AV842" s="73"/>
      <c r="AW842" s="73"/>
      <c r="AX842" s="73"/>
      <c r="AY842" s="73"/>
      <c r="AZ842" s="73"/>
      <c r="BA842" s="73"/>
      <c r="BB842" s="73"/>
    </row>
    <row r="843">
      <c r="A843" s="73"/>
      <c r="B843" s="73"/>
      <c r="C843" s="73"/>
      <c r="D843" s="73"/>
      <c r="E843" s="73"/>
      <c r="F843" s="73"/>
      <c r="G843" s="73"/>
      <c r="H843" s="73"/>
      <c r="I843" s="73"/>
      <c r="J843" s="73"/>
      <c r="K843" s="73"/>
      <c r="L843" s="73"/>
      <c r="M843" s="73"/>
      <c r="N843" s="7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3"/>
      <c r="Z843" s="73"/>
      <c r="AA843" s="73"/>
      <c r="AB843" s="73"/>
      <c r="AC843" s="73"/>
      <c r="AD843" s="73"/>
      <c r="AE843" s="73"/>
      <c r="AF843" s="73"/>
      <c r="AG843" s="73"/>
      <c r="AH843" s="73"/>
      <c r="AI843" s="73"/>
      <c r="AJ843" s="73"/>
      <c r="AK843" s="73"/>
      <c r="AL843" s="73"/>
      <c r="AM843" s="73"/>
      <c r="AN843" s="73"/>
      <c r="AO843" s="73"/>
      <c r="AP843" s="73"/>
      <c r="AQ843" s="73"/>
      <c r="AR843" s="73"/>
      <c r="AS843" s="73"/>
      <c r="AT843" s="73"/>
      <c r="AU843" s="73"/>
      <c r="AV843" s="73"/>
      <c r="AW843" s="73"/>
      <c r="AX843" s="73"/>
      <c r="AY843" s="73"/>
      <c r="AZ843" s="73"/>
      <c r="BA843" s="73"/>
      <c r="BB843" s="73"/>
    </row>
    <row r="844">
      <c r="A844" s="73"/>
      <c r="B844" s="73"/>
      <c r="C844" s="73"/>
      <c r="D844" s="73"/>
      <c r="E844" s="73"/>
      <c r="F844" s="73"/>
      <c r="G844" s="73"/>
      <c r="H844" s="73"/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  <c r="AA844" s="73"/>
      <c r="AB844" s="73"/>
      <c r="AC844" s="73"/>
      <c r="AD844" s="73"/>
      <c r="AE844" s="73"/>
      <c r="AF844" s="73"/>
      <c r="AG844" s="73"/>
      <c r="AH844" s="73"/>
      <c r="AI844" s="73"/>
      <c r="AJ844" s="73"/>
      <c r="AK844" s="73"/>
      <c r="AL844" s="73"/>
      <c r="AM844" s="73"/>
      <c r="AN844" s="73"/>
      <c r="AO844" s="73"/>
      <c r="AP844" s="73"/>
      <c r="AQ844" s="73"/>
      <c r="AR844" s="73"/>
      <c r="AS844" s="73"/>
      <c r="AT844" s="73"/>
      <c r="AU844" s="73"/>
      <c r="AV844" s="73"/>
      <c r="AW844" s="73"/>
      <c r="AX844" s="73"/>
      <c r="AY844" s="73"/>
      <c r="AZ844" s="73"/>
      <c r="BA844" s="73"/>
      <c r="BB844" s="73"/>
    </row>
    <row r="845">
      <c r="A845" s="73"/>
      <c r="B845" s="73"/>
      <c r="C845" s="73"/>
      <c r="D845" s="73"/>
      <c r="E845" s="73"/>
      <c r="F845" s="73"/>
      <c r="G845" s="73"/>
      <c r="H845" s="73"/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  <c r="AA845" s="73"/>
      <c r="AB845" s="73"/>
      <c r="AC845" s="73"/>
      <c r="AD845" s="73"/>
      <c r="AE845" s="73"/>
      <c r="AF845" s="73"/>
      <c r="AG845" s="73"/>
      <c r="AH845" s="73"/>
      <c r="AI845" s="73"/>
      <c r="AJ845" s="73"/>
      <c r="AK845" s="73"/>
      <c r="AL845" s="73"/>
      <c r="AM845" s="73"/>
      <c r="AN845" s="73"/>
      <c r="AO845" s="73"/>
      <c r="AP845" s="73"/>
      <c r="AQ845" s="73"/>
      <c r="AR845" s="73"/>
      <c r="AS845" s="73"/>
      <c r="AT845" s="73"/>
      <c r="AU845" s="73"/>
      <c r="AV845" s="73"/>
      <c r="AW845" s="73"/>
      <c r="AX845" s="73"/>
      <c r="AY845" s="73"/>
      <c r="AZ845" s="73"/>
      <c r="BA845" s="73"/>
      <c r="BB845" s="73"/>
    </row>
    <row r="846">
      <c r="A846" s="73"/>
      <c r="B846" s="73"/>
      <c r="C846" s="73"/>
      <c r="D846" s="73"/>
      <c r="E846" s="73"/>
      <c r="F846" s="73"/>
      <c r="G846" s="73"/>
      <c r="H846" s="73"/>
      <c r="I846" s="73"/>
      <c r="J846" s="73"/>
      <c r="K846" s="73"/>
      <c r="L846" s="73"/>
      <c r="M846" s="73"/>
      <c r="N846" s="73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3"/>
      <c r="Z846" s="73"/>
      <c r="AA846" s="73"/>
      <c r="AB846" s="73"/>
      <c r="AC846" s="73"/>
      <c r="AD846" s="73"/>
      <c r="AE846" s="73"/>
      <c r="AF846" s="73"/>
      <c r="AG846" s="73"/>
      <c r="AH846" s="73"/>
      <c r="AI846" s="73"/>
      <c r="AJ846" s="73"/>
      <c r="AK846" s="73"/>
      <c r="AL846" s="73"/>
      <c r="AM846" s="73"/>
      <c r="AN846" s="73"/>
      <c r="AO846" s="73"/>
      <c r="AP846" s="73"/>
      <c r="AQ846" s="73"/>
      <c r="AR846" s="73"/>
      <c r="AS846" s="73"/>
      <c r="AT846" s="73"/>
      <c r="AU846" s="73"/>
      <c r="AV846" s="73"/>
      <c r="AW846" s="73"/>
      <c r="AX846" s="73"/>
      <c r="AY846" s="73"/>
      <c r="AZ846" s="73"/>
      <c r="BA846" s="73"/>
      <c r="BB846" s="73"/>
    </row>
    <row r="847">
      <c r="A847" s="73"/>
      <c r="B847" s="73"/>
      <c r="C847" s="73"/>
      <c r="D847" s="73"/>
      <c r="E847" s="73"/>
      <c r="F847" s="73"/>
      <c r="G847" s="73"/>
      <c r="H847" s="73"/>
      <c r="I847" s="73"/>
      <c r="J847" s="73"/>
      <c r="K847" s="73"/>
      <c r="L847" s="73"/>
      <c r="M847" s="73"/>
      <c r="N847" s="73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3"/>
      <c r="Z847" s="73"/>
      <c r="AA847" s="73"/>
      <c r="AB847" s="73"/>
      <c r="AC847" s="73"/>
      <c r="AD847" s="73"/>
      <c r="AE847" s="73"/>
      <c r="AF847" s="73"/>
      <c r="AG847" s="73"/>
      <c r="AH847" s="73"/>
      <c r="AI847" s="73"/>
      <c r="AJ847" s="73"/>
      <c r="AK847" s="73"/>
      <c r="AL847" s="73"/>
      <c r="AM847" s="73"/>
      <c r="AN847" s="73"/>
      <c r="AO847" s="73"/>
      <c r="AP847" s="73"/>
      <c r="AQ847" s="73"/>
      <c r="AR847" s="73"/>
      <c r="AS847" s="73"/>
      <c r="AT847" s="73"/>
      <c r="AU847" s="73"/>
      <c r="AV847" s="73"/>
      <c r="AW847" s="73"/>
      <c r="AX847" s="73"/>
      <c r="AY847" s="73"/>
      <c r="AZ847" s="73"/>
      <c r="BA847" s="73"/>
      <c r="BB847" s="73"/>
    </row>
    <row r="848">
      <c r="A848" s="73"/>
      <c r="B848" s="73"/>
      <c r="C848" s="73"/>
      <c r="D848" s="73"/>
      <c r="E848" s="73"/>
      <c r="F848" s="73"/>
      <c r="G848" s="73"/>
      <c r="H848" s="73"/>
      <c r="I848" s="73"/>
      <c r="J848" s="73"/>
      <c r="K848" s="73"/>
      <c r="L848" s="73"/>
      <c r="M848" s="73"/>
      <c r="N848" s="73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3"/>
      <c r="Z848" s="73"/>
      <c r="AA848" s="73"/>
      <c r="AB848" s="73"/>
      <c r="AC848" s="73"/>
      <c r="AD848" s="73"/>
      <c r="AE848" s="73"/>
      <c r="AF848" s="73"/>
      <c r="AG848" s="73"/>
      <c r="AH848" s="73"/>
      <c r="AI848" s="73"/>
      <c r="AJ848" s="73"/>
      <c r="AK848" s="73"/>
      <c r="AL848" s="73"/>
      <c r="AM848" s="73"/>
      <c r="AN848" s="73"/>
      <c r="AO848" s="73"/>
      <c r="AP848" s="73"/>
      <c r="AQ848" s="73"/>
      <c r="AR848" s="73"/>
      <c r="AS848" s="73"/>
      <c r="AT848" s="73"/>
      <c r="AU848" s="73"/>
      <c r="AV848" s="73"/>
      <c r="AW848" s="73"/>
      <c r="AX848" s="73"/>
      <c r="AY848" s="73"/>
      <c r="AZ848" s="73"/>
      <c r="BA848" s="73"/>
      <c r="BB848" s="73"/>
    </row>
    <row r="849">
      <c r="A849" s="73"/>
      <c r="B849" s="73"/>
      <c r="C849" s="73"/>
      <c r="D849" s="73"/>
      <c r="E849" s="73"/>
      <c r="F849" s="73"/>
      <c r="G849" s="73"/>
      <c r="H849" s="73"/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  <c r="AA849" s="73"/>
      <c r="AB849" s="73"/>
      <c r="AC849" s="73"/>
      <c r="AD849" s="73"/>
      <c r="AE849" s="73"/>
      <c r="AF849" s="73"/>
      <c r="AG849" s="73"/>
      <c r="AH849" s="73"/>
      <c r="AI849" s="73"/>
      <c r="AJ849" s="73"/>
      <c r="AK849" s="73"/>
      <c r="AL849" s="73"/>
      <c r="AM849" s="73"/>
      <c r="AN849" s="73"/>
      <c r="AO849" s="73"/>
      <c r="AP849" s="73"/>
      <c r="AQ849" s="73"/>
      <c r="AR849" s="73"/>
      <c r="AS849" s="73"/>
      <c r="AT849" s="73"/>
      <c r="AU849" s="73"/>
      <c r="AV849" s="73"/>
      <c r="AW849" s="73"/>
      <c r="AX849" s="73"/>
      <c r="AY849" s="73"/>
      <c r="AZ849" s="73"/>
      <c r="BA849" s="73"/>
      <c r="BB849" s="73"/>
    </row>
    <row r="850">
      <c r="A850" s="73"/>
      <c r="B850" s="73"/>
      <c r="C850" s="73"/>
      <c r="D850" s="73"/>
      <c r="E850" s="73"/>
      <c r="F850" s="73"/>
      <c r="G850" s="73"/>
      <c r="H850" s="73"/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  <c r="AA850" s="73"/>
      <c r="AB850" s="73"/>
      <c r="AC850" s="73"/>
      <c r="AD850" s="73"/>
      <c r="AE850" s="73"/>
      <c r="AF850" s="73"/>
      <c r="AG850" s="73"/>
      <c r="AH850" s="73"/>
      <c r="AI850" s="73"/>
      <c r="AJ850" s="73"/>
      <c r="AK850" s="73"/>
      <c r="AL850" s="73"/>
      <c r="AM850" s="73"/>
      <c r="AN850" s="73"/>
      <c r="AO850" s="73"/>
      <c r="AP850" s="73"/>
      <c r="AQ850" s="73"/>
      <c r="AR850" s="73"/>
      <c r="AS850" s="73"/>
      <c r="AT850" s="73"/>
      <c r="AU850" s="73"/>
      <c r="AV850" s="73"/>
      <c r="AW850" s="73"/>
      <c r="AX850" s="73"/>
      <c r="AY850" s="73"/>
      <c r="AZ850" s="73"/>
      <c r="BA850" s="73"/>
      <c r="BB850" s="73"/>
    </row>
    <row r="851">
      <c r="A851" s="73"/>
      <c r="B851" s="73"/>
      <c r="C851" s="73"/>
      <c r="D851" s="73"/>
      <c r="E851" s="73"/>
      <c r="F851" s="73"/>
      <c r="G851" s="73"/>
      <c r="H851" s="73"/>
      <c r="I851" s="73"/>
      <c r="J851" s="73"/>
      <c r="K851" s="73"/>
      <c r="L851" s="73"/>
      <c r="M851" s="73"/>
      <c r="N851" s="73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3"/>
      <c r="Z851" s="73"/>
      <c r="AA851" s="73"/>
      <c r="AB851" s="73"/>
      <c r="AC851" s="73"/>
      <c r="AD851" s="73"/>
      <c r="AE851" s="73"/>
      <c r="AF851" s="73"/>
      <c r="AG851" s="73"/>
      <c r="AH851" s="73"/>
      <c r="AI851" s="73"/>
      <c r="AJ851" s="73"/>
      <c r="AK851" s="73"/>
      <c r="AL851" s="73"/>
      <c r="AM851" s="73"/>
      <c r="AN851" s="73"/>
      <c r="AO851" s="73"/>
      <c r="AP851" s="73"/>
      <c r="AQ851" s="73"/>
      <c r="AR851" s="73"/>
      <c r="AS851" s="73"/>
      <c r="AT851" s="73"/>
      <c r="AU851" s="73"/>
      <c r="AV851" s="73"/>
      <c r="AW851" s="73"/>
      <c r="AX851" s="73"/>
      <c r="AY851" s="73"/>
      <c r="AZ851" s="73"/>
      <c r="BA851" s="73"/>
      <c r="BB851" s="73"/>
    </row>
    <row r="852">
      <c r="A852" s="73"/>
      <c r="B852" s="73"/>
      <c r="C852" s="73"/>
      <c r="D852" s="73"/>
      <c r="E852" s="73"/>
      <c r="F852" s="73"/>
      <c r="G852" s="73"/>
      <c r="H852" s="73"/>
      <c r="I852" s="73"/>
      <c r="J852" s="73"/>
      <c r="K852" s="73"/>
      <c r="L852" s="73"/>
      <c r="M852" s="73"/>
      <c r="N852" s="73"/>
      <c r="O852" s="73"/>
      <c r="P852" s="73"/>
      <c r="Q852" s="73"/>
      <c r="R852" s="73"/>
      <c r="S852" s="73"/>
      <c r="T852" s="73"/>
      <c r="U852" s="73"/>
      <c r="V852" s="73"/>
      <c r="W852" s="73"/>
      <c r="X852" s="73"/>
      <c r="Y852" s="73"/>
      <c r="Z852" s="73"/>
      <c r="AA852" s="73"/>
      <c r="AB852" s="73"/>
      <c r="AC852" s="73"/>
      <c r="AD852" s="73"/>
      <c r="AE852" s="73"/>
      <c r="AF852" s="73"/>
      <c r="AG852" s="73"/>
      <c r="AH852" s="73"/>
      <c r="AI852" s="73"/>
      <c r="AJ852" s="73"/>
      <c r="AK852" s="73"/>
      <c r="AL852" s="73"/>
      <c r="AM852" s="73"/>
      <c r="AN852" s="73"/>
      <c r="AO852" s="73"/>
      <c r="AP852" s="73"/>
      <c r="AQ852" s="73"/>
      <c r="AR852" s="73"/>
      <c r="AS852" s="73"/>
      <c r="AT852" s="73"/>
      <c r="AU852" s="73"/>
      <c r="AV852" s="73"/>
      <c r="AW852" s="73"/>
      <c r="AX852" s="73"/>
      <c r="AY852" s="73"/>
      <c r="AZ852" s="73"/>
      <c r="BA852" s="73"/>
      <c r="BB852" s="73"/>
    </row>
    <row r="853">
      <c r="A853" s="73"/>
      <c r="B853" s="73"/>
      <c r="C853" s="73"/>
      <c r="D853" s="73"/>
      <c r="E853" s="73"/>
      <c r="F853" s="73"/>
      <c r="G853" s="73"/>
      <c r="H853" s="73"/>
      <c r="I853" s="73"/>
      <c r="J853" s="73"/>
      <c r="K853" s="73"/>
      <c r="L853" s="73"/>
      <c r="M853" s="73"/>
      <c r="N853" s="73"/>
      <c r="O853" s="73"/>
      <c r="P853" s="73"/>
      <c r="Q853" s="73"/>
      <c r="R853" s="73"/>
      <c r="S853" s="73"/>
      <c r="T853" s="73"/>
      <c r="U853" s="73"/>
      <c r="V853" s="73"/>
      <c r="W853" s="73"/>
      <c r="X853" s="73"/>
      <c r="Y853" s="73"/>
      <c r="Z853" s="73"/>
      <c r="AA853" s="73"/>
      <c r="AB853" s="73"/>
      <c r="AC853" s="73"/>
      <c r="AD853" s="73"/>
      <c r="AE853" s="73"/>
      <c r="AF853" s="73"/>
      <c r="AG853" s="73"/>
      <c r="AH853" s="73"/>
      <c r="AI853" s="73"/>
      <c r="AJ853" s="73"/>
      <c r="AK853" s="73"/>
      <c r="AL853" s="73"/>
      <c r="AM853" s="73"/>
      <c r="AN853" s="73"/>
      <c r="AO853" s="73"/>
      <c r="AP853" s="73"/>
      <c r="AQ853" s="73"/>
      <c r="AR853" s="73"/>
      <c r="AS853" s="73"/>
      <c r="AT853" s="73"/>
      <c r="AU853" s="73"/>
      <c r="AV853" s="73"/>
      <c r="AW853" s="73"/>
      <c r="AX853" s="73"/>
      <c r="AY853" s="73"/>
      <c r="AZ853" s="73"/>
      <c r="BA853" s="73"/>
      <c r="BB853" s="73"/>
    </row>
    <row r="854">
      <c r="A854" s="73"/>
      <c r="B854" s="73"/>
      <c r="C854" s="73"/>
      <c r="D854" s="73"/>
      <c r="E854" s="73"/>
      <c r="F854" s="73"/>
      <c r="G854" s="73"/>
      <c r="H854" s="73"/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3"/>
      <c r="Z854" s="73"/>
      <c r="AA854" s="73"/>
      <c r="AB854" s="73"/>
      <c r="AC854" s="73"/>
      <c r="AD854" s="73"/>
      <c r="AE854" s="73"/>
      <c r="AF854" s="73"/>
      <c r="AG854" s="73"/>
      <c r="AH854" s="73"/>
      <c r="AI854" s="73"/>
      <c r="AJ854" s="73"/>
      <c r="AK854" s="73"/>
      <c r="AL854" s="73"/>
      <c r="AM854" s="73"/>
      <c r="AN854" s="73"/>
      <c r="AO854" s="73"/>
      <c r="AP854" s="73"/>
      <c r="AQ854" s="73"/>
      <c r="AR854" s="73"/>
      <c r="AS854" s="73"/>
      <c r="AT854" s="73"/>
      <c r="AU854" s="73"/>
      <c r="AV854" s="73"/>
      <c r="AW854" s="73"/>
      <c r="AX854" s="73"/>
      <c r="AY854" s="73"/>
      <c r="AZ854" s="73"/>
      <c r="BA854" s="73"/>
      <c r="BB854" s="73"/>
    </row>
    <row r="855">
      <c r="A855" s="73"/>
      <c r="B855" s="73"/>
      <c r="C855" s="73"/>
      <c r="D855" s="73"/>
      <c r="E855" s="73"/>
      <c r="F855" s="73"/>
      <c r="G855" s="73"/>
      <c r="H855" s="73"/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3"/>
      <c r="Z855" s="73"/>
      <c r="AA855" s="73"/>
      <c r="AB855" s="73"/>
      <c r="AC855" s="73"/>
      <c r="AD855" s="73"/>
      <c r="AE855" s="73"/>
      <c r="AF855" s="73"/>
      <c r="AG855" s="73"/>
      <c r="AH855" s="73"/>
      <c r="AI855" s="73"/>
      <c r="AJ855" s="73"/>
      <c r="AK855" s="73"/>
      <c r="AL855" s="73"/>
      <c r="AM855" s="73"/>
      <c r="AN855" s="73"/>
      <c r="AO855" s="73"/>
      <c r="AP855" s="73"/>
      <c r="AQ855" s="73"/>
      <c r="AR855" s="73"/>
      <c r="AS855" s="73"/>
      <c r="AT855" s="73"/>
      <c r="AU855" s="73"/>
      <c r="AV855" s="73"/>
      <c r="AW855" s="73"/>
      <c r="AX855" s="73"/>
      <c r="AY855" s="73"/>
      <c r="AZ855" s="73"/>
      <c r="BA855" s="73"/>
      <c r="BB855" s="73"/>
    </row>
    <row r="856">
      <c r="A856" s="73"/>
      <c r="B856" s="73"/>
      <c r="C856" s="73"/>
      <c r="D856" s="73"/>
      <c r="E856" s="73"/>
      <c r="F856" s="73"/>
      <c r="G856" s="73"/>
      <c r="H856" s="73"/>
      <c r="I856" s="73"/>
      <c r="J856" s="73"/>
      <c r="K856" s="73"/>
      <c r="L856" s="73"/>
      <c r="M856" s="73"/>
      <c r="N856" s="73"/>
      <c r="O856" s="73"/>
      <c r="P856" s="73"/>
      <c r="Q856" s="73"/>
      <c r="R856" s="73"/>
      <c r="S856" s="73"/>
      <c r="T856" s="73"/>
      <c r="U856" s="73"/>
      <c r="V856" s="73"/>
      <c r="W856" s="73"/>
      <c r="X856" s="73"/>
      <c r="Y856" s="73"/>
      <c r="Z856" s="73"/>
      <c r="AA856" s="73"/>
      <c r="AB856" s="73"/>
      <c r="AC856" s="73"/>
      <c r="AD856" s="73"/>
      <c r="AE856" s="73"/>
      <c r="AF856" s="73"/>
      <c r="AG856" s="73"/>
      <c r="AH856" s="73"/>
      <c r="AI856" s="73"/>
      <c r="AJ856" s="73"/>
      <c r="AK856" s="73"/>
      <c r="AL856" s="73"/>
      <c r="AM856" s="73"/>
      <c r="AN856" s="73"/>
      <c r="AO856" s="73"/>
      <c r="AP856" s="73"/>
      <c r="AQ856" s="73"/>
      <c r="AR856" s="73"/>
      <c r="AS856" s="73"/>
      <c r="AT856" s="73"/>
      <c r="AU856" s="73"/>
      <c r="AV856" s="73"/>
      <c r="AW856" s="73"/>
      <c r="AX856" s="73"/>
      <c r="AY856" s="73"/>
      <c r="AZ856" s="73"/>
      <c r="BA856" s="73"/>
      <c r="BB856" s="73"/>
    </row>
    <row r="857">
      <c r="A857" s="73"/>
      <c r="B857" s="73"/>
      <c r="C857" s="73"/>
      <c r="D857" s="73"/>
      <c r="E857" s="73"/>
      <c r="F857" s="73"/>
      <c r="G857" s="73"/>
      <c r="H857" s="73"/>
      <c r="I857" s="73"/>
      <c r="J857" s="73"/>
      <c r="K857" s="73"/>
      <c r="L857" s="73"/>
      <c r="M857" s="73"/>
      <c r="N857" s="73"/>
      <c r="O857" s="73"/>
      <c r="P857" s="73"/>
      <c r="Q857" s="73"/>
      <c r="R857" s="73"/>
      <c r="S857" s="73"/>
      <c r="T857" s="73"/>
      <c r="U857" s="73"/>
      <c r="V857" s="73"/>
      <c r="W857" s="73"/>
      <c r="X857" s="73"/>
      <c r="Y857" s="73"/>
      <c r="Z857" s="73"/>
      <c r="AA857" s="73"/>
      <c r="AB857" s="73"/>
      <c r="AC857" s="73"/>
      <c r="AD857" s="73"/>
      <c r="AE857" s="73"/>
      <c r="AF857" s="73"/>
      <c r="AG857" s="73"/>
      <c r="AH857" s="73"/>
      <c r="AI857" s="73"/>
      <c r="AJ857" s="73"/>
      <c r="AK857" s="73"/>
      <c r="AL857" s="73"/>
      <c r="AM857" s="73"/>
      <c r="AN857" s="73"/>
      <c r="AO857" s="73"/>
      <c r="AP857" s="73"/>
      <c r="AQ857" s="73"/>
      <c r="AR857" s="73"/>
      <c r="AS857" s="73"/>
      <c r="AT857" s="73"/>
      <c r="AU857" s="73"/>
      <c r="AV857" s="73"/>
      <c r="AW857" s="73"/>
      <c r="AX857" s="73"/>
      <c r="AY857" s="73"/>
      <c r="AZ857" s="73"/>
      <c r="BA857" s="73"/>
      <c r="BB857" s="73"/>
    </row>
    <row r="858">
      <c r="A858" s="73"/>
      <c r="B858" s="73"/>
      <c r="C858" s="73"/>
      <c r="D858" s="73"/>
      <c r="E858" s="73"/>
      <c r="F858" s="73"/>
      <c r="G858" s="73"/>
      <c r="H858" s="73"/>
      <c r="I858" s="73"/>
      <c r="J858" s="73"/>
      <c r="K858" s="73"/>
      <c r="L858" s="73"/>
      <c r="M858" s="73"/>
      <c r="N858" s="73"/>
      <c r="O858" s="73"/>
      <c r="P858" s="73"/>
      <c r="Q858" s="73"/>
      <c r="R858" s="73"/>
      <c r="S858" s="73"/>
      <c r="T858" s="73"/>
      <c r="U858" s="73"/>
      <c r="V858" s="73"/>
      <c r="W858" s="73"/>
      <c r="X858" s="73"/>
      <c r="Y858" s="73"/>
      <c r="Z858" s="73"/>
      <c r="AA858" s="73"/>
      <c r="AB858" s="73"/>
      <c r="AC858" s="73"/>
      <c r="AD858" s="73"/>
      <c r="AE858" s="73"/>
      <c r="AF858" s="73"/>
      <c r="AG858" s="73"/>
      <c r="AH858" s="73"/>
      <c r="AI858" s="73"/>
      <c r="AJ858" s="73"/>
      <c r="AK858" s="73"/>
      <c r="AL858" s="73"/>
      <c r="AM858" s="73"/>
      <c r="AN858" s="73"/>
      <c r="AO858" s="73"/>
      <c r="AP858" s="73"/>
      <c r="AQ858" s="73"/>
      <c r="AR858" s="73"/>
      <c r="AS858" s="73"/>
      <c r="AT858" s="73"/>
      <c r="AU858" s="73"/>
      <c r="AV858" s="73"/>
      <c r="AW858" s="73"/>
      <c r="AX858" s="73"/>
      <c r="AY858" s="73"/>
      <c r="AZ858" s="73"/>
      <c r="BA858" s="73"/>
      <c r="BB858" s="73"/>
    </row>
    <row r="859">
      <c r="A859" s="73"/>
      <c r="B859" s="73"/>
      <c r="C859" s="73"/>
      <c r="D859" s="73"/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3"/>
      <c r="Z859" s="73"/>
      <c r="AA859" s="73"/>
      <c r="AB859" s="73"/>
      <c r="AC859" s="73"/>
      <c r="AD859" s="73"/>
      <c r="AE859" s="73"/>
      <c r="AF859" s="73"/>
      <c r="AG859" s="73"/>
      <c r="AH859" s="73"/>
      <c r="AI859" s="73"/>
      <c r="AJ859" s="73"/>
      <c r="AK859" s="73"/>
      <c r="AL859" s="73"/>
      <c r="AM859" s="73"/>
      <c r="AN859" s="73"/>
      <c r="AO859" s="73"/>
      <c r="AP859" s="73"/>
      <c r="AQ859" s="73"/>
      <c r="AR859" s="73"/>
      <c r="AS859" s="73"/>
      <c r="AT859" s="73"/>
      <c r="AU859" s="73"/>
      <c r="AV859" s="73"/>
      <c r="AW859" s="73"/>
      <c r="AX859" s="73"/>
      <c r="AY859" s="73"/>
      <c r="AZ859" s="73"/>
      <c r="BA859" s="73"/>
      <c r="BB859" s="73"/>
    </row>
    <row r="860">
      <c r="A860" s="73"/>
      <c r="B860" s="73"/>
      <c r="C860" s="73"/>
      <c r="D860" s="73"/>
      <c r="E860" s="73"/>
      <c r="F860" s="73"/>
      <c r="G860" s="73"/>
      <c r="H860" s="73"/>
      <c r="I860" s="73"/>
      <c r="J860" s="73"/>
      <c r="K860" s="73"/>
      <c r="L860" s="73"/>
      <c r="M860" s="73"/>
      <c r="N860" s="73"/>
      <c r="O860" s="73"/>
      <c r="P860" s="73"/>
      <c r="Q860" s="73"/>
      <c r="R860" s="73"/>
      <c r="S860" s="73"/>
      <c r="T860" s="73"/>
      <c r="U860" s="73"/>
      <c r="V860" s="73"/>
      <c r="W860" s="73"/>
      <c r="X860" s="73"/>
      <c r="Y860" s="73"/>
      <c r="Z860" s="73"/>
      <c r="AA860" s="73"/>
      <c r="AB860" s="73"/>
      <c r="AC860" s="73"/>
      <c r="AD860" s="73"/>
      <c r="AE860" s="73"/>
      <c r="AF860" s="73"/>
      <c r="AG860" s="73"/>
      <c r="AH860" s="73"/>
      <c r="AI860" s="73"/>
      <c r="AJ860" s="73"/>
      <c r="AK860" s="73"/>
      <c r="AL860" s="73"/>
      <c r="AM860" s="73"/>
      <c r="AN860" s="73"/>
      <c r="AO860" s="73"/>
      <c r="AP860" s="73"/>
      <c r="AQ860" s="73"/>
      <c r="AR860" s="73"/>
      <c r="AS860" s="73"/>
      <c r="AT860" s="73"/>
      <c r="AU860" s="73"/>
      <c r="AV860" s="73"/>
      <c r="AW860" s="73"/>
      <c r="AX860" s="73"/>
      <c r="AY860" s="73"/>
      <c r="AZ860" s="73"/>
      <c r="BA860" s="73"/>
      <c r="BB860" s="73"/>
    </row>
    <row r="861">
      <c r="A861" s="73"/>
      <c r="B861" s="73"/>
      <c r="C861" s="73"/>
      <c r="D861" s="73"/>
      <c r="E861" s="73"/>
      <c r="F861" s="73"/>
      <c r="G861" s="73"/>
      <c r="H861" s="73"/>
      <c r="I861" s="73"/>
      <c r="J861" s="73"/>
      <c r="K861" s="73"/>
      <c r="L861" s="73"/>
      <c r="M861" s="73"/>
      <c r="N861" s="73"/>
      <c r="O861" s="73"/>
      <c r="P861" s="73"/>
      <c r="Q861" s="73"/>
      <c r="R861" s="73"/>
      <c r="S861" s="73"/>
      <c r="T861" s="73"/>
      <c r="U861" s="73"/>
      <c r="V861" s="73"/>
      <c r="W861" s="73"/>
      <c r="X861" s="73"/>
      <c r="Y861" s="73"/>
      <c r="Z861" s="73"/>
      <c r="AA861" s="73"/>
      <c r="AB861" s="73"/>
      <c r="AC861" s="73"/>
      <c r="AD861" s="73"/>
      <c r="AE861" s="73"/>
      <c r="AF861" s="73"/>
      <c r="AG861" s="73"/>
      <c r="AH861" s="73"/>
      <c r="AI861" s="73"/>
      <c r="AJ861" s="73"/>
      <c r="AK861" s="73"/>
      <c r="AL861" s="73"/>
      <c r="AM861" s="73"/>
      <c r="AN861" s="73"/>
      <c r="AO861" s="73"/>
      <c r="AP861" s="73"/>
      <c r="AQ861" s="73"/>
      <c r="AR861" s="73"/>
      <c r="AS861" s="73"/>
      <c r="AT861" s="73"/>
      <c r="AU861" s="73"/>
      <c r="AV861" s="73"/>
      <c r="AW861" s="73"/>
      <c r="AX861" s="73"/>
      <c r="AY861" s="73"/>
      <c r="AZ861" s="73"/>
      <c r="BA861" s="73"/>
      <c r="BB861" s="73"/>
    </row>
    <row r="862">
      <c r="A862" s="73"/>
      <c r="B862" s="73"/>
      <c r="C862" s="73"/>
      <c r="D862" s="73"/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3"/>
      <c r="Z862" s="73"/>
      <c r="AA862" s="73"/>
      <c r="AB862" s="73"/>
      <c r="AC862" s="73"/>
      <c r="AD862" s="73"/>
      <c r="AE862" s="73"/>
      <c r="AF862" s="73"/>
      <c r="AG862" s="73"/>
      <c r="AH862" s="73"/>
      <c r="AI862" s="73"/>
      <c r="AJ862" s="73"/>
      <c r="AK862" s="73"/>
      <c r="AL862" s="73"/>
      <c r="AM862" s="73"/>
      <c r="AN862" s="73"/>
      <c r="AO862" s="73"/>
      <c r="AP862" s="73"/>
      <c r="AQ862" s="73"/>
      <c r="AR862" s="73"/>
      <c r="AS862" s="73"/>
      <c r="AT862" s="73"/>
      <c r="AU862" s="73"/>
      <c r="AV862" s="73"/>
      <c r="AW862" s="73"/>
      <c r="AX862" s="73"/>
      <c r="AY862" s="73"/>
      <c r="AZ862" s="73"/>
      <c r="BA862" s="73"/>
      <c r="BB862" s="73"/>
    </row>
    <row r="863">
      <c r="A863" s="73"/>
      <c r="B863" s="73"/>
      <c r="C863" s="73"/>
      <c r="D863" s="73"/>
      <c r="E863" s="73"/>
      <c r="F863" s="73"/>
      <c r="G863" s="73"/>
      <c r="H863" s="73"/>
      <c r="I863" s="73"/>
      <c r="J863" s="73"/>
      <c r="K863" s="73"/>
      <c r="L863" s="73"/>
      <c r="M863" s="73"/>
      <c r="N863" s="73"/>
      <c r="O863" s="73"/>
      <c r="P863" s="73"/>
      <c r="Q863" s="73"/>
      <c r="R863" s="73"/>
      <c r="S863" s="73"/>
      <c r="T863" s="73"/>
      <c r="U863" s="73"/>
      <c r="V863" s="73"/>
      <c r="W863" s="73"/>
      <c r="X863" s="73"/>
      <c r="Y863" s="73"/>
      <c r="Z863" s="73"/>
      <c r="AA863" s="73"/>
      <c r="AB863" s="73"/>
      <c r="AC863" s="73"/>
      <c r="AD863" s="73"/>
      <c r="AE863" s="73"/>
      <c r="AF863" s="73"/>
      <c r="AG863" s="73"/>
      <c r="AH863" s="73"/>
      <c r="AI863" s="73"/>
      <c r="AJ863" s="73"/>
      <c r="AK863" s="73"/>
      <c r="AL863" s="73"/>
      <c r="AM863" s="73"/>
      <c r="AN863" s="73"/>
      <c r="AO863" s="73"/>
      <c r="AP863" s="73"/>
      <c r="AQ863" s="73"/>
      <c r="AR863" s="73"/>
      <c r="AS863" s="73"/>
      <c r="AT863" s="73"/>
      <c r="AU863" s="73"/>
      <c r="AV863" s="73"/>
      <c r="AW863" s="73"/>
      <c r="AX863" s="73"/>
      <c r="AY863" s="73"/>
      <c r="AZ863" s="73"/>
      <c r="BA863" s="73"/>
      <c r="BB863" s="73"/>
    </row>
    <row r="864">
      <c r="A864" s="73"/>
      <c r="B864" s="73"/>
      <c r="C864" s="73"/>
      <c r="D864" s="73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  <c r="Z864" s="73"/>
      <c r="AA864" s="73"/>
      <c r="AB864" s="73"/>
      <c r="AC864" s="73"/>
      <c r="AD864" s="73"/>
      <c r="AE864" s="73"/>
      <c r="AF864" s="73"/>
      <c r="AG864" s="73"/>
      <c r="AH864" s="73"/>
      <c r="AI864" s="73"/>
      <c r="AJ864" s="73"/>
      <c r="AK864" s="73"/>
      <c r="AL864" s="73"/>
      <c r="AM864" s="73"/>
      <c r="AN864" s="73"/>
      <c r="AO864" s="73"/>
      <c r="AP864" s="73"/>
      <c r="AQ864" s="73"/>
      <c r="AR864" s="73"/>
      <c r="AS864" s="73"/>
      <c r="AT864" s="73"/>
      <c r="AU864" s="73"/>
      <c r="AV864" s="73"/>
      <c r="AW864" s="73"/>
      <c r="AX864" s="73"/>
      <c r="AY864" s="73"/>
      <c r="AZ864" s="73"/>
      <c r="BA864" s="73"/>
      <c r="BB864" s="73"/>
    </row>
    <row r="865">
      <c r="A865" s="73"/>
      <c r="B865" s="73"/>
      <c r="C865" s="73"/>
      <c r="D865" s="73"/>
      <c r="E865" s="73"/>
      <c r="F865" s="73"/>
      <c r="G865" s="73"/>
      <c r="H865" s="73"/>
      <c r="I865" s="73"/>
      <c r="J865" s="73"/>
      <c r="K865" s="73"/>
      <c r="L865" s="73"/>
      <c r="M865" s="73"/>
      <c r="N865" s="73"/>
      <c r="O865" s="73"/>
      <c r="P865" s="73"/>
      <c r="Q865" s="73"/>
      <c r="R865" s="73"/>
      <c r="S865" s="73"/>
      <c r="T865" s="73"/>
      <c r="U865" s="73"/>
      <c r="V865" s="73"/>
      <c r="W865" s="73"/>
      <c r="X865" s="73"/>
      <c r="Y865" s="73"/>
      <c r="Z865" s="73"/>
      <c r="AA865" s="73"/>
      <c r="AB865" s="73"/>
      <c r="AC865" s="73"/>
      <c r="AD865" s="73"/>
      <c r="AE865" s="73"/>
      <c r="AF865" s="73"/>
      <c r="AG865" s="73"/>
      <c r="AH865" s="73"/>
      <c r="AI865" s="73"/>
      <c r="AJ865" s="73"/>
      <c r="AK865" s="73"/>
      <c r="AL865" s="73"/>
      <c r="AM865" s="73"/>
      <c r="AN865" s="73"/>
      <c r="AO865" s="73"/>
      <c r="AP865" s="73"/>
      <c r="AQ865" s="73"/>
      <c r="AR865" s="73"/>
      <c r="AS865" s="73"/>
      <c r="AT865" s="73"/>
      <c r="AU865" s="73"/>
      <c r="AV865" s="73"/>
      <c r="AW865" s="73"/>
      <c r="AX865" s="73"/>
      <c r="AY865" s="73"/>
      <c r="AZ865" s="73"/>
      <c r="BA865" s="73"/>
      <c r="BB865" s="73"/>
    </row>
    <row r="866">
      <c r="A866" s="73"/>
      <c r="B866" s="73"/>
      <c r="C866" s="73"/>
      <c r="D866" s="73"/>
      <c r="E866" s="73"/>
      <c r="F866" s="73"/>
      <c r="G866" s="73"/>
      <c r="H866" s="73"/>
      <c r="I866" s="73"/>
      <c r="J866" s="73"/>
      <c r="K866" s="73"/>
      <c r="L866" s="73"/>
      <c r="M866" s="73"/>
      <c r="N866" s="73"/>
      <c r="O866" s="73"/>
      <c r="P866" s="73"/>
      <c r="Q866" s="73"/>
      <c r="R866" s="73"/>
      <c r="S866" s="73"/>
      <c r="T866" s="73"/>
      <c r="U866" s="73"/>
      <c r="V866" s="73"/>
      <c r="W866" s="73"/>
      <c r="X866" s="73"/>
      <c r="Y866" s="73"/>
      <c r="Z866" s="73"/>
      <c r="AA866" s="73"/>
      <c r="AB866" s="73"/>
      <c r="AC866" s="73"/>
      <c r="AD866" s="73"/>
      <c r="AE866" s="73"/>
      <c r="AF866" s="73"/>
      <c r="AG866" s="73"/>
      <c r="AH866" s="73"/>
      <c r="AI866" s="73"/>
      <c r="AJ866" s="73"/>
      <c r="AK866" s="73"/>
      <c r="AL866" s="73"/>
      <c r="AM866" s="73"/>
      <c r="AN866" s="73"/>
      <c r="AO866" s="73"/>
      <c r="AP866" s="73"/>
      <c r="AQ866" s="73"/>
      <c r="AR866" s="73"/>
      <c r="AS866" s="73"/>
      <c r="AT866" s="73"/>
      <c r="AU866" s="73"/>
      <c r="AV866" s="73"/>
      <c r="AW866" s="73"/>
      <c r="AX866" s="73"/>
      <c r="AY866" s="73"/>
      <c r="AZ866" s="73"/>
      <c r="BA866" s="73"/>
      <c r="BB866" s="73"/>
    </row>
    <row r="867">
      <c r="A867" s="73"/>
      <c r="B867" s="73"/>
      <c r="C867" s="73"/>
      <c r="D867" s="73"/>
      <c r="E867" s="73"/>
      <c r="F867" s="73"/>
      <c r="G867" s="73"/>
      <c r="H867" s="73"/>
      <c r="I867" s="73"/>
      <c r="J867" s="73"/>
      <c r="K867" s="73"/>
      <c r="L867" s="73"/>
      <c r="M867" s="73"/>
      <c r="N867" s="73"/>
      <c r="O867" s="73"/>
      <c r="P867" s="73"/>
      <c r="Q867" s="73"/>
      <c r="R867" s="73"/>
      <c r="S867" s="73"/>
      <c r="T867" s="73"/>
      <c r="U867" s="73"/>
      <c r="V867" s="73"/>
      <c r="W867" s="73"/>
      <c r="X867" s="73"/>
      <c r="Y867" s="73"/>
      <c r="Z867" s="73"/>
      <c r="AA867" s="73"/>
      <c r="AB867" s="73"/>
      <c r="AC867" s="73"/>
      <c r="AD867" s="73"/>
      <c r="AE867" s="73"/>
      <c r="AF867" s="73"/>
      <c r="AG867" s="73"/>
      <c r="AH867" s="73"/>
      <c r="AI867" s="73"/>
      <c r="AJ867" s="73"/>
      <c r="AK867" s="73"/>
      <c r="AL867" s="73"/>
      <c r="AM867" s="73"/>
      <c r="AN867" s="73"/>
      <c r="AO867" s="73"/>
      <c r="AP867" s="73"/>
      <c r="AQ867" s="73"/>
      <c r="AR867" s="73"/>
      <c r="AS867" s="73"/>
      <c r="AT867" s="73"/>
      <c r="AU867" s="73"/>
      <c r="AV867" s="73"/>
      <c r="AW867" s="73"/>
      <c r="AX867" s="73"/>
      <c r="AY867" s="73"/>
      <c r="AZ867" s="73"/>
      <c r="BA867" s="73"/>
      <c r="BB867" s="73"/>
    </row>
    <row r="868">
      <c r="A868" s="73"/>
      <c r="B868" s="73"/>
      <c r="C868" s="73"/>
      <c r="D868" s="73"/>
      <c r="E868" s="73"/>
      <c r="F868" s="73"/>
      <c r="G868" s="73"/>
      <c r="H868" s="73"/>
      <c r="I868" s="73"/>
      <c r="J868" s="73"/>
      <c r="K868" s="73"/>
      <c r="L868" s="73"/>
      <c r="M868" s="73"/>
      <c r="N868" s="73"/>
      <c r="O868" s="73"/>
      <c r="P868" s="73"/>
      <c r="Q868" s="73"/>
      <c r="R868" s="73"/>
      <c r="S868" s="73"/>
      <c r="T868" s="73"/>
      <c r="U868" s="73"/>
      <c r="V868" s="73"/>
      <c r="W868" s="73"/>
      <c r="X868" s="73"/>
      <c r="Y868" s="73"/>
      <c r="Z868" s="73"/>
      <c r="AA868" s="73"/>
      <c r="AB868" s="73"/>
      <c r="AC868" s="73"/>
      <c r="AD868" s="73"/>
      <c r="AE868" s="73"/>
      <c r="AF868" s="73"/>
      <c r="AG868" s="73"/>
      <c r="AH868" s="73"/>
      <c r="AI868" s="73"/>
      <c r="AJ868" s="73"/>
      <c r="AK868" s="73"/>
      <c r="AL868" s="73"/>
      <c r="AM868" s="73"/>
      <c r="AN868" s="73"/>
      <c r="AO868" s="73"/>
      <c r="AP868" s="73"/>
      <c r="AQ868" s="73"/>
      <c r="AR868" s="73"/>
      <c r="AS868" s="73"/>
      <c r="AT868" s="73"/>
      <c r="AU868" s="73"/>
      <c r="AV868" s="73"/>
      <c r="AW868" s="73"/>
      <c r="AX868" s="73"/>
      <c r="AY868" s="73"/>
      <c r="AZ868" s="73"/>
      <c r="BA868" s="73"/>
      <c r="BB868" s="73"/>
    </row>
    <row r="869">
      <c r="A869" s="73"/>
      <c r="B869" s="73"/>
      <c r="C869" s="73"/>
      <c r="D869" s="73"/>
      <c r="E869" s="73"/>
      <c r="F869" s="73"/>
      <c r="G869" s="73"/>
      <c r="H869" s="73"/>
      <c r="I869" s="73"/>
      <c r="J869" s="73"/>
      <c r="K869" s="73"/>
      <c r="L869" s="73"/>
      <c r="M869" s="73"/>
      <c r="N869" s="73"/>
      <c r="O869" s="73"/>
      <c r="P869" s="73"/>
      <c r="Q869" s="73"/>
      <c r="R869" s="73"/>
      <c r="S869" s="73"/>
      <c r="T869" s="73"/>
      <c r="U869" s="73"/>
      <c r="V869" s="73"/>
      <c r="W869" s="73"/>
      <c r="X869" s="73"/>
      <c r="Y869" s="73"/>
      <c r="Z869" s="73"/>
      <c r="AA869" s="73"/>
      <c r="AB869" s="73"/>
      <c r="AC869" s="73"/>
      <c r="AD869" s="73"/>
      <c r="AE869" s="73"/>
      <c r="AF869" s="73"/>
      <c r="AG869" s="73"/>
      <c r="AH869" s="73"/>
      <c r="AI869" s="73"/>
      <c r="AJ869" s="73"/>
      <c r="AK869" s="73"/>
      <c r="AL869" s="73"/>
      <c r="AM869" s="73"/>
      <c r="AN869" s="73"/>
      <c r="AO869" s="73"/>
      <c r="AP869" s="73"/>
      <c r="AQ869" s="73"/>
      <c r="AR869" s="73"/>
      <c r="AS869" s="73"/>
      <c r="AT869" s="73"/>
      <c r="AU869" s="73"/>
      <c r="AV869" s="73"/>
      <c r="AW869" s="73"/>
      <c r="AX869" s="73"/>
      <c r="AY869" s="73"/>
      <c r="AZ869" s="73"/>
      <c r="BA869" s="73"/>
      <c r="BB869" s="73"/>
    </row>
    <row r="870">
      <c r="A870" s="73"/>
      <c r="B870" s="73"/>
      <c r="C870" s="73"/>
      <c r="D870" s="73"/>
      <c r="E870" s="73"/>
      <c r="F870" s="73"/>
      <c r="G870" s="73"/>
      <c r="H870" s="73"/>
      <c r="I870" s="73"/>
      <c r="J870" s="73"/>
      <c r="K870" s="73"/>
      <c r="L870" s="73"/>
      <c r="M870" s="73"/>
      <c r="N870" s="73"/>
      <c r="O870" s="73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  <c r="AA870" s="73"/>
      <c r="AB870" s="73"/>
      <c r="AC870" s="73"/>
      <c r="AD870" s="73"/>
      <c r="AE870" s="73"/>
      <c r="AF870" s="73"/>
      <c r="AG870" s="73"/>
      <c r="AH870" s="73"/>
      <c r="AI870" s="73"/>
      <c r="AJ870" s="73"/>
      <c r="AK870" s="73"/>
      <c r="AL870" s="73"/>
      <c r="AM870" s="73"/>
      <c r="AN870" s="73"/>
      <c r="AO870" s="73"/>
      <c r="AP870" s="73"/>
      <c r="AQ870" s="73"/>
      <c r="AR870" s="73"/>
      <c r="AS870" s="73"/>
      <c r="AT870" s="73"/>
      <c r="AU870" s="73"/>
      <c r="AV870" s="73"/>
      <c r="AW870" s="73"/>
      <c r="AX870" s="73"/>
      <c r="AY870" s="73"/>
      <c r="AZ870" s="73"/>
      <c r="BA870" s="73"/>
      <c r="BB870" s="73"/>
    </row>
    <row r="871">
      <c r="A871" s="73"/>
      <c r="B871" s="73"/>
      <c r="C871" s="73"/>
      <c r="D871" s="73"/>
      <c r="E871" s="73"/>
      <c r="F871" s="73"/>
      <c r="G871" s="73"/>
      <c r="H871" s="73"/>
      <c r="I871" s="73"/>
      <c r="J871" s="73"/>
      <c r="K871" s="73"/>
      <c r="L871" s="73"/>
      <c r="M871" s="73"/>
      <c r="N871" s="73"/>
      <c r="O871" s="73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  <c r="AA871" s="73"/>
      <c r="AB871" s="73"/>
      <c r="AC871" s="73"/>
      <c r="AD871" s="73"/>
      <c r="AE871" s="73"/>
      <c r="AF871" s="73"/>
      <c r="AG871" s="73"/>
      <c r="AH871" s="73"/>
      <c r="AI871" s="73"/>
      <c r="AJ871" s="73"/>
      <c r="AK871" s="73"/>
      <c r="AL871" s="73"/>
      <c r="AM871" s="73"/>
      <c r="AN871" s="73"/>
      <c r="AO871" s="73"/>
      <c r="AP871" s="73"/>
      <c r="AQ871" s="73"/>
      <c r="AR871" s="73"/>
      <c r="AS871" s="73"/>
      <c r="AT871" s="73"/>
      <c r="AU871" s="73"/>
      <c r="AV871" s="73"/>
      <c r="AW871" s="73"/>
      <c r="AX871" s="73"/>
      <c r="AY871" s="73"/>
      <c r="AZ871" s="73"/>
      <c r="BA871" s="73"/>
      <c r="BB871" s="73"/>
    </row>
    <row r="872">
      <c r="A872" s="73"/>
      <c r="B872" s="73"/>
      <c r="C872" s="73"/>
      <c r="D872" s="73"/>
      <c r="E872" s="73"/>
      <c r="F872" s="73"/>
      <c r="G872" s="73"/>
      <c r="H872" s="73"/>
      <c r="I872" s="73"/>
      <c r="J872" s="73"/>
      <c r="K872" s="73"/>
      <c r="L872" s="73"/>
      <c r="M872" s="73"/>
      <c r="N872" s="73"/>
      <c r="O872" s="73"/>
      <c r="P872" s="73"/>
      <c r="Q872" s="73"/>
      <c r="R872" s="73"/>
      <c r="S872" s="73"/>
      <c r="T872" s="73"/>
      <c r="U872" s="73"/>
      <c r="V872" s="73"/>
      <c r="W872" s="73"/>
      <c r="X872" s="73"/>
      <c r="Y872" s="73"/>
      <c r="Z872" s="73"/>
      <c r="AA872" s="73"/>
      <c r="AB872" s="73"/>
      <c r="AC872" s="73"/>
      <c r="AD872" s="73"/>
      <c r="AE872" s="73"/>
      <c r="AF872" s="73"/>
      <c r="AG872" s="73"/>
      <c r="AH872" s="73"/>
      <c r="AI872" s="73"/>
      <c r="AJ872" s="73"/>
      <c r="AK872" s="73"/>
      <c r="AL872" s="73"/>
      <c r="AM872" s="73"/>
      <c r="AN872" s="73"/>
      <c r="AO872" s="73"/>
      <c r="AP872" s="73"/>
      <c r="AQ872" s="73"/>
      <c r="AR872" s="73"/>
      <c r="AS872" s="73"/>
      <c r="AT872" s="73"/>
      <c r="AU872" s="73"/>
      <c r="AV872" s="73"/>
      <c r="AW872" s="73"/>
      <c r="AX872" s="73"/>
      <c r="AY872" s="73"/>
      <c r="AZ872" s="73"/>
      <c r="BA872" s="73"/>
      <c r="BB872" s="73"/>
    </row>
    <row r="873">
      <c r="A873" s="73"/>
      <c r="B873" s="73"/>
      <c r="C873" s="73"/>
      <c r="D873" s="73"/>
      <c r="E873" s="73"/>
      <c r="F873" s="73"/>
      <c r="G873" s="73"/>
      <c r="H873" s="73"/>
      <c r="I873" s="73"/>
      <c r="J873" s="73"/>
      <c r="K873" s="73"/>
      <c r="L873" s="73"/>
      <c r="M873" s="73"/>
      <c r="N873" s="73"/>
      <c r="O873" s="73"/>
      <c r="P873" s="73"/>
      <c r="Q873" s="73"/>
      <c r="R873" s="73"/>
      <c r="S873" s="73"/>
      <c r="T873" s="73"/>
      <c r="U873" s="73"/>
      <c r="V873" s="73"/>
      <c r="W873" s="73"/>
      <c r="X873" s="73"/>
      <c r="Y873" s="73"/>
      <c r="Z873" s="73"/>
      <c r="AA873" s="73"/>
      <c r="AB873" s="73"/>
      <c r="AC873" s="73"/>
      <c r="AD873" s="73"/>
      <c r="AE873" s="73"/>
      <c r="AF873" s="73"/>
      <c r="AG873" s="73"/>
      <c r="AH873" s="73"/>
      <c r="AI873" s="73"/>
      <c r="AJ873" s="73"/>
      <c r="AK873" s="73"/>
      <c r="AL873" s="73"/>
      <c r="AM873" s="73"/>
      <c r="AN873" s="73"/>
      <c r="AO873" s="73"/>
      <c r="AP873" s="73"/>
      <c r="AQ873" s="73"/>
      <c r="AR873" s="73"/>
      <c r="AS873" s="73"/>
      <c r="AT873" s="73"/>
      <c r="AU873" s="73"/>
      <c r="AV873" s="73"/>
      <c r="AW873" s="73"/>
      <c r="AX873" s="73"/>
      <c r="AY873" s="73"/>
      <c r="AZ873" s="73"/>
      <c r="BA873" s="73"/>
      <c r="BB873" s="73"/>
    </row>
    <row r="874">
      <c r="A874" s="73"/>
      <c r="B874" s="73"/>
      <c r="C874" s="73"/>
      <c r="D874" s="73"/>
      <c r="E874" s="73"/>
      <c r="F874" s="73"/>
      <c r="G874" s="73"/>
      <c r="H874" s="73"/>
      <c r="I874" s="73"/>
      <c r="J874" s="73"/>
      <c r="K874" s="73"/>
      <c r="L874" s="73"/>
      <c r="M874" s="73"/>
      <c r="N874" s="73"/>
      <c r="O874" s="73"/>
      <c r="P874" s="73"/>
      <c r="Q874" s="73"/>
      <c r="R874" s="73"/>
      <c r="S874" s="73"/>
      <c r="T874" s="73"/>
      <c r="U874" s="73"/>
      <c r="V874" s="73"/>
      <c r="W874" s="73"/>
      <c r="X874" s="73"/>
      <c r="Y874" s="73"/>
      <c r="Z874" s="73"/>
      <c r="AA874" s="73"/>
      <c r="AB874" s="73"/>
      <c r="AC874" s="73"/>
      <c r="AD874" s="73"/>
      <c r="AE874" s="73"/>
      <c r="AF874" s="73"/>
      <c r="AG874" s="73"/>
      <c r="AH874" s="73"/>
      <c r="AI874" s="73"/>
      <c r="AJ874" s="73"/>
      <c r="AK874" s="73"/>
      <c r="AL874" s="73"/>
      <c r="AM874" s="73"/>
      <c r="AN874" s="73"/>
      <c r="AO874" s="73"/>
      <c r="AP874" s="73"/>
      <c r="AQ874" s="73"/>
      <c r="AR874" s="73"/>
      <c r="AS874" s="73"/>
      <c r="AT874" s="73"/>
      <c r="AU874" s="73"/>
      <c r="AV874" s="73"/>
      <c r="AW874" s="73"/>
      <c r="AX874" s="73"/>
      <c r="AY874" s="73"/>
      <c r="AZ874" s="73"/>
      <c r="BA874" s="73"/>
      <c r="BB874" s="73"/>
    </row>
    <row r="875">
      <c r="A875" s="73"/>
      <c r="B875" s="73"/>
      <c r="C875" s="73"/>
      <c r="D875" s="73"/>
      <c r="E875" s="73"/>
      <c r="F875" s="73"/>
      <c r="G875" s="73"/>
      <c r="H875" s="73"/>
      <c r="I875" s="73"/>
      <c r="J875" s="73"/>
      <c r="K875" s="73"/>
      <c r="L875" s="73"/>
      <c r="M875" s="73"/>
      <c r="N875" s="73"/>
      <c r="O875" s="73"/>
      <c r="P875" s="73"/>
      <c r="Q875" s="73"/>
      <c r="R875" s="73"/>
      <c r="S875" s="73"/>
      <c r="T875" s="73"/>
      <c r="U875" s="73"/>
      <c r="V875" s="73"/>
      <c r="W875" s="73"/>
      <c r="X875" s="73"/>
      <c r="Y875" s="73"/>
      <c r="Z875" s="73"/>
      <c r="AA875" s="73"/>
      <c r="AB875" s="73"/>
      <c r="AC875" s="73"/>
      <c r="AD875" s="73"/>
      <c r="AE875" s="73"/>
      <c r="AF875" s="73"/>
      <c r="AG875" s="73"/>
      <c r="AH875" s="73"/>
      <c r="AI875" s="73"/>
      <c r="AJ875" s="73"/>
      <c r="AK875" s="73"/>
      <c r="AL875" s="73"/>
      <c r="AM875" s="73"/>
      <c r="AN875" s="73"/>
      <c r="AO875" s="73"/>
      <c r="AP875" s="73"/>
      <c r="AQ875" s="73"/>
      <c r="AR875" s="73"/>
      <c r="AS875" s="73"/>
      <c r="AT875" s="73"/>
      <c r="AU875" s="73"/>
      <c r="AV875" s="73"/>
      <c r="AW875" s="73"/>
      <c r="AX875" s="73"/>
      <c r="AY875" s="73"/>
      <c r="AZ875" s="73"/>
      <c r="BA875" s="73"/>
      <c r="BB875" s="73"/>
    </row>
    <row r="876">
      <c r="A876" s="73"/>
      <c r="B876" s="73"/>
      <c r="C876" s="73"/>
      <c r="D876" s="73"/>
      <c r="E876" s="73"/>
      <c r="F876" s="73"/>
      <c r="G876" s="73"/>
      <c r="H876" s="73"/>
      <c r="I876" s="73"/>
      <c r="J876" s="73"/>
      <c r="K876" s="73"/>
      <c r="L876" s="73"/>
      <c r="M876" s="73"/>
      <c r="N876" s="73"/>
      <c r="O876" s="73"/>
      <c r="P876" s="73"/>
      <c r="Q876" s="73"/>
      <c r="R876" s="73"/>
      <c r="S876" s="73"/>
      <c r="T876" s="73"/>
      <c r="U876" s="73"/>
      <c r="V876" s="73"/>
      <c r="W876" s="73"/>
      <c r="X876" s="73"/>
      <c r="Y876" s="73"/>
      <c r="Z876" s="73"/>
      <c r="AA876" s="73"/>
      <c r="AB876" s="73"/>
      <c r="AC876" s="73"/>
      <c r="AD876" s="73"/>
      <c r="AE876" s="73"/>
      <c r="AF876" s="73"/>
      <c r="AG876" s="73"/>
      <c r="AH876" s="73"/>
      <c r="AI876" s="73"/>
      <c r="AJ876" s="73"/>
      <c r="AK876" s="73"/>
      <c r="AL876" s="73"/>
      <c r="AM876" s="73"/>
      <c r="AN876" s="73"/>
      <c r="AO876" s="73"/>
      <c r="AP876" s="73"/>
      <c r="AQ876" s="73"/>
      <c r="AR876" s="73"/>
      <c r="AS876" s="73"/>
      <c r="AT876" s="73"/>
      <c r="AU876" s="73"/>
      <c r="AV876" s="73"/>
      <c r="AW876" s="73"/>
      <c r="AX876" s="73"/>
      <c r="AY876" s="73"/>
      <c r="AZ876" s="73"/>
      <c r="BA876" s="73"/>
      <c r="BB876" s="73"/>
    </row>
    <row r="877">
      <c r="A877" s="73"/>
      <c r="B877" s="73"/>
      <c r="C877" s="73"/>
      <c r="D877" s="73"/>
      <c r="E877" s="73"/>
      <c r="F877" s="73"/>
      <c r="G877" s="73"/>
      <c r="H877" s="73"/>
      <c r="I877" s="73"/>
      <c r="J877" s="73"/>
      <c r="K877" s="73"/>
      <c r="L877" s="73"/>
      <c r="M877" s="73"/>
      <c r="N877" s="73"/>
      <c r="O877" s="73"/>
      <c r="P877" s="73"/>
      <c r="Q877" s="73"/>
      <c r="R877" s="73"/>
      <c r="S877" s="73"/>
      <c r="T877" s="73"/>
      <c r="U877" s="73"/>
      <c r="V877" s="73"/>
      <c r="W877" s="73"/>
      <c r="X877" s="73"/>
      <c r="Y877" s="73"/>
      <c r="Z877" s="73"/>
      <c r="AA877" s="73"/>
      <c r="AB877" s="73"/>
      <c r="AC877" s="73"/>
      <c r="AD877" s="73"/>
      <c r="AE877" s="73"/>
      <c r="AF877" s="73"/>
      <c r="AG877" s="73"/>
      <c r="AH877" s="73"/>
      <c r="AI877" s="73"/>
      <c r="AJ877" s="73"/>
      <c r="AK877" s="73"/>
      <c r="AL877" s="73"/>
      <c r="AM877" s="73"/>
      <c r="AN877" s="73"/>
      <c r="AO877" s="73"/>
      <c r="AP877" s="73"/>
      <c r="AQ877" s="73"/>
      <c r="AR877" s="73"/>
      <c r="AS877" s="73"/>
      <c r="AT877" s="73"/>
      <c r="AU877" s="73"/>
      <c r="AV877" s="73"/>
      <c r="AW877" s="73"/>
      <c r="AX877" s="73"/>
      <c r="AY877" s="73"/>
      <c r="AZ877" s="73"/>
      <c r="BA877" s="73"/>
      <c r="BB877" s="73"/>
    </row>
    <row r="878">
      <c r="A878" s="73"/>
      <c r="B878" s="73"/>
      <c r="C878" s="73"/>
      <c r="D878" s="73"/>
      <c r="E878" s="73"/>
      <c r="F878" s="73"/>
      <c r="G878" s="73"/>
      <c r="H878" s="73"/>
      <c r="I878" s="73"/>
      <c r="J878" s="73"/>
      <c r="K878" s="73"/>
      <c r="L878" s="73"/>
      <c r="M878" s="73"/>
      <c r="N878" s="73"/>
      <c r="O878" s="73"/>
      <c r="P878" s="73"/>
      <c r="Q878" s="73"/>
      <c r="R878" s="73"/>
      <c r="S878" s="73"/>
      <c r="T878" s="73"/>
      <c r="U878" s="73"/>
      <c r="V878" s="73"/>
      <c r="W878" s="73"/>
      <c r="X878" s="73"/>
      <c r="Y878" s="73"/>
      <c r="Z878" s="73"/>
      <c r="AA878" s="73"/>
      <c r="AB878" s="73"/>
      <c r="AC878" s="73"/>
      <c r="AD878" s="73"/>
      <c r="AE878" s="73"/>
      <c r="AF878" s="73"/>
      <c r="AG878" s="73"/>
      <c r="AH878" s="73"/>
      <c r="AI878" s="73"/>
      <c r="AJ878" s="73"/>
      <c r="AK878" s="73"/>
      <c r="AL878" s="73"/>
      <c r="AM878" s="73"/>
      <c r="AN878" s="73"/>
      <c r="AO878" s="73"/>
      <c r="AP878" s="73"/>
      <c r="AQ878" s="73"/>
      <c r="AR878" s="73"/>
      <c r="AS878" s="73"/>
      <c r="AT878" s="73"/>
      <c r="AU878" s="73"/>
      <c r="AV878" s="73"/>
      <c r="AW878" s="73"/>
      <c r="AX878" s="73"/>
      <c r="AY878" s="73"/>
      <c r="AZ878" s="73"/>
      <c r="BA878" s="73"/>
      <c r="BB878" s="73"/>
    </row>
    <row r="879">
      <c r="A879" s="73"/>
      <c r="B879" s="73"/>
      <c r="C879" s="73"/>
      <c r="D879" s="73"/>
      <c r="E879" s="73"/>
      <c r="F879" s="73"/>
      <c r="G879" s="73"/>
      <c r="H879" s="73"/>
      <c r="I879" s="73"/>
      <c r="J879" s="73"/>
      <c r="K879" s="73"/>
      <c r="L879" s="73"/>
      <c r="M879" s="73"/>
      <c r="N879" s="73"/>
      <c r="O879" s="73"/>
      <c r="P879" s="73"/>
      <c r="Q879" s="73"/>
      <c r="R879" s="73"/>
      <c r="S879" s="73"/>
      <c r="T879" s="73"/>
      <c r="U879" s="73"/>
      <c r="V879" s="73"/>
      <c r="W879" s="73"/>
      <c r="X879" s="73"/>
      <c r="Y879" s="73"/>
      <c r="Z879" s="73"/>
      <c r="AA879" s="73"/>
      <c r="AB879" s="73"/>
      <c r="AC879" s="73"/>
      <c r="AD879" s="73"/>
      <c r="AE879" s="73"/>
      <c r="AF879" s="73"/>
      <c r="AG879" s="73"/>
      <c r="AH879" s="73"/>
      <c r="AI879" s="73"/>
      <c r="AJ879" s="73"/>
      <c r="AK879" s="73"/>
      <c r="AL879" s="73"/>
      <c r="AM879" s="73"/>
      <c r="AN879" s="73"/>
      <c r="AO879" s="73"/>
      <c r="AP879" s="73"/>
      <c r="AQ879" s="73"/>
      <c r="AR879" s="73"/>
      <c r="AS879" s="73"/>
      <c r="AT879" s="73"/>
      <c r="AU879" s="73"/>
      <c r="AV879" s="73"/>
      <c r="AW879" s="73"/>
      <c r="AX879" s="73"/>
      <c r="AY879" s="73"/>
      <c r="AZ879" s="73"/>
      <c r="BA879" s="73"/>
      <c r="BB879" s="73"/>
    </row>
    <row r="880">
      <c r="A880" s="73"/>
      <c r="B880" s="73"/>
      <c r="C880" s="73"/>
      <c r="D880" s="73"/>
      <c r="E880" s="73"/>
      <c r="F880" s="73"/>
      <c r="G880" s="73"/>
      <c r="H880" s="73"/>
      <c r="I880" s="73"/>
      <c r="J880" s="73"/>
      <c r="K880" s="73"/>
      <c r="L880" s="73"/>
      <c r="M880" s="73"/>
      <c r="N880" s="73"/>
      <c r="O880" s="73"/>
      <c r="P880" s="73"/>
      <c r="Q880" s="73"/>
      <c r="R880" s="73"/>
      <c r="S880" s="73"/>
      <c r="T880" s="73"/>
      <c r="U880" s="73"/>
      <c r="V880" s="73"/>
      <c r="W880" s="73"/>
      <c r="X880" s="73"/>
      <c r="Y880" s="73"/>
      <c r="Z880" s="73"/>
      <c r="AA880" s="73"/>
      <c r="AB880" s="73"/>
      <c r="AC880" s="73"/>
      <c r="AD880" s="73"/>
      <c r="AE880" s="73"/>
      <c r="AF880" s="73"/>
      <c r="AG880" s="73"/>
      <c r="AH880" s="73"/>
      <c r="AI880" s="73"/>
      <c r="AJ880" s="73"/>
      <c r="AK880" s="73"/>
      <c r="AL880" s="73"/>
      <c r="AM880" s="73"/>
      <c r="AN880" s="73"/>
      <c r="AO880" s="73"/>
      <c r="AP880" s="73"/>
      <c r="AQ880" s="73"/>
      <c r="AR880" s="73"/>
      <c r="AS880" s="73"/>
      <c r="AT880" s="73"/>
      <c r="AU880" s="73"/>
      <c r="AV880" s="73"/>
      <c r="AW880" s="73"/>
      <c r="AX880" s="73"/>
      <c r="AY880" s="73"/>
      <c r="AZ880" s="73"/>
      <c r="BA880" s="73"/>
      <c r="BB880" s="73"/>
    </row>
    <row r="881">
      <c r="A881" s="73"/>
      <c r="B881" s="73"/>
      <c r="C881" s="73"/>
      <c r="D881" s="73"/>
      <c r="E881" s="73"/>
      <c r="F881" s="73"/>
      <c r="G881" s="73"/>
      <c r="H881" s="73"/>
      <c r="I881" s="73"/>
      <c r="J881" s="73"/>
      <c r="K881" s="73"/>
      <c r="L881" s="73"/>
      <c r="M881" s="73"/>
      <c r="N881" s="73"/>
      <c r="O881" s="73"/>
      <c r="P881" s="73"/>
      <c r="Q881" s="73"/>
      <c r="R881" s="73"/>
      <c r="S881" s="73"/>
      <c r="T881" s="73"/>
      <c r="U881" s="73"/>
      <c r="V881" s="73"/>
      <c r="W881" s="73"/>
      <c r="X881" s="73"/>
      <c r="Y881" s="73"/>
      <c r="Z881" s="73"/>
      <c r="AA881" s="73"/>
      <c r="AB881" s="73"/>
      <c r="AC881" s="73"/>
      <c r="AD881" s="73"/>
      <c r="AE881" s="73"/>
      <c r="AF881" s="73"/>
      <c r="AG881" s="73"/>
      <c r="AH881" s="73"/>
      <c r="AI881" s="73"/>
      <c r="AJ881" s="73"/>
      <c r="AK881" s="73"/>
      <c r="AL881" s="73"/>
      <c r="AM881" s="73"/>
      <c r="AN881" s="73"/>
      <c r="AO881" s="73"/>
      <c r="AP881" s="73"/>
      <c r="AQ881" s="73"/>
      <c r="AR881" s="73"/>
      <c r="AS881" s="73"/>
      <c r="AT881" s="73"/>
      <c r="AU881" s="73"/>
      <c r="AV881" s="73"/>
      <c r="AW881" s="73"/>
      <c r="AX881" s="73"/>
      <c r="AY881" s="73"/>
      <c r="AZ881" s="73"/>
      <c r="BA881" s="73"/>
      <c r="BB881" s="73"/>
    </row>
    <row r="882">
      <c r="A882" s="73"/>
      <c r="B882" s="73"/>
      <c r="C882" s="73"/>
      <c r="D882" s="73"/>
      <c r="E882" s="73"/>
      <c r="F882" s="73"/>
      <c r="G882" s="73"/>
      <c r="H882" s="73"/>
      <c r="I882" s="73"/>
      <c r="J882" s="73"/>
      <c r="K882" s="73"/>
      <c r="L882" s="73"/>
      <c r="M882" s="73"/>
      <c r="N882" s="73"/>
      <c r="O882" s="73"/>
      <c r="P882" s="73"/>
      <c r="Q882" s="73"/>
      <c r="R882" s="73"/>
      <c r="S882" s="73"/>
      <c r="T882" s="73"/>
      <c r="U882" s="73"/>
      <c r="V882" s="73"/>
      <c r="W882" s="73"/>
      <c r="X882" s="73"/>
      <c r="Y882" s="73"/>
      <c r="Z882" s="73"/>
      <c r="AA882" s="73"/>
      <c r="AB882" s="73"/>
      <c r="AC882" s="73"/>
      <c r="AD882" s="73"/>
      <c r="AE882" s="73"/>
      <c r="AF882" s="73"/>
      <c r="AG882" s="73"/>
      <c r="AH882" s="73"/>
      <c r="AI882" s="73"/>
      <c r="AJ882" s="73"/>
      <c r="AK882" s="73"/>
      <c r="AL882" s="73"/>
      <c r="AM882" s="73"/>
      <c r="AN882" s="73"/>
      <c r="AO882" s="73"/>
      <c r="AP882" s="73"/>
      <c r="AQ882" s="73"/>
      <c r="AR882" s="73"/>
      <c r="AS882" s="73"/>
      <c r="AT882" s="73"/>
      <c r="AU882" s="73"/>
      <c r="AV882" s="73"/>
      <c r="AW882" s="73"/>
      <c r="AX882" s="73"/>
      <c r="AY882" s="73"/>
      <c r="AZ882" s="73"/>
      <c r="BA882" s="73"/>
      <c r="BB882" s="73"/>
    </row>
    <row r="883">
      <c r="A883" s="73"/>
      <c r="B883" s="73"/>
      <c r="C883" s="73"/>
      <c r="D883" s="73"/>
      <c r="E883" s="73"/>
      <c r="F883" s="73"/>
      <c r="G883" s="73"/>
      <c r="H883" s="73"/>
      <c r="I883" s="73"/>
      <c r="J883" s="73"/>
      <c r="K883" s="73"/>
      <c r="L883" s="73"/>
      <c r="M883" s="73"/>
      <c r="N883" s="73"/>
      <c r="O883" s="73"/>
      <c r="P883" s="73"/>
      <c r="Q883" s="73"/>
      <c r="R883" s="73"/>
      <c r="S883" s="73"/>
      <c r="T883" s="73"/>
      <c r="U883" s="73"/>
      <c r="V883" s="73"/>
      <c r="W883" s="73"/>
      <c r="X883" s="73"/>
      <c r="Y883" s="73"/>
      <c r="Z883" s="73"/>
      <c r="AA883" s="73"/>
      <c r="AB883" s="73"/>
      <c r="AC883" s="73"/>
      <c r="AD883" s="73"/>
      <c r="AE883" s="73"/>
      <c r="AF883" s="73"/>
      <c r="AG883" s="73"/>
      <c r="AH883" s="73"/>
      <c r="AI883" s="73"/>
      <c r="AJ883" s="73"/>
      <c r="AK883" s="73"/>
      <c r="AL883" s="73"/>
      <c r="AM883" s="73"/>
      <c r="AN883" s="73"/>
      <c r="AO883" s="73"/>
      <c r="AP883" s="73"/>
      <c r="AQ883" s="73"/>
      <c r="AR883" s="73"/>
      <c r="AS883" s="73"/>
      <c r="AT883" s="73"/>
      <c r="AU883" s="73"/>
      <c r="AV883" s="73"/>
      <c r="AW883" s="73"/>
      <c r="AX883" s="73"/>
      <c r="AY883" s="73"/>
      <c r="AZ883" s="73"/>
      <c r="BA883" s="73"/>
      <c r="BB883" s="73"/>
    </row>
    <row r="884">
      <c r="A884" s="73"/>
      <c r="B884" s="73"/>
      <c r="C884" s="73"/>
      <c r="D884" s="73"/>
      <c r="E884" s="73"/>
      <c r="F884" s="73"/>
      <c r="G884" s="73"/>
      <c r="H884" s="73"/>
      <c r="I884" s="73"/>
      <c r="J884" s="73"/>
      <c r="K884" s="73"/>
      <c r="L884" s="73"/>
      <c r="M884" s="73"/>
      <c r="N884" s="73"/>
      <c r="O884" s="73"/>
      <c r="P884" s="73"/>
      <c r="Q884" s="73"/>
      <c r="R884" s="73"/>
      <c r="S884" s="73"/>
      <c r="T884" s="73"/>
      <c r="U884" s="73"/>
      <c r="V884" s="73"/>
      <c r="W884" s="73"/>
      <c r="X884" s="73"/>
      <c r="Y884" s="73"/>
      <c r="Z884" s="73"/>
      <c r="AA884" s="73"/>
      <c r="AB884" s="73"/>
      <c r="AC884" s="73"/>
      <c r="AD884" s="73"/>
      <c r="AE884" s="73"/>
      <c r="AF884" s="73"/>
      <c r="AG884" s="73"/>
      <c r="AH884" s="73"/>
      <c r="AI884" s="73"/>
      <c r="AJ884" s="73"/>
      <c r="AK884" s="73"/>
      <c r="AL884" s="73"/>
      <c r="AM884" s="73"/>
      <c r="AN884" s="73"/>
      <c r="AO884" s="73"/>
      <c r="AP884" s="73"/>
      <c r="AQ884" s="73"/>
      <c r="AR884" s="73"/>
      <c r="AS884" s="73"/>
      <c r="AT884" s="73"/>
      <c r="AU884" s="73"/>
      <c r="AV884" s="73"/>
      <c r="AW884" s="73"/>
      <c r="AX884" s="73"/>
      <c r="AY884" s="73"/>
      <c r="AZ884" s="73"/>
      <c r="BA884" s="73"/>
      <c r="BB884" s="73"/>
    </row>
    <row r="885">
      <c r="A885" s="73"/>
      <c r="B885" s="73"/>
      <c r="C885" s="73"/>
      <c r="D885" s="73"/>
      <c r="E885" s="73"/>
      <c r="F885" s="73"/>
      <c r="G885" s="73"/>
      <c r="H885" s="73"/>
      <c r="I885" s="73"/>
      <c r="J885" s="73"/>
      <c r="K885" s="73"/>
      <c r="L885" s="73"/>
      <c r="M885" s="73"/>
      <c r="N885" s="73"/>
      <c r="O885" s="73"/>
      <c r="P885" s="73"/>
      <c r="Q885" s="73"/>
      <c r="R885" s="73"/>
      <c r="S885" s="73"/>
      <c r="T885" s="73"/>
      <c r="U885" s="73"/>
      <c r="V885" s="73"/>
      <c r="W885" s="73"/>
      <c r="X885" s="73"/>
      <c r="Y885" s="73"/>
      <c r="Z885" s="73"/>
      <c r="AA885" s="73"/>
      <c r="AB885" s="73"/>
      <c r="AC885" s="73"/>
      <c r="AD885" s="73"/>
      <c r="AE885" s="73"/>
      <c r="AF885" s="73"/>
      <c r="AG885" s="73"/>
      <c r="AH885" s="73"/>
      <c r="AI885" s="73"/>
      <c r="AJ885" s="73"/>
      <c r="AK885" s="73"/>
      <c r="AL885" s="73"/>
      <c r="AM885" s="73"/>
      <c r="AN885" s="73"/>
      <c r="AO885" s="73"/>
      <c r="AP885" s="73"/>
      <c r="AQ885" s="73"/>
      <c r="AR885" s="73"/>
      <c r="AS885" s="73"/>
      <c r="AT885" s="73"/>
      <c r="AU885" s="73"/>
      <c r="AV885" s="73"/>
      <c r="AW885" s="73"/>
      <c r="AX885" s="73"/>
      <c r="AY885" s="73"/>
      <c r="AZ885" s="73"/>
      <c r="BA885" s="73"/>
      <c r="BB885" s="73"/>
    </row>
    <row r="886">
      <c r="A886" s="73"/>
      <c r="B886" s="73"/>
      <c r="C886" s="73"/>
      <c r="D886" s="73"/>
      <c r="E886" s="73"/>
      <c r="F886" s="73"/>
      <c r="G886" s="73"/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73"/>
      <c r="U886" s="73"/>
      <c r="V886" s="73"/>
      <c r="W886" s="73"/>
      <c r="X886" s="73"/>
      <c r="Y886" s="73"/>
      <c r="Z886" s="73"/>
      <c r="AA886" s="73"/>
      <c r="AB886" s="73"/>
      <c r="AC886" s="73"/>
      <c r="AD886" s="73"/>
      <c r="AE886" s="73"/>
      <c r="AF886" s="73"/>
      <c r="AG886" s="73"/>
      <c r="AH886" s="73"/>
      <c r="AI886" s="73"/>
      <c r="AJ886" s="73"/>
      <c r="AK886" s="73"/>
      <c r="AL886" s="73"/>
      <c r="AM886" s="73"/>
      <c r="AN886" s="73"/>
      <c r="AO886" s="73"/>
      <c r="AP886" s="73"/>
      <c r="AQ886" s="73"/>
      <c r="AR886" s="73"/>
      <c r="AS886" s="73"/>
      <c r="AT886" s="73"/>
      <c r="AU886" s="73"/>
      <c r="AV886" s="73"/>
      <c r="AW886" s="73"/>
      <c r="AX886" s="73"/>
      <c r="AY886" s="73"/>
      <c r="AZ886" s="73"/>
      <c r="BA886" s="73"/>
      <c r="BB886" s="73"/>
    </row>
    <row r="887">
      <c r="A887" s="73"/>
      <c r="B887" s="73"/>
      <c r="C887" s="73"/>
      <c r="D887" s="73"/>
      <c r="E887" s="73"/>
      <c r="F887" s="73"/>
      <c r="G887" s="73"/>
      <c r="H887" s="73"/>
      <c r="I887" s="73"/>
      <c r="J887" s="73"/>
      <c r="K887" s="73"/>
      <c r="L887" s="73"/>
      <c r="M887" s="73"/>
      <c r="N887" s="73"/>
      <c r="O887" s="73"/>
      <c r="P887" s="73"/>
      <c r="Q887" s="73"/>
      <c r="R887" s="73"/>
      <c r="S887" s="73"/>
      <c r="T887" s="73"/>
      <c r="U887" s="73"/>
      <c r="V887" s="73"/>
      <c r="W887" s="73"/>
      <c r="X887" s="73"/>
      <c r="Y887" s="73"/>
      <c r="Z887" s="73"/>
      <c r="AA887" s="73"/>
      <c r="AB887" s="73"/>
      <c r="AC887" s="73"/>
      <c r="AD887" s="73"/>
      <c r="AE887" s="73"/>
      <c r="AF887" s="73"/>
      <c r="AG887" s="73"/>
      <c r="AH887" s="73"/>
      <c r="AI887" s="73"/>
      <c r="AJ887" s="73"/>
      <c r="AK887" s="73"/>
      <c r="AL887" s="73"/>
      <c r="AM887" s="73"/>
      <c r="AN887" s="73"/>
      <c r="AO887" s="73"/>
      <c r="AP887" s="73"/>
      <c r="AQ887" s="73"/>
      <c r="AR887" s="73"/>
      <c r="AS887" s="73"/>
      <c r="AT887" s="73"/>
      <c r="AU887" s="73"/>
      <c r="AV887" s="73"/>
      <c r="AW887" s="73"/>
      <c r="AX887" s="73"/>
      <c r="AY887" s="73"/>
      <c r="AZ887" s="73"/>
      <c r="BA887" s="73"/>
      <c r="BB887" s="73"/>
    </row>
    <row r="888">
      <c r="A888" s="73"/>
      <c r="B888" s="73"/>
      <c r="C888" s="73"/>
      <c r="D888" s="73"/>
      <c r="E888" s="73"/>
      <c r="F888" s="73"/>
      <c r="G888" s="73"/>
      <c r="H888" s="73"/>
      <c r="I888" s="73"/>
      <c r="J888" s="73"/>
      <c r="K888" s="73"/>
      <c r="L888" s="73"/>
      <c r="M888" s="73"/>
      <c r="N888" s="73"/>
      <c r="O888" s="73"/>
      <c r="P888" s="73"/>
      <c r="Q888" s="73"/>
      <c r="R888" s="73"/>
      <c r="S888" s="73"/>
      <c r="T888" s="73"/>
      <c r="U888" s="73"/>
      <c r="V888" s="73"/>
      <c r="W888" s="73"/>
      <c r="X888" s="73"/>
      <c r="Y888" s="73"/>
      <c r="Z888" s="73"/>
      <c r="AA888" s="73"/>
      <c r="AB888" s="73"/>
      <c r="AC888" s="73"/>
      <c r="AD888" s="73"/>
      <c r="AE888" s="73"/>
      <c r="AF888" s="73"/>
      <c r="AG888" s="73"/>
      <c r="AH888" s="73"/>
      <c r="AI888" s="73"/>
      <c r="AJ888" s="73"/>
      <c r="AK888" s="73"/>
      <c r="AL888" s="73"/>
      <c r="AM888" s="73"/>
      <c r="AN888" s="73"/>
      <c r="AO888" s="73"/>
      <c r="AP888" s="73"/>
      <c r="AQ888" s="73"/>
      <c r="AR888" s="73"/>
      <c r="AS888" s="73"/>
      <c r="AT888" s="73"/>
      <c r="AU888" s="73"/>
      <c r="AV888" s="73"/>
      <c r="AW888" s="73"/>
      <c r="AX888" s="73"/>
      <c r="AY888" s="73"/>
      <c r="AZ888" s="73"/>
      <c r="BA888" s="73"/>
      <c r="BB888" s="73"/>
    </row>
    <row r="889">
      <c r="A889" s="73"/>
      <c r="B889" s="73"/>
      <c r="C889" s="73"/>
      <c r="D889" s="73"/>
      <c r="E889" s="73"/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3"/>
      <c r="Z889" s="73"/>
      <c r="AA889" s="73"/>
      <c r="AB889" s="73"/>
      <c r="AC889" s="73"/>
      <c r="AD889" s="73"/>
      <c r="AE889" s="73"/>
      <c r="AF889" s="73"/>
      <c r="AG889" s="73"/>
      <c r="AH889" s="73"/>
      <c r="AI889" s="73"/>
      <c r="AJ889" s="73"/>
      <c r="AK889" s="73"/>
      <c r="AL889" s="73"/>
      <c r="AM889" s="73"/>
      <c r="AN889" s="73"/>
      <c r="AO889" s="73"/>
      <c r="AP889" s="73"/>
      <c r="AQ889" s="73"/>
      <c r="AR889" s="73"/>
      <c r="AS889" s="73"/>
      <c r="AT889" s="73"/>
      <c r="AU889" s="73"/>
      <c r="AV889" s="73"/>
      <c r="AW889" s="73"/>
      <c r="AX889" s="73"/>
      <c r="AY889" s="73"/>
      <c r="AZ889" s="73"/>
      <c r="BA889" s="73"/>
      <c r="BB889" s="73"/>
    </row>
    <row r="890">
      <c r="A890" s="73"/>
      <c r="B890" s="73"/>
      <c r="C890" s="73"/>
      <c r="D890" s="73"/>
      <c r="E890" s="73"/>
      <c r="F890" s="73"/>
      <c r="G890" s="73"/>
      <c r="H890" s="73"/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  <c r="AA890" s="73"/>
      <c r="AB890" s="73"/>
      <c r="AC890" s="73"/>
      <c r="AD890" s="73"/>
      <c r="AE890" s="73"/>
      <c r="AF890" s="73"/>
      <c r="AG890" s="73"/>
      <c r="AH890" s="73"/>
      <c r="AI890" s="73"/>
      <c r="AJ890" s="73"/>
      <c r="AK890" s="73"/>
      <c r="AL890" s="73"/>
      <c r="AM890" s="73"/>
      <c r="AN890" s="73"/>
      <c r="AO890" s="73"/>
      <c r="AP890" s="73"/>
      <c r="AQ890" s="73"/>
      <c r="AR890" s="73"/>
      <c r="AS890" s="73"/>
      <c r="AT890" s="73"/>
      <c r="AU890" s="73"/>
      <c r="AV890" s="73"/>
      <c r="AW890" s="73"/>
      <c r="AX890" s="73"/>
      <c r="AY890" s="73"/>
      <c r="AZ890" s="73"/>
      <c r="BA890" s="73"/>
      <c r="BB890" s="73"/>
    </row>
    <row r="891">
      <c r="A891" s="73"/>
      <c r="B891" s="73"/>
      <c r="C891" s="73"/>
      <c r="D891" s="73"/>
      <c r="E891" s="73"/>
      <c r="F891" s="73"/>
      <c r="G891" s="73"/>
      <c r="H891" s="73"/>
      <c r="I891" s="73"/>
      <c r="J891" s="73"/>
      <c r="K891" s="73"/>
      <c r="L891" s="73"/>
      <c r="M891" s="73"/>
      <c r="N891" s="73"/>
      <c r="O891" s="73"/>
      <c r="P891" s="73"/>
      <c r="Q891" s="73"/>
      <c r="R891" s="73"/>
      <c r="S891" s="73"/>
      <c r="T891" s="73"/>
      <c r="U891" s="73"/>
      <c r="V891" s="73"/>
      <c r="W891" s="73"/>
      <c r="X891" s="73"/>
      <c r="Y891" s="73"/>
      <c r="Z891" s="73"/>
      <c r="AA891" s="73"/>
      <c r="AB891" s="73"/>
      <c r="AC891" s="73"/>
      <c r="AD891" s="73"/>
      <c r="AE891" s="73"/>
      <c r="AF891" s="73"/>
      <c r="AG891" s="73"/>
      <c r="AH891" s="73"/>
      <c r="AI891" s="73"/>
      <c r="AJ891" s="73"/>
      <c r="AK891" s="73"/>
      <c r="AL891" s="73"/>
      <c r="AM891" s="73"/>
      <c r="AN891" s="73"/>
      <c r="AO891" s="73"/>
      <c r="AP891" s="73"/>
      <c r="AQ891" s="73"/>
      <c r="AR891" s="73"/>
      <c r="AS891" s="73"/>
      <c r="AT891" s="73"/>
      <c r="AU891" s="73"/>
      <c r="AV891" s="73"/>
      <c r="AW891" s="73"/>
      <c r="AX891" s="73"/>
      <c r="AY891" s="73"/>
      <c r="AZ891" s="73"/>
      <c r="BA891" s="73"/>
      <c r="BB891" s="73"/>
    </row>
    <row r="892">
      <c r="A892" s="73"/>
      <c r="B892" s="73"/>
      <c r="C892" s="73"/>
      <c r="D892" s="73"/>
      <c r="E892" s="73"/>
      <c r="F892" s="73"/>
      <c r="G892" s="73"/>
      <c r="H892" s="73"/>
      <c r="I892" s="73"/>
      <c r="J892" s="73"/>
      <c r="K892" s="73"/>
      <c r="L892" s="73"/>
      <c r="M892" s="73"/>
      <c r="N892" s="73"/>
      <c r="O892" s="73"/>
      <c r="P892" s="73"/>
      <c r="Q892" s="73"/>
      <c r="R892" s="73"/>
      <c r="S892" s="73"/>
      <c r="T892" s="73"/>
      <c r="U892" s="73"/>
      <c r="V892" s="73"/>
      <c r="W892" s="73"/>
      <c r="X892" s="73"/>
      <c r="Y892" s="73"/>
      <c r="Z892" s="73"/>
      <c r="AA892" s="73"/>
      <c r="AB892" s="73"/>
      <c r="AC892" s="73"/>
      <c r="AD892" s="73"/>
      <c r="AE892" s="73"/>
      <c r="AF892" s="73"/>
      <c r="AG892" s="73"/>
      <c r="AH892" s="73"/>
      <c r="AI892" s="73"/>
      <c r="AJ892" s="73"/>
      <c r="AK892" s="73"/>
      <c r="AL892" s="73"/>
      <c r="AM892" s="73"/>
      <c r="AN892" s="73"/>
      <c r="AO892" s="73"/>
      <c r="AP892" s="73"/>
      <c r="AQ892" s="73"/>
      <c r="AR892" s="73"/>
      <c r="AS892" s="73"/>
      <c r="AT892" s="73"/>
      <c r="AU892" s="73"/>
      <c r="AV892" s="73"/>
      <c r="AW892" s="73"/>
      <c r="AX892" s="73"/>
      <c r="AY892" s="73"/>
      <c r="AZ892" s="73"/>
      <c r="BA892" s="73"/>
      <c r="BB892" s="73"/>
    </row>
    <row r="893">
      <c r="A893" s="73"/>
      <c r="B893" s="73"/>
      <c r="C893" s="73"/>
      <c r="D893" s="73"/>
      <c r="E893" s="73"/>
      <c r="F893" s="73"/>
      <c r="G893" s="73"/>
      <c r="H893" s="73"/>
      <c r="I893" s="73"/>
      <c r="J893" s="73"/>
      <c r="K893" s="73"/>
      <c r="L893" s="73"/>
      <c r="M893" s="73"/>
      <c r="N893" s="73"/>
      <c r="O893" s="73"/>
      <c r="P893" s="73"/>
      <c r="Q893" s="73"/>
      <c r="R893" s="73"/>
      <c r="S893" s="73"/>
      <c r="T893" s="73"/>
      <c r="U893" s="73"/>
      <c r="V893" s="73"/>
      <c r="W893" s="73"/>
      <c r="X893" s="73"/>
      <c r="Y893" s="73"/>
      <c r="Z893" s="73"/>
      <c r="AA893" s="73"/>
      <c r="AB893" s="73"/>
      <c r="AC893" s="73"/>
      <c r="AD893" s="73"/>
      <c r="AE893" s="73"/>
      <c r="AF893" s="73"/>
      <c r="AG893" s="73"/>
      <c r="AH893" s="73"/>
      <c r="AI893" s="73"/>
      <c r="AJ893" s="73"/>
      <c r="AK893" s="73"/>
      <c r="AL893" s="73"/>
      <c r="AM893" s="73"/>
      <c r="AN893" s="73"/>
      <c r="AO893" s="73"/>
      <c r="AP893" s="73"/>
      <c r="AQ893" s="73"/>
      <c r="AR893" s="73"/>
      <c r="AS893" s="73"/>
      <c r="AT893" s="73"/>
      <c r="AU893" s="73"/>
      <c r="AV893" s="73"/>
      <c r="AW893" s="73"/>
      <c r="AX893" s="73"/>
      <c r="AY893" s="73"/>
      <c r="AZ893" s="73"/>
      <c r="BA893" s="73"/>
      <c r="BB893" s="73"/>
    </row>
    <row r="894">
      <c r="A894" s="73"/>
      <c r="B894" s="73"/>
      <c r="C894" s="73"/>
      <c r="D894" s="73"/>
      <c r="E894" s="73"/>
      <c r="F894" s="73"/>
      <c r="G894" s="73"/>
      <c r="H894" s="73"/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3"/>
      <c r="Z894" s="73"/>
      <c r="AA894" s="73"/>
      <c r="AB894" s="73"/>
      <c r="AC894" s="73"/>
      <c r="AD894" s="73"/>
      <c r="AE894" s="73"/>
      <c r="AF894" s="73"/>
      <c r="AG894" s="73"/>
      <c r="AH894" s="73"/>
      <c r="AI894" s="73"/>
      <c r="AJ894" s="73"/>
      <c r="AK894" s="73"/>
      <c r="AL894" s="73"/>
      <c r="AM894" s="73"/>
      <c r="AN894" s="73"/>
      <c r="AO894" s="73"/>
      <c r="AP894" s="73"/>
      <c r="AQ894" s="73"/>
      <c r="AR894" s="73"/>
      <c r="AS894" s="73"/>
      <c r="AT894" s="73"/>
      <c r="AU894" s="73"/>
      <c r="AV894" s="73"/>
      <c r="AW894" s="73"/>
      <c r="AX894" s="73"/>
      <c r="AY894" s="73"/>
      <c r="AZ894" s="73"/>
      <c r="BA894" s="73"/>
      <c r="BB894" s="73"/>
    </row>
    <row r="895">
      <c r="A895" s="73"/>
      <c r="B895" s="73"/>
      <c r="C895" s="73"/>
      <c r="D895" s="73"/>
      <c r="E895" s="73"/>
      <c r="F895" s="73"/>
      <c r="G895" s="73"/>
      <c r="H895" s="73"/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3"/>
      <c r="Z895" s="73"/>
      <c r="AA895" s="73"/>
      <c r="AB895" s="73"/>
      <c r="AC895" s="73"/>
      <c r="AD895" s="73"/>
      <c r="AE895" s="73"/>
      <c r="AF895" s="73"/>
      <c r="AG895" s="73"/>
      <c r="AH895" s="73"/>
      <c r="AI895" s="73"/>
      <c r="AJ895" s="73"/>
      <c r="AK895" s="73"/>
      <c r="AL895" s="73"/>
      <c r="AM895" s="73"/>
      <c r="AN895" s="73"/>
      <c r="AO895" s="73"/>
      <c r="AP895" s="73"/>
      <c r="AQ895" s="73"/>
      <c r="AR895" s="73"/>
      <c r="AS895" s="73"/>
      <c r="AT895" s="73"/>
      <c r="AU895" s="73"/>
      <c r="AV895" s="73"/>
      <c r="AW895" s="73"/>
      <c r="AX895" s="73"/>
      <c r="AY895" s="73"/>
      <c r="AZ895" s="73"/>
      <c r="BA895" s="73"/>
      <c r="BB895" s="73"/>
    </row>
    <row r="896">
      <c r="A896" s="73"/>
      <c r="B896" s="73"/>
      <c r="C896" s="73"/>
      <c r="D896" s="73"/>
      <c r="E896" s="73"/>
      <c r="F896" s="73"/>
      <c r="G896" s="73"/>
      <c r="H896" s="73"/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3"/>
      <c r="Z896" s="73"/>
      <c r="AA896" s="73"/>
      <c r="AB896" s="73"/>
      <c r="AC896" s="73"/>
      <c r="AD896" s="73"/>
      <c r="AE896" s="73"/>
      <c r="AF896" s="73"/>
      <c r="AG896" s="73"/>
      <c r="AH896" s="73"/>
      <c r="AI896" s="73"/>
      <c r="AJ896" s="73"/>
      <c r="AK896" s="73"/>
      <c r="AL896" s="73"/>
      <c r="AM896" s="73"/>
      <c r="AN896" s="73"/>
      <c r="AO896" s="73"/>
      <c r="AP896" s="73"/>
      <c r="AQ896" s="73"/>
      <c r="AR896" s="73"/>
      <c r="AS896" s="73"/>
      <c r="AT896" s="73"/>
      <c r="AU896" s="73"/>
      <c r="AV896" s="73"/>
      <c r="AW896" s="73"/>
      <c r="AX896" s="73"/>
      <c r="AY896" s="73"/>
      <c r="AZ896" s="73"/>
      <c r="BA896" s="73"/>
      <c r="BB896" s="73"/>
    </row>
    <row r="897">
      <c r="A897" s="73"/>
      <c r="B897" s="73"/>
      <c r="C897" s="73"/>
      <c r="D897" s="73"/>
      <c r="E897" s="73"/>
      <c r="F897" s="73"/>
      <c r="G897" s="73"/>
      <c r="H897" s="73"/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3"/>
      <c r="Z897" s="73"/>
      <c r="AA897" s="73"/>
      <c r="AB897" s="73"/>
      <c r="AC897" s="73"/>
      <c r="AD897" s="73"/>
      <c r="AE897" s="73"/>
      <c r="AF897" s="73"/>
      <c r="AG897" s="73"/>
      <c r="AH897" s="73"/>
      <c r="AI897" s="73"/>
      <c r="AJ897" s="73"/>
      <c r="AK897" s="73"/>
      <c r="AL897" s="73"/>
      <c r="AM897" s="73"/>
      <c r="AN897" s="73"/>
      <c r="AO897" s="73"/>
      <c r="AP897" s="73"/>
      <c r="AQ897" s="73"/>
      <c r="AR897" s="73"/>
      <c r="AS897" s="73"/>
      <c r="AT897" s="73"/>
      <c r="AU897" s="73"/>
      <c r="AV897" s="73"/>
      <c r="AW897" s="73"/>
      <c r="AX897" s="73"/>
      <c r="AY897" s="73"/>
      <c r="AZ897" s="73"/>
      <c r="BA897" s="73"/>
      <c r="BB897" s="73"/>
    </row>
    <row r="898">
      <c r="A898" s="73"/>
      <c r="B898" s="73"/>
      <c r="C898" s="73"/>
      <c r="D898" s="73"/>
      <c r="E898" s="73"/>
      <c r="F898" s="73"/>
      <c r="G898" s="73"/>
      <c r="H898" s="73"/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3"/>
      <c r="Z898" s="73"/>
      <c r="AA898" s="73"/>
      <c r="AB898" s="73"/>
      <c r="AC898" s="73"/>
      <c r="AD898" s="73"/>
      <c r="AE898" s="73"/>
      <c r="AF898" s="73"/>
      <c r="AG898" s="73"/>
      <c r="AH898" s="73"/>
      <c r="AI898" s="73"/>
      <c r="AJ898" s="73"/>
      <c r="AK898" s="73"/>
      <c r="AL898" s="73"/>
      <c r="AM898" s="73"/>
      <c r="AN898" s="73"/>
      <c r="AO898" s="73"/>
      <c r="AP898" s="73"/>
      <c r="AQ898" s="73"/>
      <c r="AR898" s="73"/>
      <c r="AS898" s="73"/>
      <c r="AT898" s="73"/>
      <c r="AU898" s="73"/>
      <c r="AV898" s="73"/>
      <c r="AW898" s="73"/>
      <c r="AX898" s="73"/>
      <c r="AY898" s="73"/>
      <c r="AZ898" s="73"/>
      <c r="BA898" s="73"/>
      <c r="BB898" s="73"/>
    </row>
    <row r="899">
      <c r="A899" s="73"/>
      <c r="B899" s="73"/>
      <c r="C899" s="73"/>
      <c r="D899" s="73"/>
      <c r="E899" s="73"/>
      <c r="F899" s="73"/>
      <c r="G899" s="73"/>
      <c r="H899" s="73"/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3"/>
      <c r="Z899" s="73"/>
      <c r="AA899" s="73"/>
      <c r="AB899" s="73"/>
      <c r="AC899" s="73"/>
      <c r="AD899" s="73"/>
      <c r="AE899" s="73"/>
      <c r="AF899" s="73"/>
      <c r="AG899" s="73"/>
      <c r="AH899" s="73"/>
      <c r="AI899" s="73"/>
      <c r="AJ899" s="73"/>
      <c r="AK899" s="73"/>
      <c r="AL899" s="73"/>
      <c r="AM899" s="73"/>
      <c r="AN899" s="73"/>
      <c r="AO899" s="73"/>
      <c r="AP899" s="73"/>
      <c r="AQ899" s="73"/>
      <c r="AR899" s="73"/>
      <c r="AS899" s="73"/>
      <c r="AT899" s="73"/>
      <c r="AU899" s="73"/>
      <c r="AV899" s="73"/>
      <c r="AW899" s="73"/>
      <c r="AX899" s="73"/>
      <c r="AY899" s="73"/>
      <c r="AZ899" s="73"/>
      <c r="BA899" s="73"/>
      <c r="BB899" s="73"/>
    </row>
    <row r="900">
      <c r="A900" s="73"/>
      <c r="B900" s="73"/>
      <c r="C900" s="73"/>
      <c r="D900" s="73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  <c r="Z900" s="73"/>
      <c r="AA900" s="73"/>
      <c r="AB900" s="73"/>
      <c r="AC900" s="73"/>
      <c r="AD900" s="73"/>
      <c r="AE900" s="73"/>
      <c r="AF900" s="73"/>
      <c r="AG900" s="73"/>
      <c r="AH900" s="73"/>
      <c r="AI900" s="73"/>
      <c r="AJ900" s="73"/>
      <c r="AK900" s="73"/>
      <c r="AL900" s="73"/>
      <c r="AM900" s="73"/>
      <c r="AN900" s="73"/>
      <c r="AO900" s="73"/>
      <c r="AP900" s="73"/>
      <c r="AQ900" s="73"/>
      <c r="AR900" s="73"/>
      <c r="AS900" s="73"/>
      <c r="AT900" s="73"/>
      <c r="AU900" s="73"/>
      <c r="AV900" s="73"/>
      <c r="AW900" s="73"/>
      <c r="AX900" s="73"/>
      <c r="AY900" s="73"/>
      <c r="AZ900" s="73"/>
      <c r="BA900" s="73"/>
      <c r="BB900" s="73"/>
    </row>
    <row r="901">
      <c r="A901" s="73"/>
      <c r="B901" s="73"/>
      <c r="C901" s="73"/>
      <c r="D901" s="73"/>
      <c r="E901" s="73"/>
      <c r="F901" s="73"/>
      <c r="G901" s="73"/>
      <c r="H901" s="73"/>
      <c r="I901" s="73"/>
      <c r="J901" s="73"/>
      <c r="K901" s="73"/>
      <c r="L901" s="73"/>
      <c r="M901" s="73"/>
      <c r="N901" s="73"/>
      <c r="O901" s="73"/>
      <c r="P901" s="73"/>
      <c r="Q901" s="73"/>
      <c r="R901" s="73"/>
      <c r="S901" s="73"/>
      <c r="T901" s="73"/>
      <c r="U901" s="73"/>
      <c r="V901" s="73"/>
      <c r="W901" s="73"/>
      <c r="X901" s="73"/>
      <c r="Y901" s="73"/>
      <c r="Z901" s="73"/>
      <c r="AA901" s="73"/>
      <c r="AB901" s="73"/>
      <c r="AC901" s="73"/>
      <c r="AD901" s="73"/>
      <c r="AE901" s="73"/>
      <c r="AF901" s="73"/>
      <c r="AG901" s="73"/>
      <c r="AH901" s="73"/>
      <c r="AI901" s="73"/>
      <c r="AJ901" s="73"/>
      <c r="AK901" s="73"/>
      <c r="AL901" s="73"/>
      <c r="AM901" s="73"/>
      <c r="AN901" s="73"/>
      <c r="AO901" s="73"/>
      <c r="AP901" s="73"/>
      <c r="AQ901" s="73"/>
      <c r="AR901" s="73"/>
      <c r="AS901" s="73"/>
      <c r="AT901" s="73"/>
      <c r="AU901" s="73"/>
      <c r="AV901" s="73"/>
      <c r="AW901" s="73"/>
      <c r="AX901" s="73"/>
      <c r="AY901" s="73"/>
      <c r="AZ901" s="73"/>
      <c r="BA901" s="73"/>
      <c r="BB901" s="73"/>
    </row>
    <row r="902">
      <c r="A902" s="73"/>
      <c r="B902" s="73"/>
      <c r="C902" s="73"/>
      <c r="D902" s="73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3"/>
      <c r="Z902" s="73"/>
      <c r="AA902" s="73"/>
      <c r="AB902" s="73"/>
      <c r="AC902" s="73"/>
      <c r="AD902" s="73"/>
      <c r="AE902" s="73"/>
      <c r="AF902" s="73"/>
      <c r="AG902" s="73"/>
      <c r="AH902" s="73"/>
      <c r="AI902" s="73"/>
      <c r="AJ902" s="73"/>
      <c r="AK902" s="73"/>
      <c r="AL902" s="73"/>
      <c r="AM902" s="73"/>
      <c r="AN902" s="73"/>
      <c r="AO902" s="73"/>
      <c r="AP902" s="73"/>
      <c r="AQ902" s="73"/>
      <c r="AR902" s="73"/>
      <c r="AS902" s="73"/>
      <c r="AT902" s="73"/>
      <c r="AU902" s="73"/>
      <c r="AV902" s="73"/>
      <c r="AW902" s="73"/>
      <c r="AX902" s="73"/>
      <c r="AY902" s="73"/>
      <c r="AZ902" s="73"/>
      <c r="BA902" s="73"/>
      <c r="BB902" s="73"/>
    </row>
    <row r="903">
      <c r="A903" s="73"/>
      <c r="B903" s="73"/>
      <c r="C903" s="73"/>
      <c r="D903" s="73"/>
      <c r="E903" s="73"/>
      <c r="F903" s="73"/>
      <c r="G903" s="73"/>
      <c r="H903" s="73"/>
      <c r="I903" s="73"/>
      <c r="J903" s="73"/>
      <c r="K903" s="73"/>
      <c r="L903" s="73"/>
      <c r="M903" s="73"/>
      <c r="N903" s="73"/>
      <c r="O903" s="73"/>
      <c r="P903" s="73"/>
      <c r="Q903" s="73"/>
      <c r="R903" s="73"/>
      <c r="S903" s="73"/>
      <c r="T903" s="73"/>
      <c r="U903" s="73"/>
      <c r="V903" s="73"/>
      <c r="W903" s="73"/>
      <c r="X903" s="73"/>
      <c r="Y903" s="73"/>
      <c r="Z903" s="73"/>
      <c r="AA903" s="73"/>
      <c r="AB903" s="73"/>
      <c r="AC903" s="73"/>
      <c r="AD903" s="73"/>
      <c r="AE903" s="73"/>
      <c r="AF903" s="73"/>
      <c r="AG903" s="73"/>
      <c r="AH903" s="73"/>
      <c r="AI903" s="73"/>
      <c r="AJ903" s="73"/>
      <c r="AK903" s="73"/>
      <c r="AL903" s="73"/>
      <c r="AM903" s="73"/>
      <c r="AN903" s="73"/>
      <c r="AO903" s="73"/>
      <c r="AP903" s="73"/>
      <c r="AQ903" s="73"/>
      <c r="AR903" s="73"/>
      <c r="AS903" s="73"/>
      <c r="AT903" s="73"/>
      <c r="AU903" s="73"/>
      <c r="AV903" s="73"/>
      <c r="AW903" s="73"/>
      <c r="AX903" s="73"/>
      <c r="AY903" s="73"/>
      <c r="AZ903" s="73"/>
      <c r="BA903" s="73"/>
      <c r="BB903" s="73"/>
    </row>
    <row r="904">
      <c r="A904" s="73"/>
      <c r="B904" s="73"/>
      <c r="C904" s="73"/>
      <c r="D904" s="73"/>
      <c r="E904" s="73"/>
      <c r="F904" s="73"/>
      <c r="G904" s="73"/>
      <c r="H904" s="73"/>
      <c r="I904" s="73"/>
      <c r="J904" s="73"/>
      <c r="K904" s="73"/>
      <c r="L904" s="73"/>
      <c r="M904" s="73"/>
      <c r="N904" s="73"/>
      <c r="O904" s="73"/>
      <c r="P904" s="73"/>
      <c r="Q904" s="73"/>
      <c r="R904" s="73"/>
      <c r="S904" s="73"/>
      <c r="T904" s="73"/>
      <c r="U904" s="73"/>
      <c r="V904" s="73"/>
      <c r="W904" s="73"/>
      <c r="X904" s="73"/>
      <c r="Y904" s="73"/>
      <c r="Z904" s="73"/>
      <c r="AA904" s="73"/>
      <c r="AB904" s="73"/>
      <c r="AC904" s="73"/>
      <c r="AD904" s="73"/>
      <c r="AE904" s="73"/>
      <c r="AF904" s="73"/>
      <c r="AG904" s="73"/>
      <c r="AH904" s="73"/>
      <c r="AI904" s="73"/>
      <c r="AJ904" s="73"/>
      <c r="AK904" s="73"/>
      <c r="AL904" s="73"/>
      <c r="AM904" s="73"/>
      <c r="AN904" s="73"/>
      <c r="AO904" s="73"/>
      <c r="AP904" s="73"/>
      <c r="AQ904" s="73"/>
      <c r="AR904" s="73"/>
      <c r="AS904" s="73"/>
      <c r="AT904" s="73"/>
      <c r="AU904" s="73"/>
      <c r="AV904" s="73"/>
      <c r="AW904" s="73"/>
      <c r="AX904" s="73"/>
      <c r="AY904" s="73"/>
      <c r="AZ904" s="73"/>
      <c r="BA904" s="73"/>
      <c r="BB904" s="73"/>
    </row>
    <row r="905">
      <c r="A905" s="73"/>
      <c r="B905" s="73"/>
      <c r="C905" s="73"/>
      <c r="D905" s="73"/>
      <c r="E905" s="73"/>
      <c r="F905" s="73"/>
      <c r="G905" s="73"/>
      <c r="H905" s="73"/>
      <c r="I905" s="73"/>
      <c r="J905" s="73"/>
      <c r="K905" s="73"/>
      <c r="L905" s="73"/>
      <c r="M905" s="73"/>
      <c r="N905" s="73"/>
      <c r="O905" s="73"/>
      <c r="P905" s="73"/>
      <c r="Q905" s="73"/>
      <c r="R905" s="73"/>
      <c r="S905" s="73"/>
      <c r="T905" s="73"/>
      <c r="U905" s="73"/>
      <c r="V905" s="73"/>
      <c r="W905" s="73"/>
      <c r="X905" s="73"/>
      <c r="Y905" s="73"/>
      <c r="Z905" s="73"/>
      <c r="AA905" s="73"/>
      <c r="AB905" s="73"/>
      <c r="AC905" s="73"/>
      <c r="AD905" s="73"/>
      <c r="AE905" s="73"/>
      <c r="AF905" s="73"/>
      <c r="AG905" s="73"/>
      <c r="AH905" s="73"/>
      <c r="AI905" s="73"/>
      <c r="AJ905" s="73"/>
      <c r="AK905" s="73"/>
      <c r="AL905" s="73"/>
      <c r="AM905" s="73"/>
      <c r="AN905" s="73"/>
      <c r="AO905" s="73"/>
      <c r="AP905" s="73"/>
      <c r="AQ905" s="73"/>
      <c r="AR905" s="73"/>
      <c r="AS905" s="73"/>
      <c r="AT905" s="73"/>
      <c r="AU905" s="73"/>
      <c r="AV905" s="73"/>
      <c r="AW905" s="73"/>
      <c r="AX905" s="73"/>
      <c r="AY905" s="73"/>
      <c r="AZ905" s="73"/>
      <c r="BA905" s="73"/>
      <c r="BB905" s="73"/>
    </row>
    <row r="906">
      <c r="A906" s="73"/>
      <c r="B906" s="73"/>
      <c r="C906" s="73"/>
      <c r="D906" s="73"/>
      <c r="E906" s="73"/>
      <c r="F906" s="73"/>
      <c r="G906" s="73"/>
      <c r="H906" s="73"/>
      <c r="I906" s="73"/>
      <c r="J906" s="73"/>
      <c r="K906" s="73"/>
      <c r="L906" s="73"/>
      <c r="M906" s="73"/>
      <c r="N906" s="73"/>
      <c r="O906" s="73"/>
      <c r="P906" s="73"/>
      <c r="Q906" s="73"/>
      <c r="R906" s="73"/>
      <c r="S906" s="73"/>
      <c r="T906" s="73"/>
      <c r="U906" s="73"/>
      <c r="V906" s="73"/>
      <c r="W906" s="73"/>
      <c r="X906" s="73"/>
      <c r="Y906" s="73"/>
      <c r="Z906" s="73"/>
      <c r="AA906" s="73"/>
      <c r="AB906" s="73"/>
      <c r="AC906" s="73"/>
      <c r="AD906" s="73"/>
      <c r="AE906" s="73"/>
      <c r="AF906" s="73"/>
      <c r="AG906" s="73"/>
      <c r="AH906" s="73"/>
      <c r="AI906" s="73"/>
      <c r="AJ906" s="73"/>
      <c r="AK906" s="73"/>
      <c r="AL906" s="73"/>
      <c r="AM906" s="73"/>
      <c r="AN906" s="73"/>
      <c r="AO906" s="73"/>
      <c r="AP906" s="73"/>
      <c r="AQ906" s="73"/>
      <c r="AR906" s="73"/>
      <c r="AS906" s="73"/>
      <c r="AT906" s="73"/>
      <c r="AU906" s="73"/>
      <c r="AV906" s="73"/>
      <c r="AW906" s="73"/>
      <c r="AX906" s="73"/>
      <c r="AY906" s="73"/>
      <c r="AZ906" s="73"/>
      <c r="BA906" s="73"/>
      <c r="BB906" s="73"/>
    </row>
    <row r="907">
      <c r="A907" s="73"/>
      <c r="B907" s="73"/>
      <c r="C907" s="73"/>
      <c r="D907" s="73"/>
      <c r="E907" s="73"/>
      <c r="F907" s="73"/>
      <c r="G907" s="73"/>
      <c r="H907" s="73"/>
      <c r="I907" s="73"/>
      <c r="J907" s="73"/>
      <c r="K907" s="73"/>
      <c r="L907" s="73"/>
      <c r="M907" s="73"/>
      <c r="N907" s="73"/>
      <c r="O907" s="73"/>
      <c r="P907" s="73"/>
      <c r="Q907" s="73"/>
      <c r="R907" s="73"/>
      <c r="S907" s="73"/>
      <c r="T907" s="73"/>
      <c r="U907" s="73"/>
      <c r="V907" s="73"/>
      <c r="W907" s="73"/>
      <c r="X907" s="73"/>
      <c r="Y907" s="73"/>
      <c r="Z907" s="73"/>
      <c r="AA907" s="73"/>
      <c r="AB907" s="73"/>
      <c r="AC907" s="73"/>
      <c r="AD907" s="73"/>
      <c r="AE907" s="73"/>
      <c r="AF907" s="73"/>
      <c r="AG907" s="73"/>
      <c r="AH907" s="73"/>
      <c r="AI907" s="73"/>
      <c r="AJ907" s="73"/>
      <c r="AK907" s="73"/>
      <c r="AL907" s="73"/>
      <c r="AM907" s="73"/>
      <c r="AN907" s="73"/>
      <c r="AO907" s="73"/>
      <c r="AP907" s="73"/>
      <c r="AQ907" s="73"/>
      <c r="AR907" s="73"/>
      <c r="AS907" s="73"/>
      <c r="AT907" s="73"/>
      <c r="AU907" s="73"/>
      <c r="AV907" s="73"/>
      <c r="AW907" s="73"/>
      <c r="AX907" s="73"/>
      <c r="AY907" s="73"/>
      <c r="AZ907" s="73"/>
      <c r="BA907" s="73"/>
      <c r="BB907" s="73"/>
    </row>
    <row r="908">
      <c r="A908" s="73"/>
      <c r="B908" s="73"/>
      <c r="C908" s="73"/>
      <c r="D908" s="73"/>
      <c r="E908" s="73"/>
      <c r="F908" s="73"/>
      <c r="G908" s="73"/>
      <c r="H908" s="73"/>
      <c r="I908" s="73"/>
      <c r="J908" s="73"/>
      <c r="K908" s="73"/>
      <c r="L908" s="73"/>
      <c r="M908" s="73"/>
      <c r="N908" s="73"/>
      <c r="O908" s="73"/>
      <c r="P908" s="73"/>
      <c r="Q908" s="73"/>
      <c r="R908" s="73"/>
      <c r="S908" s="73"/>
      <c r="T908" s="73"/>
      <c r="U908" s="73"/>
      <c r="V908" s="73"/>
      <c r="W908" s="73"/>
      <c r="X908" s="73"/>
      <c r="Y908" s="73"/>
      <c r="Z908" s="73"/>
      <c r="AA908" s="73"/>
      <c r="AB908" s="73"/>
      <c r="AC908" s="73"/>
      <c r="AD908" s="73"/>
      <c r="AE908" s="73"/>
      <c r="AF908" s="73"/>
      <c r="AG908" s="73"/>
      <c r="AH908" s="73"/>
      <c r="AI908" s="73"/>
      <c r="AJ908" s="73"/>
      <c r="AK908" s="73"/>
      <c r="AL908" s="73"/>
      <c r="AM908" s="73"/>
      <c r="AN908" s="73"/>
      <c r="AO908" s="73"/>
      <c r="AP908" s="73"/>
      <c r="AQ908" s="73"/>
      <c r="AR908" s="73"/>
      <c r="AS908" s="73"/>
      <c r="AT908" s="73"/>
      <c r="AU908" s="73"/>
      <c r="AV908" s="73"/>
      <c r="AW908" s="73"/>
      <c r="AX908" s="73"/>
      <c r="AY908" s="73"/>
      <c r="AZ908" s="73"/>
      <c r="BA908" s="73"/>
      <c r="BB908" s="73"/>
    </row>
    <row r="909">
      <c r="A909" s="73"/>
      <c r="B909" s="73"/>
      <c r="C909" s="73"/>
      <c r="D909" s="73"/>
      <c r="E909" s="73"/>
      <c r="F909" s="73"/>
      <c r="G909" s="73"/>
      <c r="H909" s="73"/>
      <c r="I909" s="73"/>
      <c r="J909" s="73"/>
      <c r="K909" s="73"/>
      <c r="L909" s="73"/>
      <c r="M909" s="73"/>
      <c r="N909" s="73"/>
      <c r="O909" s="73"/>
      <c r="P909" s="73"/>
      <c r="Q909" s="73"/>
      <c r="R909" s="73"/>
      <c r="S909" s="73"/>
      <c r="T909" s="73"/>
      <c r="U909" s="73"/>
      <c r="V909" s="73"/>
      <c r="W909" s="73"/>
      <c r="X909" s="73"/>
      <c r="Y909" s="73"/>
      <c r="Z909" s="73"/>
      <c r="AA909" s="73"/>
      <c r="AB909" s="73"/>
      <c r="AC909" s="73"/>
      <c r="AD909" s="73"/>
      <c r="AE909" s="73"/>
      <c r="AF909" s="73"/>
      <c r="AG909" s="73"/>
      <c r="AH909" s="73"/>
      <c r="AI909" s="73"/>
      <c r="AJ909" s="73"/>
      <c r="AK909" s="73"/>
      <c r="AL909" s="73"/>
      <c r="AM909" s="73"/>
      <c r="AN909" s="73"/>
      <c r="AO909" s="73"/>
      <c r="AP909" s="73"/>
      <c r="AQ909" s="73"/>
      <c r="AR909" s="73"/>
      <c r="AS909" s="73"/>
      <c r="AT909" s="73"/>
      <c r="AU909" s="73"/>
      <c r="AV909" s="73"/>
      <c r="AW909" s="73"/>
      <c r="AX909" s="73"/>
      <c r="AY909" s="73"/>
      <c r="AZ909" s="73"/>
      <c r="BA909" s="73"/>
      <c r="BB909" s="73"/>
    </row>
    <row r="910">
      <c r="A910" s="73"/>
      <c r="B910" s="73"/>
      <c r="C910" s="73"/>
      <c r="D910" s="73"/>
      <c r="E910" s="73"/>
      <c r="F910" s="73"/>
      <c r="G910" s="73"/>
      <c r="H910" s="73"/>
      <c r="I910" s="73"/>
      <c r="J910" s="73"/>
      <c r="K910" s="73"/>
      <c r="L910" s="73"/>
      <c r="M910" s="73"/>
      <c r="N910" s="73"/>
      <c r="O910" s="73"/>
      <c r="P910" s="73"/>
      <c r="Q910" s="73"/>
      <c r="R910" s="73"/>
      <c r="S910" s="73"/>
      <c r="T910" s="73"/>
      <c r="U910" s="73"/>
      <c r="V910" s="73"/>
      <c r="W910" s="73"/>
      <c r="X910" s="73"/>
      <c r="Y910" s="73"/>
      <c r="Z910" s="73"/>
      <c r="AA910" s="73"/>
      <c r="AB910" s="73"/>
      <c r="AC910" s="73"/>
      <c r="AD910" s="73"/>
      <c r="AE910" s="73"/>
      <c r="AF910" s="73"/>
      <c r="AG910" s="73"/>
      <c r="AH910" s="73"/>
      <c r="AI910" s="73"/>
      <c r="AJ910" s="73"/>
      <c r="AK910" s="73"/>
      <c r="AL910" s="73"/>
      <c r="AM910" s="73"/>
      <c r="AN910" s="73"/>
      <c r="AO910" s="73"/>
      <c r="AP910" s="73"/>
      <c r="AQ910" s="73"/>
      <c r="AR910" s="73"/>
      <c r="AS910" s="73"/>
      <c r="AT910" s="73"/>
      <c r="AU910" s="73"/>
      <c r="AV910" s="73"/>
      <c r="AW910" s="73"/>
      <c r="AX910" s="73"/>
      <c r="AY910" s="73"/>
      <c r="AZ910" s="73"/>
      <c r="BA910" s="73"/>
      <c r="BB910" s="73"/>
    </row>
    <row r="911">
      <c r="A911" s="73"/>
      <c r="B911" s="73"/>
      <c r="C911" s="73"/>
      <c r="D911" s="73"/>
      <c r="E911" s="73"/>
      <c r="F911" s="73"/>
      <c r="G911" s="73"/>
      <c r="H911" s="73"/>
      <c r="I911" s="73"/>
      <c r="J911" s="73"/>
      <c r="K911" s="73"/>
      <c r="L911" s="73"/>
      <c r="M911" s="73"/>
      <c r="N911" s="73"/>
      <c r="O911" s="73"/>
      <c r="P911" s="73"/>
      <c r="Q911" s="73"/>
      <c r="R911" s="73"/>
      <c r="S911" s="73"/>
      <c r="T911" s="73"/>
      <c r="U911" s="73"/>
      <c r="V911" s="73"/>
      <c r="W911" s="73"/>
      <c r="X911" s="73"/>
      <c r="Y911" s="73"/>
      <c r="Z911" s="73"/>
      <c r="AA911" s="73"/>
      <c r="AB911" s="73"/>
      <c r="AC911" s="73"/>
      <c r="AD911" s="73"/>
      <c r="AE911" s="73"/>
      <c r="AF911" s="73"/>
      <c r="AG911" s="73"/>
      <c r="AH911" s="73"/>
      <c r="AI911" s="73"/>
      <c r="AJ911" s="73"/>
      <c r="AK911" s="73"/>
      <c r="AL911" s="73"/>
      <c r="AM911" s="73"/>
      <c r="AN911" s="73"/>
      <c r="AO911" s="73"/>
      <c r="AP911" s="73"/>
      <c r="AQ911" s="73"/>
      <c r="AR911" s="73"/>
      <c r="AS911" s="73"/>
      <c r="AT911" s="73"/>
      <c r="AU911" s="73"/>
      <c r="AV911" s="73"/>
      <c r="AW911" s="73"/>
      <c r="AX911" s="73"/>
      <c r="AY911" s="73"/>
      <c r="AZ911" s="73"/>
      <c r="BA911" s="73"/>
      <c r="BB911" s="73"/>
    </row>
    <row r="912">
      <c r="A912" s="73"/>
      <c r="B912" s="73"/>
      <c r="C912" s="73"/>
      <c r="D912" s="73"/>
      <c r="E912" s="73"/>
      <c r="F912" s="73"/>
      <c r="G912" s="73"/>
      <c r="H912" s="73"/>
      <c r="I912" s="73"/>
      <c r="J912" s="73"/>
      <c r="K912" s="73"/>
      <c r="L912" s="73"/>
      <c r="M912" s="73"/>
      <c r="N912" s="73"/>
      <c r="O912" s="73"/>
      <c r="P912" s="73"/>
      <c r="Q912" s="73"/>
      <c r="R912" s="73"/>
      <c r="S912" s="73"/>
      <c r="T912" s="73"/>
      <c r="U912" s="73"/>
      <c r="V912" s="73"/>
      <c r="W912" s="73"/>
      <c r="X912" s="73"/>
      <c r="Y912" s="73"/>
      <c r="Z912" s="73"/>
      <c r="AA912" s="73"/>
      <c r="AB912" s="73"/>
      <c r="AC912" s="73"/>
      <c r="AD912" s="73"/>
      <c r="AE912" s="73"/>
      <c r="AF912" s="73"/>
      <c r="AG912" s="73"/>
      <c r="AH912" s="73"/>
      <c r="AI912" s="73"/>
      <c r="AJ912" s="73"/>
      <c r="AK912" s="73"/>
      <c r="AL912" s="73"/>
      <c r="AM912" s="73"/>
      <c r="AN912" s="73"/>
      <c r="AO912" s="73"/>
      <c r="AP912" s="73"/>
      <c r="AQ912" s="73"/>
      <c r="AR912" s="73"/>
      <c r="AS912" s="73"/>
      <c r="AT912" s="73"/>
      <c r="AU912" s="73"/>
      <c r="AV912" s="73"/>
      <c r="AW912" s="73"/>
      <c r="AX912" s="73"/>
      <c r="AY912" s="73"/>
      <c r="AZ912" s="73"/>
      <c r="BA912" s="73"/>
      <c r="BB912" s="73"/>
    </row>
    <row r="913">
      <c r="A913" s="73"/>
      <c r="B913" s="73"/>
      <c r="C913" s="73"/>
      <c r="D913" s="73"/>
      <c r="E913" s="73"/>
      <c r="F913" s="73"/>
      <c r="G913" s="73"/>
      <c r="H913" s="73"/>
      <c r="I913" s="73"/>
      <c r="J913" s="73"/>
      <c r="K913" s="73"/>
      <c r="L913" s="73"/>
      <c r="M913" s="73"/>
      <c r="N913" s="73"/>
      <c r="O913" s="73"/>
      <c r="P913" s="73"/>
      <c r="Q913" s="73"/>
      <c r="R913" s="73"/>
      <c r="S913" s="73"/>
      <c r="T913" s="73"/>
      <c r="U913" s="73"/>
      <c r="V913" s="73"/>
      <c r="W913" s="73"/>
      <c r="X913" s="73"/>
      <c r="Y913" s="73"/>
      <c r="Z913" s="73"/>
      <c r="AA913" s="73"/>
      <c r="AB913" s="73"/>
      <c r="AC913" s="73"/>
      <c r="AD913" s="73"/>
      <c r="AE913" s="73"/>
      <c r="AF913" s="73"/>
      <c r="AG913" s="73"/>
      <c r="AH913" s="73"/>
      <c r="AI913" s="73"/>
      <c r="AJ913" s="73"/>
      <c r="AK913" s="73"/>
      <c r="AL913" s="73"/>
      <c r="AM913" s="73"/>
      <c r="AN913" s="73"/>
      <c r="AO913" s="73"/>
      <c r="AP913" s="73"/>
      <c r="AQ913" s="73"/>
      <c r="AR913" s="73"/>
      <c r="AS913" s="73"/>
      <c r="AT913" s="73"/>
      <c r="AU913" s="73"/>
      <c r="AV913" s="73"/>
      <c r="AW913" s="73"/>
      <c r="AX913" s="73"/>
      <c r="AY913" s="73"/>
      <c r="AZ913" s="73"/>
      <c r="BA913" s="73"/>
      <c r="BB913" s="73"/>
    </row>
    <row r="914">
      <c r="A914" s="73"/>
      <c r="B914" s="73"/>
      <c r="C914" s="73"/>
      <c r="D914" s="73"/>
      <c r="E914" s="73"/>
      <c r="F914" s="73"/>
      <c r="G914" s="73"/>
      <c r="H914" s="73"/>
      <c r="I914" s="73"/>
      <c r="J914" s="73"/>
      <c r="K914" s="73"/>
      <c r="L914" s="73"/>
      <c r="M914" s="73"/>
      <c r="N914" s="73"/>
      <c r="O914" s="73"/>
      <c r="P914" s="73"/>
      <c r="Q914" s="73"/>
      <c r="R914" s="73"/>
      <c r="S914" s="73"/>
      <c r="T914" s="73"/>
      <c r="U914" s="73"/>
      <c r="V914" s="73"/>
      <c r="W914" s="73"/>
      <c r="X914" s="73"/>
      <c r="Y914" s="73"/>
      <c r="Z914" s="73"/>
      <c r="AA914" s="73"/>
      <c r="AB914" s="73"/>
      <c r="AC914" s="73"/>
      <c r="AD914" s="73"/>
      <c r="AE914" s="73"/>
      <c r="AF914" s="73"/>
      <c r="AG914" s="73"/>
      <c r="AH914" s="73"/>
      <c r="AI914" s="73"/>
      <c r="AJ914" s="73"/>
      <c r="AK914" s="73"/>
      <c r="AL914" s="73"/>
      <c r="AM914" s="73"/>
      <c r="AN914" s="73"/>
      <c r="AO914" s="73"/>
      <c r="AP914" s="73"/>
      <c r="AQ914" s="73"/>
      <c r="AR914" s="73"/>
      <c r="AS914" s="73"/>
      <c r="AT914" s="73"/>
      <c r="AU914" s="73"/>
      <c r="AV914" s="73"/>
      <c r="AW914" s="73"/>
      <c r="AX914" s="73"/>
      <c r="AY914" s="73"/>
      <c r="AZ914" s="73"/>
      <c r="BA914" s="73"/>
      <c r="BB914" s="73"/>
    </row>
    <row r="915">
      <c r="A915" s="73"/>
      <c r="B915" s="73"/>
      <c r="C915" s="73"/>
      <c r="D915" s="73"/>
      <c r="E915" s="73"/>
      <c r="F915" s="73"/>
      <c r="G915" s="73"/>
      <c r="H915" s="73"/>
      <c r="I915" s="73"/>
      <c r="J915" s="73"/>
      <c r="K915" s="73"/>
      <c r="L915" s="73"/>
      <c r="M915" s="73"/>
      <c r="N915" s="73"/>
      <c r="O915" s="73"/>
      <c r="P915" s="73"/>
      <c r="Q915" s="73"/>
      <c r="R915" s="73"/>
      <c r="S915" s="73"/>
      <c r="T915" s="73"/>
      <c r="U915" s="73"/>
      <c r="V915" s="73"/>
      <c r="W915" s="73"/>
      <c r="X915" s="73"/>
      <c r="Y915" s="73"/>
      <c r="Z915" s="73"/>
      <c r="AA915" s="73"/>
      <c r="AB915" s="73"/>
      <c r="AC915" s="73"/>
      <c r="AD915" s="73"/>
      <c r="AE915" s="73"/>
      <c r="AF915" s="73"/>
      <c r="AG915" s="73"/>
      <c r="AH915" s="73"/>
      <c r="AI915" s="73"/>
      <c r="AJ915" s="73"/>
      <c r="AK915" s="73"/>
      <c r="AL915" s="73"/>
      <c r="AM915" s="73"/>
      <c r="AN915" s="73"/>
      <c r="AO915" s="73"/>
      <c r="AP915" s="73"/>
      <c r="AQ915" s="73"/>
      <c r="AR915" s="73"/>
      <c r="AS915" s="73"/>
      <c r="AT915" s="73"/>
      <c r="AU915" s="73"/>
      <c r="AV915" s="73"/>
      <c r="AW915" s="73"/>
      <c r="AX915" s="73"/>
      <c r="AY915" s="73"/>
      <c r="AZ915" s="73"/>
      <c r="BA915" s="73"/>
      <c r="BB915" s="73"/>
    </row>
    <row r="916">
      <c r="A916" s="73"/>
      <c r="B916" s="73"/>
      <c r="C916" s="73"/>
      <c r="D916" s="73"/>
      <c r="E916" s="73"/>
      <c r="F916" s="73"/>
      <c r="G916" s="73"/>
      <c r="H916" s="73"/>
      <c r="I916" s="73"/>
      <c r="J916" s="73"/>
      <c r="K916" s="73"/>
      <c r="L916" s="73"/>
      <c r="M916" s="73"/>
      <c r="N916" s="73"/>
      <c r="O916" s="73"/>
      <c r="P916" s="73"/>
      <c r="Q916" s="73"/>
      <c r="R916" s="73"/>
      <c r="S916" s="73"/>
      <c r="T916" s="73"/>
      <c r="U916" s="73"/>
      <c r="V916" s="73"/>
      <c r="W916" s="73"/>
      <c r="X916" s="73"/>
      <c r="Y916" s="73"/>
      <c r="Z916" s="73"/>
      <c r="AA916" s="73"/>
      <c r="AB916" s="73"/>
      <c r="AC916" s="73"/>
      <c r="AD916" s="73"/>
      <c r="AE916" s="73"/>
      <c r="AF916" s="73"/>
      <c r="AG916" s="73"/>
      <c r="AH916" s="73"/>
      <c r="AI916" s="73"/>
      <c r="AJ916" s="73"/>
      <c r="AK916" s="73"/>
      <c r="AL916" s="73"/>
      <c r="AM916" s="73"/>
      <c r="AN916" s="73"/>
      <c r="AO916" s="73"/>
      <c r="AP916" s="73"/>
      <c r="AQ916" s="73"/>
      <c r="AR916" s="73"/>
      <c r="AS916" s="73"/>
      <c r="AT916" s="73"/>
      <c r="AU916" s="73"/>
      <c r="AV916" s="73"/>
      <c r="AW916" s="73"/>
      <c r="AX916" s="73"/>
      <c r="AY916" s="73"/>
      <c r="AZ916" s="73"/>
      <c r="BA916" s="73"/>
      <c r="BB916" s="73"/>
    </row>
    <row r="917">
      <c r="A917" s="73"/>
      <c r="B917" s="73"/>
      <c r="C917" s="73"/>
      <c r="D917" s="73"/>
      <c r="E917" s="73"/>
      <c r="F917" s="73"/>
      <c r="G917" s="73"/>
      <c r="H917" s="73"/>
      <c r="I917" s="73"/>
      <c r="J917" s="73"/>
      <c r="K917" s="73"/>
      <c r="L917" s="73"/>
      <c r="M917" s="73"/>
      <c r="N917" s="73"/>
      <c r="O917" s="73"/>
      <c r="P917" s="73"/>
      <c r="Q917" s="73"/>
      <c r="R917" s="73"/>
      <c r="S917" s="73"/>
      <c r="T917" s="73"/>
      <c r="U917" s="73"/>
      <c r="V917" s="73"/>
      <c r="W917" s="73"/>
      <c r="X917" s="73"/>
      <c r="Y917" s="73"/>
      <c r="Z917" s="73"/>
      <c r="AA917" s="73"/>
      <c r="AB917" s="73"/>
      <c r="AC917" s="73"/>
      <c r="AD917" s="73"/>
      <c r="AE917" s="73"/>
      <c r="AF917" s="73"/>
      <c r="AG917" s="73"/>
      <c r="AH917" s="73"/>
      <c r="AI917" s="73"/>
      <c r="AJ917" s="73"/>
      <c r="AK917" s="73"/>
      <c r="AL917" s="73"/>
      <c r="AM917" s="73"/>
      <c r="AN917" s="73"/>
      <c r="AO917" s="73"/>
      <c r="AP917" s="73"/>
      <c r="AQ917" s="73"/>
      <c r="AR917" s="73"/>
      <c r="AS917" s="73"/>
      <c r="AT917" s="73"/>
      <c r="AU917" s="73"/>
      <c r="AV917" s="73"/>
      <c r="AW917" s="73"/>
      <c r="AX917" s="73"/>
      <c r="AY917" s="73"/>
      <c r="AZ917" s="73"/>
      <c r="BA917" s="73"/>
      <c r="BB917" s="73"/>
    </row>
    <row r="918">
      <c r="A918" s="73"/>
      <c r="B918" s="73"/>
      <c r="C918" s="73"/>
      <c r="D918" s="73"/>
      <c r="E918" s="73"/>
      <c r="F918" s="73"/>
      <c r="G918" s="73"/>
      <c r="H918" s="73"/>
      <c r="I918" s="73"/>
      <c r="J918" s="73"/>
      <c r="K918" s="73"/>
      <c r="L918" s="73"/>
      <c r="M918" s="73"/>
      <c r="N918" s="73"/>
      <c r="O918" s="73"/>
      <c r="P918" s="73"/>
      <c r="Q918" s="73"/>
      <c r="R918" s="73"/>
      <c r="S918" s="73"/>
      <c r="T918" s="73"/>
      <c r="U918" s="73"/>
      <c r="V918" s="73"/>
      <c r="W918" s="73"/>
      <c r="X918" s="73"/>
      <c r="Y918" s="73"/>
      <c r="Z918" s="73"/>
      <c r="AA918" s="73"/>
      <c r="AB918" s="73"/>
      <c r="AC918" s="73"/>
      <c r="AD918" s="73"/>
      <c r="AE918" s="73"/>
      <c r="AF918" s="73"/>
      <c r="AG918" s="73"/>
      <c r="AH918" s="73"/>
      <c r="AI918" s="73"/>
      <c r="AJ918" s="73"/>
      <c r="AK918" s="73"/>
      <c r="AL918" s="73"/>
      <c r="AM918" s="73"/>
      <c r="AN918" s="73"/>
      <c r="AO918" s="73"/>
      <c r="AP918" s="73"/>
      <c r="AQ918" s="73"/>
      <c r="AR918" s="73"/>
      <c r="AS918" s="73"/>
      <c r="AT918" s="73"/>
      <c r="AU918" s="73"/>
      <c r="AV918" s="73"/>
      <c r="AW918" s="73"/>
      <c r="AX918" s="73"/>
      <c r="AY918" s="73"/>
      <c r="AZ918" s="73"/>
      <c r="BA918" s="73"/>
      <c r="BB918" s="73"/>
    </row>
    <row r="919">
      <c r="A919" s="73"/>
      <c r="B919" s="73"/>
      <c r="C919" s="73"/>
      <c r="D919" s="73"/>
      <c r="E919" s="73"/>
      <c r="F919" s="73"/>
      <c r="G919" s="73"/>
      <c r="H919" s="73"/>
      <c r="I919" s="73"/>
      <c r="J919" s="73"/>
      <c r="K919" s="73"/>
      <c r="L919" s="73"/>
      <c r="M919" s="73"/>
      <c r="N919" s="73"/>
      <c r="O919" s="73"/>
      <c r="P919" s="73"/>
      <c r="Q919" s="73"/>
      <c r="R919" s="73"/>
      <c r="S919" s="73"/>
      <c r="T919" s="73"/>
      <c r="U919" s="73"/>
      <c r="V919" s="73"/>
      <c r="W919" s="73"/>
      <c r="X919" s="73"/>
      <c r="Y919" s="73"/>
      <c r="Z919" s="73"/>
      <c r="AA919" s="73"/>
      <c r="AB919" s="73"/>
      <c r="AC919" s="73"/>
      <c r="AD919" s="73"/>
      <c r="AE919" s="73"/>
      <c r="AF919" s="73"/>
      <c r="AG919" s="73"/>
      <c r="AH919" s="73"/>
      <c r="AI919" s="73"/>
      <c r="AJ919" s="73"/>
      <c r="AK919" s="73"/>
      <c r="AL919" s="73"/>
      <c r="AM919" s="73"/>
      <c r="AN919" s="73"/>
      <c r="AO919" s="73"/>
      <c r="AP919" s="73"/>
      <c r="AQ919" s="73"/>
      <c r="AR919" s="73"/>
      <c r="AS919" s="73"/>
      <c r="AT919" s="73"/>
      <c r="AU919" s="73"/>
      <c r="AV919" s="73"/>
      <c r="AW919" s="73"/>
      <c r="AX919" s="73"/>
      <c r="AY919" s="73"/>
      <c r="AZ919" s="73"/>
      <c r="BA919" s="73"/>
      <c r="BB919" s="73"/>
    </row>
    <row r="920">
      <c r="A920" s="73"/>
      <c r="B920" s="73"/>
      <c r="C920" s="73"/>
      <c r="D920" s="73"/>
      <c r="E920" s="73"/>
      <c r="F920" s="73"/>
      <c r="G920" s="73"/>
      <c r="H920" s="73"/>
      <c r="I920" s="73"/>
      <c r="J920" s="73"/>
      <c r="K920" s="73"/>
      <c r="L920" s="73"/>
      <c r="M920" s="73"/>
      <c r="N920" s="73"/>
      <c r="O920" s="73"/>
      <c r="P920" s="73"/>
      <c r="Q920" s="73"/>
      <c r="R920" s="73"/>
      <c r="S920" s="73"/>
      <c r="T920" s="73"/>
      <c r="U920" s="73"/>
      <c r="V920" s="73"/>
      <c r="W920" s="73"/>
      <c r="X920" s="73"/>
      <c r="Y920" s="73"/>
      <c r="Z920" s="73"/>
      <c r="AA920" s="73"/>
      <c r="AB920" s="73"/>
      <c r="AC920" s="73"/>
      <c r="AD920" s="73"/>
      <c r="AE920" s="73"/>
      <c r="AF920" s="73"/>
      <c r="AG920" s="73"/>
      <c r="AH920" s="73"/>
      <c r="AI920" s="73"/>
      <c r="AJ920" s="73"/>
      <c r="AK920" s="73"/>
      <c r="AL920" s="73"/>
      <c r="AM920" s="73"/>
      <c r="AN920" s="73"/>
      <c r="AO920" s="73"/>
      <c r="AP920" s="73"/>
      <c r="AQ920" s="73"/>
      <c r="AR920" s="73"/>
      <c r="AS920" s="73"/>
      <c r="AT920" s="73"/>
      <c r="AU920" s="73"/>
      <c r="AV920" s="73"/>
      <c r="AW920" s="73"/>
      <c r="AX920" s="73"/>
      <c r="AY920" s="73"/>
      <c r="AZ920" s="73"/>
      <c r="BA920" s="73"/>
      <c r="BB920" s="73"/>
    </row>
    <row r="921">
      <c r="A921" s="73"/>
      <c r="B921" s="73"/>
      <c r="C921" s="73"/>
      <c r="D921" s="73"/>
      <c r="E921" s="73"/>
      <c r="F921" s="73"/>
      <c r="G921" s="73"/>
      <c r="H921" s="73"/>
      <c r="I921" s="73"/>
      <c r="J921" s="73"/>
      <c r="K921" s="73"/>
      <c r="L921" s="73"/>
      <c r="M921" s="73"/>
      <c r="N921" s="73"/>
      <c r="O921" s="73"/>
      <c r="P921" s="73"/>
      <c r="Q921" s="73"/>
      <c r="R921" s="73"/>
      <c r="S921" s="73"/>
      <c r="T921" s="73"/>
      <c r="U921" s="73"/>
      <c r="V921" s="73"/>
      <c r="W921" s="73"/>
      <c r="X921" s="73"/>
      <c r="Y921" s="73"/>
      <c r="Z921" s="73"/>
      <c r="AA921" s="73"/>
      <c r="AB921" s="73"/>
      <c r="AC921" s="73"/>
      <c r="AD921" s="73"/>
      <c r="AE921" s="73"/>
      <c r="AF921" s="73"/>
      <c r="AG921" s="73"/>
      <c r="AH921" s="73"/>
      <c r="AI921" s="73"/>
      <c r="AJ921" s="73"/>
      <c r="AK921" s="73"/>
      <c r="AL921" s="73"/>
      <c r="AM921" s="73"/>
      <c r="AN921" s="73"/>
      <c r="AO921" s="73"/>
      <c r="AP921" s="73"/>
      <c r="AQ921" s="73"/>
      <c r="AR921" s="73"/>
      <c r="AS921" s="73"/>
      <c r="AT921" s="73"/>
      <c r="AU921" s="73"/>
      <c r="AV921" s="73"/>
      <c r="AW921" s="73"/>
      <c r="AX921" s="73"/>
      <c r="AY921" s="73"/>
      <c r="AZ921" s="73"/>
      <c r="BA921" s="73"/>
      <c r="BB921" s="73"/>
    </row>
    <row r="922">
      <c r="A922" s="73"/>
      <c r="B922" s="73"/>
      <c r="C922" s="73"/>
      <c r="D922" s="73"/>
      <c r="E922" s="73"/>
      <c r="F922" s="73"/>
      <c r="G922" s="73"/>
      <c r="H922" s="73"/>
      <c r="I922" s="73"/>
      <c r="J922" s="73"/>
      <c r="K922" s="73"/>
      <c r="L922" s="73"/>
      <c r="M922" s="73"/>
      <c r="N922" s="73"/>
      <c r="O922" s="73"/>
      <c r="P922" s="73"/>
      <c r="Q922" s="73"/>
      <c r="R922" s="73"/>
      <c r="S922" s="73"/>
      <c r="T922" s="73"/>
      <c r="U922" s="73"/>
      <c r="V922" s="73"/>
      <c r="W922" s="73"/>
      <c r="X922" s="73"/>
      <c r="Y922" s="73"/>
      <c r="Z922" s="73"/>
      <c r="AA922" s="73"/>
      <c r="AB922" s="73"/>
      <c r="AC922" s="73"/>
      <c r="AD922" s="73"/>
      <c r="AE922" s="73"/>
      <c r="AF922" s="73"/>
      <c r="AG922" s="73"/>
      <c r="AH922" s="73"/>
      <c r="AI922" s="73"/>
      <c r="AJ922" s="73"/>
      <c r="AK922" s="73"/>
      <c r="AL922" s="73"/>
      <c r="AM922" s="73"/>
      <c r="AN922" s="73"/>
      <c r="AO922" s="73"/>
      <c r="AP922" s="73"/>
      <c r="AQ922" s="73"/>
      <c r="AR922" s="73"/>
      <c r="AS922" s="73"/>
      <c r="AT922" s="73"/>
      <c r="AU922" s="73"/>
      <c r="AV922" s="73"/>
      <c r="AW922" s="73"/>
      <c r="AX922" s="73"/>
      <c r="AY922" s="73"/>
      <c r="AZ922" s="73"/>
      <c r="BA922" s="73"/>
      <c r="BB922" s="73"/>
    </row>
    <row r="923">
      <c r="A923" s="73"/>
      <c r="B923" s="73"/>
      <c r="C923" s="73"/>
      <c r="D923" s="73"/>
      <c r="E923" s="73"/>
      <c r="F923" s="73"/>
      <c r="G923" s="73"/>
      <c r="H923" s="73"/>
      <c r="I923" s="73"/>
      <c r="J923" s="73"/>
      <c r="K923" s="73"/>
      <c r="L923" s="73"/>
      <c r="M923" s="73"/>
      <c r="N923" s="73"/>
      <c r="O923" s="73"/>
      <c r="P923" s="73"/>
      <c r="Q923" s="73"/>
      <c r="R923" s="73"/>
      <c r="S923" s="73"/>
      <c r="T923" s="73"/>
      <c r="U923" s="73"/>
      <c r="V923" s="73"/>
      <c r="W923" s="73"/>
      <c r="X923" s="73"/>
      <c r="Y923" s="73"/>
      <c r="Z923" s="73"/>
      <c r="AA923" s="73"/>
      <c r="AB923" s="73"/>
      <c r="AC923" s="73"/>
      <c r="AD923" s="73"/>
      <c r="AE923" s="73"/>
      <c r="AF923" s="73"/>
      <c r="AG923" s="73"/>
      <c r="AH923" s="73"/>
      <c r="AI923" s="73"/>
      <c r="AJ923" s="73"/>
      <c r="AK923" s="73"/>
      <c r="AL923" s="73"/>
      <c r="AM923" s="73"/>
      <c r="AN923" s="73"/>
      <c r="AO923" s="73"/>
      <c r="AP923" s="73"/>
      <c r="AQ923" s="73"/>
      <c r="AR923" s="73"/>
      <c r="AS923" s="73"/>
      <c r="AT923" s="73"/>
      <c r="AU923" s="73"/>
      <c r="AV923" s="73"/>
      <c r="AW923" s="73"/>
      <c r="AX923" s="73"/>
      <c r="AY923" s="73"/>
      <c r="AZ923" s="73"/>
      <c r="BA923" s="73"/>
      <c r="BB923" s="73"/>
    </row>
    <row r="924">
      <c r="A924" s="73"/>
      <c r="B924" s="73"/>
      <c r="C924" s="73"/>
      <c r="D924" s="73"/>
      <c r="E924" s="73"/>
      <c r="F924" s="73"/>
      <c r="G924" s="73"/>
      <c r="H924" s="73"/>
      <c r="I924" s="73"/>
      <c r="J924" s="73"/>
      <c r="K924" s="73"/>
      <c r="L924" s="73"/>
      <c r="M924" s="73"/>
      <c r="N924" s="73"/>
      <c r="O924" s="73"/>
      <c r="P924" s="73"/>
      <c r="Q924" s="73"/>
      <c r="R924" s="73"/>
      <c r="S924" s="73"/>
      <c r="T924" s="73"/>
      <c r="U924" s="73"/>
      <c r="V924" s="73"/>
      <c r="W924" s="73"/>
      <c r="X924" s="73"/>
      <c r="Y924" s="73"/>
      <c r="Z924" s="73"/>
      <c r="AA924" s="73"/>
      <c r="AB924" s="73"/>
      <c r="AC924" s="73"/>
      <c r="AD924" s="73"/>
      <c r="AE924" s="73"/>
      <c r="AF924" s="73"/>
      <c r="AG924" s="73"/>
      <c r="AH924" s="73"/>
      <c r="AI924" s="73"/>
      <c r="AJ924" s="73"/>
      <c r="AK924" s="73"/>
      <c r="AL924" s="73"/>
      <c r="AM924" s="73"/>
      <c r="AN924" s="73"/>
      <c r="AO924" s="73"/>
      <c r="AP924" s="73"/>
      <c r="AQ924" s="73"/>
      <c r="AR924" s="73"/>
      <c r="AS924" s="73"/>
      <c r="AT924" s="73"/>
      <c r="AU924" s="73"/>
      <c r="AV924" s="73"/>
      <c r="AW924" s="73"/>
      <c r="AX924" s="73"/>
      <c r="AY924" s="73"/>
      <c r="AZ924" s="73"/>
      <c r="BA924" s="73"/>
      <c r="BB924" s="73"/>
    </row>
    <row r="925">
      <c r="A925" s="73"/>
      <c r="B925" s="73"/>
      <c r="C925" s="73"/>
      <c r="D925" s="73"/>
      <c r="E925" s="73"/>
      <c r="F925" s="73"/>
      <c r="G925" s="73"/>
      <c r="H925" s="73"/>
      <c r="I925" s="73"/>
      <c r="J925" s="73"/>
      <c r="K925" s="73"/>
      <c r="L925" s="73"/>
      <c r="M925" s="73"/>
      <c r="N925" s="73"/>
      <c r="O925" s="73"/>
      <c r="P925" s="73"/>
      <c r="Q925" s="73"/>
      <c r="R925" s="73"/>
      <c r="S925" s="73"/>
      <c r="T925" s="73"/>
      <c r="U925" s="73"/>
      <c r="V925" s="73"/>
      <c r="W925" s="73"/>
      <c r="X925" s="73"/>
      <c r="Y925" s="73"/>
      <c r="Z925" s="73"/>
      <c r="AA925" s="73"/>
      <c r="AB925" s="73"/>
      <c r="AC925" s="73"/>
      <c r="AD925" s="73"/>
      <c r="AE925" s="73"/>
      <c r="AF925" s="73"/>
      <c r="AG925" s="73"/>
      <c r="AH925" s="73"/>
      <c r="AI925" s="73"/>
      <c r="AJ925" s="73"/>
      <c r="AK925" s="73"/>
      <c r="AL925" s="73"/>
      <c r="AM925" s="73"/>
      <c r="AN925" s="73"/>
      <c r="AO925" s="73"/>
      <c r="AP925" s="73"/>
      <c r="AQ925" s="73"/>
      <c r="AR925" s="73"/>
      <c r="AS925" s="73"/>
      <c r="AT925" s="73"/>
      <c r="AU925" s="73"/>
      <c r="AV925" s="73"/>
      <c r="AW925" s="73"/>
      <c r="AX925" s="73"/>
      <c r="AY925" s="73"/>
      <c r="AZ925" s="73"/>
      <c r="BA925" s="73"/>
      <c r="BB925" s="73"/>
    </row>
    <row r="926">
      <c r="A926" s="73"/>
      <c r="B926" s="73"/>
      <c r="C926" s="73"/>
      <c r="D926" s="73"/>
      <c r="E926" s="73"/>
      <c r="F926" s="73"/>
      <c r="G926" s="73"/>
      <c r="H926" s="73"/>
      <c r="I926" s="73"/>
      <c r="J926" s="73"/>
      <c r="K926" s="73"/>
      <c r="L926" s="73"/>
      <c r="M926" s="73"/>
      <c r="N926" s="73"/>
      <c r="O926" s="73"/>
      <c r="P926" s="73"/>
      <c r="Q926" s="73"/>
      <c r="R926" s="73"/>
      <c r="S926" s="73"/>
      <c r="T926" s="73"/>
      <c r="U926" s="73"/>
      <c r="V926" s="73"/>
      <c r="W926" s="73"/>
      <c r="X926" s="73"/>
      <c r="Y926" s="73"/>
      <c r="Z926" s="73"/>
      <c r="AA926" s="73"/>
      <c r="AB926" s="73"/>
      <c r="AC926" s="73"/>
      <c r="AD926" s="73"/>
      <c r="AE926" s="73"/>
      <c r="AF926" s="73"/>
      <c r="AG926" s="73"/>
      <c r="AH926" s="73"/>
      <c r="AI926" s="73"/>
      <c r="AJ926" s="73"/>
      <c r="AK926" s="73"/>
      <c r="AL926" s="73"/>
      <c r="AM926" s="73"/>
      <c r="AN926" s="73"/>
      <c r="AO926" s="73"/>
      <c r="AP926" s="73"/>
      <c r="AQ926" s="73"/>
      <c r="AR926" s="73"/>
      <c r="AS926" s="73"/>
      <c r="AT926" s="73"/>
      <c r="AU926" s="73"/>
      <c r="AV926" s="73"/>
      <c r="AW926" s="73"/>
      <c r="AX926" s="73"/>
      <c r="AY926" s="73"/>
      <c r="AZ926" s="73"/>
      <c r="BA926" s="73"/>
      <c r="BB926" s="73"/>
    </row>
    <row r="927">
      <c r="A927" s="73"/>
      <c r="B927" s="73"/>
      <c r="C927" s="73"/>
      <c r="D927" s="73"/>
      <c r="E927" s="73"/>
      <c r="F927" s="73"/>
      <c r="G927" s="73"/>
      <c r="H927" s="73"/>
      <c r="I927" s="73"/>
      <c r="J927" s="73"/>
      <c r="K927" s="73"/>
      <c r="L927" s="73"/>
      <c r="M927" s="73"/>
      <c r="N927" s="73"/>
      <c r="O927" s="73"/>
      <c r="P927" s="73"/>
      <c r="Q927" s="73"/>
      <c r="R927" s="73"/>
      <c r="S927" s="73"/>
      <c r="T927" s="73"/>
      <c r="U927" s="73"/>
      <c r="V927" s="73"/>
      <c r="W927" s="73"/>
      <c r="X927" s="73"/>
      <c r="Y927" s="73"/>
      <c r="Z927" s="73"/>
      <c r="AA927" s="73"/>
      <c r="AB927" s="73"/>
      <c r="AC927" s="73"/>
      <c r="AD927" s="73"/>
      <c r="AE927" s="73"/>
      <c r="AF927" s="73"/>
      <c r="AG927" s="73"/>
      <c r="AH927" s="73"/>
      <c r="AI927" s="73"/>
      <c r="AJ927" s="73"/>
      <c r="AK927" s="73"/>
      <c r="AL927" s="73"/>
      <c r="AM927" s="73"/>
      <c r="AN927" s="73"/>
      <c r="AO927" s="73"/>
      <c r="AP927" s="73"/>
      <c r="AQ927" s="73"/>
      <c r="AR927" s="73"/>
      <c r="AS927" s="73"/>
      <c r="AT927" s="73"/>
      <c r="AU927" s="73"/>
      <c r="AV927" s="73"/>
      <c r="AW927" s="73"/>
      <c r="AX927" s="73"/>
      <c r="AY927" s="73"/>
      <c r="AZ927" s="73"/>
      <c r="BA927" s="73"/>
      <c r="BB927" s="73"/>
    </row>
    <row r="928">
      <c r="A928" s="73"/>
      <c r="B928" s="73"/>
      <c r="C928" s="73"/>
      <c r="D928" s="73"/>
      <c r="E928" s="73"/>
      <c r="F928" s="73"/>
      <c r="G928" s="73"/>
      <c r="H928" s="73"/>
      <c r="I928" s="73"/>
      <c r="J928" s="73"/>
      <c r="K928" s="73"/>
      <c r="L928" s="73"/>
      <c r="M928" s="73"/>
      <c r="N928" s="73"/>
      <c r="O928" s="73"/>
      <c r="P928" s="73"/>
      <c r="Q928" s="73"/>
      <c r="R928" s="73"/>
      <c r="S928" s="73"/>
      <c r="T928" s="73"/>
      <c r="U928" s="73"/>
      <c r="V928" s="73"/>
      <c r="W928" s="73"/>
      <c r="X928" s="73"/>
      <c r="Y928" s="73"/>
      <c r="Z928" s="73"/>
      <c r="AA928" s="73"/>
      <c r="AB928" s="73"/>
      <c r="AC928" s="73"/>
      <c r="AD928" s="73"/>
      <c r="AE928" s="73"/>
      <c r="AF928" s="73"/>
      <c r="AG928" s="73"/>
      <c r="AH928" s="73"/>
      <c r="AI928" s="73"/>
      <c r="AJ928" s="73"/>
      <c r="AK928" s="73"/>
      <c r="AL928" s="73"/>
      <c r="AM928" s="73"/>
      <c r="AN928" s="73"/>
      <c r="AO928" s="73"/>
      <c r="AP928" s="73"/>
      <c r="AQ928" s="73"/>
      <c r="AR928" s="73"/>
      <c r="AS928" s="73"/>
      <c r="AT928" s="73"/>
      <c r="AU928" s="73"/>
      <c r="AV928" s="73"/>
      <c r="AW928" s="73"/>
      <c r="AX928" s="73"/>
      <c r="AY928" s="73"/>
      <c r="AZ928" s="73"/>
      <c r="BA928" s="73"/>
      <c r="BB928" s="73"/>
    </row>
    <row r="929">
      <c r="A929" s="73"/>
      <c r="B929" s="73"/>
      <c r="C929" s="73"/>
      <c r="D929" s="73"/>
      <c r="E929" s="73"/>
      <c r="F929" s="73"/>
      <c r="G929" s="73"/>
      <c r="H929" s="73"/>
      <c r="I929" s="73"/>
      <c r="J929" s="73"/>
      <c r="K929" s="73"/>
      <c r="L929" s="73"/>
      <c r="M929" s="73"/>
      <c r="N929" s="73"/>
      <c r="O929" s="73"/>
      <c r="P929" s="73"/>
      <c r="Q929" s="73"/>
      <c r="R929" s="73"/>
      <c r="S929" s="73"/>
      <c r="T929" s="73"/>
      <c r="U929" s="73"/>
      <c r="V929" s="73"/>
      <c r="W929" s="73"/>
      <c r="X929" s="73"/>
      <c r="Y929" s="73"/>
      <c r="Z929" s="73"/>
      <c r="AA929" s="73"/>
      <c r="AB929" s="73"/>
      <c r="AC929" s="73"/>
      <c r="AD929" s="73"/>
      <c r="AE929" s="73"/>
      <c r="AF929" s="73"/>
      <c r="AG929" s="73"/>
      <c r="AH929" s="73"/>
      <c r="AI929" s="73"/>
      <c r="AJ929" s="73"/>
      <c r="AK929" s="73"/>
      <c r="AL929" s="73"/>
      <c r="AM929" s="73"/>
      <c r="AN929" s="73"/>
      <c r="AO929" s="73"/>
      <c r="AP929" s="73"/>
      <c r="AQ929" s="73"/>
      <c r="AR929" s="73"/>
      <c r="AS929" s="73"/>
      <c r="AT929" s="73"/>
      <c r="AU929" s="73"/>
      <c r="AV929" s="73"/>
      <c r="AW929" s="73"/>
      <c r="AX929" s="73"/>
      <c r="AY929" s="73"/>
      <c r="AZ929" s="73"/>
      <c r="BA929" s="73"/>
      <c r="BB929" s="73"/>
    </row>
    <row r="930">
      <c r="A930" s="73"/>
      <c r="B930" s="73"/>
      <c r="C930" s="73"/>
      <c r="D930" s="73"/>
      <c r="E930" s="73"/>
      <c r="F930" s="73"/>
      <c r="G930" s="73"/>
      <c r="H930" s="73"/>
      <c r="I930" s="73"/>
      <c r="J930" s="73"/>
      <c r="K930" s="73"/>
      <c r="L930" s="73"/>
      <c r="M930" s="73"/>
      <c r="N930" s="73"/>
      <c r="O930" s="73"/>
      <c r="P930" s="73"/>
      <c r="Q930" s="73"/>
      <c r="R930" s="73"/>
      <c r="S930" s="73"/>
      <c r="T930" s="73"/>
      <c r="U930" s="73"/>
      <c r="V930" s="73"/>
      <c r="W930" s="73"/>
      <c r="X930" s="73"/>
      <c r="Y930" s="73"/>
      <c r="Z930" s="73"/>
      <c r="AA930" s="73"/>
      <c r="AB930" s="73"/>
      <c r="AC930" s="73"/>
      <c r="AD930" s="73"/>
      <c r="AE930" s="73"/>
      <c r="AF930" s="73"/>
      <c r="AG930" s="73"/>
      <c r="AH930" s="73"/>
      <c r="AI930" s="73"/>
      <c r="AJ930" s="73"/>
      <c r="AK930" s="73"/>
      <c r="AL930" s="73"/>
      <c r="AM930" s="73"/>
      <c r="AN930" s="73"/>
      <c r="AO930" s="73"/>
      <c r="AP930" s="73"/>
      <c r="AQ930" s="73"/>
      <c r="AR930" s="73"/>
      <c r="AS930" s="73"/>
      <c r="AT930" s="73"/>
      <c r="AU930" s="73"/>
      <c r="AV930" s="73"/>
      <c r="AW930" s="73"/>
      <c r="AX930" s="73"/>
      <c r="AY930" s="73"/>
      <c r="AZ930" s="73"/>
      <c r="BA930" s="73"/>
      <c r="BB930" s="73"/>
    </row>
    <row r="931">
      <c r="A931" s="73"/>
      <c r="B931" s="73"/>
      <c r="C931" s="73"/>
      <c r="D931" s="73"/>
      <c r="E931" s="73"/>
      <c r="F931" s="73"/>
      <c r="G931" s="73"/>
      <c r="H931" s="73"/>
      <c r="I931" s="73"/>
      <c r="J931" s="73"/>
      <c r="K931" s="73"/>
      <c r="L931" s="73"/>
      <c r="M931" s="73"/>
      <c r="N931" s="73"/>
      <c r="O931" s="73"/>
      <c r="P931" s="73"/>
      <c r="Q931" s="73"/>
      <c r="R931" s="73"/>
      <c r="S931" s="73"/>
      <c r="T931" s="73"/>
      <c r="U931" s="73"/>
      <c r="V931" s="73"/>
      <c r="W931" s="73"/>
      <c r="X931" s="73"/>
      <c r="Y931" s="73"/>
      <c r="Z931" s="73"/>
      <c r="AA931" s="73"/>
      <c r="AB931" s="73"/>
      <c r="AC931" s="73"/>
      <c r="AD931" s="73"/>
      <c r="AE931" s="73"/>
      <c r="AF931" s="73"/>
      <c r="AG931" s="73"/>
      <c r="AH931" s="73"/>
      <c r="AI931" s="73"/>
      <c r="AJ931" s="73"/>
      <c r="AK931" s="73"/>
      <c r="AL931" s="73"/>
      <c r="AM931" s="73"/>
      <c r="AN931" s="73"/>
      <c r="AO931" s="73"/>
      <c r="AP931" s="73"/>
      <c r="AQ931" s="73"/>
      <c r="AR931" s="73"/>
      <c r="AS931" s="73"/>
      <c r="AT931" s="73"/>
      <c r="AU931" s="73"/>
      <c r="AV931" s="73"/>
      <c r="AW931" s="73"/>
      <c r="AX931" s="73"/>
      <c r="AY931" s="73"/>
      <c r="AZ931" s="73"/>
      <c r="BA931" s="73"/>
      <c r="BB931" s="73"/>
    </row>
    <row r="932">
      <c r="A932" s="73"/>
      <c r="B932" s="73"/>
      <c r="C932" s="73"/>
      <c r="D932" s="73"/>
      <c r="E932" s="73"/>
      <c r="F932" s="73"/>
      <c r="G932" s="73"/>
      <c r="H932" s="73"/>
      <c r="I932" s="73"/>
      <c r="J932" s="73"/>
      <c r="K932" s="73"/>
      <c r="L932" s="73"/>
      <c r="M932" s="73"/>
      <c r="N932" s="73"/>
      <c r="O932" s="73"/>
      <c r="P932" s="73"/>
      <c r="Q932" s="73"/>
      <c r="R932" s="73"/>
      <c r="S932" s="73"/>
      <c r="T932" s="73"/>
      <c r="U932" s="73"/>
      <c r="V932" s="73"/>
      <c r="W932" s="73"/>
      <c r="X932" s="73"/>
      <c r="Y932" s="73"/>
      <c r="Z932" s="73"/>
      <c r="AA932" s="73"/>
      <c r="AB932" s="73"/>
      <c r="AC932" s="73"/>
      <c r="AD932" s="73"/>
      <c r="AE932" s="73"/>
      <c r="AF932" s="73"/>
      <c r="AG932" s="73"/>
      <c r="AH932" s="73"/>
      <c r="AI932" s="73"/>
      <c r="AJ932" s="73"/>
      <c r="AK932" s="73"/>
      <c r="AL932" s="73"/>
      <c r="AM932" s="73"/>
      <c r="AN932" s="73"/>
      <c r="AO932" s="73"/>
      <c r="AP932" s="73"/>
      <c r="AQ932" s="73"/>
      <c r="AR932" s="73"/>
      <c r="AS932" s="73"/>
      <c r="AT932" s="73"/>
      <c r="AU932" s="73"/>
      <c r="AV932" s="73"/>
      <c r="AW932" s="73"/>
      <c r="AX932" s="73"/>
      <c r="AY932" s="73"/>
      <c r="AZ932" s="73"/>
      <c r="BA932" s="73"/>
      <c r="BB932" s="73"/>
    </row>
    <row r="933">
      <c r="A933" s="73"/>
      <c r="B933" s="73"/>
      <c r="C933" s="73"/>
      <c r="D933" s="73"/>
      <c r="E933" s="73"/>
      <c r="F933" s="73"/>
      <c r="G933" s="73"/>
      <c r="H933" s="73"/>
      <c r="I933" s="73"/>
      <c r="J933" s="73"/>
      <c r="K933" s="73"/>
      <c r="L933" s="73"/>
      <c r="M933" s="73"/>
      <c r="N933" s="73"/>
      <c r="O933" s="73"/>
      <c r="P933" s="73"/>
      <c r="Q933" s="73"/>
      <c r="R933" s="73"/>
      <c r="S933" s="73"/>
      <c r="T933" s="73"/>
      <c r="U933" s="73"/>
      <c r="V933" s="73"/>
      <c r="W933" s="73"/>
      <c r="X933" s="73"/>
      <c r="Y933" s="73"/>
      <c r="Z933" s="73"/>
      <c r="AA933" s="73"/>
      <c r="AB933" s="73"/>
      <c r="AC933" s="73"/>
      <c r="AD933" s="73"/>
      <c r="AE933" s="73"/>
      <c r="AF933" s="73"/>
      <c r="AG933" s="73"/>
      <c r="AH933" s="73"/>
      <c r="AI933" s="73"/>
      <c r="AJ933" s="73"/>
      <c r="AK933" s="73"/>
      <c r="AL933" s="73"/>
      <c r="AM933" s="73"/>
      <c r="AN933" s="73"/>
      <c r="AO933" s="73"/>
      <c r="AP933" s="73"/>
      <c r="AQ933" s="73"/>
      <c r="AR933" s="73"/>
      <c r="AS933" s="73"/>
      <c r="AT933" s="73"/>
      <c r="AU933" s="73"/>
      <c r="AV933" s="73"/>
      <c r="AW933" s="73"/>
      <c r="AX933" s="73"/>
      <c r="AY933" s="73"/>
      <c r="AZ933" s="73"/>
      <c r="BA933" s="73"/>
      <c r="BB933" s="73"/>
    </row>
    <row r="934">
      <c r="A934" s="73"/>
      <c r="B934" s="73"/>
      <c r="C934" s="73"/>
      <c r="D934" s="73"/>
      <c r="E934" s="73"/>
      <c r="F934" s="73"/>
      <c r="G934" s="73"/>
      <c r="H934" s="73"/>
      <c r="I934" s="73"/>
      <c r="J934" s="73"/>
      <c r="K934" s="73"/>
      <c r="L934" s="73"/>
      <c r="M934" s="73"/>
      <c r="N934" s="73"/>
      <c r="O934" s="73"/>
      <c r="P934" s="73"/>
      <c r="Q934" s="73"/>
      <c r="R934" s="73"/>
      <c r="S934" s="73"/>
      <c r="T934" s="73"/>
      <c r="U934" s="73"/>
      <c r="V934" s="73"/>
      <c r="W934" s="73"/>
      <c r="X934" s="73"/>
      <c r="Y934" s="73"/>
      <c r="Z934" s="73"/>
      <c r="AA934" s="73"/>
      <c r="AB934" s="73"/>
      <c r="AC934" s="73"/>
      <c r="AD934" s="73"/>
      <c r="AE934" s="73"/>
      <c r="AF934" s="73"/>
      <c r="AG934" s="73"/>
      <c r="AH934" s="73"/>
      <c r="AI934" s="73"/>
      <c r="AJ934" s="73"/>
      <c r="AK934" s="73"/>
      <c r="AL934" s="73"/>
      <c r="AM934" s="73"/>
      <c r="AN934" s="73"/>
      <c r="AO934" s="73"/>
      <c r="AP934" s="73"/>
      <c r="AQ934" s="73"/>
      <c r="AR934" s="73"/>
      <c r="AS934" s="73"/>
      <c r="AT934" s="73"/>
      <c r="AU934" s="73"/>
      <c r="AV934" s="73"/>
      <c r="AW934" s="73"/>
      <c r="AX934" s="73"/>
      <c r="AY934" s="73"/>
      <c r="AZ934" s="73"/>
      <c r="BA934" s="73"/>
      <c r="BB934" s="73"/>
    </row>
    <row r="935">
      <c r="A935" s="73"/>
      <c r="B935" s="73"/>
      <c r="C935" s="73"/>
      <c r="D935" s="73"/>
      <c r="E935" s="73"/>
      <c r="F935" s="73"/>
      <c r="G935" s="73"/>
      <c r="H935" s="73"/>
      <c r="I935" s="73"/>
      <c r="J935" s="73"/>
      <c r="K935" s="73"/>
      <c r="L935" s="73"/>
      <c r="M935" s="73"/>
      <c r="N935" s="73"/>
      <c r="O935" s="73"/>
      <c r="P935" s="73"/>
      <c r="Q935" s="73"/>
      <c r="R935" s="73"/>
      <c r="S935" s="73"/>
      <c r="T935" s="73"/>
      <c r="U935" s="73"/>
      <c r="V935" s="73"/>
      <c r="W935" s="73"/>
      <c r="X935" s="73"/>
      <c r="Y935" s="73"/>
      <c r="Z935" s="73"/>
      <c r="AA935" s="73"/>
      <c r="AB935" s="73"/>
      <c r="AC935" s="73"/>
      <c r="AD935" s="73"/>
      <c r="AE935" s="73"/>
      <c r="AF935" s="73"/>
      <c r="AG935" s="73"/>
      <c r="AH935" s="73"/>
      <c r="AI935" s="73"/>
      <c r="AJ935" s="73"/>
      <c r="AK935" s="73"/>
      <c r="AL935" s="73"/>
      <c r="AM935" s="73"/>
      <c r="AN935" s="73"/>
      <c r="AO935" s="73"/>
      <c r="AP935" s="73"/>
      <c r="AQ935" s="73"/>
      <c r="AR935" s="73"/>
      <c r="AS935" s="73"/>
      <c r="AT935" s="73"/>
      <c r="AU935" s="73"/>
      <c r="AV935" s="73"/>
      <c r="AW935" s="73"/>
      <c r="AX935" s="73"/>
      <c r="AY935" s="73"/>
      <c r="AZ935" s="73"/>
      <c r="BA935" s="73"/>
      <c r="BB935" s="73"/>
    </row>
    <row r="936">
      <c r="A936" s="73"/>
      <c r="B936" s="73"/>
      <c r="C936" s="73"/>
      <c r="D936" s="73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  <c r="Z936" s="73"/>
      <c r="AA936" s="73"/>
      <c r="AB936" s="73"/>
      <c r="AC936" s="73"/>
      <c r="AD936" s="73"/>
      <c r="AE936" s="73"/>
      <c r="AF936" s="73"/>
      <c r="AG936" s="73"/>
      <c r="AH936" s="73"/>
      <c r="AI936" s="73"/>
      <c r="AJ936" s="73"/>
      <c r="AK936" s="73"/>
      <c r="AL936" s="73"/>
      <c r="AM936" s="73"/>
      <c r="AN936" s="73"/>
      <c r="AO936" s="73"/>
      <c r="AP936" s="73"/>
      <c r="AQ936" s="73"/>
      <c r="AR936" s="73"/>
      <c r="AS936" s="73"/>
      <c r="AT936" s="73"/>
      <c r="AU936" s="73"/>
      <c r="AV936" s="73"/>
      <c r="AW936" s="73"/>
      <c r="AX936" s="73"/>
      <c r="AY936" s="73"/>
      <c r="AZ936" s="73"/>
      <c r="BA936" s="73"/>
      <c r="BB936" s="73"/>
    </row>
    <row r="937">
      <c r="A937" s="73"/>
      <c r="B937" s="73"/>
      <c r="C937" s="73"/>
      <c r="D937" s="73"/>
      <c r="E937" s="73"/>
      <c r="F937" s="73"/>
      <c r="G937" s="73"/>
      <c r="H937" s="73"/>
      <c r="I937" s="73"/>
      <c r="J937" s="73"/>
      <c r="K937" s="73"/>
      <c r="L937" s="73"/>
      <c r="M937" s="73"/>
      <c r="N937" s="73"/>
      <c r="O937" s="73"/>
      <c r="P937" s="73"/>
      <c r="Q937" s="73"/>
      <c r="R937" s="73"/>
      <c r="S937" s="73"/>
      <c r="T937" s="73"/>
      <c r="U937" s="73"/>
      <c r="V937" s="73"/>
      <c r="W937" s="73"/>
      <c r="X937" s="73"/>
      <c r="Y937" s="73"/>
      <c r="Z937" s="73"/>
      <c r="AA937" s="73"/>
      <c r="AB937" s="73"/>
      <c r="AC937" s="73"/>
      <c r="AD937" s="73"/>
      <c r="AE937" s="73"/>
      <c r="AF937" s="73"/>
      <c r="AG937" s="73"/>
      <c r="AH937" s="73"/>
      <c r="AI937" s="73"/>
      <c r="AJ937" s="73"/>
      <c r="AK937" s="73"/>
      <c r="AL937" s="73"/>
      <c r="AM937" s="73"/>
      <c r="AN937" s="73"/>
      <c r="AO937" s="73"/>
      <c r="AP937" s="73"/>
      <c r="AQ937" s="73"/>
      <c r="AR937" s="73"/>
      <c r="AS937" s="73"/>
      <c r="AT937" s="73"/>
      <c r="AU937" s="73"/>
      <c r="AV937" s="73"/>
      <c r="AW937" s="73"/>
      <c r="AX937" s="73"/>
      <c r="AY937" s="73"/>
      <c r="AZ937" s="73"/>
      <c r="BA937" s="73"/>
      <c r="BB937" s="73"/>
    </row>
    <row r="938">
      <c r="A938" s="73"/>
      <c r="B938" s="73"/>
      <c r="C938" s="73"/>
      <c r="D938" s="73"/>
      <c r="E938" s="73"/>
      <c r="F938" s="73"/>
      <c r="G938" s="73"/>
      <c r="H938" s="73"/>
      <c r="I938" s="73"/>
      <c r="J938" s="73"/>
      <c r="K938" s="73"/>
      <c r="L938" s="73"/>
      <c r="M938" s="73"/>
      <c r="N938" s="73"/>
      <c r="O938" s="73"/>
      <c r="P938" s="73"/>
      <c r="Q938" s="73"/>
      <c r="R938" s="73"/>
      <c r="S938" s="73"/>
      <c r="T938" s="73"/>
      <c r="U938" s="73"/>
      <c r="V938" s="73"/>
      <c r="W938" s="73"/>
      <c r="X938" s="73"/>
      <c r="Y938" s="73"/>
      <c r="Z938" s="73"/>
      <c r="AA938" s="73"/>
      <c r="AB938" s="73"/>
      <c r="AC938" s="73"/>
      <c r="AD938" s="73"/>
      <c r="AE938" s="73"/>
      <c r="AF938" s="73"/>
      <c r="AG938" s="73"/>
      <c r="AH938" s="73"/>
      <c r="AI938" s="73"/>
      <c r="AJ938" s="73"/>
      <c r="AK938" s="73"/>
      <c r="AL938" s="73"/>
      <c r="AM938" s="73"/>
      <c r="AN938" s="73"/>
      <c r="AO938" s="73"/>
      <c r="AP938" s="73"/>
      <c r="AQ938" s="73"/>
      <c r="AR938" s="73"/>
      <c r="AS938" s="73"/>
      <c r="AT938" s="73"/>
      <c r="AU938" s="73"/>
      <c r="AV938" s="73"/>
      <c r="AW938" s="73"/>
      <c r="AX938" s="73"/>
      <c r="AY938" s="73"/>
      <c r="AZ938" s="73"/>
      <c r="BA938" s="73"/>
      <c r="BB938" s="73"/>
    </row>
    <row r="939">
      <c r="A939" s="73"/>
      <c r="B939" s="73"/>
      <c r="C939" s="73"/>
      <c r="D939" s="73"/>
      <c r="E939" s="73"/>
      <c r="F939" s="73"/>
      <c r="G939" s="73"/>
      <c r="H939" s="73"/>
      <c r="I939" s="73"/>
      <c r="J939" s="73"/>
      <c r="K939" s="73"/>
      <c r="L939" s="73"/>
      <c r="M939" s="73"/>
      <c r="N939" s="73"/>
      <c r="O939" s="73"/>
      <c r="P939" s="73"/>
      <c r="Q939" s="73"/>
      <c r="R939" s="73"/>
      <c r="S939" s="73"/>
      <c r="T939" s="73"/>
      <c r="U939" s="73"/>
      <c r="V939" s="73"/>
      <c r="W939" s="73"/>
      <c r="X939" s="73"/>
      <c r="Y939" s="73"/>
      <c r="Z939" s="73"/>
      <c r="AA939" s="73"/>
      <c r="AB939" s="73"/>
      <c r="AC939" s="73"/>
      <c r="AD939" s="73"/>
      <c r="AE939" s="73"/>
      <c r="AF939" s="73"/>
      <c r="AG939" s="73"/>
      <c r="AH939" s="73"/>
      <c r="AI939" s="73"/>
      <c r="AJ939" s="73"/>
      <c r="AK939" s="73"/>
      <c r="AL939" s="73"/>
      <c r="AM939" s="73"/>
      <c r="AN939" s="73"/>
      <c r="AO939" s="73"/>
      <c r="AP939" s="73"/>
      <c r="AQ939" s="73"/>
      <c r="AR939" s="73"/>
      <c r="AS939" s="73"/>
      <c r="AT939" s="73"/>
      <c r="AU939" s="73"/>
      <c r="AV939" s="73"/>
      <c r="AW939" s="73"/>
      <c r="AX939" s="73"/>
      <c r="AY939" s="73"/>
      <c r="AZ939" s="73"/>
      <c r="BA939" s="73"/>
      <c r="BB939" s="73"/>
    </row>
    <row r="940">
      <c r="A940" s="73"/>
      <c r="B940" s="73"/>
      <c r="C940" s="73"/>
      <c r="D940" s="73"/>
      <c r="E940" s="73"/>
      <c r="F940" s="73"/>
      <c r="G940" s="73"/>
      <c r="H940" s="73"/>
      <c r="I940" s="73"/>
      <c r="J940" s="73"/>
      <c r="K940" s="73"/>
      <c r="L940" s="73"/>
      <c r="M940" s="73"/>
      <c r="N940" s="73"/>
      <c r="O940" s="73"/>
      <c r="P940" s="73"/>
      <c r="Q940" s="73"/>
      <c r="R940" s="73"/>
      <c r="S940" s="73"/>
      <c r="T940" s="73"/>
      <c r="U940" s="73"/>
      <c r="V940" s="73"/>
      <c r="W940" s="73"/>
      <c r="X940" s="73"/>
      <c r="Y940" s="73"/>
      <c r="Z940" s="73"/>
      <c r="AA940" s="73"/>
      <c r="AB940" s="73"/>
      <c r="AC940" s="73"/>
      <c r="AD940" s="73"/>
      <c r="AE940" s="73"/>
      <c r="AF940" s="73"/>
      <c r="AG940" s="73"/>
      <c r="AH940" s="73"/>
      <c r="AI940" s="73"/>
      <c r="AJ940" s="73"/>
      <c r="AK940" s="73"/>
      <c r="AL940" s="73"/>
      <c r="AM940" s="73"/>
      <c r="AN940" s="73"/>
      <c r="AO940" s="73"/>
      <c r="AP940" s="73"/>
      <c r="AQ940" s="73"/>
      <c r="AR940" s="73"/>
      <c r="AS940" s="73"/>
      <c r="AT940" s="73"/>
      <c r="AU940" s="73"/>
      <c r="AV940" s="73"/>
      <c r="AW940" s="73"/>
      <c r="AX940" s="73"/>
      <c r="AY940" s="73"/>
      <c r="AZ940" s="73"/>
      <c r="BA940" s="73"/>
      <c r="BB940" s="73"/>
    </row>
    <row r="941">
      <c r="A941" s="73"/>
      <c r="B941" s="73"/>
      <c r="C941" s="73"/>
      <c r="D941" s="73"/>
      <c r="E941" s="73"/>
      <c r="F941" s="73"/>
      <c r="G941" s="73"/>
      <c r="H941" s="73"/>
      <c r="I941" s="73"/>
      <c r="J941" s="73"/>
      <c r="K941" s="73"/>
      <c r="L941" s="73"/>
      <c r="M941" s="73"/>
      <c r="N941" s="73"/>
      <c r="O941" s="73"/>
      <c r="P941" s="73"/>
      <c r="Q941" s="73"/>
      <c r="R941" s="73"/>
      <c r="S941" s="73"/>
      <c r="T941" s="73"/>
      <c r="U941" s="73"/>
      <c r="V941" s="73"/>
      <c r="W941" s="73"/>
      <c r="X941" s="73"/>
      <c r="Y941" s="73"/>
      <c r="Z941" s="73"/>
      <c r="AA941" s="73"/>
      <c r="AB941" s="73"/>
      <c r="AC941" s="73"/>
      <c r="AD941" s="73"/>
      <c r="AE941" s="73"/>
      <c r="AF941" s="73"/>
      <c r="AG941" s="73"/>
      <c r="AH941" s="73"/>
      <c r="AI941" s="73"/>
      <c r="AJ941" s="73"/>
      <c r="AK941" s="73"/>
      <c r="AL941" s="73"/>
      <c r="AM941" s="73"/>
      <c r="AN941" s="73"/>
      <c r="AO941" s="73"/>
      <c r="AP941" s="73"/>
      <c r="AQ941" s="73"/>
      <c r="AR941" s="73"/>
      <c r="AS941" s="73"/>
      <c r="AT941" s="73"/>
      <c r="AU941" s="73"/>
      <c r="AV941" s="73"/>
      <c r="AW941" s="73"/>
      <c r="AX941" s="73"/>
      <c r="AY941" s="73"/>
      <c r="AZ941" s="73"/>
      <c r="BA941" s="73"/>
      <c r="BB941" s="73"/>
    </row>
    <row r="942">
      <c r="A942" s="73"/>
      <c r="B942" s="73"/>
      <c r="C942" s="73"/>
      <c r="D942" s="73"/>
      <c r="E942" s="73"/>
      <c r="F942" s="73"/>
      <c r="G942" s="73"/>
      <c r="H942" s="73"/>
      <c r="I942" s="73"/>
      <c r="J942" s="73"/>
      <c r="K942" s="73"/>
      <c r="L942" s="73"/>
      <c r="M942" s="73"/>
      <c r="N942" s="73"/>
      <c r="O942" s="73"/>
      <c r="P942" s="73"/>
      <c r="Q942" s="73"/>
      <c r="R942" s="73"/>
      <c r="S942" s="73"/>
      <c r="T942" s="73"/>
      <c r="U942" s="73"/>
      <c r="V942" s="73"/>
      <c r="W942" s="73"/>
      <c r="X942" s="73"/>
      <c r="Y942" s="73"/>
      <c r="Z942" s="73"/>
      <c r="AA942" s="73"/>
      <c r="AB942" s="73"/>
      <c r="AC942" s="73"/>
      <c r="AD942" s="73"/>
      <c r="AE942" s="73"/>
      <c r="AF942" s="73"/>
      <c r="AG942" s="73"/>
      <c r="AH942" s="73"/>
      <c r="AI942" s="73"/>
      <c r="AJ942" s="73"/>
      <c r="AK942" s="73"/>
      <c r="AL942" s="73"/>
      <c r="AM942" s="73"/>
      <c r="AN942" s="73"/>
      <c r="AO942" s="73"/>
      <c r="AP942" s="73"/>
      <c r="AQ942" s="73"/>
      <c r="AR942" s="73"/>
      <c r="AS942" s="73"/>
      <c r="AT942" s="73"/>
      <c r="AU942" s="73"/>
      <c r="AV942" s="73"/>
      <c r="AW942" s="73"/>
      <c r="AX942" s="73"/>
      <c r="AY942" s="73"/>
      <c r="AZ942" s="73"/>
      <c r="BA942" s="73"/>
      <c r="BB942" s="73"/>
    </row>
    <row r="943">
      <c r="A943" s="73"/>
      <c r="B943" s="73"/>
      <c r="C943" s="73"/>
      <c r="D943" s="73"/>
      <c r="E943" s="73"/>
      <c r="F943" s="73"/>
      <c r="G943" s="73"/>
      <c r="H943" s="73"/>
      <c r="I943" s="73"/>
      <c r="J943" s="73"/>
      <c r="K943" s="73"/>
      <c r="L943" s="73"/>
      <c r="M943" s="73"/>
      <c r="N943" s="73"/>
      <c r="O943" s="73"/>
      <c r="P943" s="73"/>
      <c r="Q943" s="73"/>
      <c r="R943" s="73"/>
      <c r="S943" s="73"/>
      <c r="T943" s="73"/>
      <c r="U943" s="73"/>
      <c r="V943" s="73"/>
      <c r="W943" s="73"/>
      <c r="X943" s="73"/>
      <c r="Y943" s="73"/>
      <c r="Z943" s="73"/>
      <c r="AA943" s="73"/>
      <c r="AB943" s="73"/>
      <c r="AC943" s="73"/>
      <c r="AD943" s="73"/>
      <c r="AE943" s="73"/>
      <c r="AF943" s="73"/>
      <c r="AG943" s="73"/>
      <c r="AH943" s="73"/>
      <c r="AI943" s="73"/>
      <c r="AJ943" s="73"/>
      <c r="AK943" s="73"/>
      <c r="AL943" s="73"/>
      <c r="AM943" s="73"/>
      <c r="AN943" s="73"/>
      <c r="AO943" s="73"/>
      <c r="AP943" s="73"/>
      <c r="AQ943" s="73"/>
      <c r="AR943" s="73"/>
      <c r="AS943" s="73"/>
      <c r="AT943" s="73"/>
      <c r="AU943" s="73"/>
      <c r="AV943" s="73"/>
      <c r="AW943" s="73"/>
      <c r="AX943" s="73"/>
      <c r="AY943" s="73"/>
      <c r="AZ943" s="73"/>
      <c r="BA943" s="73"/>
      <c r="BB943" s="73"/>
    </row>
    <row r="944">
      <c r="A944" s="73"/>
      <c r="B944" s="73"/>
      <c r="C944" s="73"/>
      <c r="D944" s="73"/>
      <c r="E944" s="73"/>
      <c r="F944" s="73"/>
      <c r="G944" s="73"/>
      <c r="H944" s="73"/>
      <c r="I944" s="73"/>
      <c r="J944" s="73"/>
      <c r="K944" s="73"/>
      <c r="L944" s="73"/>
      <c r="M944" s="73"/>
      <c r="N944" s="73"/>
      <c r="O944" s="73"/>
      <c r="P944" s="73"/>
      <c r="Q944" s="73"/>
      <c r="R944" s="73"/>
      <c r="S944" s="73"/>
      <c r="T944" s="73"/>
      <c r="U944" s="73"/>
      <c r="V944" s="73"/>
      <c r="W944" s="73"/>
      <c r="X944" s="73"/>
      <c r="Y944" s="73"/>
      <c r="Z944" s="73"/>
      <c r="AA944" s="73"/>
      <c r="AB944" s="73"/>
      <c r="AC944" s="73"/>
      <c r="AD944" s="73"/>
      <c r="AE944" s="73"/>
      <c r="AF944" s="73"/>
      <c r="AG944" s="73"/>
      <c r="AH944" s="73"/>
      <c r="AI944" s="73"/>
      <c r="AJ944" s="73"/>
      <c r="AK944" s="73"/>
      <c r="AL944" s="73"/>
      <c r="AM944" s="73"/>
      <c r="AN944" s="73"/>
      <c r="AO944" s="73"/>
      <c r="AP944" s="73"/>
      <c r="AQ944" s="73"/>
      <c r="AR944" s="73"/>
      <c r="AS944" s="73"/>
      <c r="AT944" s="73"/>
      <c r="AU944" s="73"/>
      <c r="AV944" s="73"/>
      <c r="AW944" s="73"/>
      <c r="AX944" s="73"/>
      <c r="AY944" s="73"/>
      <c r="AZ944" s="73"/>
      <c r="BA944" s="73"/>
      <c r="BB944" s="73"/>
    </row>
    <row r="945">
      <c r="A945" s="73"/>
      <c r="B945" s="73"/>
      <c r="C945" s="73"/>
      <c r="D945" s="73"/>
      <c r="E945" s="73"/>
      <c r="F945" s="73"/>
      <c r="G945" s="73"/>
      <c r="H945" s="73"/>
      <c r="I945" s="73"/>
      <c r="J945" s="73"/>
      <c r="K945" s="73"/>
      <c r="L945" s="73"/>
      <c r="M945" s="73"/>
      <c r="N945" s="73"/>
      <c r="O945" s="73"/>
      <c r="P945" s="73"/>
      <c r="Q945" s="73"/>
      <c r="R945" s="73"/>
      <c r="S945" s="73"/>
      <c r="T945" s="73"/>
      <c r="U945" s="73"/>
      <c r="V945" s="73"/>
      <c r="W945" s="73"/>
      <c r="X945" s="73"/>
      <c r="Y945" s="73"/>
      <c r="Z945" s="73"/>
      <c r="AA945" s="73"/>
      <c r="AB945" s="73"/>
      <c r="AC945" s="73"/>
      <c r="AD945" s="73"/>
      <c r="AE945" s="73"/>
      <c r="AF945" s="73"/>
      <c r="AG945" s="73"/>
      <c r="AH945" s="73"/>
      <c r="AI945" s="73"/>
      <c r="AJ945" s="73"/>
      <c r="AK945" s="73"/>
      <c r="AL945" s="73"/>
      <c r="AM945" s="73"/>
      <c r="AN945" s="73"/>
      <c r="AO945" s="73"/>
      <c r="AP945" s="73"/>
      <c r="AQ945" s="73"/>
      <c r="AR945" s="73"/>
      <c r="AS945" s="73"/>
      <c r="AT945" s="73"/>
      <c r="AU945" s="73"/>
      <c r="AV945" s="73"/>
      <c r="AW945" s="73"/>
      <c r="AX945" s="73"/>
      <c r="AY945" s="73"/>
      <c r="AZ945" s="73"/>
      <c r="BA945" s="73"/>
      <c r="BB945" s="73"/>
    </row>
    <row r="946">
      <c r="A946" s="73"/>
      <c r="B946" s="73"/>
      <c r="C946" s="73"/>
      <c r="D946" s="73"/>
      <c r="E946" s="73"/>
      <c r="F946" s="73"/>
      <c r="G946" s="73"/>
      <c r="H946" s="73"/>
      <c r="I946" s="73"/>
      <c r="J946" s="73"/>
      <c r="K946" s="73"/>
      <c r="L946" s="73"/>
      <c r="M946" s="73"/>
      <c r="N946" s="73"/>
      <c r="O946" s="73"/>
      <c r="P946" s="73"/>
      <c r="Q946" s="73"/>
      <c r="R946" s="73"/>
      <c r="S946" s="73"/>
      <c r="T946" s="73"/>
      <c r="U946" s="73"/>
      <c r="V946" s="73"/>
      <c r="W946" s="73"/>
      <c r="X946" s="73"/>
      <c r="Y946" s="73"/>
      <c r="Z946" s="73"/>
      <c r="AA946" s="73"/>
      <c r="AB946" s="73"/>
      <c r="AC946" s="73"/>
      <c r="AD946" s="73"/>
      <c r="AE946" s="73"/>
      <c r="AF946" s="73"/>
      <c r="AG946" s="73"/>
      <c r="AH946" s="73"/>
      <c r="AI946" s="73"/>
      <c r="AJ946" s="73"/>
      <c r="AK946" s="73"/>
      <c r="AL946" s="73"/>
      <c r="AM946" s="73"/>
      <c r="AN946" s="73"/>
      <c r="AO946" s="73"/>
      <c r="AP946" s="73"/>
      <c r="AQ946" s="73"/>
      <c r="AR946" s="73"/>
      <c r="AS946" s="73"/>
      <c r="AT946" s="73"/>
      <c r="AU946" s="73"/>
      <c r="AV946" s="73"/>
      <c r="AW946" s="73"/>
      <c r="AX946" s="73"/>
      <c r="AY946" s="73"/>
      <c r="AZ946" s="73"/>
      <c r="BA946" s="73"/>
      <c r="BB946" s="73"/>
    </row>
    <row r="947">
      <c r="A947" s="73"/>
      <c r="B947" s="73"/>
      <c r="C947" s="73"/>
      <c r="D947" s="73"/>
      <c r="E947" s="73"/>
      <c r="F947" s="73"/>
      <c r="G947" s="73"/>
      <c r="H947" s="73"/>
      <c r="I947" s="73"/>
      <c r="J947" s="73"/>
      <c r="K947" s="73"/>
      <c r="L947" s="73"/>
      <c r="M947" s="73"/>
      <c r="N947" s="73"/>
      <c r="O947" s="73"/>
      <c r="P947" s="73"/>
      <c r="Q947" s="73"/>
      <c r="R947" s="73"/>
      <c r="S947" s="73"/>
      <c r="T947" s="73"/>
      <c r="U947" s="73"/>
      <c r="V947" s="73"/>
      <c r="W947" s="73"/>
      <c r="X947" s="73"/>
      <c r="Y947" s="73"/>
      <c r="Z947" s="73"/>
      <c r="AA947" s="73"/>
      <c r="AB947" s="73"/>
      <c r="AC947" s="73"/>
      <c r="AD947" s="73"/>
      <c r="AE947" s="73"/>
      <c r="AF947" s="73"/>
      <c r="AG947" s="73"/>
      <c r="AH947" s="73"/>
      <c r="AI947" s="73"/>
      <c r="AJ947" s="73"/>
      <c r="AK947" s="73"/>
      <c r="AL947" s="73"/>
      <c r="AM947" s="73"/>
      <c r="AN947" s="73"/>
      <c r="AO947" s="73"/>
      <c r="AP947" s="73"/>
      <c r="AQ947" s="73"/>
      <c r="AR947" s="73"/>
      <c r="AS947" s="73"/>
      <c r="AT947" s="73"/>
      <c r="AU947" s="73"/>
      <c r="AV947" s="73"/>
      <c r="AW947" s="73"/>
      <c r="AX947" s="73"/>
      <c r="AY947" s="73"/>
      <c r="AZ947" s="73"/>
      <c r="BA947" s="73"/>
      <c r="BB947" s="73"/>
    </row>
    <row r="948">
      <c r="A948" s="73"/>
      <c r="B948" s="73"/>
      <c r="C948" s="73"/>
      <c r="D948" s="73"/>
      <c r="E948" s="73"/>
      <c r="F948" s="73"/>
      <c r="G948" s="73"/>
      <c r="H948" s="73"/>
      <c r="I948" s="73"/>
      <c r="J948" s="73"/>
      <c r="K948" s="73"/>
      <c r="L948" s="73"/>
      <c r="M948" s="73"/>
      <c r="N948" s="73"/>
      <c r="O948" s="73"/>
      <c r="P948" s="73"/>
      <c r="Q948" s="73"/>
      <c r="R948" s="73"/>
      <c r="S948" s="73"/>
      <c r="T948" s="73"/>
      <c r="U948" s="73"/>
      <c r="V948" s="73"/>
      <c r="W948" s="73"/>
      <c r="X948" s="73"/>
      <c r="Y948" s="73"/>
      <c r="Z948" s="73"/>
      <c r="AA948" s="73"/>
      <c r="AB948" s="73"/>
      <c r="AC948" s="73"/>
      <c r="AD948" s="73"/>
      <c r="AE948" s="73"/>
      <c r="AF948" s="73"/>
      <c r="AG948" s="73"/>
      <c r="AH948" s="73"/>
      <c r="AI948" s="73"/>
      <c r="AJ948" s="73"/>
      <c r="AK948" s="73"/>
      <c r="AL948" s="73"/>
      <c r="AM948" s="73"/>
      <c r="AN948" s="73"/>
      <c r="AO948" s="73"/>
      <c r="AP948" s="73"/>
      <c r="AQ948" s="73"/>
      <c r="AR948" s="73"/>
      <c r="AS948" s="73"/>
      <c r="AT948" s="73"/>
      <c r="AU948" s="73"/>
      <c r="AV948" s="73"/>
      <c r="AW948" s="73"/>
      <c r="AX948" s="73"/>
      <c r="AY948" s="73"/>
      <c r="AZ948" s="73"/>
      <c r="BA948" s="73"/>
      <c r="BB948" s="73"/>
    </row>
    <row r="949">
      <c r="A949" s="73"/>
      <c r="B949" s="73"/>
      <c r="C949" s="73"/>
      <c r="D949" s="73"/>
      <c r="E949" s="73"/>
      <c r="F949" s="73"/>
      <c r="G949" s="73"/>
      <c r="H949" s="73"/>
      <c r="I949" s="73"/>
      <c r="J949" s="73"/>
      <c r="K949" s="73"/>
      <c r="L949" s="73"/>
      <c r="M949" s="73"/>
      <c r="N949" s="73"/>
      <c r="O949" s="73"/>
      <c r="P949" s="73"/>
      <c r="Q949" s="73"/>
      <c r="R949" s="73"/>
      <c r="S949" s="73"/>
      <c r="T949" s="73"/>
      <c r="U949" s="73"/>
      <c r="V949" s="73"/>
      <c r="W949" s="73"/>
      <c r="X949" s="73"/>
      <c r="Y949" s="73"/>
      <c r="Z949" s="73"/>
      <c r="AA949" s="73"/>
      <c r="AB949" s="73"/>
      <c r="AC949" s="73"/>
      <c r="AD949" s="73"/>
      <c r="AE949" s="73"/>
      <c r="AF949" s="73"/>
      <c r="AG949" s="73"/>
      <c r="AH949" s="73"/>
      <c r="AI949" s="73"/>
      <c r="AJ949" s="73"/>
      <c r="AK949" s="73"/>
      <c r="AL949" s="73"/>
      <c r="AM949" s="73"/>
      <c r="AN949" s="73"/>
      <c r="AO949" s="73"/>
      <c r="AP949" s="73"/>
      <c r="AQ949" s="73"/>
      <c r="AR949" s="73"/>
      <c r="AS949" s="73"/>
      <c r="AT949" s="73"/>
      <c r="AU949" s="73"/>
      <c r="AV949" s="73"/>
      <c r="AW949" s="73"/>
      <c r="AX949" s="73"/>
      <c r="AY949" s="73"/>
      <c r="AZ949" s="73"/>
      <c r="BA949" s="73"/>
      <c r="BB949" s="73"/>
    </row>
    <row r="950">
      <c r="A950" s="73"/>
      <c r="B950" s="73"/>
      <c r="C950" s="73"/>
      <c r="D950" s="73"/>
      <c r="E950" s="73"/>
      <c r="F950" s="73"/>
      <c r="G950" s="73"/>
      <c r="H950" s="73"/>
      <c r="I950" s="73"/>
      <c r="J950" s="73"/>
      <c r="K950" s="73"/>
      <c r="L950" s="73"/>
      <c r="M950" s="73"/>
      <c r="N950" s="73"/>
      <c r="O950" s="73"/>
      <c r="P950" s="73"/>
      <c r="Q950" s="73"/>
      <c r="R950" s="73"/>
      <c r="S950" s="73"/>
      <c r="T950" s="73"/>
      <c r="U950" s="73"/>
      <c r="V950" s="73"/>
      <c r="W950" s="73"/>
      <c r="X950" s="73"/>
      <c r="Y950" s="73"/>
      <c r="Z950" s="73"/>
      <c r="AA950" s="73"/>
      <c r="AB950" s="73"/>
      <c r="AC950" s="73"/>
      <c r="AD950" s="73"/>
      <c r="AE950" s="73"/>
      <c r="AF950" s="73"/>
      <c r="AG950" s="73"/>
      <c r="AH950" s="73"/>
      <c r="AI950" s="73"/>
      <c r="AJ950" s="73"/>
      <c r="AK950" s="73"/>
      <c r="AL950" s="73"/>
      <c r="AM950" s="73"/>
      <c r="AN950" s="73"/>
      <c r="AO950" s="73"/>
      <c r="AP950" s="73"/>
      <c r="AQ950" s="73"/>
      <c r="AR950" s="73"/>
      <c r="AS950" s="73"/>
      <c r="AT950" s="73"/>
      <c r="AU950" s="73"/>
      <c r="AV950" s="73"/>
      <c r="AW950" s="73"/>
      <c r="AX950" s="73"/>
      <c r="AY950" s="73"/>
      <c r="AZ950" s="73"/>
      <c r="BA950" s="73"/>
      <c r="BB950" s="73"/>
    </row>
    <row r="951">
      <c r="A951" s="73"/>
      <c r="B951" s="73"/>
      <c r="C951" s="73"/>
      <c r="D951" s="73"/>
      <c r="E951" s="73"/>
      <c r="F951" s="73"/>
      <c r="G951" s="73"/>
      <c r="H951" s="73"/>
      <c r="I951" s="73"/>
      <c r="J951" s="73"/>
      <c r="K951" s="73"/>
      <c r="L951" s="73"/>
      <c r="M951" s="73"/>
      <c r="N951" s="73"/>
      <c r="O951" s="73"/>
      <c r="P951" s="73"/>
      <c r="Q951" s="73"/>
      <c r="R951" s="73"/>
      <c r="S951" s="73"/>
      <c r="T951" s="73"/>
      <c r="U951" s="73"/>
      <c r="V951" s="73"/>
      <c r="W951" s="73"/>
      <c r="X951" s="73"/>
      <c r="Y951" s="73"/>
      <c r="Z951" s="73"/>
      <c r="AA951" s="73"/>
      <c r="AB951" s="73"/>
      <c r="AC951" s="73"/>
      <c r="AD951" s="73"/>
      <c r="AE951" s="73"/>
      <c r="AF951" s="73"/>
      <c r="AG951" s="73"/>
      <c r="AH951" s="73"/>
      <c r="AI951" s="73"/>
      <c r="AJ951" s="73"/>
      <c r="AK951" s="73"/>
      <c r="AL951" s="73"/>
      <c r="AM951" s="73"/>
      <c r="AN951" s="73"/>
      <c r="AO951" s="73"/>
      <c r="AP951" s="73"/>
      <c r="AQ951" s="73"/>
      <c r="AR951" s="73"/>
      <c r="AS951" s="73"/>
      <c r="AT951" s="73"/>
      <c r="AU951" s="73"/>
      <c r="AV951" s="73"/>
      <c r="AW951" s="73"/>
      <c r="AX951" s="73"/>
      <c r="AY951" s="73"/>
      <c r="AZ951" s="73"/>
      <c r="BA951" s="73"/>
      <c r="BB951" s="73"/>
    </row>
    <row r="952">
      <c r="A952" s="73"/>
      <c r="B952" s="73"/>
      <c r="C952" s="73"/>
      <c r="D952" s="73"/>
      <c r="E952" s="73"/>
      <c r="F952" s="73"/>
      <c r="G952" s="73"/>
      <c r="H952" s="73"/>
      <c r="I952" s="73"/>
      <c r="J952" s="73"/>
      <c r="K952" s="73"/>
      <c r="L952" s="73"/>
      <c r="M952" s="73"/>
      <c r="N952" s="73"/>
      <c r="O952" s="73"/>
      <c r="P952" s="73"/>
      <c r="Q952" s="73"/>
      <c r="R952" s="73"/>
      <c r="S952" s="73"/>
      <c r="T952" s="73"/>
      <c r="U952" s="73"/>
      <c r="V952" s="73"/>
      <c r="W952" s="73"/>
      <c r="X952" s="73"/>
      <c r="Y952" s="73"/>
      <c r="Z952" s="73"/>
      <c r="AA952" s="73"/>
      <c r="AB952" s="73"/>
      <c r="AC952" s="73"/>
      <c r="AD952" s="73"/>
      <c r="AE952" s="73"/>
      <c r="AF952" s="73"/>
      <c r="AG952" s="73"/>
      <c r="AH952" s="73"/>
      <c r="AI952" s="73"/>
      <c r="AJ952" s="73"/>
      <c r="AK952" s="73"/>
      <c r="AL952" s="73"/>
      <c r="AM952" s="73"/>
      <c r="AN952" s="73"/>
      <c r="AO952" s="73"/>
      <c r="AP952" s="73"/>
      <c r="AQ952" s="73"/>
      <c r="AR952" s="73"/>
      <c r="AS952" s="73"/>
      <c r="AT952" s="73"/>
      <c r="AU952" s="73"/>
      <c r="AV952" s="73"/>
      <c r="AW952" s="73"/>
      <c r="AX952" s="73"/>
      <c r="AY952" s="73"/>
      <c r="AZ952" s="73"/>
      <c r="BA952" s="73"/>
      <c r="BB952" s="73"/>
    </row>
    <row r="953">
      <c r="A953" s="73"/>
      <c r="B953" s="73"/>
      <c r="C953" s="73"/>
      <c r="D953" s="73"/>
      <c r="E953" s="73"/>
      <c r="F953" s="73"/>
      <c r="G953" s="73"/>
      <c r="H953" s="73"/>
      <c r="I953" s="73"/>
      <c r="J953" s="73"/>
      <c r="K953" s="73"/>
      <c r="L953" s="73"/>
      <c r="M953" s="73"/>
      <c r="N953" s="73"/>
      <c r="O953" s="73"/>
      <c r="P953" s="73"/>
      <c r="Q953" s="73"/>
      <c r="R953" s="73"/>
      <c r="S953" s="73"/>
      <c r="T953" s="73"/>
      <c r="U953" s="73"/>
      <c r="V953" s="73"/>
      <c r="W953" s="73"/>
      <c r="X953" s="73"/>
      <c r="Y953" s="73"/>
      <c r="Z953" s="73"/>
      <c r="AA953" s="73"/>
      <c r="AB953" s="73"/>
      <c r="AC953" s="73"/>
      <c r="AD953" s="73"/>
      <c r="AE953" s="73"/>
      <c r="AF953" s="73"/>
      <c r="AG953" s="73"/>
      <c r="AH953" s="73"/>
      <c r="AI953" s="73"/>
      <c r="AJ953" s="73"/>
      <c r="AK953" s="73"/>
      <c r="AL953" s="73"/>
      <c r="AM953" s="73"/>
      <c r="AN953" s="73"/>
      <c r="AO953" s="73"/>
      <c r="AP953" s="73"/>
      <c r="AQ953" s="73"/>
      <c r="AR953" s="73"/>
      <c r="AS953" s="73"/>
      <c r="AT953" s="73"/>
      <c r="AU953" s="73"/>
      <c r="AV953" s="73"/>
      <c r="AW953" s="73"/>
      <c r="AX953" s="73"/>
      <c r="AY953" s="73"/>
      <c r="AZ953" s="73"/>
      <c r="BA953" s="73"/>
      <c r="BB953" s="73"/>
    </row>
    <row r="954">
      <c r="A954" s="73"/>
      <c r="B954" s="73"/>
      <c r="C954" s="73"/>
      <c r="D954" s="73"/>
      <c r="E954" s="73"/>
      <c r="F954" s="73"/>
      <c r="G954" s="73"/>
      <c r="H954" s="73"/>
      <c r="I954" s="73"/>
      <c r="J954" s="73"/>
      <c r="K954" s="73"/>
      <c r="L954" s="73"/>
      <c r="M954" s="73"/>
      <c r="N954" s="73"/>
      <c r="O954" s="73"/>
      <c r="P954" s="73"/>
      <c r="Q954" s="73"/>
      <c r="R954" s="73"/>
      <c r="S954" s="73"/>
      <c r="T954" s="73"/>
      <c r="U954" s="73"/>
      <c r="V954" s="73"/>
      <c r="W954" s="73"/>
      <c r="X954" s="73"/>
      <c r="Y954" s="73"/>
      <c r="Z954" s="73"/>
      <c r="AA954" s="73"/>
      <c r="AB954" s="73"/>
      <c r="AC954" s="73"/>
      <c r="AD954" s="73"/>
      <c r="AE954" s="73"/>
      <c r="AF954" s="73"/>
      <c r="AG954" s="73"/>
      <c r="AH954" s="73"/>
      <c r="AI954" s="73"/>
      <c r="AJ954" s="73"/>
      <c r="AK954" s="73"/>
      <c r="AL954" s="73"/>
      <c r="AM954" s="73"/>
      <c r="AN954" s="73"/>
      <c r="AO954" s="73"/>
      <c r="AP954" s="73"/>
      <c r="AQ954" s="73"/>
      <c r="AR954" s="73"/>
      <c r="AS954" s="73"/>
      <c r="AT954" s="73"/>
      <c r="AU954" s="73"/>
      <c r="AV954" s="73"/>
      <c r="AW954" s="73"/>
      <c r="AX954" s="73"/>
      <c r="AY954" s="73"/>
      <c r="AZ954" s="73"/>
      <c r="BA954" s="73"/>
      <c r="BB954" s="73"/>
    </row>
    <row r="955">
      <c r="A955" s="73"/>
      <c r="B955" s="73"/>
      <c r="C955" s="73"/>
      <c r="D955" s="73"/>
      <c r="E955" s="73"/>
      <c r="F955" s="73"/>
      <c r="G955" s="73"/>
      <c r="H955" s="73"/>
      <c r="I955" s="73"/>
      <c r="J955" s="73"/>
      <c r="K955" s="73"/>
      <c r="L955" s="73"/>
      <c r="M955" s="73"/>
      <c r="N955" s="73"/>
      <c r="O955" s="73"/>
      <c r="P955" s="73"/>
      <c r="Q955" s="73"/>
      <c r="R955" s="73"/>
      <c r="S955" s="73"/>
      <c r="T955" s="73"/>
      <c r="U955" s="73"/>
      <c r="V955" s="73"/>
      <c r="W955" s="73"/>
      <c r="X955" s="73"/>
      <c r="Y955" s="73"/>
      <c r="Z955" s="73"/>
      <c r="AA955" s="73"/>
      <c r="AB955" s="73"/>
      <c r="AC955" s="73"/>
      <c r="AD955" s="73"/>
      <c r="AE955" s="73"/>
      <c r="AF955" s="73"/>
      <c r="AG955" s="73"/>
      <c r="AH955" s="73"/>
      <c r="AI955" s="73"/>
      <c r="AJ955" s="73"/>
      <c r="AK955" s="73"/>
      <c r="AL955" s="73"/>
      <c r="AM955" s="73"/>
      <c r="AN955" s="73"/>
      <c r="AO955" s="73"/>
      <c r="AP955" s="73"/>
      <c r="AQ955" s="73"/>
      <c r="AR955" s="73"/>
      <c r="AS955" s="73"/>
      <c r="AT955" s="73"/>
      <c r="AU955" s="73"/>
      <c r="AV955" s="73"/>
      <c r="AW955" s="73"/>
      <c r="AX955" s="73"/>
      <c r="AY955" s="73"/>
      <c r="AZ955" s="73"/>
      <c r="BA955" s="73"/>
      <c r="BB955" s="73"/>
    </row>
    <row r="956">
      <c r="A956" s="73"/>
      <c r="B956" s="73"/>
      <c r="C956" s="73"/>
      <c r="D956" s="73"/>
      <c r="E956" s="73"/>
      <c r="F956" s="73"/>
      <c r="G956" s="73"/>
      <c r="H956" s="73"/>
      <c r="I956" s="73"/>
      <c r="J956" s="73"/>
      <c r="K956" s="73"/>
      <c r="L956" s="73"/>
      <c r="M956" s="73"/>
      <c r="N956" s="73"/>
      <c r="O956" s="73"/>
      <c r="P956" s="73"/>
      <c r="Q956" s="73"/>
      <c r="R956" s="73"/>
      <c r="S956" s="73"/>
      <c r="T956" s="73"/>
      <c r="U956" s="73"/>
      <c r="V956" s="73"/>
      <c r="W956" s="73"/>
      <c r="X956" s="73"/>
      <c r="Y956" s="73"/>
      <c r="Z956" s="73"/>
      <c r="AA956" s="73"/>
      <c r="AB956" s="73"/>
      <c r="AC956" s="73"/>
      <c r="AD956" s="73"/>
      <c r="AE956" s="73"/>
      <c r="AF956" s="73"/>
      <c r="AG956" s="73"/>
      <c r="AH956" s="73"/>
      <c r="AI956" s="73"/>
      <c r="AJ956" s="73"/>
      <c r="AK956" s="73"/>
      <c r="AL956" s="73"/>
      <c r="AM956" s="73"/>
      <c r="AN956" s="73"/>
      <c r="AO956" s="73"/>
      <c r="AP956" s="73"/>
      <c r="AQ956" s="73"/>
      <c r="AR956" s="73"/>
      <c r="AS956" s="73"/>
      <c r="AT956" s="73"/>
      <c r="AU956" s="73"/>
      <c r="AV956" s="73"/>
      <c r="AW956" s="73"/>
      <c r="AX956" s="73"/>
      <c r="AY956" s="73"/>
      <c r="AZ956" s="73"/>
      <c r="BA956" s="73"/>
      <c r="BB956" s="73"/>
    </row>
    <row r="957">
      <c r="A957" s="73"/>
      <c r="B957" s="73"/>
      <c r="C957" s="73"/>
      <c r="D957" s="73"/>
      <c r="E957" s="73"/>
      <c r="F957" s="73"/>
      <c r="G957" s="73"/>
      <c r="H957" s="73"/>
      <c r="I957" s="73"/>
      <c r="J957" s="73"/>
      <c r="K957" s="73"/>
      <c r="L957" s="73"/>
      <c r="M957" s="73"/>
      <c r="N957" s="73"/>
      <c r="O957" s="73"/>
      <c r="P957" s="73"/>
      <c r="Q957" s="73"/>
      <c r="R957" s="73"/>
      <c r="S957" s="73"/>
      <c r="T957" s="73"/>
      <c r="U957" s="73"/>
      <c r="V957" s="73"/>
      <c r="W957" s="73"/>
      <c r="X957" s="73"/>
      <c r="Y957" s="73"/>
      <c r="Z957" s="73"/>
      <c r="AA957" s="73"/>
      <c r="AB957" s="73"/>
      <c r="AC957" s="73"/>
      <c r="AD957" s="73"/>
      <c r="AE957" s="73"/>
      <c r="AF957" s="73"/>
      <c r="AG957" s="73"/>
      <c r="AH957" s="73"/>
      <c r="AI957" s="73"/>
      <c r="AJ957" s="73"/>
      <c r="AK957" s="73"/>
      <c r="AL957" s="73"/>
      <c r="AM957" s="73"/>
      <c r="AN957" s="73"/>
      <c r="AO957" s="73"/>
      <c r="AP957" s="73"/>
      <c r="AQ957" s="73"/>
      <c r="AR957" s="73"/>
      <c r="AS957" s="73"/>
      <c r="AT957" s="73"/>
      <c r="AU957" s="73"/>
      <c r="AV957" s="73"/>
      <c r="AW957" s="73"/>
      <c r="AX957" s="73"/>
      <c r="AY957" s="73"/>
      <c r="AZ957" s="73"/>
      <c r="BA957" s="73"/>
      <c r="BB957" s="73"/>
    </row>
    <row r="958">
      <c r="A958" s="73"/>
      <c r="B958" s="73"/>
      <c r="C958" s="73"/>
      <c r="D958" s="73"/>
      <c r="E958" s="73"/>
      <c r="F958" s="73"/>
      <c r="G958" s="73"/>
      <c r="H958" s="73"/>
      <c r="I958" s="73"/>
      <c r="J958" s="73"/>
      <c r="K958" s="73"/>
      <c r="L958" s="73"/>
      <c r="M958" s="73"/>
      <c r="N958" s="73"/>
      <c r="O958" s="73"/>
      <c r="P958" s="73"/>
      <c r="Q958" s="73"/>
      <c r="R958" s="73"/>
      <c r="S958" s="73"/>
      <c r="T958" s="73"/>
      <c r="U958" s="73"/>
      <c r="V958" s="73"/>
      <c r="W958" s="73"/>
      <c r="X958" s="73"/>
      <c r="Y958" s="73"/>
      <c r="Z958" s="73"/>
      <c r="AA958" s="73"/>
      <c r="AB958" s="73"/>
      <c r="AC958" s="73"/>
      <c r="AD958" s="73"/>
      <c r="AE958" s="73"/>
      <c r="AF958" s="73"/>
      <c r="AG958" s="73"/>
      <c r="AH958" s="73"/>
      <c r="AI958" s="73"/>
      <c r="AJ958" s="73"/>
      <c r="AK958" s="73"/>
      <c r="AL958" s="73"/>
      <c r="AM958" s="73"/>
      <c r="AN958" s="73"/>
      <c r="AO958" s="73"/>
      <c r="AP958" s="73"/>
      <c r="AQ958" s="73"/>
      <c r="AR958" s="73"/>
      <c r="AS958" s="73"/>
      <c r="AT958" s="73"/>
      <c r="AU958" s="73"/>
      <c r="AV958" s="73"/>
      <c r="AW958" s="73"/>
      <c r="AX958" s="73"/>
      <c r="AY958" s="73"/>
      <c r="AZ958" s="73"/>
      <c r="BA958" s="73"/>
      <c r="BB958" s="73"/>
    </row>
    <row r="959">
      <c r="A959" s="73"/>
      <c r="B959" s="73"/>
      <c r="C959" s="73"/>
      <c r="D959" s="73"/>
      <c r="E959" s="73"/>
      <c r="F959" s="73"/>
      <c r="G959" s="73"/>
      <c r="H959" s="73"/>
      <c r="I959" s="73"/>
      <c r="J959" s="73"/>
      <c r="K959" s="73"/>
      <c r="L959" s="73"/>
      <c r="M959" s="73"/>
      <c r="N959" s="73"/>
      <c r="O959" s="73"/>
      <c r="P959" s="73"/>
      <c r="Q959" s="73"/>
      <c r="R959" s="73"/>
      <c r="S959" s="73"/>
      <c r="T959" s="73"/>
      <c r="U959" s="73"/>
      <c r="V959" s="73"/>
      <c r="W959" s="73"/>
      <c r="X959" s="73"/>
      <c r="Y959" s="73"/>
      <c r="Z959" s="73"/>
      <c r="AA959" s="73"/>
      <c r="AB959" s="73"/>
      <c r="AC959" s="73"/>
      <c r="AD959" s="73"/>
      <c r="AE959" s="73"/>
      <c r="AF959" s="73"/>
      <c r="AG959" s="73"/>
      <c r="AH959" s="73"/>
      <c r="AI959" s="73"/>
      <c r="AJ959" s="73"/>
      <c r="AK959" s="73"/>
      <c r="AL959" s="73"/>
      <c r="AM959" s="73"/>
      <c r="AN959" s="73"/>
      <c r="AO959" s="73"/>
      <c r="AP959" s="73"/>
      <c r="AQ959" s="73"/>
      <c r="AR959" s="73"/>
      <c r="AS959" s="73"/>
      <c r="AT959" s="73"/>
      <c r="AU959" s="73"/>
      <c r="AV959" s="73"/>
      <c r="AW959" s="73"/>
      <c r="AX959" s="73"/>
      <c r="AY959" s="73"/>
      <c r="AZ959" s="73"/>
      <c r="BA959" s="73"/>
      <c r="BB959" s="73"/>
    </row>
    <row r="960">
      <c r="A960" s="73"/>
      <c r="B960" s="73"/>
      <c r="C960" s="73"/>
      <c r="D960" s="73"/>
      <c r="E960" s="73"/>
      <c r="F960" s="73"/>
      <c r="G960" s="73"/>
      <c r="H960" s="73"/>
      <c r="I960" s="73"/>
      <c r="J960" s="73"/>
      <c r="K960" s="73"/>
      <c r="L960" s="73"/>
      <c r="M960" s="73"/>
      <c r="N960" s="73"/>
      <c r="O960" s="73"/>
      <c r="P960" s="73"/>
      <c r="Q960" s="73"/>
      <c r="R960" s="73"/>
      <c r="S960" s="73"/>
      <c r="T960" s="73"/>
      <c r="U960" s="73"/>
      <c r="V960" s="73"/>
      <c r="W960" s="73"/>
      <c r="X960" s="73"/>
      <c r="Y960" s="73"/>
      <c r="Z960" s="73"/>
      <c r="AA960" s="73"/>
      <c r="AB960" s="73"/>
      <c r="AC960" s="73"/>
      <c r="AD960" s="73"/>
      <c r="AE960" s="73"/>
      <c r="AF960" s="73"/>
      <c r="AG960" s="73"/>
      <c r="AH960" s="73"/>
      <c r="AI960" s="73"/>
      <c r="AJ960" s="73"/>
      <c r="AK960" s="73"/>
      <c r="AL960" s="73"/>
      <c r="AM960" s="73"/>
      <c r="AN960" s="73"/>
      <c r="AO960" s="73"/>
      <c r="AP960" s="73"/>
      <c r="AQ960" s="73"/>
      <c r="AR960" s="73"/>
      <c r="AS960" s="73"/>
      <c r="AT960" s="73"/>
      <c r="AU960" s="73"/>
      <c r="AV960" s="73"/>
      <c r="AW960" s="73"/>
      <c r="AX960" s="73"/>
      <c r="AY960" s="73"/>
      <c r="AZ960" s="73"/>
      <c r="BA960" s="73"/>
      <c r="BB960" s="73"/>
    </row>
    <row r="961">
      <c r="A961" s="73"/>
      <c r="B961" s="73"/>
      <c r="C961" s="73"/>
      <c r="D961" s="73"/>
      <c r="E961" s="73"/>
      <c r="F961" s="73"/>
      <c r="G961" s="73"/>
      <c r="H961" s="73"/>
      <c r="I961" s="73"/>
      <c r="J961" s="73"/>
      <c r="K961" s="73"/>
      <c r="L961" s="73"/>
      <c r="M961" s="73"/>
      <c r="N961" s="73"/>
      <c r="O961" s="73"/>
      <c r="P961" s="73"/>
      <c r="Q961" s="73"/>
      <c r="R961" s="73"/>
      <c r="S961" s="73"/>
      <c r="T961" s="73"/>
      <c r="U961" s="73"/>
      <c r="V961" s="73"/>
      <c r="W961" s="73"/>
      <c r="X961" s="73"/>
      <c r="Y961" s="73"/>
      <c r="Z961" s="73"/>
      <c r="AA961" s="73"/>
      <c r="AB961" s="73"/>
      <c r="AC961" s="73"/>
      <c r="AD961" s="73"/>
      <c r="AE961" s="73"/>
      <c r="AF961" s="73"/>
      <c r="AG961" s="73"/>
      <c r="AH961" s="73"/>
      <c r="AI961" s="73"/>
      <c r="AJ961" s="73"/>
      <c r="AK961" s="73"/>
      <c r="AL961" s="73"/>
      <c r="AM961" s="73"/>
      <c r="AN961" s="73"/>
      <c r="AO961" s="73"/>
      <c r="AP961" s="73"/>
      <c r="AQ961" s="73"/>
      <c r="AR961" s="73"/>
      <c r="AS961" s="73"/>
      <c r="AT961" s="73"/>
      <c r="AU961" s="73"/>
      <c r="AV961" s="73"/>
      <c r="AW961" s="73"/>
      <c r="AX961" s="73"/>
      <c r="AY961" s="73"/>
      <c r="AZ961" s="73"/>
      <c r="BA961" s="73"/>
      <c r="BB961" s="73"/>
    </row>
    <row r="962">
      <c r="A962" s="73"/>
      <c r="B962" s="73"/>
      <c r="C962" s="73"/>
      <c r="D962" s="73"/>
      <c r="E962" s="73"/>
      <c r="F962" s="73"/>
      <c r="G962" s="73"/>
      <c r="H962" s="73"/>
      <c r="I962" s="73"/>
      <c r="J962" s="73"/>
      <c r="K962" s="73"/>
      <c r="L962" s="73"/>
      <c r="M962" s="73"/>
      <c r="N962" s="73"/>
      <c r="O962" s="73"/>
      <c r="P962" s="73"/>
      <c r="Q962" s="73"/>
      <c r="R962" s="73"/>
      <c r="S962" s="73"/>
      <c r="T962" s="73"/>
      <c r="U962" s="73"/>
      <c r="V962" s="73"/>
      <c r="W962" s="73"/>
      <c r="X962" s="73"/>
      <c r="Y962" s="73"/>
      <c r="Z962" s="73"/>
      <c r="AA962" s="73"/>
      <c r="AB962" s="73"/>
      <c r="AC962" s="73"/>
      <c r="AD962" s="73"/>
      <c r="AE962" s="73"/>
      <c r="AF962" s="73"/>
      <c r="AG962" s="73"/>
      <c r="AH962" s="73"/>
      <c r="AI962" s="73"/>
      <c r="AJ962" s="73"/>
      <c r="AK962" s="73"/>
      <c r="AL962" s="73"/>
      <c r="AM962" s="73"/>
      <c r="AN962" s="73"/>
      <c r="AO962" s="73"/>
      <c r="AP962" s="73"/>
      <c r="AQ962" s="73"/>
      <c r="AR962" s="73"/>
      <c r="AS962" s="73"/>
      <c r="AT962" s="73"/>
      <c r="AU962" s="73"/>
      <c r="AV962" s="73"/>
      <c r="AW962" s="73"/>
      <c r="AX962" s="73"/>
      <c r="AY962" s="73"/>
      <c r="AZ962" s="73"/>
      <c r="BA962" s="73"/>
      <c r="BB962" s="73"/>
    </row>
    <row r="963">
      <c r="A963" s="73"/>
      <c r="B963" s="73"/>
      <c r="C963" s="73"/>
      <c r="D963" s="73"/>
      <c r="E963" s="73"/>
      <c r="F963" s="73"/>
      <c r="G963" s="73"/>
      <c r="H963" s="73"/>
      <c r="I963" s="73"/>
      <c r="J963" s="73"/>
      <c r="K963" s="73"/>
      <c r="L963" s="73"/>
      <c r="M963" s="73"/>
      <c r="N963" s="73"/>
      <c r="O963" s="73"/>
      <c r="P963" s="73"/>
      <c r="Q963" s="73"/>
      <c r="R963" s="73"/>
      <c r="S963" s="73"/>
      <c r="T963" s="73"/>
      <c r="U963" s="73"/>
      <c r="V963" s="73"/>
      <c r="W963" s="73"/>
      <c r="X963" s="73"/>
      <c r="Y963" s="73"/>
      <c r="Z963" s="73"/>
      <c r="AA963" s="73"/>
      <c r="AB963" s="73"/>
      <c r="AC963" s="73"/>
      <c r="AD963" s="73"/>
      <c r="AE963" s="73"/>
      <c r="AF963" s="73"/>
      <c r="AG963" s="73"/>
      <c r="AH963" s="73"/>
      <c r="AI963" s="73"/>
      <c r="AJ963" s="73"/>
      <c r="AK963" s="73"/>
      <c r="AL963" s="73"/>
      <c r="AM963" s="73"/>
      <c r="AN963" s="73"/>
      <c r="AO963" s="73"/>
      <c r="AP963" s="73"/>
      <c r="AQ963" s="73"/>
      <c r="AR963" s="73"/>
      <c r="AS963" s="73"/>
      <c r="AT963" s="73"/>
      <c r="AU963" s="73"/>
      <c r="AV963" s="73"/>
      <c r="AW963" s="73"/>
      <c r="AX963" s="73"/>
      <c r="AY963" s="73"/>
      <c r="AZ963" s="73"/>
      <c r="BA963" s="73"/>
      <c r="BB963" s="73"/>
    </row>
    <row r="964">
      <c r="A964" s="73"/>
      <c r="B964" s="73"/>
      <c r="C964" s="73"/>
      <c r="D964" s="73"/>
      <c r="E964" s="73"/>
      <c r="F964" s="73"/>
      <c r="G964" s="73"/>
      <c r="H964" s="73"/>
      <c r="I964" s="73"/>
      <c r="J964" s="73"/>
      <c r="K964" s="73"/>
      <c r="L964" s="73"/>
      <c r="M964" s="73"/>
      <c r="N964" s="73"/>
      <c r="O964" s="73"/>
      <c r="P964" s="73"/>
      <c r="Q964" s="73"/>
      <c r="R964" s="73"/>
      <c r="S964" s="73"/>
      <c r="T964" s="73"/>
      <c r="U964" s="73"/>
      <c r="V964" s="73"/>
      <c r="W964" s="73"/>
      <c r="X964" s="73"/>
      <c r="Y964" s="73"/>
      <c r="Z964" s="73"/>
      <c r="AA964" s="73"/>
      <c r="AB964" s="73"/>
      <c r="AC964" s="73"/>
      <c r="AD964" s="73"/>
      <c r="AE964" s="73"/>
      <c r="AF964" s="73"/>
      <c r="AG964" s="73"/>
      <c r="AH964" s="73"/>
      <c r="AI964" s="73"/>
      <c r="AJ964" s="73"/>
      <c r="AK964" s="73"/>
      <c r="AL964" s="73"/>
      <c r="AM964" s="73"/>
      <c r="AN964" s="73"/>
      <c r="AO964" s="73"/>
      <c r="AP964" s="73"/>
      <c r="AQ964" s="73"/>
      <c r="AR964" s="73"/>
      <c r="AS964" s="73"/>
      <c r="AT964" s="73"/>
      <c r="AU964" s="73"/>
      <c r="AV964" s="73"/>
      <c r="AW964" s="73"/>
      <c r="AX964" s="73"/>
      <c r="AY964" s="73"/>
      <c r="AZ964" s="73"/>
      <c r="BA964" s="73"/>
      <c r="BB964" s="73"/>
    </row>
    <row r="965">
      <c r="A965" s="73"/>
      <c r="B965" s="73"/>
      <c r="C965" s="73"/>
      <c r="D965" s="73"/>
      <c r="E965" s="73"/>
      <c r="F965" s="73"/>
      <c r="G965" s="73"/>
      <c r="H965" s="73"/>
      <c r="I965" s="73"/>
      <c r="J965" s="73"/>
      <c r="K965" s="73"/>
      <c r="L965" s="73"/>
      <c r="M965" s="73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73"/>
      <c r="Y965" s="73"/>
      <c r="Z965" s="73"/>
      <c r="AA965" s="73"/>
      <c r="AB965" s="73"/>
      <c r="AC965" s="73"/>
      <c r="AD965" s="73"/>
      <c r="AE965" s="73"/>
      <c r="AF965" s="73"/>
      <c r="AG965" s="73"/>
      <c r="AH965" s="73"/>
      <c r="AI965" s="73"/>
      <c r="AJ965" s="73"/>
      <c r="AK965" s="73"/>
      <c r="AL965" s="73"/>
      <c r="AM965" s="73"/>
      <c r="AN965" s="73"/>
      <c r="AO965" s="73"/>
      <c r="AP965" s="73"/>
      <c r="AQ965" s="73"/>
      <c r="AR965" s="73"/>
      <c r="AS965" s="73"/>
      <c r="AT965" s="73"/>
      <c r="AU965" s="73"/>
      <c r="AV965" s="73"/>
      <c r="AW965" s="73"/>
      <c r="AX965" s="73"/>
      <c r="AY965" s="73"/>
      <c r="AZ965" s="73"/>
      <c r="BA965" s="73"/>
      <c r="BB965" s="73"/>
    </row>
    <row r="966">
      <c r="A966" s="73"/>
      <c r="B966" s="73"/>
      <c r="C966" s="73"/>
      <c r="D966" s="73"/>
      <c r="E966" s="73"/>
      <c r="F966" s="73"/>
      <c r="G966" s="73"/>
      <c r="H966" s="73"/>
      <c r="I966" s="73"/>
      <c r="J966" s="73"/>
      <c r="K966" s="73"/>
      <c r="L966" s="73"/>
      <c r="M966" s="73"/>
      <c r="N966" s="73"/>
      <c r="O966" s="73"/>
      <c r="P966" s="73"/>
      <c r="Q966" s="73"/>
      <c r="R966" s="73"/>
      <c r="S966" s="73"/>
      <c r="T966" s="73"/>
      <c r="U966" s="73"/>
      <c r="V966" s="73"/>
      <c r="W966" s="73"/>
      <c r="X966" s="73"/>
      <c r="Y966" s="73"/>
      <c r="Z966" s="73"/>
      <c r="AA966" s="73"/>
      <c r="AB966" s="73"/>
      <c r="AC966" s="73"/>
      <c r="AD966" s="73"/>
      <c r="AE966" s="73"/>
      <c r="AF966" s="73"/>
      <c r="AG966" s="73"/>
      <c r="AH966" s="73"/>
      <c r="AI966" s="73"/>
      <c r="AJ966" s="73"/>
      <c r="AK966" s="73"/>
      <c r="AL966" s="73"/>
      <c r="AM966" s="73"/>
      <c r="AN966" s="73"/>
      <c r="AO966" s="73"/>
      <c r="AP966" s="73"/>
      <c r="AQ966" s="73"/>
      <c r="AR966" s="73"/>
      <c r="AS966" s="73"/>
      <c r="AT966" s="73"/>
      <c r="AU966" s="73"/>
      <c r="AV966" s="73"/>
      <c r="AW966" s="73"/>
      <c r="AX966" s="73"/>
      <c r="AY966" s="73"/>
      <c r="AZ966" s="73"/>
      <c r="BA966" s="73"/>
      <c r="BB966" s="73"/>
    </row>
    <row r="967">
      <c r="A967" s="73"/>
      <c r="B967" s="73"/>
      <c r="C967" s="73"/>
      <c r="D967" s="73"/>
      <c r="E967" s="73"/>
      <c r="F967" s="73"/>
      <c r="G967" s="73"/>
      <c r="H967" s="73"/>
      <c r="I967" s="73"/>
      <c r="J967" s="73"/>
      <c r="K967" s="73"/>
      <c r="L967" s="73"/>
      <c r="M967" s="73"/>
      <c r="N967" s="73"/>
      <c r="O967" s="73"/>
      <c r="P967" s="73"/>
      <c r="Q967" s="73"/>
      <c r="R967" s="73"/>
      <c r="S967" s="73"/>
      <c r="T967" s="73"/>
      <c r="U967" s="73"/>
      <c r="V967" s="73"/>
      <c r="W967" s="73"/>
      <c r="X967" s="73"/>
      <c r="Y967" s="73"/>
      <c r="Z967" s="73"/>
      <c r="AA967" s="73"/>
      <c r="AB967" s="73"/>
      <c r="AC967" s="73"/>
      <c r="AD967" s="73"/>
      <c r="AE967" s="73"/>
      <c r="AF967" s="73"/>
      <c r="AG967" s="73"/>
      <c r="AH967" s="73"/>
      <c r="AI967" s="73"/>
      <c r="AJ967" s="73"/>
      <c r="AK967" s="73"/>
      <c r="AL967" s="73"/>
      <c r="AM967" s="73"/>
      <c r="AN967" s="73"/>
      <c r="AO967" s="73"/>
      <c r="AP967" s="73"/>
      <c r="AQ967" s="73"/>
      <c r="AR967" s="73"/>
      <c r="AS967" s="73"/>
      <c r="AT967" s="73"/>
      <c r="AU967" s="73"/>
      <c r="AV967" s="73"/>
      <c r="AW967" s="73"/>
      <c r="AX967" s="73"/>
      <c r="AY967" s="73"/>
      <c r="AZ967" s="73"/>
      <c r="BA967" s="73"/>
      <c r="BB967" s="73"/>
    </row>
    <row r="968">
      <c r="A968" s="73"/>
      <c r="B968" s="73"/>
      <c r="C968" s="73"/>
      <c r="D968" s="73"/>
      <c r="E968" s="73"/>
      <c r="F968" s="73"/>
      <c r="G968" s="73"/>
      <c r="H968" s="73"/>
      <c r="I968" s="73"/>
      <c r="J968" s="73"/>
      <c r="K968" s="73"/>
      <c r="L968" s="73"/>
      <c r="M968" s="73"/>
      <c r="N968" s="73"/>
      <c r="O968" s="73"/>
      <c r="P968" s="73"/>
      <c r="Q968" s="73"/>
      <c r="R968" s="73"/>
      <c r="S968" s="73"/>
      <c r="T968" s="73"/>
      <c r="U968" s="73"/>
      <c r="V968" s="73"/>
      <c r="W968" s="73"/>
      <c r="X968" s="73"/>
      <c r="Y968" s="73"/>
      <c r="Z968" s="73"/>
      <c r="AA968" s="73"/>
      <c r="AB968" s="73"/>
      <c r="AC968" s="73"/>
      <c r="AD968" s="73"/>
      <c r="AE968" s="73"/>
      <c r="AF968" s="73"/>
      <c r="AG968" s="73"/>
      <c r="AH968" s="73"/>
      <c r="AI968" s="73"/>
      <c r="AJ968" s="73"/>
      <c r="AK968" s="73"/>
      <c r="AL968" s="73"/>
      <c r="AM968" s="73"/>
      <c r="AN968" s="73"/>
      <c r="AO968" s="73"/>
      <c r="AP968" s="73"/>
      <c r="AQ968" s="73"/>
      <c r="AR968" s="73"/>
      <c r="AS968" s="73"/>
      <c r="AT968" s="73"/>
      <c r="AU968" s="73"/>
      <c r="AV968" s="73"/>
      <c r="AW968" s="73"/>
      <c r="AX968" s="73"/>
      <c r="AY968" s="73"/>
      <c r="AZ968" s="73"/>
      <c r="BA968" s="73"/>
      <c r="BB968" s="73"/>
    </row>
    <row r="969">
      <c r="A969" s="73"/>
      <c r="B969" s="73"/>
      <c r="C969" s="73"/>
      <c r="D969" s="73"/>
      <c r="E969" s="73"/>
      <c r="F969" s="73"/>
      <c r="G969" s="73"/>
      <c r="H969" s="73"/>
      <c r="I969" s="73"/>
      <c r="J969" s="73"/>
      <c r="K969" s="73"/>
      <c r="L969" s="73"/>
      <c r="M969" s="73"/>
      <c r="N969" s="73"/>
      <c r="O969" s="73"/>
      <c r="P969" s="73"/>
      <c r="Q969" s="73"/>
      <c r="R969" s="73"/>
      <c r="S969" s="73"/>
      <c r="T969" s="73"/>
      <c r="U969" s="73"/>
      <c r="V969" s="73"/>
      <c r="W969" s="73"/>
      <c r="X969" s="73"/>
      <c r="Y969" s="73"/>
      <c r="Z969" s="73"/>
      <c r="AA969" s="73"/>
      <c r="AB969" s="73"/>
      <c r="AC969" s="73"/>
      <c r="AD969" s="73"/>
      <c r="AE969" s="73"/>
      <c r="AF969" s="73"/>
      <c r="AG969" s="73"/>
      <c r="AH969" s="73"/>
      <c r="AI969" s="73"/>
      <c r="AJ969" s="73"/>
      <c r="AK969" s="73"/>
      <c r="AL969" s="73"/>
      <c r="AM969" s="73"/>
      <c r="AN969" s="73"/>
      <c r="AO969" s="73"/>
      <c r="AP969" s="73"/>
      <c r="AQ969" s="73"/>
      <c r="AR969" s="73"/>
      <c r="AS969" s="73"/>
      <c r="AT969" s="73"/>
      <c r="AU969" s="73"/>
      <c r="AV969" s="73"/>
      <c r="AW969" s="73"/>
      <c r="AX969" s="73"/>
      <c r="AY969" s="73"/>
      <c r="AZ969" s="73"/>
      <c r="BA969" s="73"/>
      <c r="BB969" s="73"/>
    </row>
    <row r="970">
      <c r="A970" s="73"/>
      <c r="B970" s="73"/>
      <c r="C970" s="73"/>
      <c r="D970" s="73"/>
      <c r="E970" s="73"/>
      <c r="F970" s="73"/>
      <c r="G970" s="73"/>
      <c r="H970" s="73"/>
      <c r="I970" s="73"/>
      <c r="J970" s="73"/>
      <c r="K970" s="73"/>
      <c r="L970" s="73"/>
      <c r="M970" s="73"/>
      <c r="N970" s="73"/>
      <c r="O970" s="73"/>
      <c r="P970" s="73"/>
      <c r="Q970" s="73"/>
      <c r="R970" s="73"/>
      <c r="S970" s="73"/>
      <c r="T970" s="73"/>
      <c r="U970" s="73"/>
      <c r="V970" s="73"/>
      <c r="W970" s="73"/>
      <c r="X970" s="73"/>
      <c r="Y970" s="73"/>
      <c r="Z970" s="73"/>
      <c r="AA970" s="73"/>
      <c r="AB970" s="73"/>
      <c r="AC970" s="73"/>
      <c r="AD970" s="73"/>
      <c r="AE970" s="73"/>
      <c r="AF970" s="73"/>
      <c r="AG970" s="73"/>
      <c r="AH970" s="73"/>
      <c r="AI970" s="73"/>
      <c r="AJ970" s="73"/>
      <c r="AK970" s="73"/>
      <c r="AL970" s="73"/>
      <c r="AM970" s="73"/>
      <c r="AN970" s="73"/>
      <c r="AO970" s="73"/>
      <c r="AP970" s="73"/>
      <c r="AQ970" s="73"/>
      <c r="AR970" s="73"/>
      <c r="AS970" s="73"/>
      <c r="AT970" s="73"/>
      <c r="AU970" s="73"/>
      <c r="AV970" s="73"/>
      <c r="AW970" s="73"/>
      <c r="AX970" s="73"/>
      <c r="AY970" s="73"/>
      <c r="AZ970" s="73"/>
      <c r="BA970" s="73"/>
      <c r="BB970" s="73"/>
    </row>
    <row r="971">
      <c r="A971" s="73"/>
      <c r="B971" s="73"/>
      <c r="C971" s="73"/>
      <c r="D971" s="73"/>
      <c r="E971" s="73"/>
      <c r="F971" s="73"/>
      <c r="G971" s="73"/>
      <c r="H971" s="73"/>
      <c r="I971" s="73"/>
      <c r="J971" s="73"/>
      <c r="K971" s="73"/>
      <c r="L971" s="73"/>
      <c r="M971" s="73"/>
      <c r="N971" s="73"/>
      <c r="O971" s="73"/>
      <c r="P971" s="73"/>
      <c r="Q971" s="73"/>
      <c r="R971" s="73"/>
      <c r="S971" s="73"/>
      <c r="T971" s="73"/>
      <c r="U971" s="73"/>
      <c r="V971" s="73"/>
      <c r="W971" s="73"/>
      <c r="X971" s="73"/>
      <c r="Y971" s="73"/>
      <c r="Z971" s="73"/>
      <c r="AA971" s="73"/>
      <c r="AB971" s="73"/>
      <c r="AC971" s="73"/>
      <c r="AD971" s="73"/>
      <c r="AE971" s="73"/>
      <c r="AF971" s="73"/>
      <c r="AG971" s="73"/>
      <c r="AH971" s="73"/>
      <c r="AI971" s="73"/>
      <c r="AJ971" s="73"/>
      <c r="AK971" s="73"/>
      <c r="AL971" s="73"/>
      <c r="AM971" s="73"/>
      <c r="AN971" s="73"/>
      <c r="AO971" s="73"/>
      <c r="AP971" s="73"/>
      <c r="AQ971" s="73"/>
      <c r="AR971" s="73"/>
      <c r="AS971" s="73"/>
      <c r="AT971" s="73"/>
      <c r="AU971" s="73"/>
      <c r="AV971" s="73"/>
      <c r="AW971" s="73"/>
      <c r="AX971" s="73"/>
      <c r="AY971" s="73"/>
      <c r="AZ971" s="73"/>
      <c r="BA971" s="73"/>
      <c r="BB971" s="73"/>
    </row>
    <row r="972">
      <c r="A972" s="73"/>
      <c r="B972" s="73"/>
      <c r="C972" s="73"/>
      <c r="D972" s="73"/>
      <c r="E972" s="73"/>
      <c r="F972" s="73"/>
      <c r="G972" s="73"/>
      <c r="H972" s="73"/>
      <c r="I972" s="73"/>
      <c r="J972" s="73"/>
      <c r="K972" s="73"/>
      <c r="L972" s="73"/>
      <c r="M972" s="73"/>
      <c r="N972" s="73"/>
      <c r="O972" s="73"/>
      <c r="P972" s="73"/>
      <c r="Q972" s="73"/>
      <c r="R972" s="73"/>
      <c r="S972" s="73"/>
      <c r="T972" s="73"/>
      <c r="U972" s="73"/>
      <c r="V972" s="73"/>
      <c r="W972" s="73"/>
      <c r="X972" s="73"/>
      <c r="Y972" s="73"/>
      <c r="Z972" s="73"/>
      <c r="AA972" s="73"/>
      <c r="AB972" s="73"/>
      <c r="AC972" s="73"/>
      <c r="AD972" s="73"/>
      <c r="AE972" s="73"/>
      <c r="AF972" s="73"/>
      <c r="AG972" s="73"/>
      <c r="AH972" s="73"/>
      <c r="AI972" s="73"/>
      <c r="AJ972" s="73"/>
      <c r="AK972" s="73"/>
      <c r="AL972" s="73"/>
      <c r="AM972" s="73"/>
      <c r="AN972" s="73"/>
      <c r="AO972" s="73"/>
      <c r="AP972" s="73"/>
      <c r="AQ972" s="73"/>
      <c r="AR972" s="73"/>
      <c r="AS972" s="73"/>
      <c r="AT972" s="73"/>
      <c r="AU972" s="73"/>
      <c r="AV972" s="73"/>
      <c r="AW972" s="73"/>
      <c r="AX972" s="73"/>
      <c r="AY972" s="73"/>
      <c r="AZ972" s="73"/>
      <c r="BA972" s="73"/>
      <c r="BB972" s="73"/>
    </row>
    <row r="973">
      <c r="A973" s="73"/>
      <c r="B973" s="73"/>
      <c r="C973" s="73"/>
      <c r="D973" s="73"/>
      <c r="E973" s="73"/>
      <c r="F973" s="73"/>
      <c r="G973" s="73"/>
      <c r="H973" s="73"/>
      <c r="I973" s="73"/>
      <c r="J973" s="73"/>
      <c r="K973" s="73"/>
      <c r="L973" s="73"/>
      <c r="M973" s="73"/>
      <c r="N973" s="73"/>
      <c r="O973" s="73"/>
      <c r="P973" s="73"/>
      <c r="Q973" s="73"/>
      <c r="R973" s="73"/>
      <c r="S973" s="73"/>
      <c r="T973" s="73"/>
      <c r="U973" s="73"/>
      <c r="V973" s="73"/>
      <c r="W973" s="73"/>
      <c r="X973" s="73"/>
      <c r="Y973" s="73"/>
      <c r="Z973" s="73"/>
      <c r="AA973" s="73"/>
      <c r="AB973" s="73"/>
      <c r="AC973" s="73"/>
      <c r="AD973" s="73"/>
      <c r="AE973" s="73"/>
      <c r="AF973" s="73"/>
      <c r="AG973" s="73"/>
      <c r="AH973" s="73"/>
      <c r="AI973" s="73"/>
      <c r="AJ973" s="73"/>
      <c r="AK973" s="73"/>
      <c r="AL973" s="73"/>
      <c r="AM973" s="73"/>
      <c r="AN973" s="73"/>
      <c r="AO973" s="73"/>
      <c r="AP973" s="73"/>
      <c r="AQ973" s="73"/>
      <c r="AR973" s="73"/>
      <c r="AS973" s="73"/>
      <c r="AT973" s="73"/>
      <c r="AU973" s="73"/>
      <c r="AV973" s="73"/>
      <c r="AW973" s="73"/>
      <c r="AX973" s="73"/>
      <c r="AY973" s="73"/>
      <c r="AZ973" s="73"/>
      <c r="BA973" s="73"/>
      <c r="BB973" s="73"/>
    </row>
    <row r="974">
      <c r="A974" s="73"/>
      <c r="B974" s="73"/>
      <c r="C974" s="73"/>
      <c r="D974" s="73"/>
      <c r="E974" s="73"/>
      <c r="F974" s="73"/>
      <c r="G974" s="73"/>
      <c r="H974" s="73"/>
      <c r="I974" s="73"/>
      <c r="J974" s="73"/>
      <c r="K974" s="73"/>
      <c r="L974" s="73"/>
      <c r="M974" s="73"/>
      <c r="N974" s="73"/>
      <c r="O974" s="73"/>
      <c r="P974" s="73"/>
      <c r="Q974" s="73"/>
      <c r="R974" s="73"/>
      <c r="S974" s="73"/>
      <c r="T974" s="73"/>
      <c r="U974" s="73"/>
      <c r="V974" s="73"/>
      <c r="W974" s="73"/>
      <c r="X974" s="73"/>
      <c r="Y974" s="73"/>
      <c r="Z974" s="73"/>
      <c r="AA974" s="73"/>
      <c r="AB974" s="73"/>
      <c r="AC974" s="73"/>
      <c r="AD974" s="73"/>
      <c r="AE974" s="73"/>
      <c r="AF974" s="73"/>
      <c r="AG974" s="73"/>
      <c r="AH974" s="73"/>
      <c r="AI974" s="73"/>
      <c r="AJ974" s="73"/>
      <c r="AK974" s="73"/>
      <c r="AL974" s="73"/>
      <c r="AM974" s="73"/>
      <c r="AN974" s="73"/>
      <c r="AO974" s="73"/>
      <c r="AP974" s="73"/>
      <c r="AQ974" s="73"/>
      <c r="AR974" s="73"/>
      <c r="AS974" s="73"/>
      <c r="AT974" s="73"/>
      <c r="AU974" s="73"/>
      <c r="AV974" s="73"/>
      <c r="AW974" s="73"/>
      <c r="AX974" s="73"/>
      <c r="AY974" s="73"/>
      <c r="AZ974" s="73"/>
      <c r="BA974" s="73"/>
      <c r="BB974" s="73"/>
    </row>
    <row r="975">
      <c r="A975" s="73"/>
      <c r="B975" s="73"/>
      <c r="C975" s="73"/>
      <c r="D975" s="73"/>
      <c r="E975" s="73"/>
      <c r="F975" s="73"/>
      <c r="G975" s="73"/>
      <c r="H975" s="73"/>
      <c r="I975" s="73"/>
      <c r="J975" s="73"/>
      <c r="K975" s="73"/>
      <c r="L975" s="73"/>
      <c r="M975" s="73"/>
      <c r="N975" s="73"/>
      <c r="O975" s="73"/>
      <c r="P975" s="73"/>
      <c r="Q975" s="73"/>
      <c r="R975" s="73"/>
      <c r="S975" s="73"/>
      <c r="T975" s="73"/>
      <c r="U975" s="73"/>
      <c r="V975" s="73"/>
      <c r="W975" s="73"/>
      <c r="X975" s="73"/>
      <c r="Y975" s="73"/>
      <c r="Z975" s="73"/>
      <c r="AA975" s="73"/>
      <c r="AB975" s="73"/>
      <c r="AC975" s="73"/>
      <c r="AD975" s="73"/>
      <c r="AE975" s="73"/>
      <c r="AF975" s="73"/>
      <c r="AG975" s="73"/>
      <c r="AH975" s="73"/>
      <c r="AI975" s="73"/>
      <c r="AJ975" s="73"/>
      <c r="AK975" s="73"/>
      <c r="AL975" s="73"/>
      <c r="AM975" s="73"/>
      <c r="AN975" s="73"/>
      <c r="AO975" s="73"/>
      <c r="AP975" s="73"/>
      <c r="AQ975" s="73"/>
      <c r="AR975" s="73"/>
      <c r="AS975" s="73"/>
      <c r="AT975" s="73"/>
      <c r="AU975" s="73"/>
      <c r="AV975" s="73"/>
      <c r="AW975" s="73"/>
      <c r="AX975" s="73"/>
      <c r="AY975" s="73"/>
      <c r="AZ975" s="73"/>
      <c r="BA975" s="73"/>
      <c r="BB975" s="73"/>
    </row>
    <row r="976">
      <c r="A976" s="73"/>
      <c r="B976" s="73"/>
      <c r="C976" s="73"/>
      <c r="D976" s="73"/>
      <c r="E976" s="73"/>
      <c r="F976" s="73"/>
      <c r="G976" s="73"/>
      <c r="H976" s="73"/>
      <c r="I976" s="73"/>
      <c r="J976" s="73"/>
      <c r="K976" s="73"/>
      <c r="L976" s="73"/>
      <c r="M976" s="73"/>
      <c r="N976" s="73"/>
      <c r="O976" s="73"/>
      <c r="P976" s="73"/>
      <c r="Q976" s="73"/>
      <c r="R976" s="73"/>
      <c r="S976" s="73"/>
      <c r="T976" s="73"/>
      <c r="U976" s="73"/>
      <c r="V976" s="73"/>
      <c r="W976" s="73"/>
      <c r="X976" s="73"/>
      <c r="Y976" s="73"/>
      <c r="Z976" s="73"/>
      <c r="AA976" s="73"/>
      <c r="AB976" s="73"/>
      <c r="AC976" s="73"/>
      <c r="AD976" s="73"/>
      <c r="AE976" s="73"/>
      <c r="AF976" s="73"/>
      <c r="AG976" s="73"/>
      <c r="AH976" s="73"/>
      <c r="AI976" s="73"/>
      <c r="AJ976" s="73"/>
      <c r="AK976" s="73"/>
      <c r="AL976" s="73"/>
      <c r="AM976" s="73"/>
      <c r="AN976" s="73"/>
      <c r="AO976" s="73"/>
      <c r="AP976" s="73"/>
      <c r="AQ976" s="73"/>
      <c r="AR976" s="73"/>
      <c r="AS976" s="73"/>
      <c r="AT976" s="73"/>
      <c r="AU976" s="73"/>
      <c r="AV976" s="73"/>
      <c r="AW976" s="73"/>
      <c r="AX976" s="73"/>
      <c r="AY976" s="73"/>
      <c r="AZ976" s="73"/>
      <c r="BA976" s="73"/>
      <c r="BB976" s="73"/>
    </row>
    <row r="977">
      <c r="A977" s="73"/>
      <c r="B977" s="73"/>
      <c r="C977" s="73"/>
      <c r="D977" s="73"/>
      <c r="E977" s="73"/>
      <c r="F977" s="73"/>
      <c r="G977" s="73"/>
      <c r="H977" s="73"/>
      <c r="I977" s="73"/>
      <c r="J977" s="73"/>
      <c r="K977" s="73"/>
      <c r="L977" s="73"/>
      <c r="M977" s="73"/>
      <c r="N977" s="73"/>
      <c r="O977" s="73"/>
      <c r="P977" s="73"/>
      <c r="Q977" s="73"/>
      <c r="R977" s="73"/>
      <c r="S977" s="73"/>
      <c r="T977" s="73"/>
      <c r="U977" s="73"/>
      <c r="V977" s="73"/>
      <c r="W977" s="73"/>
      <c r="X977" s="73"/>
      <c r="Y977" s="73"/>
      <c r="Z977" s="73"/>
      <c r="AA977" s="73"/>
      <c r="AB977" s="73"/>
      <c r="AC977" s="73"/>
      <c r="AD977" s="73"/>
      <c r="AE977" s="73"/>
      <c r="AF977" s="73"/>
      <c r="AG977" s="73"/>
      <c r="AH977" s="73"/>
      <c r="AI977" s="73"/>
      <c r="AJ977" s="73"/>
      <c r="AK977" s="73"/>
      <c r="AL977" s="73"/>
      <c r="AM977" s="73"/>
      <c r="AN977" s="73"/>
      <c r="AO977" s="73"/>
      <c r="AP977" s="73"/>
      <c r="AQ977" s="73"/>
      <c r="AR977" s="73"/>
      <c r="AS977" s="73"/>
      <c r="AT977" s="73"/>
      <c r="AU977" s="73"/>
      <c r="AV977" s="73"/>
      <c r="AW977" s="73"/>
      <c r="AX977" s="73"/>
      <c r="AY977" s="73"/>
      <c r="AZ977" s="73"/>
      <c r="BA977" s="73"/>
      <c r="BB977" s="73"/>
    </row>
    <row r="978">
      <c r="A978" s="73"/>
      <c r="B978" s="73"/>
      <c r="C978" s="73"/>
      <c r="D978" s="73"/>
      <c r="E978" s="73"/>
      <c r="F978" s="73"/>
      <c r="G978" s="73"/>
      <c r="H978" s="73"/>
      <c r="I978" s="73"/>
      <c r="J978" s="73"/>
      <c r="K978" s="73"/>
      <c r="L978" s="73"/>
      <c r="M978" s="73"/>
      <c r="N978" s="73"/>
      <c r="O978" s="73"/>
      <c r="P978" s="73"/>
      <c r="Q978" s="73"/>
      <c r="R978" s="73"/>
      <c r="S978" s="73"/>
      <c r="T978" s="73"/>
      <c r="U978" s="73"/>
      <c r="V978" s="73"/>
      <c r="W978" s="73"/>
      <c r="X978" s="73"/>
      <c r="Y978" s="73"/>
      <c r="Z978" s="73"/>
      <c r="AA978" s="73"/>
      <c r="AB978" s="73"/>
      <c r="AC978" s="73"/>
      <c r="AD978" s="73"/>
      <c r="AE978" s="73"/>
      <c r="AF978" s="73"/>
      <c r="AG978" s="73"/>
      <c r="AH978" s="73"/>
      <c r="AI978" s="73"/>
      <c r="AJ978" s="73"/>
      <c r="AK978" s="73"/>
      <c r="AL978" s="73"/>
      <c r="AM978" s="73"/>
      <c r="AN978" s="73"/>
      <c r="AO978" s="73"/>
      <c r="AP978" s="73"/>
      <c r="AQ978" s="73"/>
      <c r="AR978" s="73"/>
      <c r="AS978" s="73"/>
      <c r="AT978" s="73"/>
      <c r="AU978" s="73"/>
      <c r="AV978" s="73"/>
      <c r="AW978" s="73"/>
      <c r="AX978" s="73"/>
      <c r="AY978" s="73"/>
      <c r="AZ978" s="73"/>
      <c r="BA978" s="73"/>
      <c r="BB978" s="73"/>
    </row>
    <row r="979">
      <c r="A979" s="73"/>
      <c r="B979" s="73"/>
      <c r="C979" s="73"/>
      <c r="D979" s="73"/>
      <c r="E979" s="73"/>
      <c r="F979" s="73"/>
      <c r="G979" s="73"/>
      <c r="H979" s="73"/>
      <c r="I979" s="73"/>
      <c r="J979" s="73"/>
      <c r="K979" s="73"/>
      <c r="L979" s="73"/>
      <c r="M979" s="73"/>
      <c r="N979" s="73"/>
      <c r="O979" s="73"/>
      <c r="P979" s="73"/>
      <c r="Q979" s="73"/>
      <c r="R979" s="73"/>
      <c r="S979" s="73"/>
      <c r="T979" s="73"/>
      <c r="U979" s="73"/>
      <c r="V979" s="73"/>
      <c r="W979" s="73"/>
      <c r="X979" s="73"/>
      <c r="Y979" s="73"/>
      <c r="Z979" s="73"/>
      <c r="AA979" s="73"/>
      <c r="AB979" s="73"/>
      <c r="AC979" s="73"/>
      <c r="AD979" s="73"/>
      <c r="AE979" s="73"/>
      <c r="AF979" s="73"/>
      <c r="AG979" s="73"/>
      <c r="AH979" s="73"/>
      <c r="AI979" s="73"/>
      <c r="AJ979" s="73"/>
      <c r="AK979" s="73"/>
      <c r="AL979" s="73"/>
      <c r="AM979" s="73"/>
      <c r="AN979" s="73"/>
      <c r="AO979" s="73"/>
      <c r="AP979" s="73"/>
      <c r="AQ979" s="73"/>
      <c r="AR979" s="73"/>
      <c r="AS979" s="73"/>
      <c r="AT979" s="73"/>
      <c r="AU979" s="73"/>
      <c r="AV979" s="73"/>
      <c r="AW979" s="73"/>
      <c r="AX979" s="73"/>
      <c r="AY979" s="73"/>
      <c r="AZ979" s="73"/>
      <c r="BA979" s="73"/>
      <c r="BB979" s="73"/>
    </row>
    <row r="980">
      <c r="A980" s="73"/>
      <c r="B980" s="73"/>
      <c r="C980" s="73"/>
      <c r="D980" s="73"/>
      <c r="E980" s="73"/>
      <c r="F980" s="73"/>
      <c r="G980" s="73"/>
      <c r="H980" s="73"/>
      <c r="I980" s="73"/>
      <c r="J980" s="73"/>
      <c r="K980" s="73"/>
      <c r="L980" s="73"/>
      <c r="M980" s="73"/>
      <c r="N980" s="73"/>
      <c r="O980" s="73"/>
      <c r="P980" s="73"/>
      <c r="Q980" s="73"/>
      <c r="R980" s="73"/>
      <c r="S980" s="73"/>
      <c r="T980" s="73"/>
      <c r="U980" s="73"/>
      <c r="V980" s="73"/>
      <c r="W980" s="73"/>
      <c r="X980" s="73"/>
      <c r="Y980" s="73"/>
      <c r="Z980" s="73"/>
      <c r="AA980" s="73"/>
      <c r="AB980" s="73"/>
      <c r="AC980" s="73"/>
      <c r="AD980" s="73"/>
      <c r="AE980" s="73"/>
      <c r="AF980" s="73"/>
      <c r="AG980" s="73"/>
      <c r="AH980" s="73"/>
      <c r="AI980" s="73"/>
      <c r="AJ980" s="73"/>
      <c r="AK980" s="73"/>
      <c r="AL980" s="73"/>
      <c r="AM980" s="73"/>
      <c r="AN980" s="73"/>
      <c r="AO980" s="73"/>
      <c r="AP980" s="73"/>
      <c r="AQ980" s="73"/>
      <c r="AR980" s="73"/>
      <c r="AS980" s="73"/>
      <c r="AT980" s="73"/>
      <c r="AU980" s="73"/>
      <c r="AV980" s="73"/>
      <c r="AW980" s="73"/>
      <c r="AX980" s="73"/>
      <c r="AY980" s="73"/>
      <c r="AZ980" s="73"/>
      <c r="BA980" s="73"/>
      <c r="BB980" s="73"/>
    </row>
    <row r="981">
      <c r="A981" s="73"/>
      <c r="B981" s="73"/>
      <c r="C981" s="73"/>
      <c r="D981" s="73"/>
      <c r="E981" s="73"/>
      <c r="F981" s="73"/>
      <c r="G981" s="73"/>
      <c r="H981" s="73"/>
      <c r="I981" s="73"/>
      <c r="J981" s="73"/>
      <c r="K981" s="73"/>
      <c r="L981" s="73"/>
      <c r="M981" s="73"/>
      <c r="N981" s="73"/>
      <c r="O981" s="73"/>
      <c r="P981" s="73"/>
      <c r="Q981" s="73"/>
      <c r="R981" s="73"/>
      <c r="S981" s="73"/>
      <c r="T981" s="73"/>
      <c r="U981" s="73"/>
      <c r="V981" s="73"/>
      <c r="W981" s="73"/>
      <c r="X981" s="73"/>
      <c r="Y981" s="73"/>
      <c r="Z981" s="73"/>
      <c r="AA981" s="73"/>
      <c r="AB981" s="73"/>
      <c r="AC981" s="73"/>
      <c r="AD981" s="73"/>
      <c r="AE981" s="73"/>
      <c r="AF981" s="73"/>
      <c r="AG981" s="73"/>
      <c r="AH981" s="73"/>
      <c r="AI981" s="73"/>
      <c r="AJ981" s="73"/>
      <c r="AK981" s="73"/>
      <c r="AL981" s="73"/>
      <c r="AM981" s="73"/>
      <c r="AN981" s="73"/>
      <c r="AO981" s="73"/>
      <c r="AP981" s="73"/>
      <c r="AQ981" s="73"/>
      <c r="AR981" s="73"/>
      <c r="AS981" s="73"/>
      <c r="AT981" s="73"/>
      <c r="AU981" s="73"/>
      <c r="AV981" s="73"/>
      <c r="AW981" s="73"/>
      <c r="AX981" s="73"/>
      <c r="AY981" s="73"/>
      <c r="AZ981" s="73"/>
      <c r="BA981" s="73"/>
      <c r="BB981" s="73"/>
    </row>
    <row r="982">
      <c r="A982" s="73"/>
      <c r="B982" s="73"/>
      <c r="C982" s="73"/>
      <c r="D982" s="73"/>
      <c r="E982" s="73"/>
      <c r="F982" s="73"/>
      <c r="G982" s="73"/>
      <c r="H982" s="73"/>
      <c r="I982" s="73"/>
      <c r="J982" s="73"/>
      <c r="K982" s="73"/>
      <c r="L982" s="73"/>
      <c r="M982" s="73"/>
      <c r="N982" s="73"/>
      <c r="O982" s="73"/>
      <c r="P982" s="73"/>
      <c r="Q982" s="73"/>
      <c r="R982" s="73"/>
      <c r="S982" s="73"/>
      <c r="T982" s="73"/>
      <c r="U982" s="73"/>
      <c r="V982" s="73"/>
      <c r="W982" s="73"/>
      <c r="X982" s="73"/>
      <c r="Y982" s="73"/>
      <c r="Z982" s="73"/>
      <c r="AA982" s="73"/>
      <c r="AB982" s="73"/>
      <c r="AC982" s="73"/>
      <c r="AD982" s="73"/>
      <c r="AE982" s="73"/>
      <c r="AF982" s="73"/>
      <c r="AG982" s="73"/>
      <c r="AH982" s="73"/>
      <c r="AI982" s="73"/>
      <c r="AJ982" s="73"/>
      <c r="AK982" s="73"/>
      <c r="AL982" s="73"/>
      <c r="AM982" s="73"/>
      <c r="AN982" s="73"/>
      <c r="AO982" s="73"/>
      <c r="AP982" s="73"/>
      <c r="AQ982" s="73"/>
      <c r="AR982" s="73"/>
      <c r="AS982" s="73"/>
      <c r="AT982" s="73"/>
      <c r="AU982" s="73"/>
      <c r="AV982" s="73"/>
      <c r="AW982" s="73"/>
      <c r="AX982" s="73"/>
      <c r="AY982" s="73"/>
      <c r="AZ982" s="73"/>
      <c r="BA982" s="73"/>
      <c r="BB982" s="73"/>
    </row>
    <row r="983">
      <c r="A983" s="73"/>
      <c r="B983" s="73"/>
      <c r="C983" s="73"/>
      <c r="D983" s="73"/>
      <c r="E983" s="73"/>
      <c r="F983" s="73"/>
      <c r="G983" s="73"/>
      <c r="H983" s="73"/>
      <c r="I983" s="73"/>
      <c r="J983" s="73"/>
      <c r="K983" s="73"/>
      <c r="L983" s="73"/>
      <c r="M983" s="73"/>
      <c r="N983" s="73"/>
      <c r="O983" s="73"/>
      <c r="P983" s="73"/>
      <c r="Q983" s="73"/>
      <c r="R983" s="73"/>
      <c r="S983" s="73"/>
      <c r="T983" s="73"/>
      <c r="U983" s="73"/>
      <c r="V983" s="73"/>
      <c r="W983" s="73"/>
      <c r="X983" s="73"/>
      <c r="Y983" s="73"/>
      <c r="Z983" s="73"/>
      <c r="AA983" s="73"/>
      <c r="AB983" s="73"/>
      <c r="AC983" s="73"/>
      <c r="AD983" s="73"/>
      <c r="AE983" s="73"/>
      <c r="AF983" s="73"/>
      <c r="AG983" s="73"/>
      <c r="AH983" s="73"/>
      <c r="AI983" s="73"/>
      <c r="AJ983" s="73"/>
      <c r="AK983" s="73"/>
      <c r="AL983" s="73"/>
      <c r="AM983" s="73"/>
      <c r="AN983" s="73"/>
      <c r="AO983" s="73"/>
      <c r="AP983" s="73"/>
      <c r="AQ983" s="73"/>
      <c r="AR983" s="73"/>
      <c r="AS983" s="73"/>
      <c r="AT983" s="73"/>
      <c r="AU983" s="73"/>
      <c r="AV983" s="73"/>
      <c r="AW983" s="73"/>
      <c r="AX983" s="73"/>
      <c r="AY983" s="73"/>
      <c r="AZ983" s="73"/>
      <c r="BA983" s="73"/>
      <c r="BB983" s="73"/>
    </row>
    <row r="984">
      <c r="A984" s="73"/>
      <c r="B984" s="73"/>
      <c r="C984" s="73"/>
      <c r="D984" s="73"/>
      <c r="E984" s="73"/>
      <c r="F984" s="73"/>
      <c r="G984" s="73"/>
      <c r="H984" s="73"/>
      <c r="I984" s="73"/>
      <c r="J984" s="73"/>
      <c r="K984" s="73"/>
      <c r="L984" s="73"/>
      <c r="M984" s="73"/>
      <c r="N984" s="73"/>
      <c r="O984" s="73"/>
      <c r="P984" s="73"/>
      <c r="Q984" s="73"/>
      <c r="R984" s="73"/>
      <c r="S984" s="73"/>
      <c r="T984" s="73"/>
      <c r="U984" s="73"/>
      <c r="V984" s="73"/>
      <c r="W984" s="73"/>
      <c r="X984" s="73"/>
      <c r="Y984" s="73"/>
      <c r="Z984" s="73"/>
      <c r="AA984" s="73"/>
      <c r="AB984" s="73"/>
      <c r="AC984" s="73"/>
      <c r="AD984" s="73"/>
      <c r="AE984" s="73"/>
      <c r="AF984" s="73"/>
      <c r="AG984" s="73"/>
      <c r="AH984" s="73"/>
      <c r="AI984" s="73"/>
      <c r="AJ984" s="73"/>
      <c r="AK984" s="73"/>
      <c r="AL984" s="73"/>
      <c r="AM984" s="73"/>
      <c r="AN984" s="73"/>
      <c r="AO984" s="73"/>
      <c r="AP984" s="73"/>
      <c r="AQ984" s="73"/>
      <c r="AR984" s="73"/>
      <c r="AS984" s="73"/>
      <c r="AT984" s="73"/>
      <c r="AU984" s="73"/>
      <c r="AV984" s="73"/>
      <c r="AW984" s="73"/>
      <c r="AX984" s="73"/>
      <c r="AY984" s="73"/>
      <c r="AZ984" s="73"/>
      <c r="BA984" s="73"/>
      <c r="BB984" s="73"/>
    </row>
    <row r="985">
      <c r="A985" s="73"/>
      <c r="B985" s="73"/>
      <c r="C985" s="73"/>
      <c r="D985" s="73"/>
      <c r="E985" s="73"/>
      <c r="F985" s="73"/>
      <c r="G985" s="73"/>
      <c r="H985" s="73"/>
      <c r="I985" s="73"/>
      <c r="J985" s="73"/>
      <c r="K985" s="73"/>
      <c r="L985" s="73"/>
      <c r="M985" s="73"/>
      <c r="N985" s="73"/>
      <c r="O985" s="73"/>
      <c r="P985" s="73"/>
      <c r="Q985" s="73"/>
      <c r="R985" s="73"/>
      <c r="S985" s="73"/>
      <c r="T985" s="73"/>
      <c r="U985" s="73"/>
      <c r="V985" s="73"/>
      <c r="W985" s="73"/>
      <c r="X985" s="73"/>
      <c r="Y985" s="73"/>
      <c r="Z985" s="73"/>
      <c r="AA985" s="73"/>
      <c r="AB985" s="73"/>
      <c r="AC985" s="73"/>
      <c r="AD985" s="73"/>
      <c r="AE985" s="73"/>
      <c r="AF985" s="73"/>
      <c r="AG985" s="73"/>
      <c r="AH985" s="73"/>
      <c r="AI985" s="73"/>
      <c r="AJ985" s="73"/>
      <c r="AK985" s="73"/>
      <c r="AL985" s="73"/>
      <c r="AM985" s="73"/>
      <c r="AN985" s="73"/>
      <c r="AO985" s="73"/>
      <c r="AP985" s="73"/>
      <c r="AQ985" s="73"/>
      <c r="AR985" s="73"/>
      <c r="AS985" s="73"/>
      <c r="AT985" s="73"/>
      <c r="AU985" s="73"/>
      <c r="AV985" s="73"/>
      <c r="AW985" s="73"/>
      <c r="AX985" s="73"/>
      <c r="AY985" s="73"/>
      <c r="AZ985" s="73"/>
      <c r="BA985" s="73"/>
      <c r="BB985" s="73"/>
    </row>
    <row r="986">
      <c r="A986" s="73"/>
      <c r="B986" s="73"/>
      <c r="C986" s="73"/>
      <c r="D986" s="73"/>
      <c r="E986" s="73"/>
      <c r="F986" s="73"/>
      <c r="G986" s="73"/>
      <c r="H986" s="73"/>
      <c r="I986" s="73"/>
      <c r="J986" s="73"/>
      <c r="K986" s="73"/>
      <c r="L986" s="73"/>
      <c r="M986" s="73"/>
      <c r="N986" s="73"/>
      <c r="O986" s="73"/>
      <c r="P986" s="73"/>
      <c r="Q986" s="73"/>
      <c r="R986" s="73"/>
      <c r="S986" s="73"/>
      <c r="T986" s="73"/>
      <c r="U986" s="73"/>
      <c r="V986" s="73"/>
      <c r="W986" s="73"/>
      <c r="X986" s="73"/>
      <c r="Y986" s="73"/>
      <c r="Z986" s="73"/>
      <c r="AA986" s="73"/>
      <c r="AB986" s="73"/>
      <c r="AC986" s="73"/>
      <c r="AD986" s="73"/>
      <c r="AE986" s="73"/>
      <c r="AF986" s="73"/>
      <c r="AG986" s="73"/>
      <c r="AH986" s="73"/>
      <c r="AI986" s="73"/>
      <c r="AJ986" s="73"/>
      <c r="AK986" s="73"/>
      <c r="AL986" s="73"/>
      <c r="AM986" s="73"/>
      <c r="AN986" s="73"/>
      <c r="AO986" s="73"/>
      <c r="AP986" s="73"/>
      <c r="AQ986" s="73"/>
      <c r="AR986" s="73"/>
      <c r="AS986" s="73"/>
      <c r="AT986" s="73"/>
      <c r="AU986" s="73"/>
      <c r="AV986" s="73"/>
      <c r="AW986" s="73"/>
      <c r="AX986" s="73"/>
      <c r="AY986" s="73"/>
      <c r="AZ986" s="73"/>
      <c r="BA986" s="73"/>
      <c r="BB986" s="73"/>
    </row>
    <row r="987">
      <c r="A987" s="73"/>
      <c r="B987" s="73"/>
      <c r="C987" s="73"/>
      <c r="D987" s="73"/>
      <c r="E987" s="73"/>
      <c r="F987" s="73"/>
      <c r="G987" s="73"/>
      <c r="H987" s="73"/>
      <c r="I987" s="73"/>
      <c r="J987" s="73"/>
      <c r="K987" s="73"/>
      <c r="L987" s="73"/>
      <c r="M987" s="73"/>
      <c r="N987" s="73"/>
      <c r="O987" s="73"/>
      <c r="P987" s="73"/>
      <c r="Q987" s="73"/>
      <c r="R987" s="73"/>
      <c r="S987" s="73"/>
      <c r="T987" s="73"/>
      <c r="U987" s="73"/>
      <c r="V987" s="73"/>
      <c r="W987" s="73"/>
      <c r="X987" s="73"/>
      <c r="Y987" s="73"/>
      <c r="Z987" s="73"/>
      <c r="AA987" s="73"/>
      <c r="AB987" s="73"/>
      <c r="AC987" s="73"/>
      <c r="AD987" s="73"/>
      <c r="AE987" s="73"/>
      <c r="AF987" s="73"/>
      <c r="AG987" s="73"/>
      <c r="AH987" s="73"/>
      <c r="AI987" s="73"/>
      <c r="AJ987" s="73"/>
      <c r="AK987" s="73"/>
      <c r="AL987" s="73"/>
      <c r="AM987" s="73"/>
      <c r="AN987" s="73"/>
      <c r="AO987" s="73"/>
      <c r="AP987" s="73"/>
      <c r="AQ987" s="73"/>
      <c r="AR987" s="73"/>
      <c r="AS987" s="73"/>
      <c r="AT987" s="73"/>
      <c r="AU987" s="73"/>
      <c r="AV987" s="73"/>
      <c r="AW987" s="73"/>
      <c r="AX987" s="73"/>
      <c r="AY987" s="73"/>
      <c r="AZ987" s="73"/>
      <c r="BA987" s="73"/>
      <c r="BB987" s="73"/>
    </row>
    <row r="988">
      <c r="A988" s="73"/>
      <c r="B988" s="73"/>
      <c r="C988" s="73"/>
      <c r="D988" s="73"/>
      <c r="E988" s="73"/>
      <c r="F988" s="73"/>
      <c r="G988" s="73"/>
      <c r="H988" s="73"/>
      <c r="I988" s="73"/>
      <c r="J988" s="73"/>
      <c r="K988" s="73"/>
      <c r="L988" s="73"/>
      <c r="M988" s="73"/>
      <c r="N988" s="73"/>
      <c r="O988" s="73"/>
      <c r="P988" s="73"/>
      <c r="Q988" s="73"/>
      <c r="R988" s="73"/>
      <c r="S988" s="73"/>
      <c r="T988" s="73"/>
      <c r="U988" s="73"/>
      <c r="V988" s="73"/>
      <c r="W988" s="73"/>
      <c r="X988" s="73"/>
      <c r="Y988" s="73"/>
      <c r="Z988" s="73"/>
      <c r="AA988" s="73"/>
      <c r="AB988" s="73"/>
      <c r="AC988" s="73"/>
      <c r="AD988" s="73"/>
      <c r="AE988" s="73"/>
      <c r="AF988" s="73"/>
      <c r="AG988" s="73"/>
      <c r="AH988" s="73"/>
      <c r="AI988" s="73"/>
      <c r="AJ988" s="73"/>
      <c r="AK988" s="73"/>
      <c r="AL988" s="73"/>
      <c r="AM988" s="73"/>
      <c r="AN988" s="73"/>
      <c r="AO988" s="73"/>
      <c r="AP988" s="73"/>
      <c r="AQ988" s="73"/>
      <c r="AR988" s="73"/>
      <c r="AS988" s="73"/>
      <c r="AT988" s="73"/>
      <c r="AU988" s="73"/>
      <c r="AV988" s="73"/>
      <c r="AW988" s="73"/>
      <c r="AX988" s="73"/>
      <c r="AY988" s="73"/>
      <c r="AZ988" s="73"/>
      <c r="BA988" s="73"/>
      <c r="BB988" s="73"/>
    </row>
    <row r="989">
      <c r="A989" s="73"/>
      <c r="B989" s="73"/>
      <c r="C989" s="73"/>
      <c r="D989" s="73"/>
      <c r="E989" s="73"/>
      <c r="F989" s="73"/>
      <c r="G989" s="73"/>
      <c r="H989" s="73"/>
      <c r="I989" s="73"/>
      <c r="J989" s="73"/>
      <c r="K989" s="73"/>
      <c r="L989" s="73"/>
      <c r="M989" s="73"/>
      <c r="N989" s="73"/>
      <c r="O989" s="73"/>
      <c r="P989" s="73"/>
      <c r="Q989" s="73"/>
      <c r="R989" s="73"/>
      <c r="S989" s="73"/>
      <c r="T989" s="73"/>
      <c r="U989" s="73"/>
      <c r="V989" s="73"/>
      <c r="W989" s="73"/>
      <c r="X989" s="73"/>
      <c r="Y989" s="73"/>
      <c r="Z989" s="73"/>
      <c r="AA989" s="73"/>
      <c r="AB989" s="73"/>
      <c r="AC989" s="73"/>
      <c r="AD989" s="73"/>
      <c r="AE989" s="73"/>
      <c r="AF989" s="73"/>
      <c r="AG989" s="73"/>
      <c r="AH989" s="73"/>
      <c r="AI989" s="73"/>
      <c r="AJ989" s="73"/>
      <c r="AK989" s="73"/>
      <c r="AL989" s="73"/>
      <c r="AM989" s="73"/>
      <c r="AN989" s="73"/>
      <c r="AO989" s="73"/>
      <c r="AP989" s="73"/>
      <c r="AQ989" s="73"/>
      <c r="AR989" s="73"/>
      <c r="AS989" s="73"/>
      <c r="AT989" s="73"/>
      <c r="AU989" s="73"/>
      <c r="AV989" s="73"/>
      <c r="AW989" s="73"/>
      <c r="AX989" s="73"/>
      <c r="AY989" s="73"/>
      <c r="AZ989" s="73"/>
      <c r="BA989" s="73"/>
      <c r="BB989" s="73"/>
    </row>
    <row r="990">
      <c r="A990" s="73"/>
      <c r="B990" s="73"/>
      <c r="C990" s="73"/>
      <c r="D990" s="73"/>
      <c r="E990" s="73"/>
      <c r="F990" s="73"/>
      <c r="G990" s="73"/>
      <c r="H990" s="73"/>
      <c r="I990" s="73"/>
      <c r="J990" s="73"/>
      <c r="K990" s="73"/>
      <c r="L990" s="73"/>
      <c r="M990" s="73"/>
      <c r="N990" s="73"/>
      <c r="O990" s="73"/>
      <c r="P990" s="73"/>
      <c r="Q990" s="73"/>
      <c r="R990" s="73"/>
      <c r="S990" s="73"/>
      <c r="T990" s="73"/>
      <c r="U990" s="73"/>
      <c r="V990" s="73"/>
      <c r="W990" s="73"/>
      <c r="X990" s="73"/>
      <c r="Y990" s="73"/>
      <c r="Z990" s="73"/>
      <c r="AA990" s="73"/>
      <c r="AB990" s="73"/>
      <c r="AC990" s="73"/>
      <c r="AD990" s="73"/>
      <c r="AE990" s="73"/>
      <c r="AF990" s="73"/>
      <c r="AG990" s="73"/>
      <c r="AH990" s="73"/>
      <c r="AI990" s="73"/>
      <c r="AJ990" s="73"/>
      <c r="AK990" s="73"/>
      <c r="AL990" s="73"/>
      <c r="AM990" s="73"/>
      <c r="AN990" s="73"/>
      <c r="AO990" s="73"/>
      <c r="AP990" s="73"/>
      <c r="AQ990" s="73"/>
      <c r="AR990" s="73"/>
      <c r="AS990" s="73"/>
      <c r="AT990" s="73"/>
      <c r="AU990" s="73"/>
      <c r="AV990" s="73"/>
      <c r="AW990" s="73"/>
      <c r="AX990" s="73"/>
      <c r="AY990" s="73"/>
      <c r="AZ990" s="73"/>
      <c r="BA990" s="73"/>
      <c r="BB990" s="73"/>
    </row>
    <row r="991">
      <c r="A991" s="73"/>
      <c r="B991" s="73"/>
      <c r="C991" s="73"/>
      <c r="D991" s="73"/>
      <c r="E991" s="73"/>
      <c r="F991" s="73"/>
      <c r="G991" s="73"/>
      <c r="H991" s="73"/>
      <c r="I991" s="73"/>
      <c r="J991" s="73"/>
      <c r="K991" s="73"/>
      <c r="L991" s="73"/>
      <c r="M991" s="73"/>
      <c r="N991" s="73"/>
      <c r="O991" s="73"/>
      <c r="P991" s="73"/>
      <c r="Q991" s="73"/>
      <c r="R991" s="73"/>
      <c r="S991" s="73"/>
      <c r="T991" s="73"/>
      <c r="U991" s="73"/>
      <c r="V991" s="73"/>
      <c r="W991" s="73"/>
      <c r="X991" s="73"/>
      <c r="Y991" s="73"/>
      <c r="Z991" s="73"/>
      <c r="AA991" s="73"/>
      <c r="AB991" s="73"/>
      <c r="AC991" s="73"/>
      <c r="AD991" s="73"/>
      <c r="AE991" s="73"/>
      <c r="AF991" s="73"/>
      <c r="AG991" s="73"/>
      <c r="AH991" s="73"/>
      <c r="AI991" s="73"/>
      <c r="AJ991" s="73"/>
      <c r="AK991" s="73"/>
      <c r="AL991" s="73"/>
      <c r="AM991" s="73"/>
      <c r="AN991" s="73"/>
      <c r="AO991" s="73"/>
      <c r="AP991" s="73"/>
      <c r="AQ991" s="73"/>
      <c r="AR991" s="73"/>
      <c r="AS991" s="73"/>
      <c r="AT991" s="73"/>
      <c r="AU991" s="73"/>
      <c r="AV991" s="73"/>
      <c r="AW991" s="73"/>
      <c r="AX991" s="73"/>
      <c r="AY991" s="73"/>
      <c r="AZ991" s="73"/>
      <c r="BA991" s="73"/>
      <c r="BB991" s="73"/>
    </row>
    <row r="992">
      <c r="A992" s="73"/>
      <c r="B992" s="73"/>
      <c r="C992" s="73"/>
      <c r="D992" s="73"/>
      <c r="E992" s="73"/>
      <c r="F992" s="73"/>
      <c r="G992" s="73"/>
      <c r="H992" s="73"/>
      <c r="I992" s="73"/>
      <c r="J992" s="73"/>
      <c r="K992" s="73"/>
      <c r="L992" s="73"/>
      <c r="M992" s="73"/>
      <c r="N992" s="73"/>
      <c r="O992" s="73"/>
      <c r="P992" s="73"/>
      <c r="Q992" s="73"/>
      <c r="R992" s="73"/>
      <c r="S992" s="73"/>
      <c r="T992" s="73"/>
      <c r="U992" s="73"/>
      <c r="V992" s="73"/>
      <c r="W992" s="73"/>
      <c r="X992" s="73"/>
      <c r="Y992" s="73"/>
      <c r="Z992" s="73"/>
      <c r="AA992" s="73"/>
      <c r="AB992" s="73"/>
      <c r="AC992" s="73"/>
      <c r="AD992" s="73"/>
      <c r="AE992" s="73"/>
      <c r="AF992" s="73"/>
      <c r="AG992" s="73"/>
      <c r="AH992" s="73"/>
      <c r="AI992" s="73"/>
      <c r="AJ992" s="73"/>
      <c r="AK992" s="73"/>
      <c r="AL992" s="73"/>
      <c r="AM992" s="73"/>
      <c r="AN992" s="73"/>
      <c r="AO992" s="73"/>
      <c r="AP992" s="73"/>
      <c r="AQ992" s="73"/>
      <c r="AR992" s="73"/>
      <c r="AS992" s="73"/>
      <c r="AT992" s="73"/>
      <c r="AU992" s="73"/>
      <c r="AV992" s="73"/>
      <c r="AW992" s="73"/>
      <c r="AX992" s="73"/>
      <c r="AY992" s="73"/>
      <c r="AZ992" s="73"/>
      <c r="BA992" s="73"/>
      <c r="BB992" s="73"/>
    </row>
    <row r="993">
      <c r="A993" s="73"/>
      <c r="B993" s="73"/>
      <c r="C993" s="73"/>
      <c r="D993" s="73"/>
      <c r="E993" s="73"/>
      <c r="F993" s="73"/>
      <c r="G993" s="73"/>
      <c r="H993" s="73"/>
      <c r="I993" s="73"/>
      <c r="J993" s="73"/>
      <c r="K993" s="73"/>
      <c r="L993" s="73"/>
      <c r="M993" s="73"/>
      <c r="N993" s="73"/>
      <c r="O993" s="73"/>
      <c r="P993" s="73"/>
      <c r="Q993" s="73"/>
      <c r="R993" s="73"/>
      <c r="S993" s="73"/>
      <c r="T993" s="73"/>
      <c r="U993" s="73"/>
      <c r="V993" s="73"/>
      <c r="W993" s="73"/>
      <c r="X993" s="73"/>
      <c r="Y993" s="73"/>
      <c r="Z993" s="73"/>
      <c r="AA993" s="73"/>
      <c r="AB993" s="73"/>
      <c r="AC993" s="73"/>
      <c r="AD993" s="73"/>
      <c r="AE993" s="73"/>
      <c r="AF993" s="73"/>
      <c r="AG993" s="73"/>
      <c r="AH993" s="73"/>
      <c r="AI993" s="73"/>
      <c r="AJ993" s="73"/>
      <c r="AK993" s="73"/>
      <c r="AL993" s="73"/>
      <c r="AM993" s="73"/>
      <c r="AN993" s="73"/>
      <c r="AO993" s="73"/>
      <c r="AP993" s="73"/>
      <c r="AQ993" s="73"/>
      <c r="AR993" s="73"/>
      <c r="AS993" s="73"/>
      <c r="AT993" s="73"/>
      <c r="AU993" s="73"/>
      <c r="AV993" s="73"/>
      <c r="AW993" s="73"/>
      <c r="AX993" s="73"/>
      <c r="AY993" s="73"/>
      <c r="AZ993" s="73"/>
      <c r="BA993" s="73"/>
      <c r="BB993" s="73"/>
    </row>
    <row r="994">
      <c r="A994" s="73"/>
      <c r="B994" s="73"/>
      <c r="C994" s="73"/>
      <c r="D994" s="73"/>
      <c r="E994" s="73"/>
      <c r="F994" s="73"/>
      <c r="G994" s="73"/>
      <c r="H994" s="73"/>
      <c r="I994" s="73"/>
      <c r="J994" s="73"/>
      <c r="K994" s="73"/>
      <c r="L994" s="73"/>
      <c r="M994" s="73"/>
      <c r="N994" s="73"/>
      <c r="O994" s="73"/>
      <c r="P994" s="73"/>
      <c r="Q994" s="73"/>
      <c r="R994" s="73"/>
      <c r="S994" s="73"/>
      <c r="T994" s="73"/>
      <c r="U994" s="73"/>
      <c r="V994" s="73"/>
      <c r="W994" s="73"/>
      <c r="X994" s="73"/>
      <c r="Y994" s="73"/>
      <c r="Z994" s="73"/>
      <c r="AA994" s="73"/>
      <c r="AB994" s="73"/>
      <c r="AC994" s="73"/>
      <c r="AD994" s="73"/>
      <c r="AE994" s="73"/>
      <c r="AF994" s="73"/>
      <c r="AG994" s="73"/>
      <c r="AH994" s="73"/>
      <c r="AI994" s="73"/>
      <c r="AJ994" s="73"/>
      <c r="AK994" s="73"/>
      <c r="AL994" s="73"/>
      <c r="AM994" s="73"/>
      <c r="AN994" s="73"/>
      <c r="AO994" s="73"/>
      <c r="AP994" s="73"/>
      <c r="AQ994" s="73"/>
      <c r="AR994" s="73"/>
      <c r="AS994" s="73"/>
      <c r="AT994" s="73"/>
      <c r="AU994" s="73"/>
      <c r="AV994" s="73"/>
      <c r="AW994" s="73"/>
      <c r="AX994" s="73"/>
      <c r="AY994" s="73"/>
      <c r="AZ994" s="73"/>
      <c r="BA994" s="73"/>
      <c r="BB994" s="73"/>
    </row>
    <row r="995">
      <c r="A995" s="73"/>
      <c r="B995" s="73"/>
      <c r="C995" s="73"/>
      <c r="D995" s="73"/>
      <c r="E995" s="73"/>
      <c r="F995" s="73"/>
      <c r="G995" s="73"/>
      <c r="H995" s="73"/>
      <c r="I995" s="73"/>
      <c r="J995" s="73"/>
      <c r="K995" s="73"/>
      <c r="L995" s="73"/>
      <c r="M995" s="73"/>
      <c r="N995" s="73"/>
      <c r="O995" s="73"/>
      <c r="P995" s="73"/>
      <c r="Q995" s="73"/>
      <c r="R995" s="73"/>
      <c r="S995" s="73"/>
      <c r="T995" s="73"/>
      <c r="U995" s="73"/>
      <c r="V995" s="73"/>
      <c r="W995" s="73"/>
      <c r="X995" s="73"/>
      <c r="Y995" s="73"/>
      <c r="Z995" s="73"/>
      <c r="AA995" s="73"/>
      <c r="AB995" s="73"/>
      <c r="AC995" s="73"/>
      <c r="AD995" s="73"/>
      <c r="AE995" s="73"/>
      <c r="AF995" s="73"/>
      <c r="AG995" s="73"/>
      <c r="AH995" s="73"/>
      <c r="AI995" s="73"/>
      <c r="AJ995" s="73"/>
      <c r="AK995" s="73"/>
      <c r="AL995" s="73"/>
      <c r="AM995" s="73"/>
      <c r="AN995" s="73"/>
      <c r="AO995" s="73"/>
      <c r="AP995" s="73"/>
      <c r="AQ995" s="73"/>
      <c r="AR995" s="73"/>
      <c r="AS995" s="73"/>
      <c r="AT995" s="73"/>
      <c r="AU995" s="73"/>
      <c r="AV995" s="73"/>
      <c r="AW995" s="73"/>
      <c r="AX995" s="73"/>
      <c r="AY995" s="73"/>
      <c r="AZ995" s="73"/>
      <c r="BA995" s="73"/>
      <c r="BB995" s="73"/>
    </row>
    <row r="996">
      <c r="A996" s="73"/>
      <c r="B996" s="73"/>
      <c r="C996" s="73"/>
      <c r="D996" s="73"/>
      <c r="E996" s="73"/>
      <c r="F996" s="73"/>
      <c r="G996" s="73"/>
      <c r="H996" s="73"/>
      <c r="I996" s="73"/>
      <c r="J996" s="73"/>
      <c r="K996" s="73"/>
      <c r="L996" s="73"/>
      <c r="M996" s="73"/>
      <c r="N996" s="73"/>
      <c r="O996" s="73"/>
      <c r="P996" s="73"/>
      <c r="Q996" s="73"/>
      <c r="R996" s="73"/>
      <c r="S996" s="73"/>
      <c r="T996" s="73"/>
      <c r="U996" s="73"/>
      <c r="V996" s="73"/>
      <c r="W996" s="73"/>
      <c r="X996" s="73"/>
      <c r="Y996" s="73"/>
      <c r="Z996" s="73"/>
      <c r="AA996" s="73"/>
      <c r="AB996" s="73"/>
      <c r="AC996" s="73"/>
      <c r="AD996" s="73"/>
      <c r="AE996" s="73"/>
      <c r="AF996" s="73"/>
      <c r="AG996" s="73"/>
      <c r="AH996" s="73"/>
      <c r="AI996" s="73"/>
      <c r="AJ996" s="73"/>
      <c r="AK996" s="73"/>
      <c r="AL996" s="73"/>
      <c r="AM996" s="73"/>
      <c r="AN996" s="73"/>
      <c r="AO996" s="73"/>
      <c r="AP996" s="73"/>
      <c r="AQ996" s="73"/>
      <c r="AR996" s="73"/>
      <c r="AS996" s="73"/>
      <c r="AT996" s="73"/>
      <c r="AU996" s="73"/>
      <c r="AV996" s="73"/>
      <c r="AW996" s="73"/>
      <c r="AX996" s="73"/>
      <c r="AY996" s="73"/>
      <c r="AZ996" s="73"/>
      <c r="BA996" s="73"/>
      <c r="BB996" s="73"/>
    </row>
    <row r="997">
      <c r="A997" s="73"/>
      <c r="B997" s="73"/>
      <c r="C997" s="73"/>
      <c r="D997" s="73"/>
      <c r="E997" s="73"/>
      <c r="F997" s="73"/>
      <c r="G997" s="73"/>
      <c r="H997" s="73"/>
      <c r="I997" s="73"/>
      <c r="J997" s="73"/>
      <c r="K997" s="73"/>
      <c r="L997" s="73"/>
      <c r="M997" s="73"/>
      <c r="N997" s="73"/>
      <c r="O997" s="73"/>
      <c r="P997" s="73"/>
      <c r="Q997" s="73"/>
      <c r="R997" s="73"/>
      <c r="S997" s="73"/>
      <c r="T997" s="73"/>
      <c r="U997" s="73"/>
      <c r="V997" s="73"/>
      <c r="W997" s="73"/>
      <c r="X997" s="73"/>
      <c r="Y997" s="73"/>
      <c r="Z997" s="73"/>
      <c r="AA997" s="73"/>
      <c r="AB997" s="73"/>
      <c r="AC997" s="73"/>
      <c r="AD997" s="73"/>
      <c r="AE997" s="73"/>
      <c r="AF997" s="73"/>
      <c r="AG997" s="73"/>
      <c r="AH997" s="73"/>
      <c r="AI997" s="73"/>
      <c r="AJ997" s="73"/>
      <c r="AK997" s="73"/>
      <c r="AL997" s="73"/>
      <c r="AM997" s="73"/>
      <c r="AN997" s="73"/>
      <c r="AO997" s="73"/>
      <c r="AP997" s="73"/>
      <c r="AQ997" s="73"/>
      <c r="AR997" s="73"/>
      <c r="AS997" s="73"/>
      <c r="AT997" s="73"/>
      <c r="AU997" s="73"/>
      <c r="AV997" s="73"/>
      <c r="AW997" s="73"/>
      <c r="AX997" s="73"/>
      <c r="AY997" s="73"/>
      <c r="AZ997" s="73"/>
      <c r="BA997" s="73"/>
      <c r="BB997" s="73"/>
    </row>
    <row r="998">
      <c r="A998" s="73"/>
      <c r="B998" s="73"/>
      <c r="C998" s="73"/>
      <c r="D998" s="73"/>
      <c r="E998" s="73"/>
      <c r="F998" s="73"/>
      <c r="G998" s="73"/>
      <c r="H998" s="73"/>
      <c r="I998" s="73"/>
      <c r="J998" s="73"/>
      <c r="K998" s="73"/>
      <c r="L998" s="73"/>
      <c r="M998" s="73"/>
      <c r="N998" s="73"/>
      <c r="O998" s="73"/>
      <c r="P998" s="73"/>
      <c r="Q998" s="73"/>
      <c r="R998" s="73"/>
      <c r="S998" s="73"/>
      <c r="T998" s="73"/>
      <c r="U998" s="73"/>
      <c r="V998" s="73"/>
      <c r="W998" s="73"/>
      <c r="X998" s="73"/>
      <c r="Y998" s="73"/>
      <c r="Z998" s="73"/>
      <c r="AA998" s="73"/>
      <c r="AB998" s="73"/>
      <c r="AC998" s="73"/>
      <c r="AD998" s="73"/>
      <c r="AE998" s="73"/>
      <c r="AF998" s="73"/>
      <c r="AG998" s="73"/>
      <c r="AH998" s="73"/>
      <c r="AI998" s="73"/>
      <c r="AJ998" s="73"/>
      <c r="AK998" s="73"/>
      <c r="AL998" s="73"/>
      <c r="AM998" s="73"/>
      <c r="AN998" s="73"/>
      <c r="AO998" s="73"/>
      <c r="AP998" s="73"/>
      <c r="AQ998" s="73"/>
      <c r="AR998" s="73"/>
      <c r="AS998" s="73"/>
      <c r="AT998" s="73"/>
      <c r="AU998" s="73"/>
      <c r="AV998" s="73"/>
      <c r="AW998" s="73"/>
      <c r="AX998" s="73"/>
      <c r="AY998" s="73"/>
      <c r="AZ998" s="73"/>
      <c r="BA998" s="73"/>
      <c r="BB998" s="73"/>
    </row>
    <row r="999">
      <c r="A999" s="73"/>
      <c r="B999" s="73"/>
      <c r="C999" s="73"/>
      <c r="D999" s="73"/>
      <c r="E999" s="73"/>
      <c r="F999" s="73"/>
      <c r="G999" s="73"/>
      <c r="H999" s="73"/>
      <c r="I999" s="73"/>
      <c r="J999" s="73"/>
      <c r="K999" s="73"/>
      <c r="L999" s="73"/>
      <c r="M999" s="73"/>
      <c r="N999" s="73"/>
      <c r="O999" s="73"/>
      <c r="P999" s="73"/>
      <c r="Q999" s="73"/>
      <c r="R999" s="73"/>
      <c r="S999" s="73"/>
      <c r="T999" s="73"/>
      <c r="U999" s="73"/>
      <c r="V999" s="73"/>
      <c r="W999" s="73"/>
      <c r="X999" s="73"/>
      <c r="Y999" s="73"/>
      <c r="Z999" s="73"/>
      <c r="AA999" s="73"/>
      <c r="AB999" s="73"/>
      <c r="AC999" s="73"/>
      <c r="AD999" s="73"/>
      <c r="AE999" s="73"/>
      <c r="AF999" s="73"/>
      <c r="AG999" s="73"/>
      <c r="AH999" s="73"/>
      <c r="AI999" s="73"/>
      <c r="AJ999" s="73"/>
      <c r="AK999" s="73"/>
      <c r="AL999" s="73"/>
      <c r="AM999" s="73"/>
      <c r="AN999" s="73"/>
      <c r="AO999" s="73"/>
      <c r="AP999" s="73"/>
      <c r="AQ999" s="73"/>
      <c r="AR999" s="73"/>
      <c r="AS999" s="73"/>
      <c r="AT999" s="73"/>
      <c r="AU999" s="73"/>
      <c r="AV999" s="73"/>
      <c r="AW999" s="73"/>
      <c r="AX999" s="73"/>
      <c r="AY999" s="73"/>
      <c r="AZ999" s="73"/>
      <c r="BA999" s="73"/>
      <c r="BB999" s="73"/>
    </row>
    <row r="1000">
      <c r="A1000" s="73"/>
      <c r="B1000" s="73"/>
      <c r="C1000" s="73"/>
      <c r="D1000" s="73"/>
      <c r="E1000" s="73"/>
      <c r="F1000" s="73"/>
      <c r="G1000" s="73"/>
      <c r="H1000" s="73"/>
      <c r="I1000" s="73"/>
      <c r="J1000" s="73"/>
      <c r="K1000" s="73"/>
      <c r="L1000" s="73"/>
      <c r="M1000" s="73"/>
      <c r="N1000" s="73"/>
      <c r="O1000" s="73"/>
      <c r="P1000" s="73"/>
      <c r="Q1000" s="73"/>
      <c r="R1000" s="73"/>
      <c r="S1000" s="73"/>
      <c r="T1000" s="73"/>
      <c r="U1000" s="73"/>
      <c r="V1000" s="73"/>
      <c r="W1000" s="73"/>
      <c r="X1000" s="73"/>
      <c r="Y1000" s="73"/>
      <c r="Z1000" s="73"/>
      <c r="AA1000" s="73"/>
      <c r="AB1000" s="73"/>
      <c r="AC1000" s="73"/>
      <c r="AD1000" s="73"/>
      <c r="AE1000" s="73"/>
      <c r="AF1000" s="73"/>
      <c r="AG1000" s="73"/>
      <c r="AH1000" s="73"/>
      <c r="AI1000" s="73"/>
      <c r="AJ1000" s="73"/>
      <c r="AK1000" s="73"/>
      <c r="AL1000" s="73"/>
      <c r="AM1000" s="73"/>
      <c r="AN1000" s="73"/>
      <c r="AO1000" s="73"/>
      <c r="AP1000" s="73"/>
      <c r="AQ1000" s="73"/>
      <c r="AR1000" s="73"/>
      <c r="AS1000" s="73"/>
      <c r="AT1000" s="73"/>
      <c r="AU1000" s="73"/>
      <c r="AV1000" s="73"/>
      <c r="AW1000" s="73"/>
      <c r="AX1000" s="73"/>
      <c r="AY1000" s="73"/>
      <c r="AZ1000" s="73"/>
      <c r="BA1000" s="73"/>
      <c r="BB1000" s="73"/>
    </row>
  </sheetData>
  <hyperlinks>
    <hyperlink display="TLC5D" location="null!A1" ref="K6"/>
    <hyperlink display="NPCBD" location="null!A1" ref="K7"/>
    <hyperlink display="IRCHD" location="null!A1" ref="AI7"/>
    <hyperlink display="YMCHD" location="null!A1" ref="K8"/>
    <hyperlink display="MGCJD" location="null!A1" ref="AI8"/>
    <hyperlink display="MTCGD" location="null!A1" ref="K9"/>
    <hyperlink display="MGCHD" location="null!A1" ref="AI9"/>
    <hyperlink display="MGC9D" location="null!A1" ref="K10"/>
    <hyperlink display="RCCMD" location="null!A1" ref="AI10"/>
    <hyperlink display="PNDCD" location="null!A1" ref="K11"/>
    <hyperlink display="TN63D" location="null!A1" ref="AI11"/>
    <hyperlink display="YCAMD" location="null!A1" ref="K12"/>
    <hyperlink display="LOC2D" location="null!A1" ref="AI12"/>
    <hyperlink display="GNCXD" location="null!A1" ref="K13"/>
    <hyperlink display="YMCQD" location="null!A1" ref="AI13"/>
    <hyperlink display="RCCJD" location="null!A1" ref="K14"/>
    <hyperlink display="CP34D" location="null!A1" ref="AI14"/>
    <hyperlink display="IRCFD" location="null!A1" ref="K15"/>
    <hyperlink display="CS38D" location="null!A1" ref="AI15"/>
    <hyperlink display="CAC5D" location="null!A1" ref="K16"/>
    <hyperlink display="LOC3D" location="null!A1" ref="AI16"/>
    <hyperlink display="BYCHD" location="null!A1" ref="K17"/>
    <hyperlink display="NPCAD" location="null!A1" ref="AI17"/>
    <hyperlink display="TTC7D" location="null!A1" ref="AI18"/>
    <hyperlink display="YMCID" location="null!A1" ref="K19"/>
    <hyperlink display="YMCVD" location="null!A1" ref="AI19"/>
    <hyperlink display="DNC7D" location="null!A1" ref="K20"/>
    <hyperlink display="NBS1D" location="null!A1" ref="AI20"/>
    <hyperlink display="RUCDD" location="null!A1" ref="K21"/>
    <hyperlink display="TLCMD" location="null!A1" ref="K22"/>
    <hyperlink display="TSC3D" location="null!A1" ref="K23"/>
    <hyperlink display="ARC1D" location="null!A1" ref="K24"/>
    <hyperlink display="MGCMD" location="null!A1" ref="K25"/>
    <hyperlink display="YMCXD" location="null!A1" ref="K26"/>
    <hyperlink display="PNXCD" location="null!A1" ref="K27"/>
    <hyperlink display="YFCJD" location="null!A1" ref="K28"/>
    <hyperlink display="TTCAD" location="null!A1" ref="K29"/>
    <hyperlink display="TLCPD" location="null!A1" ref="K30"/>
    <hyperlink display="YMCJD" location="null!A1" ref="K31"/>
    <hyperlink display="YM34D" location="null!A1" ref="K32"/>
    <hyperlink display="MGCOD" location="null!A1" ref="K33"/>
    <hyperlink display="IRCPD" location="null!A1" ref="K34"/>
    <hyperlink display="VSCTD" location="null!A1" ref="K36"/>
  </hyperlin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19.75"/>
  </cols>
  <sheetData>
    <row r="1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5"/>
      <c r="L1" s="106"/>
      <c r="M1" s="104"/>
      <c r="N1" s="104"/>
      <c r="O1" s="104"/>
      <c r="P1" s="104"/>
      <c r="Q1" s="104"/>
      <c r="R1" s="106"/>
      <c r="S1" s="104"/>
      <c r="T1" s="104"/>
      <c r="U1" s="104"/>
      <c r="V1" s="104"/>
      <c r="W1" s="105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  <c r="BH1" s="104"/>
      <c r="BI1" s="104"/>
      <c r="BJ1" s="104"/>
      <c r="BK1" s="104"/>
      <c r="BL1" s="104"/>
      <c r="BM1" s="104"/>
      <c r="BN1" s="104"/>
    </row>
    <row r="2">
      <c r="A2" s="104"/>
      <c r="B2" s="107" t="s">
        <v>2564</v>
      </c>
      <c r="C2" s="108" t="s">
        <v>2563</v>
      </c>
      <c r="D2" s="108" t="s">
        <v>2565</v>
      </c>
      <c r="E2" s="108" t="s">
        <v>2566</v>
      </c>
      <c r="F2" s="108" t="s">
        <v>2559</v>
      </c>
      <c r="G2" s="104"/>
      <c r="H2" s="104"/>
      <c r="I2" s="104"/>
      <c r="J2" s="104"/>
      <c r="K2" s="105"/>
      <c r="L2" s="106"/>
      <c r="M2" s="104"/>
      <c r="N2" s="104"/>
      <c r="O2" s="104"/>
      <c r="P2" s="104"/>
      <c r="Q2" s="104"/>
      <c r="R2" s="106"/>
      <c r="S2" s="104"/>
      <c r="T2" s="104"/>
      <c r="U2" s="104"/>
      <c r="V2" s="104"/>
      <c r="W2" s="105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</row>
    <row r="3">
      <c r="A3" s="109" t="s">
        <v>2567</v>
      </c>
      <c r="B3" s="110" t="s">
        <v>1378</v>
      </c>
      <c r="C3" s="111">
        <f>VLOOKUP(B3,$J$11:$R$63,7,0)</f>
        <v>0.4228172713</v>
      </c>
      <c r="D3" s="112">
        <f>VLOOKUP(B3,$J$11:$R$63,9,0)</f>
        <v>0.1277777778</v>
      </c>
      <c r="E3" s="112">
        <f t="shared" ref="E3:E5" si="1">D3</f>
        <v>0.1277777778</v>
      </c>
      <c r="F3" s="113">
        <f>E3/$E$6</f>
        <v>0.2675205517</v>
      </c>
      <c r="G3" s="104"/>
      <c r="H3" s="104"/>
      <c r="I3" s="104"/>
      <c r="J3" s="104"/>
      <c r="K3" s="105"/>
      <c r="L3" s="106"/>
      <c r="M3" s="104"/>
      <c r="N3" s="104"/>
      <c r="O3" s="104"/>
      <c r="P3" s="104"/>
      <c r="Q3" s="104"/>
      <c r="R3" s="106"/>
      <c r="S3" s="104"/>
      <c r="T3" s="104"/>
      <c r="U3" s="104"/>
      <c r="V3" s="104"/>
      <c r="W3" s="105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/>
      <c r="AI3" s="104"/>
      <c r="AJ3" s="104"/>
      <c r="AK3" s="104"/>
      <c r="AL3" s="104"/>
      <c r="AM3" s="104"/>
      <c r="AN3" s="104"/>
      <c r="AO3" s="104"/>
      <c r="AP3" s="104"/>
      <c r="AQ3" s="104"/>
      <c r="AR3" s="104"/>
      <c r="AS3" s="104"/>
      <c r="AT3" s="104"/>
      <c r="AU3" s="104"/>
      <c r="AV3" s="104"/>
      <c r="AW3" s="104"/>
      <c r="AX3" s="104"/>
      <c r="AY3" s="104"/>
      <c r="AZ3" s="104"/>
      <c r="BA3" s="104"/>
      <c r="BB3" s="104"/>
      <c r="BC3" s="104"/>
      <c r="BD3" s="104"/>
      <c r="BE3" s="104"/>
      <c r="BF3" s="104"/>
      <c r="BG3" s="104"/>
      <c r="BH3" s="104"/>
      <c r="BI3" s="104"/>
      <c r="BJ3" s="104"/>
      <c r="BK3" s="104"/>
      <c r="BL3" s="104"/>
      <c r="BM3" s="104"/>
      <c r="BN3" s="104"/>
    </row>
    <row r="4">
      <c r="A4" s="109" t="s">
        <v>2567</v>
      </c>
      <c r="B4" s="110" t="s">
        <v>1762</v>
      </c>
      <c r="C4" s="111">
        <f>VLOOKUP(B4,$V$11:$AD$28,5,0)</f>
        <v>0.1624345299</v>
      </c>
      <c r="D4" s="112">
        <f>VLOOKUP(B4,$V$11:$AD$28,7,0)</f>
        <v>0.2609705727</v>
      </c>
      <c r="E4" s="112">
        <f t="shared" si="1"/>
        <v>0.2609705727</v>
      </c>
      <c r="F4" s="114">
        <f>E4/E6</f>
        <v>0.5463781949</v>
      </c>
      <c r="G4" s="104"/>
      <c r="H4" s="104"/>
      <c r="I4" s="104"/>
      <c r="J4" s="104"/>
      <c r="K4" s="105"/>
      <c r="L4" s="106"/>
      <c r="M4" s="104"/>
      <c r="N4" s="104"/>
      <c r="O4" s="104"/>
      <c r="P4" s="104"/>
      <c r="Q4" s="104"/>
      <c r="R4" s="106"/>
      <c r="S4" s="104"/>
      <c r="T4" s="104"/>
      <c r="U4" s="104"/>
      <c r="V4" s="104"/>
      <c r="W4" s="105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  <c r="AN4" s="104"/>
      <c r="AO4" s="104"/>
      <c r="AP4" s="104"/>
      <c r="AQ4" s="104"/>
      <c r="AR4" s="104"/>
      <c r="AS4" s="104"/>
      <c r="AT4" s="104"/>
      <c r="AU4" s="104"/>
      <c r="AV4" s="104"/>
      <c r="AW4" s="104"/>
      <c r="AX4" s="104"/>
      <c r="AY4" s="104"/>
      <c r="AZ4" s="104"/>
      <c r="BA4" s="104"/>
      <c r="BB4" s="104"/>
      <c r="BC4" s="104"/>
      <c r="BD4" s="104"/>
      <c r="BE4" s="104"/>
      <c r="BF4" s="104"/>
      <c r="BG4" s="104"/>
      <c r="BH4" s="104"/>
      <c r="BI4" s="104"/>
      <c r="BJ4" s="104"/>
      <c r="BK4" s="104"/>
      <c r="BL4" s="104"/>
      <c r="BM4" s="104"/>
      <c r="BN4" s="104"/>
    </row>
    <row r="5">
      <c r="A5" s="109" t="s">
        <v>2567</v>
      </c>
      <c r="B5" s="110" t="s">
        <v>1384</v>
      </c>
      <c r="C5" s="111">
        <f>VLOOKUP(B5,$J$11:$R$63,7,0)</f>
        <v>0.4295041404</v>
      </c>
      <c r="D5" s="112">
        <f>VLOOKUP(B5,$J$11:$R$63,9,0)</f>
        <v>0.08888888889</v>
      </c>
      <c r="E5" s="112">
        <f t="shared" si="1"/>
        <v>0.08888888889</v>
      </c>
      <c r="F5" s="113">
        <f>E5/$E$6</f>
        <v>0.1861012534</v>
      </c>
      <c r="G5" s="104"/>
      <c r="H5" s="104"/>
      <c r="I5" s="104"/>
      <c r="J5" s="104"/>
      <c r="K5" s="105"/>
      <c r="L5" s="106"/>
      <c r="M5" s="104"/>
      <c r="N5" s="104"/>
      <c r="O5" s="104"/>
      <c r="P5" s="104"/>
      <c r="Q5" s="104"/>
      <c r="R5" s="106"/>
      <c r="S5" s="104"/>
      <c r="T5" s="104"/>
      <c r="U5" s="104"/>
      <c r="V5" s="104"/>
      <c r="W5" s="105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4"/>
      <c r="AJ5" s="104"/>
      <c r="AK5" s="104"/>
      <c r="AL5" s="104"/>
      <c r="AM5" s="104"/>
      <c r="AN5" s="104"/>
      <c r="AO5" s="104"/>
      <c r="AP5" s="104"/>
      <c r="AQ5" s="104"/>
      <c r="AR5" s="104"/>
      <c r="AS5" s="104"/>
      <c r="AT5" s="104"/>
      <c r="AU5" s="104"/>
      <c r="AV5" s="104"/>
      <c r="AW5" s="104"/>
      <c r="AX5" s="104"/>
      <c r="AY5" s="104"/>
      <c r="AZ5" s="104"/>
      <c r="BA5" s="104"/>
      <c r="BB5" s="104"/>
      <c r="BC5" s="104"/>
      <c r="BD5" s="104"/>
      <c r="BE5" s="104"/>
      <c r="BF5" s="104"/>
      <c r="BG5" s="104"/>
      <c r="BH5" s="104"/>
      <c r="BI5" s="104"/>
      <c r="BJ5" s="104"/>
      <c r="BK5" s="104"/>
      <c r="BL5" s="104"/>
      <c r="BM5" s="104"/>
      <c r="BN5" s="104"/>
    </row>
    <row r="6">
      <c r="A6" s="104"/>
      <c r="B6" s="104"/>
      <c r="C6" s="104"/>
      <c r="D6" s="104"/>
      <c r="E6" s="106">
        <f>SUM(E3:E5)</f>
        <v>0.4776372393</v>
      </c>
      <c r="F6" s="104"/>
      <c r="G6" s="104"/>
      <c r="H6" s="104"/>
      <c r="I6" s="104"/>
      <c r="J6" s="104"/>
      <c r="K6" s="105"/>
      <c r="L6" s="106"/>
      <c r="M6" s="104"/>
      <c r="N6" s="104"/>
      <c r="O6" s="104"/>
      <c r="P6" s="104"/>
      <c r="Q6" s="104"/>
      <c r="R6" s="106"/>
      <c r="S6" s="104"/>
      <c r="T6" s="104"/>
      <c r="U6" s="104"/>
      <c r="V6" s="104"/>
      <c r="W6" s="105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/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4"/>
    </row>
    <row r="7">
      <c r="A7" s="104"/>
      <c r="B7" s="104"/>
      <c r="C7" s="104"/>
      <c r="D7" s="104"/>
      <c r="E7" s="104"/>
      <c r="F7" s="104"/>
      <c r="G7" s="104"/>
      <c r="H7" s="104"/>
      <c r="I7" s="104"/>
      <c r="J7" s="104"/>
      <c r="K7" s="105"/>
      <c r="L7" s="106"/>
      <c r="M7" s="104"/>
      <c r="N7" s="104"/>
      <c r="O7" s="104"/>
      <c r="P7" s="104"/>
      <c r="Q7" s="104"/>
      <c r="R7" s="106"/>
      <c r="S7" s="104"/>
      <c r="T7" s="104"/>
      <c r="U7" s="104"/>
      <c r="V7" s="104"/>
      <c r="W7" s="105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/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4"/>
    </row>
    <row r="8">
      <c r="A8" s="104"/>
      <c r="B8" s="115"/>
      <c r="C8" s="116"/>
      <c r="D8" s="116"/>
      <c r="E8" s="116"/>
      <c r="F8" s="116"/>
      <c r="G8" s="104"/>
      <c r="H8" s="104"/>
      <c r="I8" s="117">
        <f>IFERROR(__xludf.DUMMYFUNCTION("IMPORTRANGE(""https://docs.google.com/spreadsheets/d/1QFB2kh2cYM7XonEBR7QFtdA5P63irew36fgS54qRFHA/edit?gid=443985142#gid=443985142"" , ""Lecaps!A:L"")"),45866.0)</f>
        <v>45866</v>
      </c>
      <c r="J8" s="104"/>
      <c r="K8" s="105"/>
      <c r="L8" s="106"/>
      <c r="M8" s="104"/>
      <c r="N8" s="104"/>
      <c r="O8" s="104"/>
      <c r="P8" s="104"/>
      <c r="Q8" s="104"/>
      <c r="R8" s="106"/>
      <c r="S8" s="104"/>
      <c r="T8" s="104"/>
      <c r="U8" s="117">
        <f>IFERROR(__xludf.DUMMYFUNCTION("IMPORTRANGE(""https://docs.google.com/spreadsheets/d/1QFB2kh2cYM7XonEBR7QFtdA5P63irew36fgS54qRFHA/edit?gid=443985142#gid=443985142"" , ""CER!A:L"")"),45866.0)</f>
        <v>45866</v>
      </c>
      <c r="V8" s="104"/>
      <c r="W8" s="105"/>
      <c r="X8" s="104"/>
      <c r="Y8" s="104"/>
      <c r="Z8" s="104"/>
      <c r="AA8" s="104"/>
      <c r="AB8" s="104"/>
      <c r="AC8" s="104"/>
      <c r="AD8" s="104"/>
      <c r="AE8" s="104"/>
      <c r="AF8" s="104"/>
      <c r="AG8" s="104" t="str">
        <f>IFERROR(__xludf.DUMMYFUNCTION("IMPORTRANGE(""https://docs.google.com/spreadsheets/d/1QFB2kh2cYM7XonEBR7QFtdA5P63irew36fgS54qRFHA/edit?gid=443985142#gid=443985142"" , ""Soberanos!A:L"")"),"")</f>
        <v/>
      </c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/>
      <c r="AS8" s="117">
        <f>IFERROR(__xludf.DUMMYFUNCTION("IMPORTRANGE(""https://docs.google.com/spreadsheets/d/1QFB2kh2cYM7XonEBR7QFtdA5P63irew36fgS54qRFHA/edit?gid=443985142#gid=443985142"" , ""Bopreales!A:L"")"),45866.0)</f>
        <v>45866</v>
      </c>
      <c r="AT8" s="10"/>
      <c r="AU8" s="104"/>
      <c r="AV8" s="104"/>
      <c r="AW8" s="104"/>
      <c r="AX8" s="104"/>
      <c r="AY8" s="104"/>
      <c r="AZ8" s="104"/>
      <c r="BA8" s="104"/>
      <c r="BB8" s="104"/>
      <c r="BC8" s="104"/>
      <c r="BD8" s="104"/>
      <c r="BE8" s="104"/>
      <c r="BF8" s="104"/>
      <c r="BG8" s="104"/>
      <c r="BH8" s="104"/>
      <c r="BI8" s="104"/>
      <c r="BJ8" s="104"/>
      <c r="BK8" s="104"/>
      <c r="BL8" s="104"/>
      <c r="BM8" s="104"/>
      <c r="BN8" s="104"/>
    </row>
    <row r="9">
      <c r="A9" s="104"/>
      <c r="B9" s="107" t="s">
        <v>2555</v>
      </c>
      <c r="C9" s="108" t="s">
        <v>2563</v>
      </c>
      <c r="D9" s="108" t="s">
        <v>2565</v>
      </c>
      <c r="E9" s="108" t="s">
        <v>2566</v>
      </c>
      <c r="F9" s="108" t="s">
        <v>2559</v>
      </c>
      <c r="G9" s="104"/>
      <c r="H9" s="104"/>
      <c r="I9" s="104"/>
      <c r="J9" s="104" t="str">
        <f>IFERROR(__xludf.DUMMYFUNCTION("""COMPUTED_VALUE"""),"LECAPS")</f>
        <v>LECAPS</v>
      </c>
      <c r="K9" s="105"/>
      <c r="L9" s="106"/>
      <c r="M9" s="104"/>
      <c r="N9" s="104"/>
      <c r="O9" s="104"/>
      <c r="P9" s="104"/>
      <c r="Q9" s="104"/>
      <c r="R9" s="106"/>
      <c r="S9" s="104"/>
      <c r="T9" s="104"/>
      <c r="U9" s="104"/>
      <c r="V9" s="104" t="str">
        <f>IFERROR(__xludf.DUMMYFUNCTION("""COMPUTED_VALUE"""),"BONOS CER")</f>
        <v>BONOS CER</v>
      </c>
      <c r="W9" s="105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 t="str">
        <f>IFERROR(__xludf.DUMMYFUNCTION("""COMPUTED_VALUE"""),"SOBERANOS USD")</f>
        <v>SOBERANOS USD</v>
      </c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4" t="str">
        <f>IFERROR(__xludf.DUMMYFUNCTION("""COMPUTED_VALUE"""),"BOPREALES")</f>
        <v>BOPREALES</v>
      </c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/>
      <c r="BF9" s="104"/>
      <c r="BG9" s="104"/>
      <c r="BH9" s="104"/>
      <c r="BI9" s="104"/>
      <c r="BJ9" s="104"/>
      <c r="BK9" s="104"/>
      <c r="BL9" s="104"/>
      <c r="BM9" s="104"/>
      <c r="BN9" s="104"/>
    </row>
    <row r="10">
      <c r="A10" s="109" t="s">
        <v>2567</v>
      </c>
      <c r="B10" s="110" t="s">
        <v>1378</v>
      </c>
      <c r="C10" s="111">
        <f>VLOOKUP(B10,$J$11:$R$63,7,0)</f>
        <v>0.4228172713</v>
      </c>
      <c r="D10" s="118">
        <f>VLOOKUP(B10,$J$11:$R$63,9,0)</f>
        <v>0.1277777778</v>
      </c>
      <c r="E10" s="112">
        <f t="shared" ref="E10:E11" si="2">D10</f>
        <v>0.1277777778</v>
      </c>
      <c r="F10" s="114">
        <f t="shared" ref="F10:F11" si="3">E10/$E$12</f>
        <v>0.1582709412</v>
      </c>
      <c r="G10" s="104"/>
      <c r="H10" s="104"/>
      <c r="I10" s="119"/>
      <c r="J10" s="120" t="str">
        <f>IFERROR(__xludf.DUMMYFUNCTION("""COMPUTED_VALUE"""),"Ticker")</f>
        <v>Ticker</v>
      </c>
      <c r="K10" s="121" t="str">
        <f>IFERROR(__xludf.DUMMYFUNCTION("""COMPUTED_VALUE"""),"Vencimiento")</f>
        <v>Vencimiento</v>
      </c>
      <c r="L10" s="122" t="str">
        <f>IFERROR(__xludf.DUMMYFUNCTION("""COMPUTED_VALUE"""),"Precio")</f>
        <v>Precio</v>
      </c>
      <c r="M10" s="120" t="str">
        <f>IFERROR(__xludf.DUMMYFUNCTION("""COMPUTED_VALUE"""),"Variación")</f>
        <v>Variación</v>
      </c>
      <c r="N10" s="120" t="str">
        <f>IFERROR(__xludf.DUMMYFUNCTION("""COMPUTED_VALUE"""),"TEM")</f>
        <v>TEM</v>
      </c>
      <c r="O10" s="120" t="str">
        <f>IFERROR(__xludf.DUMMYFUNCTION("""COMPUTED_VALUE"""),"Rendimiento")</f>
        <v>Rendimiento</v>
      </c>
      <c r="P10" s="120" t="str">
        <f>IFERROR(__xludf.DUMMYFUNCTION("""COMPUTED_VALUE"""),"TNA")</f>
        <v>TNA</v>
      </c>
      <c r="Q10" s="120" t="str">
        <f>IFERROR(__xludf.DUMMYFUNCTION("""COMPUTED_VALUE"""),"TIR")</f>
        <v>TIR</v>
      </c>
      <c r="R10" s="122" t="str">
        <f>IFERROR(__xludf.DUMMYFUNCTION("""COMPUTED_VALUE"""),"Duration")</f>
        <v>Duration</v>
      </c>
      <c r="S10" s="123" t="str">
        <f>IFERROR(__xludf.DUMMYFUNCTION("""COMPUTED_VALUE"""),"Fx B.E")</f>
        <v>Fx B.E</v>
      </c>
      <c r="T10" s="123"/>
      <c r="U10" s="123"/>
      <c r="V10" s="124" t="str">
        <f>IFERROR(__xludf.DUMMYFUNCTION("""COMPUTED_VALUE"""),"Ticker")</f>
        <v>Ticker</v>
      </c>
      <c r="W10" s="125" t="str">
        <f>IFERROR(__xludf.DUMMYFUNCTION("""COMPUTED_VALUE"""),"Vencimiento")</f>
        <v>Vencimiento</v>
      </c>
      <c r="X10" s="124" t="str">
        <f>IFERROR(__xludf.DUMMYFUNCTION("""COMPUTED_VALUE"""),"Tasa")</f>
        <v>Tasa</v>
      </c>
      <c r="Y10" s="126" t="str">
        <f>IFERROR(__xludf.DUMMYFUNCTION("""COMPUTED_VALUE"""),"Precio")</f>
        <v>Precio</v>
      </c>
      <c r="Z10" s="126" t="str">
        <f>IFERROR(__xludf.DUMMYFUNCTION("""COMPUTED_VALUE"""),"TIR")</f>
        <v>TIR</v>
      </c>
      <c r="AA10" s="126" t="str">
        <f>IFERROR(__xludf.DUMMYFUNCTION("""COMPUTED_VALUE"""),"Var. Diaria%")</f>
        <v>Var. Diaria%</v>
      </c>
      <c r="AB10" s="126" t="str">
        <f>IFERROR(__xludf.DUMMYFUNCTION("""COMPUTED_VALUE"""),"Duration")</f>
        <v>Duration</v>
      </c>
      <c r="AC10" s="126" t="str">
        <f>IFERROR(__xludf.DUMMYFUNCTION("""COMPUTED_VALUE"""),"Pago")</f>
        <v>Pago</v>
      </c>
      <c r="AD10" s="126" t="str">
        <f>IFERROR(__xludf.DUMMYFUNCTION("""COMPUTED_VALUE"""),"Prox. Cupón (días)")</f>
        <v>Prox. Cupón (días)</v>
      </c>
      <c r="AE10" s="104"/>
      <c r="AF10" s="104"/>
      <c r="AG10" s="104"/>
      <c r="AH10" s="104" t="str">
        <f>IFERROR(__xludf.DUMMYFUNCTION("""COMPUTED_VALUE"""),"Ticker")</f>
        <v>Ticker</v>
      </c>
      <c r="AI10" s="104" t="str">
        <f>IFERROR(__xludf.DUMMYFUNCTION("""COMPUTED_VALUE"""),"Var. Diaria %")</f>
        <v>Var. Diaria %</v>
      </c>
      <c r="AJ10" s="104" t="str">
        <f>IFERROR(__xludf.DUMMYFUNCTION("""COMPUTED_VALUE"""),"VTO")</f>
        <v>VTO</v>
      </c>
      <c r="AK10" s="104" t="str">
        <f>IFERROR(__xludf.DUMMYFUNCTION("""COMPUTED_VALUE"""),"Precio")</f>
        <v>Precio</v>
      </c>
      <c r="AL10" s="104" t="str">
        <f>IFERROR(__xludf.DUMMYFUNCTION("""COMPUTED_VALUE"""),"TIR")</f>
        <v>TIR</v>
      </c>
      <c r="AM10" s="104" t="str">
        <f>IFERROR(__xludf.DUMMYFUNCTION("""COMPUTED_VALUE"""),"Spread X Ley")</f>
        <v>Spread X Ley</v>
      </c>
      <c r="AN10" s="104" t="str">
        <f>IFERROR(__xludf.DUMMYFUNCTION("""COMPUTED_VALUE"""),"Current Yield")</f>
        <v>Current Yield</v>
      </c>
      <c r="AO10" s="104" t="str">
        <f>IFERROR(__xludf.DUMMYFUNCTION("""COMPUTED_VALUE"""),"Duration")</f>
        <v>Duration</v>
      </c>
      <c r="AP10" s="104" t="str">
        <f>IFERROR(__xludf.DUMMYFUNCTION("""COMPUTED_VALUE"""),"Pago")</f>
        <v>Pago</v>
      </c>
      <c r="AQ10" s="104" t="str">
        <f>IFERROR(__xludf.DUMMYFUNCTION("""COMPUTED_VALUE"""),"Ley")</f>
        <v>Ley</v>
      </c>
      <c r="AR10" s="104" t="str">
        <f>IFERROR(__xludf.DUMMYFUNCTION("""COMPUTED_VALUE"""),"Paridad")</f>
        <v>Paridad</v>
      </c>
      <c r="AS10" s="104"/>
      <c r="AT10" s="104" t="str">
        <f>IFERROR(__xludf.DUMMYFUNCTION("""COMPUTED_VALUE"""),"Ticker")</f>
        <v>Ticker</v>
      </c>
      <c r="AU10" s="104" t="str">
        <f>IFERROR(__xludf.DUMMYFUNCTION("""COMPUTED_VALUE"""),"Variación")</f>
        <v>Variación</v>
      </c>
      <c r="AV10" s="104" t="str">
        <f>IFERROR(__xludf.DUMMYFUNCTION("""COMPUTED_VALUE"""),"VTO")</f>
        <v>VTO</v>
      </c>
      <c r="AW10" s="104" t="str">
        <f>IFERROR(__xludf.DUMMYFUNCTION("""COMPUTED_VALUE"""),"Precio")</f>
        <v>Precio</v>
      </c>
      <c r="AX10" s="104" t="str">
        <f>IFERROR(__xludf.DUMMYFUNCTION("""COMPUTED_VALUE"""),"TIR")</f>
        <v>TIR</v>
      </c>
      <c r="AY10" s="104" t="str">
        <f>IFERROR(__xludf.DUMMYFUNCTION("""COMPUTED_VALUE"""),"Op de rescate")</f>
        <v>Op de rescate</v>
      </c>
      <c r="AZ10" s="104" t="str">
        <f>IFERROR(__xludf.DUMMYFUNCTION("""COMPUTED_VALUE"""),"Current Yield")</f>
        <v>Current Yield</v>
      </c>
      <c r="BA10" s="104" t="str">
        <f>IFERROR(__xludf.DUMMYFUNCTION("""COMPUTED_VALUE"""),"Duration")</f>
        <v>Duration</v>
      </c>
      <c r="BB10" s="104" t="str">
        <f>IFERROR(__xludf.DUMMYFUNCTION("""COMPUTED_VALUE"""),"Pago")</f>
        <v>Pago</v>
      </c>
      <c r="BC10" s="104" t="str">
        <f>IFERROR(__xludf.DUMMYFUNCTION("""COMPUTED_VALUE"""),"Prox Cupón (días)")</f>
        <v>Prox Cupón (días)</v>
      </c>
      <c r="BD10" s="104" t="str">
        <f>IFERROR(__xludf.DUMMYFUNCTION("""COMPUTED_VALUE"""),"Ley")</f>
        <v>Ley</v>
      </c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</row>
    <row r="11">
      <c r="A11" s="109" t="s">
        <v>2568</v>
      </c>
      <c r="B11" s="110" t="s">
        <v>1760</v>
      </c>
      <c r="C11" s="111">
        <f>VLOOKUP($B$11,$V$11:$AD$28,5,0)</f>
        <v>0.1704168321</v>
      </c>
      <c r="D11" s="112">
        <f>VLOOKUP($B$11,$V$11:$AD$28,7,0)</f>
        <v>0.6795579014</v>
      </c>
      <c r="E11" s="112">
        <f t="shared" si="2"/>
        <v>0.6795579014</v>
      </c>
      <c r="F11" s="114">
        <f t="shared" si="3"/>
        <v>0.8417290588</v>
      </c>
      <c r="G11" s="104"/>
      <c r="H11" s="104"/>
      <c r="I11" s="119"/>
      <c r="J11" s="127" t="str">
        <f>IFERROR(__xludf.DUMMYFUNCTION("""COMPUTED_VALUE"""),"S31L5")</f>
        <v>S31L5</v>
      </c>
      <c r="K11" s="128">
        <f>IFERROR(__xludf.DUMMYFUNCTION("""COMPUTED_VALUE"""),45869.0)</f>
        <v>45869</v>
      </c>
      <c r="L11" s="129">
        <f>IFERROR(__xludf.DUMMYFUNCTION("""COMPUTED_VALUE"""),147.1)</f>
        <v>147.1</v>
      </c>
      <c r="M11" s="130">
        <f>IFERROR(__xludf.DUMMYFUNCTION("""COMPUTED_VALUE"""),0.0023)</f>
        <v>0.0023</v>
      </c>
      <c r="N11" s="130">
        <f>IFERROR(__xludf.DUMMYFUNCTION("""COMPUTED_VALUE"""),0.06728860758797128)</f>
        <v>0.06728860759</v>
      </c>
      <c r="O11" s="130">
        <f>IFERROR(__xludf.DUMMYFUNCTION("""COMPUTED_VALUE"""),0.004350865706949758)</f>
        <v>0.004350865707</v>
      </c>
      <c r="P11" s="130">
        <f>IFERROR(__xludf.DUMMYFUNCTION("""COMPUTED_VALUE"""),0.7940329915183308)</f>
        <v>0.7940329915</v>
      </c>
      <c r="Q11" s="130">
        <f>IFERROR(__xludf.DUMMYFUNCTION("""COMPUTED_VALUE"""),1.2084935248449065)</f>
        <v>1.208493525</v>
      </c>
      <c r="R11" s="129">
        <f>IFERROR(__xludf.DUMMYFUNCTION("""COMPUTED_VALUE"""),0.008333333333333333)</f>
        <v>0.008333333333</v>
      </c>
      <c r="S11" s="131">
        <f>IFERROR(__xludf.DUMMYFUNCTION("""COMPUTED_VALUE"""),1291.5717393223094)</f>
        <v>1291.571739</v>
      </c>
      <c r="T11" s="132">
        <f>IFERROR(__xludf.DUMMYFUNCTION("""COMPUTED_VALUE"""),3.0)</f>
        <v>3</v>
      </c>
      <c r="U11" s="133"/>
      <c r="V11" s="134" t="str">
        <f>IFERROR(__xludf.DUMMYFUNCTION("""COMPUTED_VALUE"""),"TZXO6")</f>
        <v>TZXO6</v>
      </c>
      <c r="W11" s="128">
        <f>IFERROR(__xludf.DUMMYFUNCTION("""COMPUTED_VALUE"""),46325.0)</f>
        <v>46325</v>
      </c>
      <c r="X11" s="135" t="str">
        <f>IFERROR(__xludf.DUMMYFUNCTION("""COMPUTED_VALUE"""),"CER + 0%")</f>
        <v>CER + 0%</v>
      </c>
      <c r="Y11" s="136">
        <f>IFERROR(__xludf.DUMMYFUNCTION("""COMPUTED_VALUE"""),106.0)</f>
        <v>106</v>
      </c>
      <c r="Z11" s="111">
        <f>IFERROR(__xludf.DUMMYFUNCTION("""COMPUTED_VALUE"""),0.1498770258119544)</f>
        <v>0.1498770258</v>
      </c>
      <c r="AA11" s="111">
        <f>IFERROR(__xludf.DUMMYFUNCTION("""COMPUTED_VALUE"""),-0.009300000000000001)</f>
        <v>-0.0093</v>
      </c>
      <c r="AB11" s="112">
        <f>IFERROR(__xludf.DUMMYFUNCTION("""COMPUTED_VALUE"""),1.2691295692421132)</f>
        <v>1.269129569</v>
      </c>
      <c r="AC11" s="126" t="str">
        <f>IFERROR(__xludf.DUMMYFUNCTION("""COMPUTED_VALUE"""),"No paga")</f>
        <v>No paga</v>
      </c>
      <c r="AD11" s="126">
        <f>IFERROR(__xludf.DUMMYFUNCTION("""COMPUTED_VALUE"""),458.0)</f>
        <v>458</v>
      </c>
      <c r="AE11" s="104"/>
      <c r="AF11" s="104"/>
      <c r="AG11" s="104"/>
      <c r="AH11" s="137" t="str">
        <f>IFERROR(__xludf.DUMMYFUNCTION("""COMPUTED_VALUE"""),"AL29D")</f>
        <v>AL29D</v>
      </c>
      <c r="AI11" s="138">
        <f>IFERROR(__xludf.DUMMYFUNCTION("""COMPUTED_VALUE"""),0.0034000000000000002)</f>
        <v>0.0034</v>
      </c>
      <c r="AJ11" s="139">
        <f>IFERROR(__xludf.DUMMYFUNCTION("""COMPUTED_VALUE"""),47308.0)</f>
        <v>47308</v>
      </c>
      <c r="AK11" s="140">
        <f>IFERROR(__xludf.DUMMYFUNCTION("""COMPUTED_VALUE"""),63.5)</f>
        <v>63.5</v>
      </c>
      <c r="AL11" s="138">
        <f>IFERROR(__xludf.DUMMYFUNCTION("""COMPUTED_VALUE"""),0.1277298621368303)</f>
        <v>0.1277298621</v>
      </c>
      <c r="AM11" s="104" t="str">
        <f>IFERROR(__xludf.DUMMYFUNCTION("""COMPUTED_VALUE"""),"-")</f>
        <v>-</v>
      </c>
      <c r="AN11" s="138">
        <f>IFERROR(__xludf.DUMMYFUNCTION("""COMPUTED_VALUE"""),0.014960629921259842)</f>
        <v>0.01496062992</v>
      </c>
      <c r="AO11" s="141">
        <f>IFERROR(__xludf.DUMMYFUNCTION("""COMPUTED_VALUE"""),2.047319624953817)</f>
        <v>2.047319625</v>
      </c>
      <c r="AP11" s="104" t="str">
        <f>IFERROR(__xludf.DUMMYFUNCTION("""COMPUTED_VALUE"""),"Semestral")</f>
        <v>Semestral</v>
      </c>
      <c r="AQ11" s="104" t="str">
        <f>IFERROR(__xludf.DUMMYFUNCTION("""COMPUTED_VALUE"""),"ARG")</f>
        <v>ARG</v>
      </c>
      <c r="AR11" s="138">
        <f>IFERROR(__xludf.DUMMYFUNCTION("""COMPUTED_VALUE"""),0.7933092726263187)</f>
        <v>0.7933092726</v>
      </c>
      <c r="AS11" s="104"/>
      <c r="AT11" s="137" t="str">
        <f>IFERROR(__xludf.DUMMYFUNCTION("""COMPUTED_VALUE"""),"BPA7D")</f>
        <v>BPA7D</v>
      </c>
      <c r="AU11" s="138">
        <f>IFERROR(__xludf.DUMMYFUNCTION("""COMPUTED_VALUE"""),4.0E-4)</f>
        <v>0.0004</v>
      </c>
      <c r="AV11" s="139">
        <f>IFERROR(__xludf.DUMMYFUNCTION("""COMPUTED_VALUE"""),46691.0)</f>
        <v>46691</v>
      </c>
      <c r="AW11" s="140">
        <f>IFERROR(__xludf.DUMMYFUNCTION("""COMPUTED_VALUE"""),100.25)</f>
        <v>100.25</v>
      </c>
      <c r="AX11" s="138">
        <f>IFERROR(__xludf.DUMMYFUNCTION("""COMPUTED_VALUE"""),0.0559084769310754)</f>
        <v>0.05590847693</v>
      </c>
      <c r="AY11" s="139">
        <f>IFERROR(__xludf.DUMMYFUNCTION("""COMPUTED_VALUE"""),45777.0)</f>
        <v>45777</v>
      </c>
      <c r="AZ11" s="138">
        <f>IFERROR(__xludf.DUMMYFUNCTION("""COMPUTED_VALUE"""),0.05805486284289277)</f>
        <v>0.05805486284</v>
      </c>
      <c r="BA11" s="106">
        <f>IFERROR(__xludf.DUMMYFUNCTION("""COMPUTED_VALUE"""),1.9326735856921242)</f>
        <v>1.932673586</v>
      </c>
      <c r="BB11" s="104" t="str">
        <f>IFERROR(__xludf.DUMMYFUNCTION("""COMPUTED_VALUE"""),"Semestral")</f>
        <v>Semestral</v>
      </c>
      <c r="BC11" s="104">
        <f>IFERROR(__xludf.DUMMYFUNCTION("""COMPUTED_VALUE"""),95.0)</f>
        <v>95</v>
      </c>
      <c r="BD11" s="104" t="str">
        <f>IFERROR(__xludf.DUMMYFUNCTION("""COMPUTED_VALUE"""),"ARG")</f>
        <v>ARG</v>
      </c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</row>
    <row r="12">
      <c r="A12" s="104"/>
      <c r="B12" s="142"/>
      <c r="C12" s="142"/>
      <c r="D12" s="143">
        <f t="shared" ref="D12:E12" si="4">SUM(D10:D11)</f>
        <v>0.8073356792</v>
      </c>
      <c r="E12" s="144">
        <f t="shared" si="4"/>
        <v>0.8073356792</v>
      </c>
      <c r="F12" s="142"/>
      <c r="G12" s="104"/>
      <c r="H12" s="104"/>
      <c r="I12" s="119"/>
      <c r="J12" s="127" t="str">
        <f>IFERROR(__xludf.DUMMYFUNCTION("""COMPUTED_VALUE"""),"S15G5")</f>
        <v>S15G5</v>
      </c>
      <c r="K12" s="128">
        <f>IFERROR(__xludf.DUMMYFUNCTION("""COMPUTED_VALUE"""),45884.0)</f>
        <v>45884</v>
      </c>
      <c r="L12" s="129">
        <f>IFERROR(__xludf.DUMMYFUNCTION("""COMPUTED_VALUE"""),143.18)</f>
        <v>143.18</v>
      </c>
      <c r="M12" s="130">
        <f>IFERROR(__xludf.DUMMYFUNCTION("""COMPUTED_VALUE"""),-1.0E-4)</f>
        <v>-0.0001</v>
      </c>
      <c r="N12" s="130">
        <f>IFERROR(__xludf.DUMMYFUNCTION("""COMPUTED_VALUE"""),0.044976240397744505)</f>
        <v>0.0449762404</v>
      </c>
      <c r="O12" s="130">
        <f>IFERROR(__xludf.DUMMYFUNCTION("""COMPUTED_VALUE"""),0.02524336901696711)</f>
        <v>0.02524336902</v>
      </c>
      <c r="P12" s="130">
        <f>IFERROR(__xludf.DUMMYFUNCTION("""COMPUTED_VALUE"""),0.5419899818348821)</f>
        <v>0.5419899818</v>
      </c>
      <c r="Q12" s="130">
        <f>IFERROR(__xludf.DUMMYFUNCTION("""COMPUTED_VALUE"""),0.7078958956391355)</f>
        <v>0.7078958956</v>
      </c>
      <c r="R12" s="129">
        <f>IFERROR(__xludf.DUMMYFUNCTION("""COMPUTED_VALUE"""),0.05)</f>
        <v>0.05</v>
      </c>
      <c r="S12" s="131">
        <f>IFERROR(__xludf.DUMMYFUNCTION("""COMPUTED_VALUE"""),1318.4390102734053)</f>
        <v>1318.43901</v>
      </c>
      <c r="T12" s="132">
        <f>IFERROR(__xludf.DUMMYFUNCTION("""COMPUTED_VALUE"""),18.0)</f>
        <v>18</v>
      </c>
      <c r="U12" s="133"/>
      <c r="V12" s="134" t="str">
        <f>IFERROR(__xludf.DUMMYFUNCTION("""COMPUTED_VALUE"""),"TX26")</f>
        <v>TX26</v>
      </c>
      <c r="W12" s="128">
        <f>IFERROR(__xludf.DUMMYFUNCTION("""COMPUTED_VALUE"""),46335.0)</f>
        <v>46335</v>
      </c>
      <c r="X12" s="135" t="str">
        <f>IFERROR(__xludf.DUMMYFUNCTION("""COMPUTED_VALUE"""),"CER + 2%")</f>
        <v>CER + 2%</v>
      </c>
      <c r="Y12" s="136">
        <f>IFERROR(__xludf.DUMMYFUNCTION("""COMPUTED_VALUE"""),1461.0)</f>
        <v>1461</v>
      </c>
      <c r="Z12" s="111">
        <f>IFERROR(__xludf.DUMMYFUNCTION("""COMPUTED_VALUE"""),0.1693122692596644)</f>
        <v>0.1693122693</v>
      </c>
      <c r="AA12" s="111">
        <f>IFERROR(__xludf.DUMMYFUNCTION("""COMPUTED_VALUE"""),-0.0104)</f>
        <v>-0.0104</v>
      </c>
      <c r="AB12" s="112">
        <f>IFERROR(__xludf.DUMMYFUNCTION("""COMPUTED_VALUE"""),0.7603623886533615)</f>
        <v>0.7603623887</v>
      </c>
      <c r="AC12" s="126" t="str">
        <f>IFERROR(__xludf.DUMMYFUNCTION("""COMPUTED_VALUE"""),"Semestral")</f>
        <v>Semestral</v>
      </c>
      <c r="AD12" s="126">
        <f>IFERROR(__xludf.DUMMYFUNCTION("""COMPUTED_VALUE"""),104.0)</f>
        <v>104</v>
      </c>
      <c r="AE12" s="104"/>
      <c r="AF12" s="104"/>
      <c r="AG12" s="104"/>
      <c r="AH12" s="137" t="str">
        <f>IFERROR(__xludf.DUMMYFUNCTION("""COMPUTED_VALUE"""),"AL30D")</f>
        <v>AL30D</v>
      </c>
      <c r="AI12" s="138">
        <f>IFERROR(__xludf.DUMMYFUNCTION("""COMPUTED_VALUE"""),0.0034999999999999996)</f>
        <v>0.0035</v>
      </c>
      <c r="AJ12" s="139">
        <f>IFERROR(__xludf.DUMMYFUNCTION("""COMPUTED_VALUE"""),47673.0)</f>
        <v>47673</v>
      </c>
      <c r="AK12" s="140">
        <f>IFERROR(__xludf.DUMMYFUNCTION("""COMPUTED_VALUE"""),59.9)</f>
        <v>59.9</v>
      </c>
      <c r="AL12" s="138">
        <f>IFERROR(__xludf.DUMMYFUNCTION("""COMPUTED_VALUE"""),0.1330489555758488)</f>
        <v>0.1330489556</v>
      </c>
      <c r="AM12" s="104" t="str">
        <f>IFERROR(__xludf.DUMMYFUNCTION("""COMPUTED_VALUE"""),"-")</f>
        <v>-</v>
      </c>
      <c r="AN12" s="138">
        <f>IFERROR(__xludf.DUMMYFUNCTION("""COMPUTED_VALUE"""),0.011519198664440735)</f>
        <v>0.01151919866</v>
      </c>
      <c r="AO12" s="141">
        <f>IFERROR(__xludf.DUMMYFUNCTION("""COMPUTED_VALUE"""),2.454798169414499)</f>
        <v>2.454798169</v>
      </c>
      <c r="AP12" s="104" t="str">
        <f>IFERROR(__xludf.DUMMYFUNCTION("""COMPUTED_VALUE"""),"Semestral")</f>
        <v>Semestral</v>
      </c>
      <c r="AQ12" s="104" t="str">
        <f>IFERROR(__xludf.DUMMYFUNCTION("""COMPUTED_VALUE"""),"ARG")</f>
        <v>ARG</v>
      </c>
      <c r="AR12" s="138">
        <f>IFERROR(__xludf.DUMMYFUNCTION("""COMPUTED_VALUE"""),0.7484381507705122)</f>
        <v>0.7484381508</v>
      </c>
      <c r="AS12" s="104"/>
      <c r="AT12" s="137" t="str">
        <f>IFERROR(__xludf.DUMMYFUNCTION("""COMPUTED_VALUE"""),"BPB7D")</f>
        <v>BPB7D</v>
      </c>
      <c r="AU12" s="138">
        <f>IFERROR(__xludf.DUMMYFUNCTION("""COMPUTED_VALUE"""),0.0034999999999999996)</f>
        <v>0.0035</v>
      </c>
      <c r="AV12" s="139">
        <f>IFERROR(__xludf.DUMMYFUNCTION("""COMPUTED_VALUE"""),46691.0)</f>
        <v>46691</v>
      </c>
      <c r="AW12" s="140">
        <f>IFERROR(__xludf.DUMMYFUNCTION("""COMPUTED_VALUE"""),99.6)</f>
        <v>99.6</v>
      </c>
      <c r="AX12" s="138">
        <f>IFERROR(__xludf.DUMMYFUNCTION("""COMPUTED_VALUE"""),0.05951302266400804)</f>
        <v>0.05951302266</v>
      </c>
      <c r="AY12" s="139">
        <f>IFERROR(__xludf.DUMMYFUNCTION("""COMPUTED_VALUE"""),46142.0)</f>
        <v>46142</v>
      </c>
      <c r="AZ12" s="138">
        <f>IFERROR(__xludf.DUMMYFUNCTION("""COMPUTED_VALUE"""),0.05843373493975904)</f>
        <v>0.05843373494</v>
      </c>
      <c r="BA12" s="106">
        <f>IFERROR(__xludf.DUMMYFUNCTION("""COMPUTED_VALUE"""),1.9318853258838073)</f>
        <v>1.931885326</v>
      </c>
      <c r="BB12" s="104" t="str">
        <f>IFERROR(__xludf.DUMMYFUNCTION("""COMPUTED_VALUE"""),"Semestral")</f>
        <v>Semestral</v>
      </c>
      <c r="BC12" s="104">
        <f>IFERROR(__xludf.DUMMYFUNCTION("""COMPUTED_VALUE"""),95.0)</f>
        <v>95</v>
      </c>
      <c r="BD12" s="104" t="str">
        <f>IFERROR(__xludf.DUMMYFUNCTION("""COMPUTED_VALUE"""),"ARG")</f>
        <v>ARG</v>
      </c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</row>
    <row r="13">
      <c r="A13" s="104"/>
      <c r="B13" s="107" t="s">
        <v>2569</v>
      </c>
      <c r="C13" s="108" t="s">
        <v>2563</v>
      </c>
      <c r="D13" s="108" t="s">
        <v>2565</v>
      </c>
      <c r="E13" s="108" t="s">
        <v>2566</v>
      </c>
      <c r="F13" s="108" t="s">
        <v>2559</v>
      </c>
      <c r="G13" s="104"/>
      <c r="H13" s="104"/>
      <c r="I13" s="119"/>
      <c r="J13" s="127" t="str">
        <f>IFERROR(__xludf.DUMMYFUNCTION("""COMPUTED_VALUE"""),"S29G5")</f>
        <v>S29G5</v>
      </c>
      <c r="K13" s="128">
        <f>IFERROR(__xludf.DUMMYFUNCTION("""COMPUTED_VALUE"""),45898.0)</f>
        <v>45898</v>
      </c>
      <c r="L13" s="129">
        <f>IFERROR(__xludf.DUMMYFUNCTION("""COMPUTED_VALUE"""),152.15)</f>
        <v>152.15</v>
      </c>
      <c r="M13" s="130">
        <f>IFERROR(__xludf.DUMMYFUNCTION("""COMPUTED_VALUE"""),-3.0E-4)</f>
        <v>-0.0003</v>
      </c>
      <c r="N13" s="130">
        <f>IFERROR(__xludf.DUMMYFUNCTION("""COMPUTED_VALUE"""),0.035281195962877154)</f>
        <v>0.03528119596</v>
      </c>
      <c r="O13" s="130">
        <f>IFERROR(__xludf.DUMMYFUNCTION("""COMPUTED_VALUE"""),0.03647843384004412)</f>
        <v>0.03647843384</v>
      </c>
      <c r="P13" s="130">
        <f>IFERROR(__xludf.DUMMYFUNCTION("""COMPUTED_VALUE"""),0.4295041403747131)</f>
        <v>0.4295041404</v>
      </c>
      <c r="Q13" s="130">
        <f>IFERROR(__xludf.DUMMYFUNCTION("""COMPUTED_VALUE"""),0.5247885839543454)</f>
        <v>0.524788584</v>
      </c>
      <c r="R13" s="129">
        <f>IFERROR(__xludf.DUMMYFUNCTION("""COMPUTED_VALUE"""),0.08888888888888889)</f>
        <v>0.08888888889</v>
      </c>
      <c r="S13" s="131">
        <f>IFERROR(__xludf.DUMMYFUNCTION("""COMPUTED_VALUE"""),1332.8870410467212)</f>
        <v>1332.887041</v>
      </c>
      <c r="T13" s="132">
        <f>IFERROR(__xludf.DUMMYFUNCTION("""COMPUTED_VALUE"""),32.0)</f>
        <v>32</v>
      </c>
      <c r="U13" s="133"/>
      <c r="V13" s="134" t="str">
        <f>IFERROR(__xludf.DUMMYFUNCTION("""COMPUTED_VALUE"""),"TZXO5")</f>
        <v>TZXO5</v>
      </c>
      <c r="W13" s="128">
        <f>IFERROR(__xludf.DUMMYFUNCTION("""COMPUTED_VALUE"""),45961.0)</f>
        <v>45961</v>
      </c>
      <c r="X13" s="135" t="str">
        <f>IFERROR(__xludf.DUMMYFUNCTION("""COMPUTED_VALUE"""),"CER + 0%")</f>
        <v>CER + 0%</v>
      </c>
      <c r="Y13" s="136">
        <f>IFERROR(__xludf.DUMMYFUNCTION("""COMPUTED_VALUE"""),121.5)</f>
        <v>121.5</v>
      </c>
      <c r="Z13" s="111">
        <f>IFERROR(__xludf.DUMMYFUNCTION("""COMPUTED_VALUE"""),0.1624345298548209)</f>
        <v>0.1624345299</v>
      </c>
      <c r="AA13" s="111">
        <f>IFERROR(__xludf.DUMMYFUNCTION("""COMPUTED_VALUE"""),8.0E-4)</f>
        <v>0.0008</v>
      </c>
      <c r="AB13" s="112">
        <f>IFERROR(__xludf.DUMMYFUNCTION("""COMPUTED_VALUE"""),0.260970572659067)</f>
        <v>0.2609705727</v>
      </c>
      <c r="AC13" s="126" t="str">
        <f>IFERROR(__xludf.DUMMYFUNCTION("""COMPUTED_VALUE"""),"No Paga")</f>
        <v>No Paga</v>
      </c>
      <c r="AD13" s="126">
        <f>IFERROR(__xludf.DUMMYFUNCTION("""COMPUTED_VALUE"""),95.0)</f>
        <v>95</v>
      </c>
      <c r="AE13" s="104"/>
      <c r="AF13" s="104"/>
      <c r="AG13" s="104"/>
      <c r="AH13" s="137" t="str">
        <f>IFERROR(__xludf.DUMMYFUNCTION("""COMPUTED_VALUE"""),"AE38D")</f>
        <v>AE38D</v>
      </c>
      <c r="AI13" s="138">
        <f>IFERROR(__xludf.DUMMYFUNCTION("""COMPUTED_VALUE"""),0.011699999999999999)</f>
        <v>0.0117</v>
      </c>
      <c r="AJ13" s="139">
        <f>IFERROR(__xludf.DUMMYFUNCTION("""COMPUTED_VALUE"""),50414.0)</f>
        <v>50414</v>
      </c>
      <c r="AK13" s="140">
        <f>IFERROR(__xludf.DUMMYFUNCTION("""COMPUTED_VALUE"""),67.84)</f>
        <v>67.84</v>
      </c>
      <c r="AL13" s="138">
        <f>IFERROR(__xludf.DUMMYFUNCTION("""COMPUTED_VALUE"""),0.12684898987574547)</f>
        <v>0.1268489899</v>
      </c>
      <c r="AM13" s="104" t="str">
        <f>IFERROR(__xludf.DUMMYFUNCTION("""COMPUTED_VALUE"""),"-")</f>
        <v>-</v>
      </c>
      <c r="AN13" s="138">
        <f>IFERROR(__xludf.DUMMYFUNCTION("""COMPUTED_VALUE"""),0.07370283018867924)</f>
        <v>0.07370283019</v>
      </c>
      <c r="AO13" s="141">
        <f>IFERROR(__xludf.DUMMYFUNCTION("""COMPUTED_VALUE"""),5.227766752807919)</f>
        <v>5.227766753</v>
      </c>
      <c r="AP13" s="104" t="str">
        <f>IFERROR(__xludf.DUMMYFUNCTION("""COMPUTED_VALUE"""),"Semestral")</f>
        <v>Semestral</v>
      </c>
      <c r="AQ13" s="104" t="str">
        <f>IFERROR(__xludf.DUMMYFUNCTION("""COMPUTED_VALUE"""),"ARG")</f>
        <v>ARG</v>
      </c>
      <c r="AR13" s="138">
        <f>IFERROR(__xludf.DUMMYFUNCTION("""COMPUTED_VALUE"""),0.6765207756232687)</f>
        <v>0.6765207756</v>
      </c>
      <c r="AS13" s="104"/>
      <c r="AT13" s="137" t="str">
        <f>IFERROR(__xludf.DUMMYFUNCTION("""COMPUTED_VALUE"""),"BPC7D")</f>
        <v>BPC7D</v>
      </c>
      <c r="AU13" s="138">
        <f>IFERROR(__xludf.DUMMYFUNCTION("""COMPUTED_VALUE"""),4.0E-4)</f>
        <v>0.0004</v>
      </c>
      <c r="AV13" s="139">
        <f>IFERROR(__xludf.DUMMYFUNCTION("""COMPUTED_VALUE"""),46691.0)</f>
        <v>46691</v>
      </c>
      <c r="AW13" s="140">
        <f>IFERROR(__xludf.DUMMYFUNCTION("""COMPUTED_VALUE"""),97.49)</f>
        <v>97.49</v>
      </c>
      <c r="AX13" s="138">
        <f>IFERROR(__xludf.DUMMYFUNCTION("""COMPUTED_VALUE"""),0.0714734667340943)</f>
        <v>0.07147346673</v>
      </c>
      <c r="AY13" s="139">
        <f>IFERROR(__xludf.DUMMYFUNCTION("""COMPUTED_VALUE"""),46507.0)</f>
        <v>46507</v>
      </c>
      <c r="AZ13" s="138">
        <f>IFERROR(__xludf.DUMMYFUNCTION("""COMPUTED_VALUE"""),0.05969843060826752)</f>
        <v>0.05969843061</v>
      </c>
      <c r="BA13" s="106">
        <f>IFERROR(__xludf.DUMMYFUNCTION("""COMPUTED_VALUE"""),1.9292787517909948)</f>
        <v>1.929278752</v>
      </c>
      <c r="BB13" s="104" t="str">
        <f>IFERROR(__xludf.DUMMYFUNCTION("""COMPUTED_VALUE"""),"Semestral")</f>
        <v>Semestral</v>
      </c>
      <c r="BC13" s="104">
        <f>IFERROR(__xludf.DUMMYFUNCTION("""COMPUTED_VALUE"""),95.0)</f>
        <v>95</v>
      </c>
      <c r="BD13" s="104" t="str">
        <f>IFERROR(__xludf.DUMMYFUNCTION("""COMPUTED_VALUE"""),"ARG")</f>
        <v>ARG</v>
      </c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</row>
    <row r="14">
      <c r="A14" s="109" t="s">
        <v>2567</v>
      </c>
      <c r="B14" s="110" t="s">
        <v>1377</v>
      </c>
      <c r="C14" s="111">
        <f>VLOOKUP(B14,$J$11:$R$63,7,0)</f>
        <v>0.4198320795</v>
      </c>
      <c r="D14" s="112">
        <f>VLOOKUP(B14,$J$11:$R$63,9,0)</f>
        <v>0.2916666667</v>
      </c>
      <c r="E14" s="112">
        <f>D14</f>
        <v>0.2916666667</v>
      </c>
      <c r="F14" s="114">
        <f>E14/$E$18</f>
        <v>0.108207919</v>
      </c>
      <c r="G14" s="104"/>
      <c r="H14" s="104"/>
      <c r="I14" s="119"/>
      <c r="J14" s="127" t="str">
        <f>IFERROR(__xludf.DUMMYFUNCTION("""COMPUTED_VALUE"""),"S12S5")</f>
        <v>S12S5</v>
      </c>
      <c r="K14" s="128">
        <f>IFERROR(__xludf.DUMMYFUNCTION("""COMPUTED_VALUE"""),45912.0)</f>
        <v>45912</v>
      </c>
      <c r="L14" s="129">
        <f>IFERROR(__xludf.DUMMYFUNCTION("""COMPUTED_VALUE"""),151.1)</f>
        <v>151.1</v>
      </c>
      <c r="M14" s="130">
        <f>IFERROR(__xludf.DUMMYFUNCTION("""COMPUTED_VALUE"""),-0.0019)</f>
        <v>-0.0019</v>
      </c>
      <c r="N14" s="130">
        <f>IFERROR(__xludf.DUMMYFUNCTION("""COMPUTED_VALUE"""),0.03445696678808785)</f>
        <v>0.03445696679</v>
      </c>
      <c r="O14" s="130">
        <f>IFERROR(__xludf.DUMMYFUNCTION("""COMPUTED_VALUE"""),0.05212815673791171)</f>
        <v>0.05212815674</v>
      </c>
      <c r="P14" s="130">
        <f>IFERROR(__xludf.DUMMYFUNCTION("""COMPUTED_VALUE"""),0.4228172713186172)</f>
        <v>0.4228172713</v>
      </c>
      <c r="Q14" s="130">
        <f>IFERROR(__xludf.DUMMYFUNCTION("""COMPUTED_VALUE"""),0.5100843864480851)</f>
        <v>0.5100843864</v>
      </c>
      <c r="R14" s="129">
        <f>IFERROR(__xludf.DUMMYFUNCTION("""COMPUTED_VALUE"""),0.12777777777777777)</f>
        <v>0.1277777778</v>
      </c>
      <c r="S14" s="131">
        <f>IFERROR(__xludf.DUMMYFUNCTION("""COMPUTED_VALUE"""),1353.0122189235615)</f>
        <v>1353.012219</v>
      </c>
      <c r="T14" s="132">
        <f>IFERROR(__xludf.DUMMYFUNCTION("""COMPUTED_VALUE"""),46.0)</f>
        <v>46</v>
      </c>
      <c r="U14" s="133"/>
      <c r="V14" s="134" t="str">
        <f>IFERROR(__xludf.DUMMYFUNCTION("""COMPUTED_VALUE"""),"TX25")</f>
        <v>TX25</v>
      </c>
      <c r="W14" s="128">
        <f>IFERROR(__xludf.DUMMYFUNCTION("""COMPUTED_VALUE"""),45970.0)</f>
        <v>45970</v>
      </c>
      <c r="X14" s="135" t="str">
        <f>IFERROR(__xludf.DUMMYFUNCTION("""COMPUTED_VALUE"""),"CER + 1,8%")</f>
        <v>CER + 1,8%</v>
      </c>
      <c r="Y14" s="136">
        <f>IFERROR(__xludf.DUMMYFUNCTION("""COMPUTED_VALUE"""),1273.0)</f>
        <v>1273</v>
      </c>
      <c r="Z14" s="111">
        <f>IFERROR(__xludf.DUMMYFUNCTION("""COMPUTED_VALUE"""),0.1498705275499398)</f>
        <v>0.1498705275</v>
      </c>
      <c r="AA14" s="111">
        <f>IFERROR(__xludf.DUMMYFUNCTION("""COMPUTED_VALUE"""),0.0023)</f>
        <v>0.0023</v>
      </c>
      <c r="AB14" s="112">
        <f>IFERROR(__xludf.DUMMYFUNCTION("""COMPUTED_VALUE"""),0.2859545562114395)</f>
        <v>0.2859545562</v>
      </c>
      <c r="AC14" s="126" t="str">
        <f>IFERROR(__xludf.DUMMYFUNCTION("""COMPUTED_VALUE"""),"Semestral")</f>
        <v>Semestral</v>
      </c>
      <c r="AD14" s="126">
        <f>IFERROR(__xludf.DUMMYFUNCTION("""COMPUTED_VALUE"""),104.0)</f>
        <v>104</v>
      </c>
      <c r="AE14" s="104"/>
      <c r="AF14" s="104"/>
      <c r="AG14" s="104"/>
      <c r="AH14" s="137" t="str">
        <f>IFERROR(__xludf.DUMMYFUNCTION("""COMPUTED_VALUE"""),"AL35D")</f>
        <v>AL35D</v>
      </c>
      <c r="AI14" s="138">
        <f>IFERROR(__xludf.DUMMYFUNCTION("""COMPUTED_VALUE"""),0.013500000000000002)</f>
        <v>0.0135</v>
      </c>
      <c r="AJ14" s="139">
        <f>IFERROR(__xludf.DUMMYFUNCTION("""COMPUTED_VALUE"""),49499.0)</f>
        <v>49499</v>
      </c>
      <c r="AK14" s="140">
        <f>IFERROR(__xludf.DUMMYFUNCTION("""COMPUTED_VALUE"""),65.04)</f>
        <v>65.04</v>
      </c>
      <c r="AL14" s="138">
        <f>IFERROR(__xludf.DUMMYFUNCTION("""COMPUTED_VALUE"""),0.12152744512470409)</f>
        <v>0.1215274451</v>
      </c>
      <c r="AM14" s="104" t="str">
        <f>IFERROR(__xludf.DUMMYFUNCTION("""COMPUTED_VALUE"""),"-")</f>
        <v>-</v>
      </c>
      <c r="AN14" s="138">
        <f>IFERROR(__xludf.DUMMYFUNCTION("""COMPUTED_VALUE"""),0.06334563345633457)</f>
        <v>0.06334563346</v>
      </c>
      <c r="AO14" s="141">
        <f>IFERROR(__xludf.DUMMYFUNCTION("""COMPUTED_VALUE"""),6.147009843164127)</f>
        <v>6.147009843</v>
      </c>
      <c r="AP14" s="104" t="str">
        <f>IFERROR(__xludf.DUMMYFUNCTION("""COMPUTED_VALUE"""),"Semestral")</f>
        <v>Semestral</v>
      </c>
      <c r="AQ14" s="104" t="str">
        <f>IFERROR(__xludf.DUMMYFUNCTION("""COMPUTED_VALUE"""),"ARG")</f>
        <v>ARG</v>
      </c>
      <c r="AR14" s="138">
        <f>IFERROR(__xludf.DUMMYFUNCTION("""COMPUTED_VALUE"""),0.648911109509847)</f>
        <v>0.6489111095</v>
      </c>
      <c r="AS14" s="104"/>
      <c r="AT14" s="137" t="str">
        <f>IFERROR(__xludf.DUMMYFUNCTION("""COMPUTED_VALUE"""),"BPD7D")</f>
        <v>BPD7D</v>
      </c>
      <c r="AU14" s="138">
        <f>IFERROR(__xludf.DUMMYFUNCTION("""COMPUTED_VALUE"""),-0.0021)</f>
        <v>-0.0021</v>
      </c>
      <c r="AV14" s="139">
        <f>IFERROR(__xludf.DUMMYFUNCTION("""COMPUTED_VALUE"""),46691.0)</f>
        <v>46691</v>
      </c>
      <c r="AW14" s="140">
        <f>IFERROR(__xludf.DUMMYFUNCTION("""COMPUTED_VALUE"""),97.14)</f>
        <v>97.14</v>
      </c>
      <c r="AX14" s="138">
        <f>IFERROR(__xludf.DUMMYFUNCTION("""COMPUTED_VALUE"""),0.07349686233883398)</f>
        <v>0.07349686234</v>
      </c>
      <c r="AY14" s="104" t="str">
        <f>IFERROR(__xludf.DUMMYFUNCTION("""COMPUTED_VALUE"""),"No")</f>
        <v>No</v>
      </c>
      <c r="AZ14" s="138">
        <f>IFERROR(__xludf.DUMMYFUNCTION("""COMPUTED_VALUE"""),0.05991352686843731)</f>
        <v>0.05991352687</v>
      </c>
      <c r="BA14" s="106">
        <f>IFERROR(__xludf.DUMMYFUNCTION("""COMPUTED_VALUE"""),1.9288391386826795)</f>
        <v>1.928839139</v>
      </c>
      <c r="BB14" s="104" t="str">
        <f>IFERROR(__xludf.DUMMYFUNCTION("""COMPUTED_VALUE"""),"Semestral")</f>
        <v>Semestral</v>
      </c>
      <c r="BC14" s="104">
        <f>IFERROR(__xludf.DUMMYFUNCTION("""COMPUTED_VALUE"""),95.0)</f>
        <v>95</v>
      </c>
      <c r="BD14" s="104" t="str">
        <f>IFERROR(__xludf.DUMMYFUNCTION("""COMPUTED_VALUE"""),"ARG")</f>
        <v>ARG</v>
      </c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</row>
    <row r="15">
      <c r="A15" s="109" t="s">
        <v>2570</v>
      </c>
      <c r="B15" s="110"/>
      <c r="C15" s="126"/>
      <c r="D15" s="112"/>
      <c r="E15" s="112"/>
      <c r="F15" s="114"/>
      <c r="G15" s="104"/>
      <c r="H15" s="104"/>
      <c r="I15" s="119"/>
      <c r="J15" s="127" t="str">
        <f>IFERROR(__xludf.DUMMYFUNCTION("""COMPUTED_VALUE"""),"S30S5")</f>
        <v>S30S5</v>
      </c>
      <c r="K15" s="128">
        <f>IFERROR(__xludf.DUMMYFUNCTION("""COMPUTED_VALUE"""),45930.0)</f>
        <v>45930</v>
      </c>
      <c r="L15" s="129">
        <f>IFERROR(__xludf.DUMMYFUNCTION("""COMPUTED_VALUE"""),149.8)</f>
        <v>149.8</v>
      </c>
      <c r="M15" s="130">
        <f>IFERROR(__xludf.DUMMYFUNCTION("""COMPUTED_VALUE"""),-0.001)</f>
        <v>-0.001</v>
      </c>
      <c r="N15" s="130">
        <f>IFERROR(__xludf.DUMMYFUNCTION("""COMPUTED_VALUE"""),0.031048324564761476)</f>
        <v>0.03104832456</v>
      </c>
      <c r="O15" s="130">
        <f>IFERROR(__xludf.DUMMYFUNCTION("""COMPUTED_VALUE"""),0.06631604417456116)</f>
        <v>0.06631604417</v>
      </c>
      <c r="P15" s="130">
        <f>IFERROR(__xludf.DUMMYFUNCTION("""COMPUTED_VALUE"""),0.38421200196372735)</f>
        <v>0.384212002</v>
      </c>
      <c r="Q15" s="130">
        <f>IFERROR(__xludf.DUMMYFUNCTION("""COMPUTED_VALUE"""),0.4506459186452885)</f>
        <v>0.4506459186</v>
      </c>
      <c r="R15" s="129">
        <f>IFERROR(__xludf.DUMMYFUNCTION("""COMPUTED_VALUE"""),0.17777777777777778)</f>
        <v>0.1777777778</v>
      </c>
      <c r="S15" s="131">
        <f>IFERROR(__xludf.DUMMYFUNCTION("""COMPUTED_VALUE"""),1371.2575105637136)</f>
        <v>1371.257511</v>
      </c>
      <c r="T15" s="132">
        <f>IFERROR(__xludf.DUMMYFUNCTION("""COMPUTED_VALUE"""),64.0)</f>
        <v>64</v>
      </c>
      <c r="U15" s="133"/>
      <c r="V15" s="134" t="str">
        <f>IFERROR(__xludf.DUMMYFUNCTION("""COMPUTED_VALUE"""),"TZXD5")</f>
        <v>TZXD5</v>
      </c>
      <c r="W15" s="128">
        <f>IFERROR(__xludf.DUMMYFUNCTION("""COMPUTED_VALUE"""),46006.0)</f>
        <v>46006</v>
      </c>
      <c r="X15" s="135" t="str">
        <f>IFERROR(__xludf.DUMMYFUNCTION("""COMPUTED_VALUE"""),"CER + 0%")</f>
        <v>CER + 0%</v>
      </c>
      <c r="Y15" s="136">
        <f>IFERROR(__xludf.DUMMYFUNCTION("""COMPUTED_VALUE"""),210.75)</f>
        <v>210.75</v>
      </c>
      <c r="Z15" s="111">
        <f>IFERROR(__xludf.DUMMYFUNCTION("""COMPUTED_VALUE"""),0.17002952485334463)</f>
        <v>0.1700295249</v>
      </c>
      <c r="AA15" s="111">
        <f>IFERROR(__xludf.DUMMYFUNCTION("""COMPUTED_VALUE"""),-0.004699999999999999)</f>
        <v>-0.0047</v>
      </c>
      <c r="AB15" s="112">
        <f>IFERROR(__xludf.DUMMYFUNCTION("""COMPUTED_VALUE"""),0.3857905570987009)</f>
        <v>0.3857905571</v>
      </c>
      <c r="AC15" s="126" t="str">
        <f>IFERROR(__xludf.DUMMYFUNCTION("""COMPUTED_VALUE"""),"No paga ")</f>
        <v>No paga </v>
      </c>
      <c r="AD15" s="126">
        <f>IFERROR(__xludf.DUMMYFUNCTION("""COMPUTED_VALUE"""),140.0)</f>
        <v>140</v>
      </c>
      <c r="AE15" s="104"/>
      <c r="AF15" s="104"/>
      <c r="AG15" s="104"/>
      <c r="AH15" s="137" t="str">
        <f>IFERROR(__xludf.DUMMYFUNCTION("""COMPUTED_VALUE"""),"AL41D")</f>
        <v>AL41D</v>
      </c>
      <c r="AI15" s="138">
        <f>IFERROR(__xludf.DUMMYFUNCTION("""COMPUTED_VALUE"""),0.0086)</f>
        <v>0.0086</v>
      </c>
      <c r="AJ15" s="139">
        <f>IFERROR(__xludf.DUMMYFUNCTION("""COMPUTED_VALUE"""),51691.0)</f>
        <v>51691</v>
      </c>
      <c r="AK15" s="140">
        <f>IFERROR(__xludf.DUMMYFUNCTION("""COMPUTED_VALUE"""),59.5)</f>
        <v>59.5</v>
      </c>
      <c r="AL15" s="138">
        <f>IFERROR(__xludf.DUMMYFUNCTION("""COMPUTED_VALUE"""),0.12302480657832787)</f>
        <v>0.1230248066</v>
      </c>
      <c r="AM15" s="104" t="str">
        <f>IFERROR(__xludf.DUMMYFUNCTION("""COMPUTED_VALUE"""),"-")</f>
        <v>-</v>
      </c>
      <c r="AN15" s="138">
        <f>IFERROR(__xludf.DUMMYFUNCTION("""COMPUTED_VALUE"""),0.058823529411764705)</f>
        <v>0.05882352941</v>
      </c>
      <c r="AO15" s="141">
        <f>IFERROR(__xludf.DUMMYFUNCTION("""COMPUTED_VALUE"""),6.424145678691401)</f>
        <v>6.424145679</v>
      </c>
      <c r="AP15" s="104" t="str">
        <f>IFERROR(__xludf.DUMMYFUNCTION("""COMPUTED_VALUE"""),"Semestral")</f>
        <v>Semestral</v>
      </c>
      <c r="AQ15" s="104" t="str">
        <f>IFERROR(__xludf.DUMMYFUNCTION("""COMPUTED_VALUE"""),"ARG")</f>
        <v>ARG</v>
      </c>
      <c r="AR15" s="138">
        <f>IFERROR(__xludf.DUMMYFUNCTION("""COMPUTED_VALUE"""),0.5938453008039922)</f>
        <v>0.5938453008</v>
      </c>
      <c r="AS15" s="104"/>
      <c r="AT15" s="137" t="str">
        <f>IFERROR(__xludf.DUMMYFUNCTION("""COMPUTED_VALUE"""),"BPY6D")</f>
        <v>BPY6D</v>
      </c>
      <c r="AU15" s="138">
        <f>IFERROR(__xludf.DUMMYFUNCTION("""COMPUTED_VALUE"""),0.0049)</f>
        <v>0.0049</v>
      </c>
      <c r="AV15" s="139">
        <f>IFERROR(__xludf.DUMMYFUNCTION("""COMPUTED_VALUE"""),46173.0)</f>
        <v>46173</v>
      </c>
      <c r="AW15" s="140">
        <f>IFERROR(__xludf.DUMMYFUNCTION("""COMPUTED_VALUE"""),100.9)</f>
        <v>100.9</v>
      </c>
      <c r="AX15" s="138">
        <f>IFERROR(__xludf.DUMMYFUNCTION("""COMPUTED_VALUE"""),0.02314105766287643)</f>
        <v>0.02314105766</v>
      </c>
      <c r="AY15" s="104" t="str">
        <f>IFERROR(__xludf.DUMMYFUNCTION("""COMPUTED_VALUE"""),"No")</f>
        <v>No</v>
      </c>
      <c r="AZ15" s="138">
        <f>IFERROR(__xludf.DUMMYFUNCTION("""COMPUTED_VALUE"""),0.02180376610505451)</f>
        <v>0.02180376611</v>
      </c>
      <c r="BA15" s="106">
        <f>IFERROR(__xludf.DUMMYFUNCTION("""COMPUTED_VALUE"""),0.5927399228636108)</f>
        <v>0.5927399229</v>
      </c>
      <c r="BB15" s="104" t="str">
        <f>IFERROR(__xludf.DUMMYFUNCTION("""COMPUTED_VALUE"""),"Trimestral")</f>
        <v>Trimestral</v>
      </c>
      <c r="BC15" s="104">
        <f>IFERROR(__xludf.DUMMYFUNCTION("""COMPUTED_VALUE"""),34.0)</f>
        <v>34</v>
      </c>
      <c r="BD15" s="104" t="str">
        <f>IFERROR(__xludf.DUMMYFUNCTION("""COMPUTED_VALUE"""),"ARG")</f>
        <v>ARG</v>
      </c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</row>
    <row r="16">
      <c r="A16" s="109" t="s">
        <v>2568</v>
      </c>
      <c r="B16" s="110" t="s">
        <v>1759</v>
      </c>
      <c r="C16" s="111">
        <f>VLOOKUP(B16,$V$11:$AD$28,5,0)</f>
        <v>0.1355821746</v>
      </c>
      <c r="D16" s="112">
        <f>VLOOKUP(B16,$V$11:$AD$28,7,0)</f>
        <v>2.403761444</v>
      </c>
      <c r="E16" s="112">
        <f>D16</f>
        <v>2.403761444</v>
      </c>
      <c r="F16" s="114">
        <f>E16/$E$18</f>
        <v>0.891792081</v>
      </c>
      <c r="G16" s="104"/>
      <c r="H16" s="104"/>
      <c r="I16" s="119"/>
      <c r="J16" s="127" t="str">
        <f>IFERROR(__xludf.DUMMYFUNCTION("""COMPUTED_VALUE"""),"T17O5")</f>
        <v>T17O5</v>
      </c>
      <c r="K16" s="128">
        <f>IFERROR(__xludf.DUMMYFUNCTION("""COMPUTED_VALUE"""),45947.0)</f>
        <v>45947</v>
      </c>
      <c r="L16" s="129">
        <f>IFERROR(__xludf.DUMMYFUNCTION("""COMPUTED_VALUE"""),146.25)</f>
        <v>146.25</v>
      </c>
      <c r="M16" s="130">
        <f>IFERROR(__xludf.DUMMYFUNCTION("""COMPUTED_VALUE"""),-0.0027)</f>
        <v>-0.0027</v>
      </c>
      <c r="N16" s="130">
        <f>IFERROR(__xludf.DUMMYFUNCTION("""COMPUTED_VALUE"""),0.03153054848542536)</f>
        <v>0.03153054849</v>
      </c>
      <c r="O16" s="130">
        <f>IFERROR(__xludf.DUMMYFUNCTION("""COMPUTED_VALUE"""),0.08630618110298549)</f>
        <v>0.0863061811</v>
      </c>
      <c r="P16" s="130">
        <f>IFERROR(__xludf.DUMMYFUNCTION("""COMPUTED_VALUE"""),0.3937719512823713)</f>
        <v>0.3937719513</v>
      </c>
      <c r="Q16" s="130">
        <f>IFERROR(__xludf.DUMMYFUNCTION("""COMPUTED_VALUE"""),0.4589222365817912)</f>
        <v>0.4589222366</v>
      </c>
      <c r="R16" s="129">
        <f>IFERROR(__xludf.DUMMYFUNCTION("""COMPUTED_VALUE"""),0.225)</f>
        <v>0.225</v>
      </c>
      <c r="S16" s="131">
        <f>IFERROR(__xludf.DUMMYFUNCTION("""COMPUTED_VALUE"""),1396.9643594384468)</f>
        <v>1396.964359</v>
      </c>
      <c r="T16" s="132">
        <f>IFERROR(__xludf.DUMMYFUNCTION("""COMPUTED_VALUE"""),81.0)</f>
        <v>81</v>
      </c>
      <c r="U16" s="133"/>
      <c r="V16" s="134" t="str">
        <f>IFERROR(__xludf.DUMMYFUNCTION("""COMPUTED_VALUE"""),"TZXM6")</f>
        <v>TZXM6</v>
      </c>
      <c r="W16" s="128">
        <f>IFERROR(__xludf.DUMMYFUNCTION("""COMPUTED_VALUE"""),46112.0)</f>
        <v>46112</v>
      </c>
      <c r="X16" s="135" t="str">
        <f>IFERROR(__xludf.DUMMYFUNCTION("""COMPUTED_VALUE"""),"CER + 0%")</f>
        <v>CER + 0%</v>
      </c>
      <c r="Y16" s="136">
        <f>IFERROR(__xludf.DUMMYFUNCTION("""COMPUTED_VALUE"""),161.9)</f>
        <v>161.9</v>
      </c>
      <c r="Z16" s="111">
        <f>IFERROR(__xludf.DUMMYFUNCTION("""COMPUTED_VALUE"""),0.17041683213385087)</f>
        <v>0.1704168321</v>
      </c>
      <c r="AA16" s="111">
        <f>IFERROR(__xludf.DUMMYFUNCTION("""COMPUTED_VALUE"""),-0.0067)</f>
        <v>-0.0067</v>
      </c>
      <c r="AB16" s="112">
        <f>IFERROR(__xludf.DUMMYFUNCTION("""COMPUTED_VALUE"""),0.6795579014311587)</f>
        <v>0.6795579014</v>
      </c>
      <c r="AC16" s="126" t="str">
        <f>IFERROR(__xludf.DUMMYFUNCTION("""COMPUTED_VALUE"""),"No paga ")</f>
        <v>No paga </v>
      </c>
      <c r="AD16" s="126">
        <f>IFERROR(__xludf.DUMMYFUNCTION("""COMPUTED_VALUE"""),246.0)</f>
        <v>246</v>
      </c>
      <c r="AE16" s="104"/>
      <c r="AF16" s="104"/>
      <c r="AG16" s="104"/>
      <c r="AH16" s="137" t="str">
        <f>IFERROR(__xludf.DUMMYFUNCTION("""COMPUTED_VALUE"""),"GD29D")</f>
        <v>GD29D</v>
      </c>
      <c r="AI16" s="138">
        <f>IFERROR(__xludf.DUMMYFUNCTION("""COMPUTED_VALUE"""),0.0034999999999999996)</f>
        <v>0.0035</v>
      </c>
      <c r="AJ16" s="139">
        <f>IFERROR(__xludf.DUMMYFUNCTION("""COMPUTED_VALUE"""),47308.0)</f>
        <v>47308</v>
      </c>
      <c r="AK16" s="140">
        <f>IFERROR(__xludf.DUMMYFUNCTION("""COMPUTED_VALUE"""),64.68)</f>
        <v>64.68</v>
      </c>
      <c r="AL16" s="138">
        <f>IFERROR(__xludf.DUMMYFUNCTION("""COMPUTED_VALUE"""),0.11756827165430596)</f>
        <v>0.1175682717</v>
      </c>
      <c r="AM16" s="138">
        <f>IFERROR(__xludf.DUMMYFUNCTION("""COMPUTED_VALUE"""),0.018582677165354333)</f>
        <v>0.01858267717</v>
      </c>
      <c r="AN16" s="138">
        <f>IFERROR(__xludf.DUMMYFUNCTION("""COMPUTED_VALUE"""),0.014687693259121828)</f>
        <v>0.01468769326</v>
      </c>
      <c r="AO16" s="106">
        <f>IFERROR(__xludf.DUMMYFUNCTION("""COMPUTED_VALUE"""),2.059831607430387)</f>
        <v>2.059831607</v>
      </c>
      <c r="AP16" s="104" t="str">
        <f>IFERROR(__xludf.DUMMYFUNCTION("""COMPUTED_VALUE"""),"Semestral")</f>
        <v>Semestral</v>
      </c>
      <c r="AQ16" s="104" t="str">
        <f>IFERROR(__xludf.DUMMYFUNCTION("""COMPUTED_VALUE"""),"NY")</f>
        <v>NY</v>
      </c>
      <c r="AR16" s="138">
        <f>IFERROR(__xludf.DUMMYFUNCTION("""COMPUTED_VALUE"""),0.8080510827318157)</f>
        <v>0.8080510827</v>
      </c>
      <c r="AS16" s="104"/>
      <c r="AT16" s="137" t="str">
        <f>IFERROR(__xludf.DUMMYFUNCTION("""COMPUTED_VALUE"""),"BPO8D")</f>
        <v>BPO8D</v>
      </c>
      <c r="AU16" s="138">
        <f>IFERROR(__xludf.DUMMYFUNCTION("""COMPUTED_VALUE"""),0.0)</f>
        <v>0</v>
      </c>
      <c r="AV16" s="139">
        <f>IFERROR(__xludf.DUMMYFUNCTION("""COMPUTED_VALUE"""),47057.0)</f>
        <v>47057</v>
      </c>
      <c r="AW16" s="140">
        <f>IFERROR(__xludf.DUMMYFUNCTION("""COMPUTED_VALUE"""),80.5)</f>
        <v>80.5</v>
      </c>
      <c r="AX16" s="138">
        <f>IFERROR(__xludf.DUMMYFUNCTION("""COMPUTED_VALUE"""),0.10753007729550207)</f>
        <v>0.1075300773</v>
      </c>
      <c r="AY16" s="139">
        <f>IFERROR(__xludf.DUMMYFUNCTION("""COMPUTED_VALUE"""),46873.0)</f>
        <v>46873</v>
      </c>
      <c r="AZ16" s="138">
        <f>IFERROR(__xludf.DUMMYFUNCTION("""COMPUTED_VALUE"""),0.037267080745341616)</f>
        <v>0.03726708075</v>
      </c>
      <c r="BA16" s="106">
        <f>IFERROR(__xludf.DUMMYFUNCTION("""COMPUTED_VALUE"""),3.11297240189246)</f>
        <v>3.112972402</v>
      </c>
      <c r="BB16" s="104" t="str">
        <f>IFERROR(__xludf.DUMMYFUNCTION("""COMPUTED_VALUE"""),"Semestral")</f>
        <v>Semestral</v>
      </c>
      <c r="BC16" s="104">
        <f>IFERROR(__xludf.DUMMYFUNCTION("""COMPUTED_VALUE"""),95.0)</f>
        <v>95</v>
      </c>
      <c r="BD16" s="104" t="str">
        <f>IFERROR(__xludf.DUMMYFUNCTION("""COMPUTED_VALUE"""),"ARG")</f>
        <v>ARG</v>
      </c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</row>
    <row r="17">
      <c r="A17" s="109" t="s">
        <v>2571</v>
      </c>
      <c r="B17" s="110"/>
      <c r="C17" s="126"/>
      <c r="D17" s="112"/>
      <c r="E17" s="112"/>
      <c r="F17" s="114"/>
      <c r="G17" s="104"/>
      <c r="H17" s="104"/>
      <c r="I17" s="119"/>
      <c r="J17" s="127" t="str">
        <f>IFERROR(__xludf.DUMMYFUNCTION("""COMPUTED_VALUE"""),"S10N5")</f>
        <v>S10N5</v>
      </c>
      <c r="K17" s="128">
        <f>IFERROR(__xludf.DUMMYFUNCTION("""COMPUTED_VALUE"""),45971.0)</f>
        <v>45971</v>
      </c>
      <c r="L17" s="129">
        <f>IFERROR(__xludf.DUMMYFUNCTION("""COMPUTED_VALUE"""),109.43)</f>
        <v>109.43</v>
      </c>
      <c r="M17" s="130">
        <f>IFERROR(__xludf.DUMMYFUNCTION("""COMPUTED_VALUE"""),-0.0051)</f>
        <v>-0.0051</v>
      </c>
      <c r="N17" s="130">
        <f>IFERROR(__xludf.DUMMYFUNCTION("""COMPUTED_VALUE"""),0.033130953378786465)</f>
        <v>0.03313095338</v>
      </c>
      <c r="O17" s="130">
        <f>IFERROR(__xludf.DUMMYFUNCTION("""COMPUTED_VALUE"""),0.11962338703800302)</f>
        <v>0.119623387</v>
      </c>
      <c r="P17" s="130">
        <f>IFERROR(__xludf.DUMMYFUNCTION("""COMPUTED_VALUE"""),0.419832079508376)</f>
        <v>0.4198320795</v>
      </c>
      <c r="Q17" s="130">
        <f>IFERROR(__xludf.DUMMYFUNCTION("""COMPUTED_VALUE"""),0.48670126604466063)</f>
        <v>0.486701266</v>
      </c>
      <c r="R17" s="129">
        <f>IFERROR(__xludf.DUMMYFUNCTION("""COMPUTED_VALUE"""),0.2916666666666667)</f>
        <v>0.2916666667</v>
      </c>
      <c r="S17" s="131">
        <f>IFERROR(__xludf.DUMMYFUNCTION("""COMPUTED_VALUE"""),1439.8095075715753)</f>
        <v>1439.809508</v>
      </c>
      <c r="T17" s="132">
        <f>IFERROR(__xludf.DUMMYFUNCTION("""COMPUTED_VALUE"""),105.0)</f>
        <v>105</v>
      </c>
      <c r="U17" s="133"/>
      <c r="V17" s="134" t="str">
        <f>IFERROR(__xludf.DUMMYFUNCTION("""COMPUTED_VALUE"""),"TZX26")</f>
        <v>TZX26</v>
      </c>
      <c r="W17" s="128">
        <f>IFERROR(__xludf.DUMMYFUNCTION("""COMPUTED_VALUE"""),46203.0)</f>
        <v>46203</v>
      </c>
      <c r="X17" s="135" t="str">
        <f>IFERROR(__xludf.DUMMYFUNCTION("""COMPUTED_VALUE"""),"CER + 0%")</f>
        <v>CER + 0%</v>
      </c>
      <c r="Y17" s="136">
        <f>IFERROR(__xludf.DUMMYFUNCTION("""COMPUTED_VALUE"""),265.3)</f>
        <v>265.3</v>
      </c>
      <c r="Z17" s="111">
        <f>IFERROR(__xludf.DUMMYFUNCTION("""COMPUTED_VALUE"""),0.15374345794681912)</f>
        <v>0.1537434579</v>
      </c>
      <c r="AA17" s="111">
        <f>IFERROR(__xludf.DUMMYFUNCTION("""COMPUTED_VALUE"""),-0.0048)</f>
        <v>-0.0048</v>
      </c>
      <c r="AB17" s="112">
        <f>IFERROR(__xludf.DUMMYFUNCTION("""COMPUTED_VALUE"""),0.9316283281952125)</f>
        <v>0.9316283282</v>
      </c>
      <c r="AC17" s="126" t="str">
        <f>IFERROR(__xludf.DUMMYFUNCTION("""COMPUTED_VALUE"""),"No paga")</f>
        <v>No paga</v>
      </c>
      <c r="AD17" s="126">
        <f>IFERROR(__xludf.DUMMYFUNCTION("""COMPUTED_VALUE"""),337.0)</f>
        <v>337</v>
      </c>
      <c r="AE17" s="104"/>
      <c r="AF17" s="104"/>
      <c r="AG17" s="104"/>
      <c r="AH17" s="137" t="str">
        <f>IFERROR(__xludf.DUMMYFUNCTION("""COMPUTED_VALUE"""),"GD30D")</f>
        <v>GD30D</v>
      </c>
      <c r="AI17" s="138">
        <f>IFERROR(__xludf.DUMMYFUNCTION("""COMPUTED_VALUE"""),0.0026)</f>
        <v>0.0026</v>
      </c>
      <c r="AJ17" s="139">
        <f>IFERROR(__xludf.DUMMYFUNCTION("""COMPUTED_VALUE"""),47673.0)</f>
        <v>47673</v>
      </c>
      <c r="AK17" s="140">
        <f>IFERROR(__xludf.DUMMYFUNCTION("""COMPUTED_VALUE"""),61.61)</f>
        <v>61.61</v>
      </c>
      <c r="AL17" s="138">
        <f>IFERROR(__xludf.DUMMYFUNCTION("""COMPUTED_VALUE"""),0.12008754088780792)</f>
        <v>0.1200875409</v>
      </c>
      <c r="AM17" s="138">
        <f>IFERROR(__xludf.DUMMYFUNCTION("""COMPUTED_VALUE"""),0.02854757929883145)</f>
        <v>0.0285475793</v>
      </c>
      <c r="AN17" s="138">
        <f>IFERROR(__xludf.DUMMYFUNCTION("""COMPUTED_VALUE"""),0.011199480603798084)</f>
        <v>0.0111994806</v>
      </c>
      <c r="AO17" s="141">
        <f>IFERROR(__xludf.DUMMYFUNCTION("""COMPUTED_VALUE"""),2.479392589509762)</f>
        <v>2.47939259</v>
      </c>
      <c r="AP17" s="104" t="str">
        <f>IFERROR(__xludf.DUMMYFUNCTION("""COMPUTED_VALUE"""),"Semestral")</f>
        <v>Semestral</v>
      </c>
      <c r="AQ17" s="104" t="str">
        <f>IFERROR(__xludf.DUMMYFUNCTION("""COMPUTED_VALUE"""),"NY")</f>
        <v>NY</v>
      </c>
      <c r="AR17" s="138">
        <f>IFERROR(__xludf.DUMMYFUNCTION("""COMPUTED_VALUE"""),0.7698042482299042)</f>
        <v>0.7698042482</v>
      </c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</row>
    <row r="18">
      <c r="A18" s="104"/>
      <c r="B18" s="104"/>
      <c r="C18" s="104"/>
      <c r="D18" s="104"/>
      <c r="E18" s="144">
        <f>SUM(E14:E17)</f>
        <v>2.695428111</v>
      </c>
      <c r="F18" s="104"/>
      <c r="G18" s="104"/>
      <c r="H18" s="104"/>
      <c r="I18" s="119"/>
      <c r="J18" s="127" t="str">
        <f>IFERROR(__xludf.DUMMYFUNCTION("""COMPUTED_VALUE"""),"S28N5")</f>
        <v>S28N5</v>
      </c>
      <c r="K18" s="128">
        <f>IFERROR(__xludf.DUMMYFUNCTION("""COMPUTED_VALUE"""),45989.0)</f>
        <v>45989</v>
      </c>
      <c r="L18" s="129">
        <f>IFERROR(__xludf.DUMMYFUNCTION("""COMPUTED_VALUE"""),109.27)</f>
        <v>109.27</v>
      </c>
      <c r="M18" s="130">
        <f>IFERROR(__xludf.DUMMYFUNCTION("""COMPUTED_VALUE"""),0.0011)</f>
        <v>0.0011</v>
      </c>
      <c r="N18" s="130">
        <f>IFERROR(__xludf.DUMMYFUNCTION("""COMPUTED_VALUE"""),0.030685953676210964)</f>
        <v>0.03068595368</v>
      </c>
      <c r="O18" s="130">
        <f>IFERROR(__xludf.DUMMYFUNCTION("""COMPUTED_VALUE"""),0.1307862536095663)</f>
        <v>0.1307862536</v>
      </c>
      <c r="P18" s="130">
        <f>IFERROR(__xludf.DUMMYFUNCTION("""COMPUTED_VALUE"""),0.3912867423564894)</f>
        <v>0.3912867424</v>
      </c>
      <c r="Q18" s="130">
        <f>IFERROR(__xludf.DUMMYFUNCTION("""COMPUTED_VALUE"""),0.44445499755717494)</f>
        <v>0.4444549976</v>
      </c>
      <c r="R18" s="129">
        <f>IFERROR(__xludf.DUMMYFUNCTION("""COMPUTED_VALUE"""),0.3416666666666667)</f>
        <v>0.3416666667</v>
      </c>
      <c r="S18" s="131">
        <f>IFERROR(__xludf.DUMMYFUNCTION("""COMPUTED_VALUE"""),1454.164693080883)</f>
        <v>1454.164693</v>
      </c>
      <c r="T18" s="132">
        <f>IFERROR(__xludf.DUMMYFUNCTION("""COMPUTED_VALUE"""),123.0)</f>
        <v>123</v>
      </c>
      <c r="U18" s="133"/>
      <c r="V18" s="134" t="str">
        <f>IFERROR(__xludf.DUMMYFUNCTION("""COMPUTED_VALUE"""),"TX28")</f>
        <v>TX28</v>
      </c>
      <c r="W18" s="128">
        <f>IFERROR(__xludf.DUMMYFUNCTION("""COMPUTED_VALUE"""),47066.0)</f>
        <v>47066</v>
      </c>
      <c r="X18" s="135" t="str">
        <f>IFERROR(__xludf.DUMMYFUNCTION("""COMPUTED_VALUE"""),"CER + 2,25%")</f>
        <v>CER + 2,25%</v>
      </c>
      <c r="Y18" s="136">
        <f>IFERROR(__xludf.DUMMYFUNCTION("""COMPUTED_VALUE"""),1573.0)</f>
        <v>1573</v>
      </c>
      <c r="Z18" s="111">
        <f>IFERROR(__xludf.DUMMYFUNCTION("""COMPUTED_VALUE"""),0.141464838422281)</f>
        <v>0.1414648384</v>
      </c>
      <c r="AA18" s="111">
        <f>IFERROR(__xludf.DUMMYFUNCTION("""COMPUTED_VALUE"""),-0.0066)</f>
        <v>-0.0066</v>
      </c>
      <c r="AB18" s="112">
        <f>IFERROR(__xludf.DUMMYFUNCTION("""COMPUTED_VALUE"""),1.6437496293480722)</f>
        <v>1.643749629</v>
      </c>
      <c r="AC18" s="126" t="str">
        <f>IFERROR(__xludf.DUMMYFUNCTION("""COMPUTED_VALUE"""),"Semestral")</f>
        <v>Semestral</v>
      </c>
      <c r="AD18" s="126">
        <f>IFERROR(__xludf.DUMMYFUNCTION("""COMPUTED_VALUE"""),104.0)</f>
        <v>104</v>
      </c>
      <c r="AE18" s="104"/>
      <c r="AF18" s="104"/>
      <c r="AG18" s="104"/>
      <c r="AH18" s="137" t="str">
        <f>IFERROR(__xludf.DUMMYFUNCTION("""COMPUTED_VALUE"""),"GD46D")</f>
        <v>GD46D</v>
      </c>
      <c r="AI18" s="138">
        <f>IFERROR(__xludf.DUMMYFUNCTION("""COMPUTED_VALUE"""),0.0073)</f>
        <v>0.0073</v>
      </c>
      <c r="AJ18" s="139">
        <f>IFERROR(__xludf.DUMMYFUNCTION("""COMPUTED_VALUE"""),53517.0)</f>
        <v>53517</v>
      </c>
      <c r="AK18" s="140">
        <f>IFERROR(__xludf.DUMMYFUNCTION("""COMPUTED_VALUE"""),61.4)</f>
        <v>61.4</v>
      </c>
      <c r="AL18" s="138">
        <f>IFERROR(__xludf.DUMMYFUNCTION("""COMPUTED_VALUE"""),0.12379933548170063)</f>
        <v>0.1237993355</v>
      </c>
      <c r="AM18" s="145" t="str">
        <f>IFERROR(__xludf.DUMMYFUNCTION("""COMPUTED_VALUE"""),"-")</f>
        <v>-</v>
      </c>
      <c r="AN18" s="138">
        <f>IFERROR(__xludf.DUMMYFUNCTION("""COMPUTED_VALUE"""),0.06644951140065147)</f>
        <v>0.0664495114</v>
      </c>
      <c r="AO18" s="106">
        <f>IFERROR(__xludf.DUMMYFUNCTION("""COMPUTED_VALUE"""),5.6862618364105595)</f>
        <v>5.686261836</v>
      </c>
      <c r="AP18" s="104" t="str">
        <f>IFERROR(__xludf.DUMMYFUNCTION("""COMPUTED_VALUE"""),"Semestral")</f>
        <v>Semestral</v>
      </c>
      <c r="AQ18" s="104" t="str">
        <f>IFERROR(__xludf.DUMMYFUNCTION("""COMPUTED_VALUE"""),"NY")</f>
        <v>NY</v>
      </c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</row>
    <row r="19">
      <c r="A19" s="104"/>
      <c r="B19" s="104"/>
      <c r="C19" s="104"/>
      <c r="D19" s="104"/>
      <c r="E19" s="104"/>
      <c r="F19" s="104"/>
      <c r="G19" s="104"/>
      <c r="H19" s="104"/>
      <c r="I19" s="119"/>
      <c r="J19" s="127" t="str">
        <f>IFERROR(__xludf.DUMMYFUNCTION("""COMPUTED_VALUE"""),"T15D5")</f>
        <v>T15D5</v>
      </c>
      <c r="K19" s="128">
        <f>IFERROR(__xludf.DUMMYFUNCTION("""COMPUTED_VALUE"""),46006.0)</f>
        <v>46006</v>
      </c>
      <c r="L19" s="129">
        <f>IFERROR(__xludf.DUMMYFUNCTION("""COMPUTED_VALUE"""),147.85)</f>
        <v>147.85</v>
      </c>
      <c r="M19" s="130">
        <f>IFERROR(__xludf.DUMMYFUNCTION("""COMPUTED_VALUE"""),-0.0073)</f>
        <v>-0.0073</v>
      </c>
      <c r="N19" s="130">
        <f>IFERROR(__xludf.DUMMYFUNCTION("""COMPUTED_VALUE"""),0.031682575855990436)</f>
        <v>0.03168257586</v>
      </c>
      <c r="O19" s="130">
        <f>IFERROR(__xludf.DUMMYFUNCTION("""COMPUTED_VALUE"""),0.15548304468099916)</f>
        <v>0.1554830447</v>
      </c>
      <c r="P19" s="130">
        <f>IFERROR(__xludf.DUMMYFUNCTION("""COMPUTED_VALUE"""),0.4082828151695302)</f>
        <v>0.4082828152</v>
      </c>
      <c r="Q19" s="130">
        <f>IFERROR(__xludf.DUMMYFUNCTION("""COMPUTED_VALUE"""),0.4615404246820427)</f>
        <v>0.4615404247</v>
      </c>
      <c r="R19" s="129">
        <f>IFERROR(__xludf.DUMMYFUNCTION("""COMPUTED_VALUE"""),0.3888888888888889)</f>
        <v>0.3888888889</v>
      </c>
      <c r="S19" s="131">
        <f>IFERROR(__xludf.DUMMYFUNCTION("""COMPUTED_VALUE"""),1485.924189178253)</f>
        <v>1485.924189</v>
      </c>
      <c r="T19" s="132">
        <f>IFERROR(__xludf.DUMMYFUNCTION("""COMPUTED_VALUE"""),140.0)</f>
        <v>140</v>
      </c>
      <c r="U19" s="133"/>
      <c r="V19" s="134" t="str">
        <f>IFERROR(__xludf.DUMMYFUNCTION("""COMPUTED_VALUE"""),"TZXD6")</f>
        <v>TZXD6</v>
      </c>
      <c r="W19" s="128">
        <f>IFERROR(__xludf.DUMMYFUNCTION("""COMPUTED_VALUE"""),46371.0)</f>
        <v>46371</v>
      </c>
      <c r="X19" s="135" t="str">
        <f>IFERROR(__xludf.DUMMYFUNCTION("""COMPUTED_VALUE"""),"CER + 0%")</f>
        <v>CER + 0%</v>
      </c>
      <c r="Y19" s="136">
        <f>IFERROR(__xludf.DUMMYFUNCTION("""COMPUTED_VALUE"""),186.0)</f>
        <v>186</v>
      </c>
      <c r="Z19" s="111">
        <f>IFERROR(__xludf.DUMMYFUNCTION("""COMPUTED_VALUE"""),0.14314100750976633)</f>
        <v>0.1431410075</v>
      </c>
      <c r="AA19" s="111">
        <f>IFERROR(__xludf.DUMMYFUNCTION("""COMPUTED_VALUE"""),-0.0042)</f>
        <v>-0.0042</v>
      </c>
      <c r="AB19" s="112">
        <f>IFERROR(__xludf.DUMMYFUNCTION("""COMPUTED_VALUE"""),1.396412709334948)</f>
        <v>1.396412709</v>
      </c>
      <c r="AC19" s="126" t="str">
        <f>IFERROR(__xludf.DUMMYFUNCTION("""COMPUTED_VALUE"""),"No paga")</f>
        <v>No paga</v>
      </c>
      <c r="AD19" s="126">
        <f>IFERROR(__xludf.DUMMYFUNCTION("""COMPUTED_VALUE"""),505.0)</f>
        <v>505</v>
      </c>
      <c r="AE19" s="104"/>
      <c r="AF19" s="104"/>
      <c r="AG19" s="104"/>
      <c r="AH19" s="137" t="str">
        <f>IFERROR(__xludf.DUMMYFUNCTION("""COMPUTED_VALUE"""),"GD38D")</f>
        <v>GD38D</v>
      </c>
      <c r="AI19" s="138">
        <f>IFERROR(__xludf.DUMMYFUNCTION("""COMPUTED_VALUE"""),0.0138)</f>
        <v>0.0138</v>
      </c>
      <c r="AJ19" s="139">
        <f>IFERROR(__xludf.DUMMYFUNCTION("""COMPUTED_VALUE"""),50414.0)</f>
        <v>50414</v>
      </c>
      <c r="AK19" s="140">
        <f>IFERROR(__xludf.DUMMYFUNCTION("""COMPUTED_VALUE"""),70.19)</f>
        <v>70.19</v>
      </c>
      <c r="AL19" s="138">
        <f>IFERROR(__xludf.DUMMYFUNCTION("""COMPUTED_VALUE"""),0.11956237666411511)</f>
        <v>0.1195623767</v>
      </c>
      <c r="AM19" s="138">
        <f>IFERROR(__xludf.DUMMYFUNCTION("""COMPUTED_VALUE"""),0.03464033018867907)</f>
        <v>0.03464033019</v>
      </c>
      <c r="AN19" s="138">
        <f>IFERROR(__xludf.DUMMYFUNCTION("""COMPUTED_VALUE"""),0.07123521869212139)</f>
        <v>0.07123521869</v>
      </c>
      <c r="AO19" s="141">
        <f>IFERROR(__xludf.DUMMYFUNCTION("""COMPUTED_VALUE"""),5.294997072276016)</f>
        <v>5.294997072</v>
      </c>
      <c r="AP19" s="104" t="str">
        <f>IFERROR(__xludf.DUMMYFUNCTION("""COMPUTED_VALUE"""),"Semestral")</f>
        <v>Semestral</v>
      </c>
      <c r="AQ19" s="104" t="str">
        <f>IFERROR(__xludf.DUMMYFUNCTION("""COMPUTED_VALUE"""),"NY")</f>
        <v>NY</v>
      </c>
      <c r="AR19" s="138">
        <f>IFERROR(__xludf.DUMMYFUNCTION("""COMPUTED_VALUE"""),0.6999556786703601)</f>
        <v>0.6999556787</v>
      </c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</row>
    <row r="20">
      <c r="A20" s="104"/>
      <c r="B20" s="107" t="s">
        <v>2561</v>
      </c>
      <c r="C20" s="108" t="s">
        <v>2563</v>
      </c>
      <c r="D20" s="108" t="s">
        <v>2565</v>
      </c>
      <c r="E20" s="108" t="s">
        <v>2572</v>
      </c>
      <c r="F20" s="108" t="s">
        <v>2559</v>
      </c>
      <c r="G20" s="104"/>
      <c r="H20" s="104"/>
      <c r="I20" s="119"/>
      <c r="J20" s="127" t="str">
        <f>IFERROR(__xludf.DUMMYFUNCTION("""COMPUTED_VALUE"""),"T30E6")</f>
        <v>T30E6</v>
      </c>
      <c r="K20" s="128">
        <f>IFERROR(__xludf.DUMMYFUNCTION("""COMPUTED_VALUE"""),46052.0)</f>
        <v>46052</v>
      </c>
      <c r="L20" s="129">
        <f>IFERROR(__xludf.DUMMYFUNCTION("""COMPUTED_VALUE"""),116.85)</f>
        <v>116.85</v>
      </c>
      <c r="M20" s="130">
        <f>IFERROR(__xludf.DUMMYFUNCTION("""COMPUTED_VALUE"""),-0.0072)</f>
        <v>-0.0072</v>
      </c>
      <c r="N20" s="130">
        <f>IFERROR(__xludf.DUMMYFUNCTION("""COMPUTED_VALUE"""),0.03237785459463338)</f>
        <v>0.03237785459</v>
      </c>
      <c r="O20" s="130">
        <f>IFERROR(__xludf.DUMMYFUNCTION("""COMPUTED_VALUE"""),0.2171343703260893)</f>
        <v>0.2171343703</v>
      </c>
      <c r="P20" s="130">
        <f>IFERROR(__xludf.DUMMYFUNCTION("""COMPUTED_VALUE"""),0.42840024415687883)</f>
        <v>0.4284002442</v>
      </c>
      <c r="Q20" s="130">
        <f>IFERROR(__xludf.DUMMYFUNCTION("""COMPUTED_VALUE"""),0.47356944054567474)</f>
        <v>0.4735694405</v>
      </c>
      <c r="R20" s="129">
        <f>IFERROR(__xludf.DUMMYFUNCTION("""COMPUTED_VALUE"""),0.5166666666666667)</f>
        <v>0.5166666667</v>
      </c>
      <c r="S20" s="131">
        <f>IFERROR(__xludf.DUMMYFUNCTION("""COMPUTED_VALUE"""),1565.206353025353)</f>
        <v>1565.206353</v>
      </c>
      <c r="T20" s="132">
        <f>IFERROR(__xludf.DUMMYFUNCTION("""COMPUTED_VALUE"""),186.0)</f>
        <v>186</v>
      </c>
      <c r="U20" s="133"/>
      <c r="V20" s="134" t="str">
        <f>IFERROR(__xludf.DUMMYFUNCTION("""COMPUTED_VALUE"""),"TZX27")</f>
        <v>TZX27</v>
      </c>
      <c r="W20" s="128">
        <f>IFERROR(__xludf.DUMMYFUNCTION("""COMPUTED_VALUE"""),46568.0)</f>
        <v>46568</v>
      </c>
      <c r="X20" s="135" t="str">
        <f>IFERROR(__xludf.DUMMYFUNCTION("""COMPUTED_VALUE"""),"CER + 0%")</f>
        <v>CER + 0%</v>
      </c>
      <c r="Y20" s="136">
        <f>IFERROR(__xludf.DUMMYFUNCTION("""COMPUTED_VALUE"""),238.9)</f>
        <v>238.9</v>
      </c>
      <c r="Z20" s="111">
        <f>IFERROR(__xludf.DUMMYFUNCTION("""COMPUTED_VALUE"""),0.13102460860429638)</f>
        <v>0.1310246086</v>
      </c>
      <c r="AA20" s="111">
        <f>IFERROR(__xludf.DUMMYFUNCTION("""COMPUTED_VALUE"""),0.0044)</f>
        <v>0.0044</v>
      </c>
      <c r="AB20" s="112">
        <f>IFERROR(__xludf.DUMMYFUNCTION("""COMPUTED_VALUE"""),1.9408375623917156)</f>
        <v>1.940837562</v>
      </c>
      <c r="AC20" s="126" t="str">
        <f>IFERROR(__xludf.DUMMYFUNCTION("""COMPUTED_VALUE"""),"No paga")</f>
        <v>No paga</v>
      </c>
      <c r="AD20" s="126">
        <f>IFERROR(__xludf.DUMMYFUNCTION("""COMPUTED_VALUE"""),702.0)</f>
        <v>702</v>
      </c>
      <c r="AE20" s="104"/>
      <c r="AF20" s="104"/>
      <c r="AG20" s="104"/>
      <c r="AH20" s="137" t="str">
        <f>IFERROR(__xludf.DUMMYFUNCTION("""COMPUTED_VALUE"""),"GD35D")</f>
        <v>GD35D</v>
      </c>
      <c r="AI20" s="138">
        <f>IFERROR(__xludf.DUMMYFUNCTION("""COMPUTED_VALUE"""),0.0076)</f>
        <v>0.0076</v>
      </c>
      <c r="AJ20" s="139">
        <f>IFERROR(__xludf.DUMMYFUNCTION("""COMPUTED_VALUE"""),49499.0)</f>
        <v>49499</v>
      </c>
      <c r="AK20" s="140">
        <f>IFERROR(__xludf.DUMMYFUNCTION("""COMPUTED_VALUE"""),65.9)</f>
        <v>65.9</v>
      </c>
      <c r="AL20" s="138">
        <f>IFERROR(__xludf.DUMMYFUNCTION("""COMPUTED_VALUE"""),0.11913037264425469)</f>
        <v>0.1191303726</v>
      </c>
      <c r="AM20" s="138">
        <f>IFERROR(__xludf.DUMMYFUNCTION("""COMPUTED_VALUE"""),0.01322263222632225)</f>
        <v>0.01322263223</v>
      </c>
      <c r="AN20" s="138">
        <f>IFERROR(__xludf.DUMMYFUNCTION("""COMPUTED_VALUE"""),0.06251896813353566)</f>
        <v>0.06251896813</v>
      </c>
      <c r="AO20" s="141">
        <f>IFERROR(__xludf.DUMMYFUNCTION("""COMPUTED_VALUE"""),6.162024202535139)</f>
        <v>6.162024203</v>
      </c>
      <c r="AP20" s="104" t="str">
        <f>IFERROR(__xludf.DUMMYFUNCTION("""COMPUTED_VALUE"""),"Semestral")</f>
        <v>Semestral</v>
      </c>
      <c r="AQ20" s="104" t="str">
        <f>IFERROR(__xludf.DUMMYFUNCTION("""COMPUTED_VALUE"""),"NY")</f>
        <v>NY</v>
      </c>
      <c r="AR20" s="138">
        <f>IFERROR(__xludf.DUMMYFUNCTION("""COMPUTED_VALUE"""),0.6574914224584704)</f>
        <v>0.6574914225</v>
      </c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</row>
    <row r="21">
      <c r="A21" s="109"/>
      <c r="B21" s="110" t="s">
        <v>1506</v>
      </c>
      <c r="C21" s="111">
        <f>VLOOKUP(B21,$J$11:$R$63,7,0)</f>
        <v>0.4177670771</v>
      </c>
      <c r="D21" s="112">
        <f>VLOOKUP(B21,$J$11:$R$63,9,0)</f>
        <v>0.9361111111</v>
      </c>
      <c r="E21" s="112">
        <f t="shared" ref="E21:E23" si="5">D21</f>
        <v>0.9361111111</v>
      </c>
      <c r="F21" s="114">
        <f t="shared" ref="F21:F22" si="6">E21/$E$25</f>
        <v>0.1973814313</v>
      </c>
      <c r="G21" s="104"/>
      <c r="H21" s="104"/>
      <c r="I21" s="119"/>
      <c r="J21" s="127" t="str">
        <f>IFERROR(__xludf.DUMMYFUNCTION("""COMPUTED_VALUE"""),"T13F6")</f>
        <v>T13F6</v>
      </c>
      <c r="K21" s="128">
        <f>IFERROR(__xludf.DUMMYFUNCTION("""COMPUTED_VALUE"""),46066.0)</f>
        <v>46066</v>
      </c>
      <c r="L21" s="129">
        <f>IFERROR(__xludf.DUMMYFUNCTION("""COMPUTED_VALUE"""),117.2)</f>
        <v>117.2</v>
      </c>
      <c r="M21" s="130">
        <f>IFERROR(__xludf.DUMMYFUNCTION("""COMPUTED_VALUE"""),-0.0105)</f>
        <v>-0.0105</v>
      </c>
      <c r="N21" s="130">
        <f>IFERROR(__xludf.DUMMYFUNCTION("""COMPUTED_VALUE"""),0.032571733895990995)</f>
        <v>0.0325717339</v>
      </c>
      <c r="O21" s="130">
        <f>IFERROR(__xludf.DUMMYFUNCTION("""COMPUTED_VALUE"""),0.23690840568239113)</f>
        <v>0.2369084057</v>
      </c>
      <c r="P21" s="130">
        <f>IFERROR(__xludf.DUMMYFUNCTION("""COMPUTED_VALUE"""),0.4345304928345365)</f>
        <v>0.4345304928</v>
      </c>
      <c r="Q21" s="130">
        <f>IFERROR(__xludf.DUMMYFUNCTION("""COMPUTED_VALUE"""),0.47693991011021847)</f>
        <v>0.4769399101</v>
      </c>
      <c r="R21" s="129">
        <f>IFERROR(__xludf.DUMMYFUNCTION("""COMPUTED_VALUE"""),0.5555555555555556)</f>
        <v>0.5555555556</v>
      </c>
      <c r="S21" s="131">
        <f>IFERROR(__xludf.DUMMYFUNCTION("""COMPUTED_VALUE"""),1590.635300329125)</f>
        <v>1590.6353</v>
      </c>
      <c r="T21" s="132">
        <f>IFERROR(__xludf.DUMMYFUNCTION("""COMPUTED_VALUE"""),200.0)</f>
        <v>200</v>
      </c>
      <c r="U21" s="133"/>
      <c r="V21" s="134" t="str">
        <f>IFERROR(__xludf.DUMMYFUNCTION("""COMPUTED_VALUE"""),"TZXD7")</f>
        <v>TZXD7</v>
      </c>
      <c r="W21" s="128">
        <f>IFERROR(__xludf.DUMMYFUNCTION("""COMPUTED_VALUE"""),46736.0)</f>
        <v>46736</v>
      </c>
      <c r="X21" s="135" t="str">
        <f>IFERROR(__xludf.DUMMYFUNCTION("""COMPUTED_VALUE"""),"CER + 0%")</f>
        <v>CER + 0%</v>
      </c>
      <c r="Y21" s="136">
        <f>IFERROR(__xludf.DUMMYFUNCTION("""COMPUTED_VALUE"""),165.3)</f>
        <v>165.3</v>
      </c>
      <c r="Z21" s="111">
        <f>IFERROR(__xludf.DUMMYFUNCTION("""COMPUTED_VALUE"""),0.1355821745561102)</f>
        <v>0.1355821746</v>
      </c>
      <c r="AA21" s="111">
        <f>IFERROR(__xludf.DUMMYFUNCTION("""COMPUTED_VALUE"""),-0.0113)</f>
        <v>-0.0113</v>
      </c>
      <c r="AB21" s="112">
        <f>IFERROR(__xludf.DUMMYFUNCTION("""COMPUTED_VALUE"""),2.403761444338666)</f>
        <v>2.403761444</v>
      </c>
      <c r="AC21" s="126" t="str">
        <f>IFERROR(__xludf.DUMMYFUNCTION("""COMPUTED_VALUE"""),"No paga")</f>
        <v>No paga</v>
      </c>
      <c r="AD21" s="126">
        <f>IFERROR(__xludf.DUMMYFUNCTION("""COMPUTED_VALUE"""),870.0)</f>
        <v>870</v>
      </c>
      <c r="AE21" s="104"/>
      <c r="AF21" s="104"/>
      <c r="AG21" s="104"/>
      <c r="AH21" s="137" t="str">
        <f>IFERROR(__xludf.DUMMYFUNCTION("""COMPUTED_VALUE"""),"GD41D")</f>
        <v>GD41D</v>
      </c>
      <c r="AI21" s="138">
        <f>IFERROR(__xludf.DUMMYFUNCTION("""COMPUTED_VALUE"""),0.0066)</f>
        <v>0.0066</v>
      </c>
      <c r="AJ21" s="139">
        <f>IFERROR(__xludf.DUMMYFUNCTION("""COMPUTED_VALUE"""),51691.0)</f>
        <v>51691</v>
      </c>
      <c r="AK21" s="140">
        <f>IFERROR(__xludf.DUMMYFUNCTION("""COMPUTED_VALUE"""),61.0)</f>
        <v>61</v>
      </c>
      <c r="AL21" s="138">
        <f>IFERROR(__xludf.DUMMYFUNCTION("""COMPUTED_VALUE"""),0.11870141675824525)</f>
        <v>0.1187014168</v>
      </c>
      <c r="AM21" s="138">
        <f>IFERROR(__xludf.DUMMYFUNCTION("""COMPUTED_VALUE"""),0.025210084033613356)</f>
        <v>0.02521008403</v>
      </c>
      <c r="AN21" s="138">
        <f>IFERROR(__xludf.DUMMYFUNCTION("""COMPUTED_VALUE"""),0.05737704918032787)</f>
        <v>0.05737704918</v>
      </c>
      <c r="AO21" s="141">
        <f>IFERROR(__xludf.DUMMYFUNCTION("""COMPUTED_VALUE"""),6.484373735883773)</f>
        <v>6.484373736</v>
      </c>
      <c r="AP21" s="104" t="str">
        <f>IFERROR(__xludf.DUMMYFUNCTION("""COMPUTED_VALUE"""),"Semestral")</f>
        <v>Semestral</v>
      </c>
      <c r="AQ21" s="104" t="str">
        <f>IFERROR(__xludf.DUMMYFUNCTION("""COMPUTED_VALUE"""),"NY")</f>
        <v>NY</v>
      </c>
      <c r="AR21" s="138">
        <f>IFERROR(__xludf.DUMMYFUNCTION("""COMPUTED_VALUE"""),0.6088161907402273)</f>
        <v>0.6088161907</v>
      </c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</row>
    <row r="22">
      <c r="A22" s="109"/>
      <c r="B22" s="110" t="s">
        <v>1652</v>
      </c>
      <c r="C22" s="111">
        <f>VLOOKUP(B22,$J$29:$R$32,6,0)</f>
        <v>0.3746756111</v>
      </c>
      <c r="D22" s="112">
        <f>VLOOKUP(B22,$J$29:$R$32,9,0)</f>
        <v>1.402777778</v>
      </c>
      <c r="E22" s="112">
        <f t="shared" si="5"/>
        <v>1.402777778</v>
      </c>
      <c r="F22" s="114">
        <f t="shared" si="6"/>
        <v>0.2957792962</v>
      </c>
      <c r="G22" s="104"/>
      <c r="H22" s="104"/>
      <c r="I22" s="119"/>
      <c r="J22" s="127" t="str">
        <f>IFERROR(__xludf.DUMMYFUNCTION("""COMPUTED_VALUE"""),"T30J6")</f>
        <v>T30J6</v>
      </c>
      <c r="K22" s="128">
        <f>IFERROR(__xludf.DUMMYFUNCTION("""COMPUTED_VALUE"""),46203.0)</f>
        <v>46203</v>
      </c>
      <c r="L22" s="129">
        <f>IFERROR(__xludf.DUMMYFUNCTION("""COMPUTED_VALUE"""),104.65)</f>
        <v>104.65</v>
      </c>
      <c r="M22" s="130">
        <f>IFERROR(__xludf.DUMMYFUNCTION("""COMPUTED_VALUE"""),-0.0127)</f>
        <v>-0.0127</v>
      </c>
      <c r="N22" s="130">
        <f>IFERROR(__xludf.DUMMYFUNCTION("""COMPUTED_VALUE"""),0.029479096787043746)</f>
        <v>0.02947909679</v>
      </c>
      <c r="O22" s="130">
        <f>IFERROR(__xludf.DUMMYFUNCTION("""COMPUTED_VALUE"""),0.38457462439769574)</f>
        <v>0.3845746244</v>
      </c>
      <c r="P22" s="130">
        <f>IFERROR(__xludf.DUMMYFUNCTION("""COMPUTED_VALUE"""),0.4177670770986874)</f>
        <v>0.4177670771</v>
      </c>
      <c r="Q22" s="130">
        <f>IFERROR(__xludf.DUMMYFUNCTION("""COMPUTED_VALUE"""),0.42401090885502707)</f>
        <v>0.4240109089</v>
      </c>
      <c r="R22" s="129">
        <f>IFERROR(__xludf.DUMMYFUNCTION("""COMPUTED_VALUE"""),0.9361111111111111)</f>
        <v>0.9361111111</v>
      </c>
      <c r="S22" s="131">
        <f>IFERROR(__xludf.DUMMYFUNCTION("""COMPUTED_VALUE"""),1780.530606299741)</f>
        <v>1780.530606</v>
      </c>
      <c r="T22" s="132">
        <f>IFERROR(__xludf.DUMMYFUNCTION("""COMPUTED_VALUE"""),337.0)</f>
        <v>337</v>
      </c>
      <c r="U22" s="133"/>
      <c r="V22" s="134" t="str">
        <f>IFERROR(__xludf.DUMMYFUNCTION("""COMPUTED_VALUE"""),"TZX28")</f>
        <v>TZX28</v>
      </c>
      <c r="W22" s="128">
        <f>IFERROR(__xludf.DUMMYFUNCTION("""COMPUTED_VALUE"""),46934.0)</f>
        <v>46934</v>
      </c>
      <c r="X22" s="135" t="str">
        <f>IFERROR(__xludf.DUMMYFUNCTION("""COMPUTED_VALUE"""),"CER + 0%")</f>
        <v>CER + 0%</v>
      </c>
      <c r="Y22" s="136">
        <f>IFERROR(__xludf.DUMMYFUNCTION("""COMPUTED_VALUE"""),210.95)</f>
        <v>210.95</v>
      </c>
      <c r="Z22" s="111">
        <f>IFERROR(__xludf.DUMMYFUNCTION("""COMPUTED_VALUE"""),0.13139711481251154)</f>
        <v>0.1313971148</v>
      </c>
      <c r="AA22" s="111">
        <f>IFERROR(__xludf.DUMMYFUNCTION("""COMPUTED_VALUE"""),-0.010700000000000001)</f>
        <v>-0.0107</v>
      </c>
      <c r="AB22" s="112">
        <f>IFERROR(__xludf.DUMMYFUNCTION("""COMPUTED_VALUE"""),2.9490700029831)</f>
        <v>2.949070003</v>
      </c>
      <c r="AC22" s="126" t="str">
        <f>IFERROR(__xludf.DUMMYFUNCTION("""COMPUTED_VALUE"""),"No paga")</f>
        <v>No paga</v>
      </c>
      <c r="AD22" s="126">
        <f>IFERROR(__xludf.DUMMYFUNCTION("""COMPUTED_VALUE"""),1068.0)</f>
        <v>1068</v>
      </c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</row>
    <row r="23">
      <c r="A23" s="109"/>
      <c r="B23" s="110" t="s">
        <v>1759</v>
      </c>
      <c r="C23" s="111">
        <f>VLOOKUP(B23,$V$11:$AD$28,5,0)</f>
        <v>0.1355821746</v>
      </c>
      <c r="D23" s="112">
        <f>VLOOKUP(B23,$V$11:$AD$28,7,0)</f>
        <v>2.403761444</v>
      </c>
      <c r="E23" s="112">
        <f t="shared" si="5"/>
        <v>2.403761444</v>
      </c>
      <c r="F23" s="114">
        <f>E23/E25</f>
        <v>0.5068392724</v>
      </c>
      <c r="G23" s="104"/>
      <c r="H23" s="104"/>
      <c r="I23" s="119"/>
      <c r="J23" s="127" t="str">
        <f>IFERROR(__xludf.DUMMYFUNCTION("""COMPUTED_VALUE"""),"T15E7")</f>
        <v>T15E7</v>
      </c>
      <c r="K23" s="128">
        <f>IFERROR(__xludf.DUMMYFUNCTION("""COMPUTED_VALUE"""),46402.0)</f>
        <v>46402</v>
      </c>
      <c r="L23" s="129">
        <f>IFERROR(__xludf.DUMMYFUNCTION("""COMPUTED_VALUE"""),104.0)</f>
        <v>104</v>
      </c>
      <c r="M23" s="130">
        <f>IFERROR(__xludf.DUMMYFUNCTION("""COMPUTED_VALUE"""),-0.0062)</f>
        <v>-0.0062</v>
      </c>
      <c r="N23" s="130">
        <f>IFERROR(__xludf.DUMMYFUNCTION("""COMPUTED_VALUE"""),0.02484518242238809)</f>
        <v>0.02484518242</v>
      </c>
      <c r="O23" s="130">
        <f>IFERROR(__xludf.DUMMYFUNCTION("""COMPUTED_VALUE"""),0.5490747444678992)</f>
        <v>0.5490747445</v>
      </c>
      <c r="P23" s="130">
        <f>IFERROR(__xludf.DUMMYFUNCTION("""COMPUTED_VALUE"""),0.37460239575847326)</f>
        <v>0.3746023958</v>
      </c>
      <c r="Q23" s="130">
        <f>IFERROR(__xludf.DUMMYFUNCTION("""COMPUTED_VALUE"""),0.3479554670890861)</f>
        <v>0.3479554671</v>
      </c>
      <c r="R23" s="129">
        <f>IFERROR(__xludf.DUMMYFUNCTION("""COMPUTED_VALUE"""),1.488888888888889)</f>
        <v>1.488888889</v>
      </c>
      <c r="S23" s="131">
        <f>IFERROR(__xludf.DUMMYFUNCTION("""COMPUTED_VALUE"""),1992.073915965981)</f>
        <v>1992.073916</v>
      </c>
      <c r="T23" s="132">
        <f>IFERROR(__xludf.DUMMYFUNCTION("""COMPUTED_VALUE"""),536.0)</f>
        <v>536</v>
      </c>
      <c r="U23" s="133"/>
      <c r="V23" s="134" t="str">
        <f>IFERROR(__xludf.DUMMYFUNCTION("""COMPUTED_VALUE"""),"DICP")</f>
        <v>DICP</v>
      </c>
      <c r="W23" s="128">
        <f>IFERROR(__xludf.DUMMYFUNCTION("""COMPUTED_VALUE"""),48944.0)</f>
        <v>48944</v>
      </c>
      <c r="X23" s="135" t="str">
        <f>IFERROR(__xludf.DUMMYFUNCTION("""COMPUTED_VALUE"""),"CER + 5,83%")</f>
        <v>CER + 5,83%</v>
      </c>
      <c r="Y23" s="136">
        <f>IFERROR(__xludf.DUMMYFUNCTION("""COMPUTED_VALUE"""),36400.0)</f>
        <v>36400</v>
      </c>
      <c r="Z23" s="111">
        <f>IFERROR(__xludf.DUMMYFUNCTION("""COMPUTED_VALUE"""),0.12038015187442994)</f>
        <v>0.1203801519</v>
      </c>
      <c r="AA23" s="111">
        <f>IFERROR(__xludf.DUMMYFUNCTION("""COMPUTED_VALUE"""),0.0038)</f>
        <v>0.0038</v>
      </c>
      <c r="AB23" s="112">
        <f>IFERROR(__xludf.DUMMYFUNCTION("""COMPUTED_VALUE"""),3.5243375576601284)</f>
        <v>3.524337558</v>
      </c>
      <c r="AC23" s="126" t="str">
        <f>IFERROR(__xludf.DUMMYFUNCTION("""COMPUTED_VALUE"""),"Semestral")</f>
        <v>Semestral</v>
      </c>
      <c r="AD23" s="126">
        <f>IFERROR(__xludf.DUMMYFUNCTION("""COMPUTED_VALUE"""),156.0)</f>
        <v>156</v>
      </c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</row>
    <row r="24">
      <c r="A24" s="109" t="s">
        <v>2571</v>
      </c>
      <c r="B24" s="110"/>
      <c r="C24" s="126"/>
      <c r="D24" s="112"/>
      <c r="E24" s="112"/>
      <c r="F24" s="114"/>
      <c r="G24" s="104"/>
      <c r="H24" s="104"/>
      <c r="I24" s="119"/>
      <c r="J24" s="127" t="str">
        <f>IFERROR(__xludf.DUMMYFUNCTION("""COMPUTED_VALUE"""),"S29Y6")</f>
        <v>S29Y6</v>
      </c>
      <c r="K24" s="128">
        <f>IFERROR(__xludf.DUMMYFUNCTION("""COMPUTED_VALUE"""),46171.0)</f>
        <v>46171</v>
      </c>
      <c r="L24" s="129">
        <f>IFERROR(__xludf.DUMMYFUNCTION("""COMPUTED_VALUE"""),97.0)</f>
        <v>97</v>
      </c>
      <c r="M24" s="130">
        <f>IFERROR(__xludf.DUMMYFUNCTION("""COMPUTED_VALUE"""),-0.01)</f>
        <v>-0.01</v>
      </c>
      <c r="N24" s="130">
        <f>IFERROR(__xludf.DUMMYFUNCTION("""COMPUTED_VALUE"""),0.030904349243326523)</f>
        <v>0.03090434924</v>
      </c>
      <c r="O24" s="130">
        <f>IFERROR(__xludf.DUMMYFUNCTION("""COMPUTED_VALUE"""),0.36127593856575047)</f>
        <v>0.3612759386</v>
      </c>
      <c r="P24" s="130">
        <f>IFERROR(__xludf.DUMMYFUNCTION("""COMPUTED_VALUE"""),0.43376880781743066)</f>
        <v>0.4337688078</v>
      </c>
      <c r="Q24" s="130">
        <f>IFERROR(__xludf.DUMMYFUNCTION("""COMPUTED_VALUE"""),0.448183264100108)</f>
        <v>0.4481832641</v>
      </c>
      <c r="R24" s="129">
        <f>IFERROR(__xludf.DUMMYFUNCTION("""COMPUTED_VALUE"""),0.8472222222222222)</f>
        <v>0.8472222222</v>
      </c>
      <c r="S24" s="131">
        <f>IFERROR(__xludf.DUMMYFUNCTION("""COMPUTED_VALUE"""),1750.569040863435)</f>
        <v>1750.569041</v>
      </c>
      <c r="T24" s="132">
        <f>IFERROR(__xludf.DUMMYFUNCTION("""COMPUTED_VALUE"""),305.0)</f>
        <v>305</v>
      </c>
      <c r="U24" s="133"/>
      <c r="V24" s="134" t="str">
        <f>IFERROR(__xludf.DUMMYFUNCTION("""COMPUTED_VALUE"""),"PARP")</f>
        <v>PARP</v>
      </c>
      <c r="W24" s="128">
        <f>IFERROR(__xludf.DUMMYFUNCTION("""COMPUTED_VALUE"""),50770.0)</f>
        <v>50770</v>
      </c>
      <c r="X24" s="135" t="str">
        <f>IFERROR(__xludf.DUMMYFUNCTION("""COMPUTED_VALUE"""),"CER + 0%")</f>
        <v>CER + 0%</v>
      </c>
      <c r="Y24" s="136">
        <f>IFERROR(__xludf.DUMMYFUNCTION("""COMPUTED_VALUE"""),21590.0)</f>
        <v>21590</v>
      </c>
      <c r="Z24" s="111">
        <f>IFERROR(__xludf.DUMMYFUNCTION("""COMPUTED_VALUE"""),0.10734705509783832)</f>
        <v>0.1073470551</v>
      </c>
      <c r="AA24" s="111">
        <f>IFERROR(__xludf.DUMMYFUNCTION("""COMPUTED_VALUE"""),-0.0046)</f>
        <v>-0.0046</v>
      </c>
      <c r="AB24" s="112">
        <f>IFERROR(__xludf.DUMMYFUNCTION("""COMPUTED_VALUE"""),7.388714099858754)</f>
        <v>7.3887141</v>
      </c>
      <c r="AC24" s="126" t="str">
        <f>IFERROR(__xludf.DUMMYFUNCTION("""COMPUTED_VALUE"""),"Semestral")</f>
        <v>Semestral</v>
      </c>
      <c r="AD24" s="126">
        <f>IFERROR(__xludf.DUMMYFUNCTION("""COMPUTED_VALUE"""),64.0)</f>
        <v>64</v>
      </c>
      <c r="AE24" s="104"/>
      <c r="AF24" s="104"/>
      <c r="AG24" s="104"/>
      <c r="AH24" s="104" t="str">
        <f>IFERROR(__xludf.DUMMYFUNCTION("""COMPUTED_VALUE"""),"https")</f>
        <v>https</v>
      </c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</row>
    <row r="25">
      <c r="A25" s="104"/>
      <c r="B25" s="142"/>
      <c r="C25" s="142"/>
      <c r="D25" s="142"/>
      <c r="E25" s="144">
        <f>SUM(E21:E24)</f>
        <v>4.742650333</v>
      </c>
      <c r="F25" s="142"/>
      <c r="G25" s="104"/>
      <c r="H25" s="104"/>
      <c r="I25" s="119"/>
      <c r="J25" s="127" t="str">
        <f>IFERROR(__xludf.DUMMYFUNCTION("""COMPUTED_VALUE"""),"TY30P")</f>
        <v>TY30P</v>
      </c>
      <c r="K25" s="128">
        <f>IFERROR(__xludf.DUMMYFUNCTION("""COMPUTED_VALUE"""),47633.0)</f>
        <v>47633</v>
      </c>
      <c r="L25" s="129">
        <f>IFERROR(__xludf.DUMMYFUNCTION("""COMPUTED_VALUE"""),106.1)</f>
        <v>106.1</v>
      </c>
      <c r="M25" s="130">
        <f>IFERROR(__xludf.DUMMYFUNCTION("""COMPUTED_VALUE"""),0.005600000000000001)</f>
        <v>0.0056</v>
      </c>
      <c r="N25" s="130" t="str">
        <f>IFERROR(__xludf.DUMMYFUNCTION("""COMPUTED_VALUE"""),"-")</f>
        <v>-</v>
      </c>
      <c r="O25" s="130">
        <f>IFERROR(__xludf.DUMMYFUNCTION("""COMPUTED_VALUE"""),1.3295947219604152)</f>
        <v>1.329594722</v>
      </c>
      <c r="P25" s="130">
        <f>IFERROR(__xludf.DUMMYFUNCTION("""COMPUTED_VALUE"""),0.27021273581044075)</f>
        <v>0.2702127358</v>
      </c>
      <c r="Q25" s="130">
        <f>IFERROR(__xludf.DUMMYFUNCTION("""COMPUTED_VALUE"""),0.30835015159946505)</f>
        <v>0.3083501516</v>
      </c>
      <c r="R25" s="129">
        <f>IFERROR(__xludf.DUMMYFUNCTION("""COMPUTED_VALUE"""),2.7698670536336554)</f>
        <v>2.769867054</v>
      </c>
      <c r="S25" s="131">
        <f>IFERROR(__xludf.DUMMYFUNCTION("""COMPUTED_VALUE"""),2995.80436448432)</f>
        <v>2995.804364</v>
      </c>
      <c r="T25" s="132"/>
      <c r="U25" s="133"/>
      <c r="V25" s="134" t="str">
        <f>IFERROR(__xludf.DUMMYFUNCTION("""COMPUTED_VALUE"""),"CUAP")</f>
        <v>CUAP</v>
      </c>
      <c r="W25" s="128">
        <f>IFERROR(__xludf.DUMMYFUNCTION("""COMPUTED_VALUE"""),53327.0)</f>
        <v>53327</v>
      </c>
      <c r="X25" s="135" t="str">
        <f>IFERROR(__xludf.DUMMYFUNCTION("""COMPUTED_VALUE"""),"CER + 3,31%")</f>
        <v>CER + 3,31%</v>
      </c>
      <c r="Y25" s="136">
        <f>IFERROR(__xludf.DUMMYFUNCTION("""COMPUTED_VALUE"""),25950.0)</f>
        <v>25950</v>
      </c>
      <c r="Z25" s="111">
        <f>IFERROR(__xludf.DUMMYFUNCTION("""COMPUTED_VALUE"""),0.0759240711948181)</f>
        <v>0.07592407119</v>
      </c>
      <c r="AA25" s="111">
        <f>IFERROR(__xludf.DUMMYFUNCTION("""COMPUTED_VALUE"""),-9.0E-4)</f>
        <v>-0.0009</v>
      </c>
      <c r="AB25" s="112">
        <f>IFERROR(__xludf.DUMMYFUNCTION("""COMPUTED_VALUE"""),10.994726987483796)</f>
        <v>10.99472699</v>
      </c>
      <c r="AC25" s="126" t="str">
        <f>IFERROR(__xludf.DUMMYFUNCTION("""COMPUTED_VALUE"""),"Semestral")</f>
        <v>Semestral</v>
      </c>
      <c r="AD25" s="126">
        <f>IFERROR(__xludf.DUMMYFUNCTION("""COMPUTED_VALUE"""),156.0)</f>
        <v>156</v>
      </c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</row>
    <row r="26">
      <c r="A26" s="104"/>
      <c r="B26" s="104"/>
      <c r="C26" s="104"/>
      <c r="D26" s="104"/>
      <c r="E26" s="104"/>
      <c r="F26" s="104"/>
      <c r="G26" s="104"/>
      <c r="H26" s="104"/>
      <c r="I26" s="119"/>
      <c r="J26" s="135"/>
      <c r="K26" s="128"/>
      <c r="L26" s="129"/>
      <c r="M26" s="130"/>
      <c r="N26" s="130"/>
      <c r="O26" s="146"/>
      <c r="P26" s="146"/>
      <c r="Q26" s="130"/>
      <c r="R26" s="129"/>
      <c r="S26" s="133"/>
      <c r="T26" s="132"/>
      <c r="U26" s="133"/>
      <c r="V26" s="146"/>
      <c r="W26" s="128"/>
      <c r="X26" s="135"/>
      <c r="Y26" s="126"/>
      <c r="Z26" s="126"/>
      <c r="AA26" s="126"/>
      <c r="AB26" s="126"/>
      <c r="AC26" s="126"/>
      <c r="AD26" s="126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</row>
    <row r="27">
      <c r="A27" s="104"/>
      <c r="B27" s="107" t="s">
        <v>2573</v>
      </c>
      <c r="C27" s="108" t="s">
        <v>2563</v>
      </c>
      <c r="D27" s="108" t="s">
        <v>2565</v>
      </c>
      <c r="E27" s="108" t="s">
        <v>2566</v>
      </c>
      <c r="F27" s="108" t="s">
        <v>2559</v>
      </c>
      <c r="G27" s="104"/>
      <c r="H27" s="104"/>
      <c r="I27" s="119"/>
      <c r="J27" s="135" t="str">
        <f>IFERROR(__xludf.DUMMYFUNCTION("""COMPUTED_VALUE"""),"BONOS DUALES")</f>
        <v>BONOS DUALES</v>
      </c>
      <c r="K27" s="128"/>
      <c r="L27" s="129"/>
      <c r="M27" s="130"/>
      <c r="N27" s="130"/>
      <c r="O27" s="146"/>
      <c r="P27" s="146"/>
      <c r="Q27" s="130"/>
      <c r="R27" s="129"/>
      <c r="S27" s="133"/>
      <c r="T27" s="132"/>
      <c r="U27" s="133"/>
      <c r="V27" s="146"/>
      <c r="W27" s="128"/>
      <c r="X27" s="135"/>
      <c r="Y27" s="126"/>
      <c r="Z27" s="126"/>
      <c r="AA27" s="126"/>
      <c r="AB27" s="126"/>
      <c r="AC27" s="126"/>
      <c r="AD27" s="126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</row>
    <row r="28">
      <c r="A28" s="109" t="s">
        <v>2574</v>
      </c>
      <c r="B28" s="137" t="s">
        <v>267</v>
      </c>
      <c r="C28" s="147">
        <f>VLOOKUP(B28,$AT$11:$BD$16,5,0)</f>
        <v>0.1075300773</v>
      </c>
      <c r="D28" s="148">
        <f>VLOOKUP(B28,$AT$11:$BD$16,8,0)</f>
        <v>3.112972402</v>
      </c>
      <c r="E28" s="148">
        <f t="shared" ref="E28:E30" si="7">1/D28</f>
        <v>0.3212363847</v>
      </c>
      <c r="F28" s="114">
        <f t="shared" ref="F28:F30" si="8">E28/$E$31</f>
        <v>0.3492124506</v>
      </c>
      <c r="G28" s="104"/>
      <c r="H28" s="104"/>
      <c r="I28" s="119"/>
      <c r="J28" s="135" t="str">
        <f>IFERROR(__xludf.DUMMYFUNCTION("""COMPUTED_VALUE"""),"Ticker")</f>
        <v>Ticker</v>
      </c>
      <c r="K28" s="128" t="str">
        <f>IFERROR(__xludf.DUMMYFUNCTION("""COMPUTED_VALUE"""),"Vencimiento ")</f>
        <v>Vencimiento </v>
      </c>
      <c r="L28" s="129" t="str">
        <f>IFERROR(__xludf.DUMMYFUNCTION("""COMPUTED_VALUE"""),"Precio")</f>
        <v>Precio</v>
      </c>
      <c r="M28" s="130" t="str">
        <f>IFERROR(__xludf.DUMMYFUNCTION("""COMPUTED_VALUE"""),"Variación")</f>
        <v>Variación</v>
      </c>
      <c r="N28" s="130" t="str">
        <f>IFERROR(__xludf.DUMMYFUNCTION("""COMPUTED_VALUE"""),"TEM Fija")</f>
        <v>TEM Fija</v>
      </c>
      <c r="O28" s="146" t="str">
        <f>IFERROR(__xludf.DUMMYFUNCTION("""COMPUTED_VALUE"""),"TNA")</f>
        <v>TNA</v>
      </c>
      <c r="P28" s="146" t="str">
        <f>IFERROR(__xludf.DUMMYFUNCTION("""COMPUTED_VALUE"""),"TEM Variable")</f>
        <v>TEM Variable</v>
      </c>
      <c r="Q28" s="130" t="str">
        <f>IFERROR(__xludf.DUMMYFUNCTION("""COMPUTED_VALUE"""),"TNA")</f>
        <v>TNA</v>
      </c>
      <c r="R28" s="129" t="str">
        <f>IFERROR(__xludf.DUMMYFUNCTION("""COMPUTED_VALUE"""),"Duration")</f>
        <v>Duration</v>
      </c>
      <c r="S28" s="123" t="str">
        <f>IFERROR(__xludf.DUMMYFUNCTION("""COMPUTED_VALUE"""),"Fx B.E Fija")</f>
        <v>Fx B.E Fija</v>
      </c>
      <c r="T28" s="123"/>
      <c r="U28" s="123"/>
      <c r="V28" s="124"/>
      <c r="W28" s="125"/>
      <c r="X28" s="124"/>
      <c r="Y28" s="126"/>
      <c r="Z28" s="126"/>
      <c r="AA28" s="126"/>
      <c r="AB28" s="126"/>
      <c r="AC28" s="126"/>
      <c r="AD28" s="126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</row>
    <row r="29">
      <c r="A29" s="104"/>
      <c r="B29" s="110" t="s">
        <v>69</v>
      </c>
      <c r="C29" s="147">
        <f t="shared" ref="C29:C30" si="9">VLOOKUP(B29,$AH$10:$AQ$21,5,0)</f>
        <v>0.1330489556</v>
      </c>
      <c r="D29" s="149">
        <f t="shared" ref="D29:D30" si="10">VLOOKUP(B29,$AH$10:$AQ$21,8,0)</f>
        <v>2.454798169</v>
      </c>
      <c r="E29" s="148">
        <f t="shared" si="7"/>
        <v>0.4073654659</v>
      </c>
      <c r="F29" s="114">
        <f t="shared" si="8"/>
        <v>0.4428424033</v>
      </c>
      <c r="G29" s="104"/>
      <c r="H29" s="104"/>
      <c r="I29" s="119"/>
      <c r="J29" s="127" t="str">
        <f>IFERROR(__xludf.DUMMYFUNCTION("""COMPUTED_VALUE"""),"TTM26")</f>
        <v>TTM26</v>
      </c>
      <c r="K29" s="128">
        <f>IFERROR(__xludf.DUMMYFUNCTION("""COMPUTED_VALUE"""),46097.0)</f>
        <v>46097</v>
      </c>
      <c r="L29" s="129">
        <f>IFERROR(__xludf.DUMMYFUNCTION("""COMPUTED_VALUE"""),112.3)</f>
        <v>112.3</v>
      </c>
      <c r="M29" s="130">
        <f>IFERROR(__xludf.DUMMYFUNCTION("""COMPUTED_VALUE"""),-0.0053)</f>
        <v>-0.0053</v>
      </c>
      <c r="N29" s="130">
        <f>IFERROR(__xludf.DUMMYFUNCTION("""COMPUTED_VALUE"""),0.024539239829802106)</f>
        <v>0.02453923983</v>
      </c>
      <c r="O29" s="130">
        <f>IFERROR(__xludf.DUMMYFUNCTION("""COMPUTED_VALUE"""),0.32414724492657426)</f>
        <v>0.3241472449</v>
      </c>
      <c r="P29" s="130">
        <f>IFERROR(__xludf.DUMMYFUNCTION("""COMPUTED_VALUE"""),0.032970201108108776)</f>
        <v>0.03297020111</v>
      </c>
      <c r="Q29" s="130">
        <f>IFERROR(__xludf.DUMMYFUNCTION("""COMPUTED_VALUE"""),0.44807641921014985)</f>
        <v>0.4480764192</v>
      </c>
      <c r="R29" s="129">
        <f>IFERROR(__xludf.DUMMYFUNCTION("""COMPUTED_VALUE"""),0.6416666666666667)</f>
        <v>0.6416666667</v>
      </c>
      <c r="S29" s="132">
        <f>IFERROR(__xludf.DUMMYFUNCTION("""COMPUTED_VALUE"""),1548.6465718498696)</f>
        <v>1548.646572</v>
      </c>
      <c r="T29" s="132"/>
      <c r="U29" s="133"/>
      <c r="V29" s="133" t="str">
        <f>IFERROR(__xludf.DUMMYFUNCTION("""COMPUTED_VALUE"""),"Meses")</f>
        <v>Meses</v>
      </c>
      <c r="W29" s="150" t="str">
        <f>IFERROR(__xludf.DUMMYFUNCTION("""COMPUTED_VALUE"""),"Infla B.E")</f>
        <v>Infla B.E</v>
      </c>
      <c r="X29" s="132" t="str">
        <f>IFERROR(__xludf.DUMMYFUNCTION("""COMPUTED_VALUE"""),"REM")</f>
        <v>REM</v>
      </c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</row>
    <row r="30">
      <c r="A30" s="10"/>
      <c r="B30" s="110" t="s">
        <v>36</v>
      </c>
      <c r="C30" s="147">
        <f t="shared" si="9"/>
        <v>0.1268489899</v>
      </c>
      <c r="D30" s="149">
        <f t="shared" si="10"/>
        <v>5.227766753</v>
      </c>
      <c r="E30" s="148">
        <f t="shared" si="7"/>
        <v>0.1912862695</v>
      </c>
      <c r="F30" s="114">
        <f t="shared" si="8"/>
        <v>0.2079451461</v>
      </c>
      <c r="G30" s="104"/>
      <c r="H30" s="104"/>
      <c r="I30" s="119"/>
      <c r="J30" s="151" t="str">
        <f>IFERROR(__xludf.DUMMYFUNCTION("""COMPUTED_VALUE"""),"TTJ26")</f>
        <v>TTJ26</v>
      </c>
      <c r="K30" s="152">
        <f>IFERROR(__xludf.DUMMYFUNCTION("""COMPUTED_VALUE"""),46203.0)</f>
        <v>46203</v>
      </c>
      <c r="L30" s="153">
        <f>IFERROR(__xludf.DUMMYFUNCTION("""COMPUTED_VALUE"""),109.35)</f>
        <v>109.35</v>
      </c>
      <c r="M30" s="154">
        <f>IFERROR(__xludf.DUMMYFUNCTION("""COMPUTED_VALUE"""),-0.008100000000000001)</f>
        <v>-0.0081</v>
      </c>
      <c r="N30" s="154">
        <f>IFERROR(__xludf.DUMMYFUNCTION("""COMPUTED_VALUE"""),0.025280373366782127)</f>
        <v>0.02528037337</v>
      </c>
      <c r="O30" s="154">
        <f>IFERROR(__xludf.DUMMYFUNCTION("""COMPUTED_VALUE"""),0.35047353505691636)</f>
        <v>0.3504735351</v>
      </c>
      <c r="P30" s="154">
        <f>IFERROR(__xludf.DUMMYFUNCTION("""COMPUTED_VALUE"""),0.033449461734132324)</f>
        <v>0.03344946173</v>
      </c>
      <c r="Q30" s="154">
        <f>IFERROR(__xludf.DUMMYFUNCTION("""COMPUTED_VALUE"""),0.4840283783949498)</f>
        <v>0.4840283784</v>
      </c>
      <c r="R30" s="153">
        <f>IFERROR(__xludf.DUMMYFUNCTION("""COMPUTED_VALUE"""),0.9361111111111111)</f>
        <v>0.9361111111</v>
      </c>
      <c r="S30" s="132">
        <f>IFERROR(__xludf.DUMMYFUNCTION("""COMPUTED_VALUE"""),1700.8682997793542)</f>
        <v>1700.8683</v>
      </c>
      <c r="T30" s="132"/>
      <c r="U30" s="133"/>
      <c r="V30" s="133" t="str">
        <f>IFERROR(__xludf.DUMMYFUNCTION("""COMPUTED_VALUE"""),"Abril")</f>
        <v>Abril</v>
      </c>
      <c r="W30" s="150">
        <f>IFERROR(__xludf.DUMMYFUNCTION("""COMPUTED_VALUE"""),0.018)</f>
        <v>0.018</v>
      </c>
      <c r="X30" s="132">
        <f>IFERROR(__xludf.DUMMYFUNCTION("""COMPUTED_VALUE"""),0.032)</f>
        <v>0.032</v>
      </c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</row>
    <row r="31">
      <c r="A31" s="10"/>
      <c r="B31" s="10"/>
      <c r="C31" s="10"/>
      <c r="D31" s="10"/>
      <c r="E31" s="96">
        <f>SUM(E28:E30)</f>
        <v>0.9198881201</v>
      </c>
      <c r="F31" s="10"/>
      <c r="G31" s="104"/>
      <c r="H31" s="104"/>
      <c r="I31" s="119"/>
      <c r="J31" s="155" t="str">
        <f>IFERROR(__xludf.DUMMYFUNCTION("""COMPUTED_VALUE"""),"TTS26")</f>
        <v>TTS26</v>
      </c>
      <c r="K31" s="156">
        <f>IFERROR(__xludf.DUMMYFUNCTION("""COMPUTED_VALUE"""),46280.0)</f>
        <v>46280</v>
      </c>
      <c r="L31" s="157">
        <f>IFERROR(__xludf.DUMMYFUNCTION("""COMPUTED_VALUE"""),107.9)</f>
        <v>107.9</v>
      </c>
      <c r="M31" s="158">
        <f>IFERROR(__xludf.DUMMYFUNCTION("""COMPUTED_VALUE"""),-0.0018)</f>
        <v>-0.0018</v>
      </c>
      <c r="N31" s="158">
        <f>IFERROR(__xludf.DUMMYFUNCTION("""COMPUTED_VALUE"""),0.02525095391356924)</f>
        <v>0.02525095391</v>
      </c>
      <c r="O31" s="158">
        <f>IFERROR(__xludf.DUMMYFUNCTION("""COMPUTED_VALUE"""),0.3619940528943815)</f>
        <v>0.3619940529</v>
      </c>
      <c r="P31" s="158">
        <f>IFERROR(__xludf.DUMMYFUNCTION("""COMPUTED_VALUE"""),0.033157081104419284)</f>
        <v>0.0331570811</v>
      </c>
      <c r="Q31" s="158">
        <f>IFERROR(__xludf.DUMMYFUNCTION("""COMPUTED_VALUE"""),0.5009566539975453)</f>
        <v>0.500956654</v>
      </c>
      <c r="R31" s="157">
        <f>IFERROR(__xludf.DUMMYFUNCTION("""COMPUTED_VALUE"""),1.15)</f>
        <v>1.15</v>
      </c>
      <c r="S31" s="132">
        <f>IFERROR(__xludf.DUMMYFUNCTION("""COMPUTED_VALUE"""),1812.711047289299)</f>
        <v>1812.711047</v>
      </c>
      <c r="T31" s="132"/>
      <c r="U31" s="133"/>
      <c r="V31" s="133" t="str">
        <f>IFERROR(__xludf.DUMMYFUNCTION("""COMPUTED_VALUE"""),"Mayo")</f>
        <v>Mayo</v>
      </c>
      <c r="W31" s="150">
        <f>IFERROR(__xludf.DUMMYFUNCTION("""COMPUTED_VALUE"""),0.018270184000218403)</f>
        <v>0.018270184</v>
      </c>
      <c r="X31" s="159">
        <f>IFERROR(__xludf.DUMMYFUNCTION("""COMPUTED_VALUE"""),0.015)</f>
        <v>0.015</v>
      </c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</row>
    <row r="32">
      <c r="A32" s="10"/>
      <c r="B32" s="10"/>
      <c r="C32" s="10"/>
      <c r="D32" s="10"/>
      <c r="E32" s="10"/>
      <c r="F32" s="10"/>
      <c r="G32" s="104"/>
      <c r="H32" s="104"/>
      <c r="I32" s="119"/>
      <c r="J32" s="155" t="str">
        <f>IFERROR(__xludf.DUMMYFUNCTION("""COMPUTED_VALUE"""),"TTD26")</f>
        <v>TTD26</v>
      </c>
      <c r="K32" s="156">
        <f>IFERROR(__xludf.DUMMYFUNCTION("""COMPUTED_VALUE"""),46371.0)</f>
        <v>46371</v>
      </c>
      <c r="L32" s="157">
        <f>IFERROR(__xludf.DUMMYFUNCTION("""COMPUTED_VALUE"""),106.2)</f>
        <v>106.2</v>
      </c>
      <c r="M32" s="158">
        <f>IFERROR(__xludf.DUMMYFUNCTION("""COMPUTED_VALUE"""),-0.009300000000000001)</f>
        <v>-0.0093</v>
      </c>
      <c r="N32" s="158">
        <f>IFERROR(__xludf.DUMMYFUNCTION("""COMPUTED_VALUE"""),0.02513034717806173)</f>
        <v>0.02513034718</v>
      </c>
      <c r="O32" s="158">
        <f>IFERROR(__xludf.DUMMYFUNCTION("""COMPUTED_VALUE"""),0.37467561114473946)</f>
        <v>0.3746756111</v>
      </c>
      <c r="P32" s="158">
        <f>IFERROR(__xludf.DUMMYFUNCTION("""COMPUTED_VALUE"""),0.033008354072326496)</f>
        <v>0.03300835407</v>
      </c>
      <c r="Q32" s="158">
        <f>IFERROR(__xludf.DUMMYFUNCTION("""COMPUTED_VALUE"""),0.5254964271757457)</f>
        <v>0.5254964272</v>
      </c>
      <c r="R32" s="157">
        <f>IFERROR(__xludf.DUMMYFUNCTION("""COMPUTED_VALUE"""),1.4027777777777777)</f>
        <v>1.402777778</v>
      </c>
      <c r="S32" s="132">
        <f>IFERROR(__xludf.DUMMYFUNCTION("""COMPUTED_VALUE"""),1951.2898763942442)</f>
        <v>1951.289876</v>
      </c>
      <c r="T32" s="132"/>
      <c r="U32" s="133"/>
      <c r="V32" s="133" t="str">
        <f>IFERROR(__xludf.DUMMYFUNCTION("""COMPUTED_VALUE"""),"Junio")</f>
        <v>Junio</v>
      </c>
      <c r="W32" s="150">
        <f>IFERROR(__xludf.DUMMYFUNCTION("""COMPUTED_VALUE"""),0.018270184000218403)</f>
        <v>0.018270184</v>
      </c>
      <c r="X32" s="159">
        <f>IFERROR(__xludf.DUMMYFUNCTION("""COMPUTED_VALUE"""),0.018)</f>
        <v>0.018</v>
      </c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</row>
    <row r="33">
      <c r="A33" s="10"/>
      <c r="B33" s="10"/>
      <c r="C33" s="10"/>
      <c r="D33" s="10"/>
      <c r="E33" s="10"/>
      <c r="F33" s="10"/>
      <c r="G33" s="104"/>
      <c r="H33" s="104"/>
      <c r="I33" s="119"/>
      <c r="J33" s="133"/>
      <c r="K33" s="150"/>
      <c r="L33" s="160"/>
      <c r="M33" s="159"/>
      <c r="N33" s="159"/>
      <c r="O33" s="133"/>
      <c r="P33" s="133"/>
      <c r="Q33" s="159"/>
      <c r="R33" s="160"/>
      <c r="S33" s="132"/>
      <c r="T33" s="132"/>
      <c r="U33" s="133"/>
      <c r="V33" s="133" t="str">
        <f>IFERROR(__xludf.DUMMYFUNCTION("""COMPUTED_VALUE"""),"Julio")</f>
        <v>Julio</v>
      </c>
      <c r="W33" s="150">
        <f>IFERROR(__xludf.DUMMYFUNCTION("""COMPUTED_VALUE"""),0.018270184000218403)</f>
        <v>0.018270184</v>
      </c>
      <c r="X33" s="159">
        <f>IFERROR(__xludf.DUMMYFUNCTION("""COMPUTED_VALUE"""),0.017)</f>
        <v>0.017</v>
      </c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</row>
    <row r="34">
      <c r="A34" s="10"/>
      <c r="B34" s="10"/>
      <c r="C34" s="10"/>
      <c r="D34" s="10"/>
      <c r="E34" s="10"/>
      <c r="F34" s="10"/>
      <c r="G34" s="104"/>
      <c r="H34" s="104"/>
      <c r="I34" s="119"/>
      <c r="J34" s="133"/>
      <c r="K34" s="150"/>
      <c r="L34" s="160"/>
      <c r="M34" s="159"/>
      <c r="N34" s="159"/>
      <c r="O34" s="133"/>
      <c r="P34" s="133"/>
      <c r="Q34" s="159"/>
      <c r="R34" s="160"/>
      <c r="S34" s="132"/>
      <c r="T34" s="132"/>
      <c r="U34" s="133"/>
      <c r="V34" s="133" t="str">
        <f>IFERROR(__xludf.DUMMYFUNCTION("""COMPUTED_VALUE"""),"Agosto")</f>
        <v>Agosto</v>
      </c>
      <c r="W34" s="150">
        <f>IFERROR(__xludf.DUMMYFUNCTION("""COMPUTED_VALUE"""),0.018270184000218403)</f>
        <v>0.018270184</v>
      </c>
      <c r="X34" s="159">
        <f>IFERROR(__xludf.DUMMYFUNCTION("""COMPUTED_VALUE"""),0.016)</f>
        <v>0.016</v>
      </c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</row>
    <row r="35">
      <c r="A35" s="104"/>
      <c r="B35" s="107" t="s">
        <v>2561</v>
      </c>
      <c r="C35" s="108" t="s">
        <v>1534</v>
      </c>
      <c r="D35" s="108" t="s">
        <v>2565</v>
      </c>
      <c r="E35" s="108" t="s">
        <v>2572</v>
      </c>
      <c r="F35" s="108" t="s">
        <v>2559</v>
      </c>
      <c r="G35" s="104"/>
      <c r="H35" s="104"/>
      <c r="I35" s="119"/>
      <c r="J35" s="132"/>
      <c r="K35" s="150"/>
      <c r="L35" s="160"/>
      <c r="M35" s="159"/>
      <c r="N35" s="159"/>
      <c r="O35" s="133"/>
      <c r="P35" s="133"/>
      <c r="Q35" s="159"/>
      <c r="R35" s="160"/>
      <c r="S35" s="132"/>
      <c r="T35" s="132"/>
      <c r="U35" s="133"/>
      <c r="V35" s="133" t="str">
        <f>IFERROR(__xludf.DUMMYFUNCTION("""COMPUTED_VALUE"""),"Septiembre")</f>
        <v>Septiembre</v>
      </c>
      <c r="W35" s="150">
        <f>IFERROR(__xludf.DUMMYFUNCTION("""COMPUTED_VALUE"""),0.018270184000218403)</f>
        <v>0.018270184</v>
      </c>
      <c r="X35" s="159">
        <f>IFERROR(__xludf.DUMMYFUNCTION("""COMPUTED_VALUE"""),0.017)</f>
        <v>0.017</v>
      </c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</row>
    <row r="36">
      <c r="A36" s="109" t="s">
        <v>2551</v>
      </c>
      <c r="B36" s="137" t="s">
        <v>267</v>
      </c>
      <c r="C36" s="147">
        <f>VLOOKUP(B36,$AT$11:$BD$16,5,0)</f>
        <v>0.1075300773</v>
      </c>
      <c r="D36" s="148">
        <f>VLOOKUP(B36,$AT$11:$BD$16,8,0)</f>
        <v>3.112972402</v>
      </c>
      <c r="E36" s="148">
        <f t="shared" ref="E36:E38" si="11">D36</f>
        <v>3.112972402</v>
      </c>
      <c r="F36" s="114">
        <f>E36/E39</f>
        <v>0.2883573377</v>
      </c>
      <c r="G36" s="161"/>
      <c r="H36" s="104"/>
      <c r="I36" s="119"/>
      <c r="J36" s="132"/>
      <c r="K36" s="150"/>
      <c r="L36" s="160"/>
      <c r="M36" s="159"/>
      <c r="N36" s="159"/>
      <c r="O36" s="133"/>
      <c r="P36" s="133"/>
      <c r="Q36" s="159"/>
      <c r="R36" s="160"/>
      <c r="S36" s="132"/>
      <c r="T36" s="132"/>
      <c r="U36" s="133"/>
      <c r="V36" s="133" t="str">
        <f>IFERROR(__xludf.DUMMYFUNCTION("""COMPUTED_VALUE"""),"Octubre")</f>
        <v>Octubre</v>
      </c>
      <c r="W36" s="150">
        <f>IFERROR(__xludf.DUMMYFUNCTION("""COMPUTED_VALUE"""),0.018270184000218403)</f>
        <v>0.018270184</v>
      </c>
      <c r="X36" s="132">
        <f>IFERROR(__xludf.DUMMYFUNCTION("""COMPUTED_VALUE"""),0.017)</f>
        <v>0.017</v>
      </c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</row>
    <row r="37">
      <c r="A37" s="161"/>
      <c r="B37" s="110" t="s">
        <v>69</v>
      </c>
      <c r="C37" s="147">
        <f t="shared" ref="C37:C38" si="12">VLOOKUP(B37,$AH$10:$AQ$21,5,0)</f>
        <v>0.1330489556</v>
      </c>
      <c r="D37" s="149">
        <f t="shared" ref="D37:D38" si="13">VLOOKUP(B37,$AH$10:$AQ$21,8,0)</f>
        <v>2.454798169</v>
      </c>
      <c r="E37" s="148">
        <f t="shared" si="11"/>
        <v>2.454798169</v>
      </c>
      <c r="F37" s="114">
        <f t="shared" ref="F37:F38" si="14">E37/$E$39</f>
        <v>0.2273900868</v>
      </c>
      <c r="G37" s="161"/>
      <c r="H37" s="104"/>
      <c r="I37" s="119"/>
      <c r="J37" s="162"/>
      <c r="K37" s="163"/>
      <c r="L37" s="164"/>
      <c r="M37" s="165"/>
      <c r="N37" s="165"/>
      <c r="O37" s="166"/>
      <c r="P37" s="166"/>
      <c r="Q37" s="165"/>
      <c r="R37" s="164"/>
      <c r="S37" s="132"/>
      <c r="T37" s="132"/>
      <c r="U37" s="133"/>
      <c r="V37" s="133" t="str">
        <f>IFERROR(__xludf.DUMMYFUNCTION("""COMPUTED_VALUE"""),"Noviembre")</f>
        <v>Noviembre</v>
      </c>
      <c r="W37" s="150">
        <f>IFERROR(__xludf.DUMMYFUNCTION("""COMPUTED_VALUE"""),0.01911967408894477)</f>
        <v>0.01911967409</v>
      </c>
      <c r="X37" s="132">
        <f>IFERROR(__xludf.DUMMYFUNCTION("""COMPUTED_VALUE"""),0.015)</f>
        <v>0.015</v>
      </c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</row>
    <row r="38">
      <c r="A38" s="161"/>
      <c r="B38" s="110" t="s">
        <v>36</v>
      </c>
      <c r="C38" s="147">
        <f t="shared" si="12"/>
        <v>0.1268489899</v>
      </c>
      <c r="D38" s="149">
        <f t="shared" si="13"/>
        <v>5.227766753</v>
      </c>
      <c r="E38" s="148">
        <f t="shared" si="11"/>
        <v>5.227766753</v>
      </c>
      <c r="F38" s="114">
        <f t="shared" si="14"/>
        <v>0.4842525755</v>
      </c>
      <c r="G38" s="161"/>
      <c r="H38" s="104"/>
      <c r="I38" s="119"/>
      <c r="J38" s="135"/>
      <c r="K38" s="128"/>
      <c r="L38" s="129"/>
      <c r="M38" s="130"/>
      <c r="N38" s="130"/>
      <c r="O38" s="146"/>
      <c r="P38" s="146"/>
      <c r="Q38" s="130"/>
      <c r="R38" s="129"/>
      <c r="S38" s="132"/>
      <c r="T38" s="132"/>
      <c r="U38" s="133"/>
      <c r="V38" s="133" t="str">
        <f>IFERROR(__xludf.DUMMYFUNCTION("""COMPUTED_VALUE"""),"Diciembre")</f>
        <v>Diciembre</v>
      </c>
      <c r="W38" s="150">
        <f>IFERROR(__xludf.DUMMYFUNCTION("""COMPUTED_VALUE"""),0.01911967408894477)</f>
        <v>0.01911967409</v>
      </c>
      <c r="X38" s="132">
        <f>IFERROR(__xludf.DUMMYFUNCTION("""COMPUTED_VALUE"""),0.017)</f>
        <v>0.017</v>
      </c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</row>
    <row r="39">
      <c r="A39" s="104"/>
      <c r="B39" s="104"/>
      <c r="C39" s="104"/>
      <c r="D39" s="104"/>
      <c r="E39" s="167">
        <f>SUM(E36:E38)</f>
        <v>10.79553732</v>
      </c>
      <c r="F39" s="104"/>
      <c r="G39" s="104"/>
      <c r="H39" s="104"/>
      <c r="I39" s="119"/>
      <c r="J39" s="135"/>
      <c r="K39" s="128"/>
      <c r="L39" s="129"/>
      <c r="M39" s="130"/>
      <c r="N39" s="130"/>
      <c r="O39" s="146"/>
      <c r="P39" s="146"/>
      <c r="Q39" s="130"/>
      <c r="R39" s="129"/>
      <c r="S39" s="132"/>
      <c r="T39" s="132"/>
      <c r="U39" s="133"/>
      <c r="V39" s="168">
        <f>IFERROR(__xludf.DUMMYFUNCTION("""COMPUTED_VALUE"""),46023.0)</f>
        <v>46023</v>
      </c>
      <c r="W39" s="150">
        <f>IFERROR(__xludf.DUMMYFUNCTION("""COMPUTED_VALUE"""),0.01911967408894477)</f>
        <v>0.01911967409</v>
      </c>
      <c r="X39" s="132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</row>
    <row r="40">
      <c r="A40" s="104"/>
      <c r="B40" s="104"/>
      <c r="C40" s="104"/>
      <c r="D40" s="104"/>
      <c r="E40" s="104"/>
      <c r="F40" s="104"/>
      <c r="G40" s="104"/>
      <c r="H40" s="104"/>
      <c r="I40" s="119"/>
      <c r="J40" s="135"/>
      <c r="K40" s="128"/>
      <c r="L40" s="129"/>
      <c r="M40" s="130"/>
      <c r="N40" s="130"/>
      <c r="O40" s="146"/>
      <c r="P40" s="146"/>
      <c r="Q40" s="130"/>
      <c r="R40" s="129"/>
      <c r="S40" s="132"/>
      <c r="T40" s="132"/>
      <c r="U40" s="133"/>
      <c r="V40" s="133" t="str">
        <f>IFERROR(__xludf.DUMMYFUNCTION("""COMPUTED_VALUE"""),"Febrero")</f>
        <v>Febrero</v>
      </c>
      <c r="W40" s="150">
        <f>IFERROR(__xludf.DUMMYFUNCTION("""COMPUTED_VALUE"""),0.017693511039746035)</f>
        <v>0.01769351104</v>
      </c>
      <c r="X40" s="133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/>
      <c r="BM40" s="104"/>
      <c r="BN40" s="104"/>
    </row>
    <row r="41">
      <c r="A41" s="104"/>
      <c r="B41" s="104"/>
      <c r="C41" s="104"/>
      <c r="D41" s="104"/>
      <c r="E41" s="104"/>
      <c r="F41" s="104"/>
      <c r="G41" s="104"/>
      <c r="H41" s="104"/>
      <c r="I41" s="119"/>
      <c r="J41" s="135"/>
      <c r="K41" s="128"/>
      <c r="L41" s="129"/>
      <c r="M41" s="130"/>
      <c r="N41" s="130"/>
      <c r="O41" s="146"/>
      <c r="P41" s="146"/>
      <c r="Q41" s="130"/>
      <c r="R41" s="129"/>
      <c r="S41" s="132"/>
      <c r="T41" s="132"/>
      <c r="U41" s="133"/>
      <c r="V41" s="133" t="str">
        <f>IFERROR(__xludf.DUMMYFUNCTION("""COMPUTED_VALUE"""),"Marzo")</f>
        <v>Marzo</v>
      </c>
      <c r="W41" s="150">
        <f>IFERROR(__xludf.DUMMYFUNCTION("""COMPUTED_VALUE"""),0.017693511039746035)</f>
        <v>0.01769351104</v>
      </c>
      <c r="X41" s="133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</row>
    <row r="42">
      <c r="A42" s="104"/>
      <c r="B42" s="104"/>
      <c r="C42" s="104"/>
      <c r="D42" s="104"/>
      <c r="E42" s="104"/>
      <c r="F42" s="104"/>
      <c r="G42" s="104"/>
      <c r="H42" s="104"/>
      <c r="I42" s="119"/>
      <c r="J42" s="133"/>
      <c r="K42" s="150"/>
      <c r="L42" s="160"/>
      <c r="M42" s="159"/>
      <c r="N42" s="159"/>
      <c r="O42" s="133"/>
      <c r="P42" s="133"/>
      <c r="Q42" s="159"/>
      <c r="R42" s="160"/>
      <c r="S42" s="132"/>
      <c r="T42" s="132"/>
      <c r="U42" s="133"/>
      <c r="V42" s="133" t="str">
        <f>IFERROR(__xludf.DUMMYFUNCTION("""COMPUTED_VALUE"""),"Abril")</f>
        <v>Abril</v>
      </c>
      <c r="W42" s="150">
        <f>IFERROR(__xludf.DUMMYFUNCTION("""COMPUTED_VALUE"""),0.017693511039746035)</f>
        <v>0.01769351104</v>
      </c>
      <c r="X42" s="133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4"/>
    </row>
    <row r="43">
      <c r="A43" s="104"/>
      <c r="B43" s="104"/>
      <c r="C43" s="104"/>
      <c r="D43" s="104"/>
      <c r="E43" s="104"/>
      <c r="F43" s="104"/>
      <c r="G43" s="104"/>
      <c r="H43" s="104"/>
      <c r="I43" s="119"/>
      <c r="J43" s="132"/>
      <c r="K43" s="150"/>
      <c r="L43" s="160"/>
      <c r="M43" s="159"/>
      <c r="N43" s="159"/>
      <c r="O43" s="133"/>
      <c r="P43" s="133"/>
      <c r="Q43" s="159"/>
      <c r="R43" s="160"/>
      <c r="S43" s="132"/>
      <c r="T43" s="132"/>
      <c r="U43" s="133"/>
      <c r="V43" s="133" t="str">
        <f>IFERROR(__xludf.DUMMYFUNCTION("""COMPUTED_VALUE"""),"Mayo")</f>
        <v>Mayo</v>
      </c>
      <c r="W43" s="150">
        <f>IFERROR(__xludf.DUMMYFUNCTION("""COMPUTED_VALUE"""),0.013483338994808802)</f>
        <v>0.01348333899</v>
      </c>
      <c r="X43" s="132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4"/>
    </row>
    <row r="44">
      <c r="A44" s="104"/>
      <c r="B44" s="104"/>
      <c r="C44" s="104"/>
      <c r="D44" s="104"/>
      <c r="E44" s="104"/>
      <c r="F44" s="104"/>
      <c r="G44" s="104"/>
      <c r="H44" s="104"/>
      <c r="I44" s="119"/>
      <c r="J44" s="132"/>
      <c r="K44" s="150"/>
      <c r="L44" s="160"/>
      <c r="M44" s="159"/>
      <c r="N44" s="159"/>
      <c r="O44" s="133"/>
      <c r="P44" s="133"/>
      <c r="Q44" s="159"/>
      <c r="R44" s="160"/>
      <c r="S44" s="132"/>
      <c r="T44" s="132"/>
      <c r="U44" s="133"/>
      <c r="V44" s="133" t="str">
        <f>IFERROR(__xludf.DUMMYFUNCTION("""COMPUTED_VALUE"""),"Junio")</f>
        <v>Junio</v>
      </c>
      <c r="W44" s="150">
        <f>IFERROR(__xludf.DUMMYFUNCTION("""COMPUTED_VALUE"""),0.013483338994808802)</f>
        <v>0.01348333899</v>
      </c>
      <c r="X44" s="132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104"/>
    </row>
    <row r="45">
      <c r="A45" s="104"/>
      <c r="B45" s="104"/>
      <c r="C45" s="104"/>
      <c r="D45" s="104"/>
      <c r="E45" s="104"/>
      <c r="F45" s="104"/>
      <c r="G45" s="104"/>
      <c r="H45" s="104"/>
      <c r="I45" s="119"/>
      <c r="J45" s="132"/>
      <c r="K45" s="150"/>
      <c r="L45" s="160"/>
      <c r="M45" s="159"/>
      <c r="N45" s="159"/>
      <c r="O45" s="133"/>
      <c r="P45" s="133"/>
      <c r="Q45" s="159"/>
      <c r="R45" s="160"/>
      <c r="S45" s="132"/>
      <c r="T45" s="132"/>
      <c r="U45" s="133"/>
      <c r="V45" s="133" t="str">
        <f>IFERROR(__xludf.DUMMYFUNCTION("""COMPUTED_VALUE"""),"Julio")</f>
        <v>Julio</v>
      </c>
      <c r="W45" s="150">
        <f>IFERROR(__xludf.DUMMYFUNCTION("""COMPUTED_VALUE"""),0.013483338994808802)</f>
        <v>0.01348333899</v>
      </c>
      <c r="X45" s="133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  <c r="BG45" s="104"/>
      <c r="BH45" s="104"/>
      <c r="BI45" s="104"/>
      <c r="BJ45" s="104"/>
      <c r="BK45" s="104"/>
      <c r="BL45" s="104"/>
      <c r="BM45" s="104"/>
      <c r="BN45" s="104"/>
    </row>
    <row r="46">
      <c r="A46" s="104"/>
      <c r="B46" s="104"/>
      <c r="C46" s="104"/>
      <c r="D46" s="104"/>
      <c r="E46" s="104"/>
      <c r="F46" s="104"/>
      <c r="G46" s="104"/>
      <c r="H46" s="104"/>
      <c r="I46" s="119"/>
      <c r="J46" s="133"/>
      <c r="K46" s="150"/>
      <c r="L46" s="160"/>
      <c r="M46" s="159"/>
      <c r="N46" s="159"/>
      <c r="O46" s="133"/>
      <c r="P46" s="133"/>
      <c r="Q46" s="159"/>
      <c r="R46" s="160"/>
      <c r="S46" s="132"/>
      <c r="T46" s="132"/>
      <c r="U46" s="133"/>
      <c r="V46" s="133" t="str">
        <f>IFERROR(__xludf.DUMMYFUNCTION("""COMPUTED_VALUE"""),"Agosto")</f>
        <v>Agosto</v>
      </c>
      <c r="W46" s="150">
        <f>IFERROR(__xludf.DUMMYFUNCTION("""COMPUTED_VALUE"""),0.013483338994808802)</f>
        <v>0.01348333899</v>
      </c>
      <c r="X46" s="133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  <c r="BG46" s="104"/>
      <c r="BH46" s="104"/>
      <c r="BI46" s="104"/>
      <c r="BJ46" s="104"/>
      <c r="BK46" s="104"/>
      <c r="BL46" s="104"/>
      <c r="BM46" s="104"/>
      <c r="BN46" s="104"/>
    </row>
    <row r="47">
      <c r="A47" s="104"/>
      <c r="B47" s="104"/>
      <c r="C47" s="104"/>
      <c r="D47" s="104"/>
      <c r="E47" s="104"/>
      <c r="F47" s="104"/>
      <c r="G47" s="104"/>
      <c r="H47" s="104"/>
      <c r="I47" s="119"/>
      <c r="J47" s="133"/>
      <c r="K47" s="150"/>
      <c r="L47" s="160"/>
      <c r="M47" s="159"/>
      <c r="N47" s="159"/>
      <c r="O47" s="133"/>
      <c r="P47" s="133"/>
      <c r="Q47" s="159"/>
      <c r="R47" s="160"/>
      <c r="S47" s="132"/>
      <c r="T47" s="132"/>
      <c r="U47" s="133"/>
      <c r="V47" s="133" t="str">
        <f>IFERROR(__xludf.DUMMYFUNCTION("""COMPUTED_VALUE"""),"Septiembre")</f>
        <v>Septiembre</v>
      </c>
      <c r="W47" s="150">
        <f>IFERROR(__xludf.DUMMYFUNCTION("""COMPUTED_VALUE"""),0.013483338994808802)</f>
        <v>0.01348333899</v>
      </c>
      <c r="X47" s="133"/>
      <c r="Y47" s="104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/>
      <c r="BH47" s="104"/>
      <c r="BI47" s="104"/>
      <c r="BJ47" s="104"/>
      <c r="BK47" s="104"/>
      <c r="BL47" s="104"/>
      <c r="BM47" s="104"/>
      <c r="BN47" s="104"/>
    </row>
    <row r="48">
      <c r="A48" s="104"/>
      <c r="B48" s="104"/>
      <c r="C48" s="104"/>
      <c r="D48" s="104"/>
      <c r="E48" s="104"/>
      <c r="F48" s="104"/>
      <c r="G48" s="104"/>
      <c r="H48" s="104"/>
      <c r="I48" s="119"/>
      <c r="J48" s="133"/>
      <c r="K48" s="150"/>
      <c r="L48" s="160"/>
      <c r="M48" s="159"/>
      <c r="N48" s="159"/>
      <c r="O48" s="133"/>
      <c r="P48" s="133"/>
      <c r="Q48" s="159"/>
      <c r="R48" s="160"/>
      <c r="S48" s="132"/>
      <c r="T48" s="132"/>
      <c r="U48" s="133"/>
      <c r="V48" s="133" t="str">
        <f>IFERROR(__xludf.DUMMYFUNCTION("""COMPUTED_VALUE"""),"Octubre")</f>
        <v>Octubre</v>
      </c>
      <c r="W48" s="150">
        <f>IFERROR(__xludf.DUMMYFUNCTION("""COMPUTED_VALUE"""),0.013483338994808802)</f>
        <v>0.01348333899</v>
      </c>
      <c r="X48" s="132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/>
      <c r="BI48" s="104"/>
      <c r="BJ48" s="104"/>
      <c r="BK48" s="104"/>
      <c r="BL48" s="104"/>
      <c r="BM48" s="104"/>
      <c r="BN48" s="104"/>
    </row>
    <row r="49">
      <c r="A49" s="104"/>
      <c r="B49" s="104"/>
      <c r="C49" s="104"/>
      <c r="D49" s="104"/>
      <c r="E49" s="104"/>
      <c r="F49" s="104"/>
      <c r="G49" s="104"/>
      <c r="H49" s="104"/>
      <c r="I49" s="119"/>
      <c r="J49" s="132"/>
      <c r="K49" s="150"/>
      <c r="L49" s="160"/>
      <c r="M49" s="159"/>
      <c r="N49" s="159"/>
      <c r="O49" s="133"/>
      <c r="P49" s="133"/>
      <c r="Q49" s="159"/>
      <c r="R49" s="160"/>
      <c r="S49" s="132"/>
      <c r="T49" s="132"/>
      <c r="U49" s="133"/>
      <c r="V49" s="133"/>
      <c r="W49" s="150"/>
      <c r="X49" s="132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104"/>
      <c r="AT49" s="104"/>
      <c r="AU49" s="104"/>
      <c r="AV49" s="104"/>
      <c r="AW49" s="104"/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/>
      <c r="BJ49" s="104"/>
      <c r="BK49" s="104"/>
      <c r="BL49" s="104"/>
      <c r="BM49" s="104"/>
      <c r="BN49" s="104"/>
    </row>
    <row r="50">
      <c r="A50" s="104"/>
      <c r="B50" s="104"/>
      <c r="C50" s="104"/>
      <c r="D50" s="104"/>
      <c r="E50" s="104"/>
      <c r="F50" s="104"/>
      <c r="G50" s="104"/>
      <c r="H50" s="104"/>
      <c r="I50" s="119"/>
      <c r="J50" s="133"/>
      <c r="K50" s="150"/>
      <c r="L50" s="160"/>
      <c r="M50" s="159"/>
      <c r="N50" s="159"/>
      <c r="O50" s="133"/>
      <c r="P50" s="133"/>
      <c r="Q50" s="159"/>
      <c r="R50" s="160"/>
      <c r="S50" s="132"/>
      <c r="T50" s="132"/>
      <c r="U50" s="133"/>
      <c r="V50" s="133"/>
      <c r="W50" s="150"/>
      <c r="X50" s="132"/>
      <c r="Y50" s="104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104"/>
      <c r="AT50" s="104"/>
      <c r="AU50" s="104"/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/>
      <c r="BK50" s="104"/>
      <c r="BL50" s="104"/>
      <c r="BM50" s="104"/>
      <c r="BN50" s="104"/>
    </row>
    <row r="51">
      <c r="A51" s="104"/>
      <c r="B51" s="104"/>
      <c r="C51" s="104"/>
      <c r="D51" s="104"/>
      <c r="E51" s="104"/>
      <c r="F51" s="104"/>
      <c r="G51" s="104"/>
      <c r="H51" s="104"/>
      <c r="I51" s="119"/>
      <c r="J51" s="133"/>
      <c r="K51" s="150"/>
      <c r="L51" s="160"/>
      <c r="M51" s="159"/>
      <c r="N51" s="159"/>
      <c r="O51" s="133"/>
      <c r="P51" s="133"/>
      <c r="Q51" s="159"/>
      <c r="R51" s="160"/>
      <c r="S51" s="132"/>
      <c r="T51" s="132"/>
      <c r="U51" s="133"/>
      <c r="V51" s="133"/>
      <c r="W51" s="150"/>
      <c r="X51" s="132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/>
      <c r="BL51" s="104"/>
      <c r="BM51" s="104"/>
      <c r="BN51" s="104"/>
    </row>
    <row r="52">
      <c r="A52" s="104"/>
      <c r="B52" s="104"/>
      <c r="C52" s="104"/>
      <c r="D52" s="104"/>
      <c r="E52" s="104"/>
      <c r="F52" s="104"/>
      <c r="G52" s="104"/>
      <c r="H52" s="104"/>
      <c r="I52" s="119"/>
      <c r="J52" s="132"/>
      <c r="K52" s="150"/>
      <c r="L52" s="160"/>
      <c r="M52" s="159"/>
      <c r="N52" s="159"/>
      <c r="O52" s="133"/>
      <c r="P52" s="133"/>
      <c r="Q52" s="159"/>
      <c r="R52" s="160"/>
      <c r="S52" s="132"/>
      <c r="T52" s="132"/>
      <c r="U52" s="133"/>
      <c r="V52" s="133"/>
      <c r="W52" s="150"/>
      <c r="X52" s="132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</row>
    <row r="53">
      <c r="A53" s="104"/>
      <c r="B53" s="104"/>
      <c r="C53" s="104"/>
      <c r="D53" s="104"/>
      <c r="E53" s="104"/>
      <c r="F53" s="104"/>
      <c r="G53" s="104"/>
      <c r="H53" s="104"/>
      <c r="I53" s="104"/>
      <c r="J53" s="104"/>
      <c r="K53" s="105"/>
      <c r="L53" s="106"/>
      <c r="M53" s="104"/>
      <c r="N53" s="104"/>
      <c r="O53" s="104"/>
      <c r="P53" s="104"/>
      <c r="Q53" s="104"/>
      <c r="R53" s="106"/>
      <c r="S53" s="132"/>
      <c r="T53" s="132"/>
      <c r="U53" s="133"/>
      <c r="V53" s="133"/>
      <c r="W53" s="150"/>
      <c r="X53" s="132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104"/>
      <c r="AT53" s="104"/>
      <c r="AU53" s="104"/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/>
      <c r="BN53" s="104"/>
    </row>
    <row r="54">
      <c r="A54" s="104"/>
      <c r="B54" s="104"/>
      <c r="C54" s="104"/>
      <c r="D54" s="104"/>
      <c r="E54" s="104"/>
      <c r="F54" s="104"/>
      <c r="G54" s="104"/>
      <c r="H54" s="104"/>
      <c r="I54" s="119"/>
      <c r="J54" s="132"/>
      <c r="K54" s="150"/>
      <c r="L54" s="160"/>
      <c r="M54" s="159"/>
      <c r="N54" s="159"/>
      <c r="O54" s="133"/>
      <c r="P54" s="133"/>
      <c r="Q54" s="133"/>
      <c r="R54" s="160"/>
      <c r="S54" s="132"/>
      <c r="T54" s="132"/>
      <c r="U54" s="133"/>
      <c r="V54" s="133"/>
      <c r="W54" s="150"/>
      <c r="X54" s="132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104"/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4"/>
    </row>
    <row r="55">
      <c r="A55" s="104"/>
      <c r="B55" s="104"/>
      <c r="C55" s="104"/>
      <c r="D55" s="104"/>
      <c r="E55" s="104"/>
      <c r="F55" s="104"/>
      <c r="G55" s="104"/>
      <c r="H55" s="104"/>
      <c r="I55" s="119"/>
      <c r="J55" s="132"/>
      <c r="K55" s="150"/>
      <c r="L55" s="160"/>
      <c r="M55" s="159"/>
      <c r="N55" s="159"/>
      <c r="O55" s="133"/>
      <c r="P55" s="133"/>
      <c r="Q55" s="133"/>
      <c r="R55" s="160"/>
      <c r="S55" s="132"/>
      <c r="T55" s="132"/>
      <c r="U55" s="133"/>
      <c r="V55" s="133"/>
      <c r="W55" s="150"/>
      <c r="X55" s="132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4"/>
    </row>
    <row r="56">
      <c r="A56" s="104"/>
      <c r="B56" s="104"/>
      <c r="C56" s="104"/>
      <c r="D56" s="104"/>
      <c r="E56" s="104"/>
      <c r="F56" s="104"/>
      <c r="G56" s="104"/>
      <c r="H56" s="104"/>
      <c r="I56" s="119"/>
      <c r="J56" s="132"/>
      <c r="K56" s="150"/>
      <c r="L56" s="160"/>
      <c r="M56" s="159"/>
      <c r="N56" s="159"/>
      <c r="O56" s="133"/>
      <c r="P56" s="133"/>
      <c r="Q56" s="133"/>
      <c r="R56" s="160"/>
      <c r="S56" s="132"/>
      <c r="T56" s="132"/>
      <c r="U56" s="133"/>
      <c r="V56" s="133"/>
      <c r="W56" s="150"/>
      <c r="X56" s="132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104"/>
      <c r="AT56" s="104"/>
      <c r="AU56" s="104"/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  <c r="BG56" s="104"/>
      <c r="BH56" s="104"/>
      <c r="BI56" s="104"/>
      <c r="BJ56" s="104"/>
      <c r="BK56" s="104"/>
      <c r="BL56" s="104"/>
      <c r="BM56" s="104"/>
      <c r="BN56" s="104"/>
    </row>
    <row r="57">
      <c r="A57" s="104"/>
      <c r="B57" s="104"/>
      <c r="C57" s="104"/>
      <c r="D57" s="104"/>
      <c r="E57" s="104"/>
      <c r="F57" s="104"/>
      <c r="G57" s="104"/>
      <c r="H57" s="104"/>
      <c r="I57" s="119"/>
      <c r="J57" s="132"/>
      <c r="K57" s="150"/>
      <c r="L57" s="160"/>
      <c r="M57" s="159"/>
      <c r="N57" s="159"/>
      <c r="O57" s="133"/>
      <c r="P57" s="169"/>
      <c r="Q57" s="133"/>
      <c r="R57" s="160"/>
      <c r="S57" s="132"/>
      <c r="T57" s="132"/>
      <c r="U57" s="133"/>
      <c r="V57" s="133"/>
      <c r="W57" s="150"/>
      <c r="X57" s="132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104"/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/>
      <c r="BE57" s="104"/>
      <c r="BF57" s="104"/>
      <c r="BG57" s="104"/>
      <c r="BH57" s="104"/>
      <c r="BI57" s="104"/>
      <c r="BJ57" s="104"/>
      <c r="BK57" s="104"/>
      <c r="BL57" s="104"/>
      <c r="BM57" s="104"/>
      <c r="BN57" s="104"/>
    </row>
    <row r="58">
      <c r="A58" s="104"/>
      <c r="B58" s="104"/>
      <c r="C58" s="104"/>
      <c r="D58" s="104"/>
      <c r="E58" s="104"/>
      <c r="F58" s="104"/>
      <c r="G58" s="104"/>
      <c r="H58" s="104"/>
      <c r="I58" s="119"/>
      <c r="J58" s="132"/>
      <c r="K58" s="150"/>
      <c r="L58" s="160"/>
      <c r="M58" s="159"/>
      <c r="N58" s="159"/>
      <c r="O58" s="133"/>
      <c r="P58" s="133"/>
      <c r="Q58" s="133"/>
      <c r="R58" s="160"/>
      <c r="S58" s="132"/>
      <c r="T58" s="132"/>
      <c r="U58" s="133"/>
      <c r="V58" s="133"/>
      <c r="W58" s="150"/>
      <c r="X58" s="132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  <c r="BG58" s="104"/>
      <c r="BH58" s="104"/>
      <c r="BI58" s="104"/>
      <c r="BJ58" s="104"/>
      <c r="BK58" s="104"/>
      <c r="BL58" s="104"/>
      <c r="BM58" s="104"/>
      <c r="BN58" s="104"/>
    </row>
    <row r="59">
      <c r="A59" s="104"/>
      <c r="B59" s="104"/>
      <c r="C59" s="104"/>
      <c r="D59" s="104"/>
      <c r="E59" s="104"/>
      <c r="F59" s="104"/>
      <c r="G59" s="104"/>
      <c r="H59" s="104"/>
      <c r="I59" s="119"/>
      <c r="J59" s="132"/>
      <c r="K59" s="150"/>
      <c r="L59" s="160"/>
      <c r="M59" s="159"/>
      <c r="N59" s="159"/>
      <c r="O59" s="133"/>
      <c r="P59" s="133"/>
      <c r="Q59" s="133"/>
      <c r="R59" s="160"/>
      <c r="S59" s="132"/>
      <c r="T59" s="132"/>
      <c r="U59" s="133"/>
      <c r="V59" s="133"/>
      <c r="W59" s="150"/>
      <c r="X59" s="132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  <c r="BG59" s="104"/>
      <c r="BH59" s="104"/>
      <c r="BI59" s="104"/>
      <c r="BJ59" s="104"/>
      <c r="BK59" s="104"/>
      <c r="BL59" s="104"/>
      <c r="BM59" s="104"/>
      <c r="BN59" s="104"/>
    </row>
    <row r="60">
      <c r="A60" s="104"/>
      <c r="B60" s="104"/>
      <c r="C60" s="104"/>
      <c r="D60" s="104"/>
      <c r="E60" s="104"/>
      <c r="F60" s="104"/>
      <c r="G60" s="104"/>
      <c r="H60" s="104"/>
      <c r="I60" s="119"/>
      <c r="J60" s="132"/>
      <c r="K60" s="150"/>
      <c r="L60" s="160"/>
      <c r="M60" s="159"/>
      <c r="N60" s="159"/>
      <c r="O60" s="133"/>
      <c r="P60" s="133"/>
      <c r="Q60" s="133"/>
      <c r="R60" s="160"/>
      <c r="S60" s="132"/>
      <c r="T60" s="132"/>
      <c r="U60" s="133"/>
      <c r="V60" s="133"/>
      <c r="W60" s="150"/>
      <c r="X60" s="132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104"/>
    </row>
    <row r="61">
      <c r="A61" s="104"/>
      <c r="B61" s="104"/>
      <c r="C61" s="104"/>
      <c r="D61" s="104"/>
      <c r="E61" s="104"/>
      <c r="F61" s="104"/>
      <c r="G61" s="104"/>
      <c r="H61" s="104"/>
      <c r="I61" s="119"/>
      <c r="J61" s="132"/>
      <c r="K61" s="150"/>
      <c r="L61" s="160"/>
      <c r="M61" s="159"/>
      <c r="N61" s="159"/>
      <c r="O61" s="133"/>
      <c r="P61" s="169"/>
      <c r="Q61" s="133"/>
      <c r="R61" s="160"/>
      <c r="S61" s="132"/>
      <c r="T61" s="132"/>
      <c r="U61" s="133"/>
      <c r="V61" s="133"/>
      <c r="W61" s="150"/>
      <c r="X61" s="132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  <c r="BG61" s="104"/>
      <c r="BH61" s="104"/>
      <c r="BI61" s="104"/>
      <c r="BJ61" s="104"/>
      <c r="BK61" s="104"/>
      <c r="BL61" s="104"/>
      <c r="BM61" s="104"/>
      <c r="BN61" s="104"/>
    </row>
    <row r="62">
      <c r="A62" s="104"/>
      <c r="B62" s="104"/>
      <c r="C62" s="104"/>
      <c r="D62" s="104"/>
      <c r="E62" s="104"/>
      <c r="F62" s="104"/>
      <c r="G62" s="104"/>
      <c r="H62" s="104"/>
      <c r="I62" s="119"/>
      <c r="J62" s="132"/>
      <c r="K62" s="150"/>
      <c r="L62" s="160"/>
      <c r="M62" s="159"/>
      <c r="N62" s="159"/>
      <c r="O62" s="133"/>
      <c r="P62" s="133"/>
      <c r="Q62" s="133"/>
      <c r="R62" s="160"/>
      <c r="S62" s="132"/>
      <c r="T62" s="132"/>
      <c r="U62" s="133"/>
      <c r="V62" s="133"/>
      <c r="W62" s="150"/>
      <c r="X62" s="132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  <c r="BG62" s="104"/>
      <c r="BH62" s="104"/>
      <c r="BI62" s="104"/>
      <c r="BJ62" s="104"/>
      <c r="BK62" s="104"/>
      <c r="BL62" s="104"/>
      <c r="BM62" s="104"/>
      <c r="BN62" s="104"/>
    </row>
    <row r="63">
      <c r="A63" s="104"/>
      <c r="B63" s="104"/>
      <c r="C63" s="104"/>
      <c r="D63" s="104"/>
      <c r="E63" s="104"/>
      <c r="F63" s="104"/>
      <c r="G63" s="104"/>
      <c r="H63" s="104"/>
      <c r="I63" s="119"/>
      <c r="J63" s="132"/>
      <c r="K63" s="150"/>
      <c r="L63" s="160"/>
      <c r="M63" s="159"/>
      <c r="N63" s="159"/>
      <c r="O63" s="133"/>
      <c r="P63" s="133"/>
      <c r="Q63" s="133"/>
      <c r="R63" s="160"/>
      <c r="S63" s="132"/>
      <c r="T63" s="132"/>
      <c r="U63" s="133"/>
      <c r="V63" s="133"/>
      <c r="W63" s="150"/>
      <c r="X63" s="132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104"/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  <c r="BG63" s="104"/>
      <c r="BH63" s="104"/>
      <c r="BI63" s="104"/>
      <c r="BJ63" s="104"/>
      <c r="BK63" s="104"/>
      <c r="BL63" s="104"/>
      <c r="BM63" s="104"/>
      <c r="BN63" s="104"/>
    </row>
    <row r="64">
      <c r="A64" s="104"/>
      <c r="B64" s="104"/>
      <c r="C64" s="104"/>
      <c r="D64" s="104"/>
      <c r="E64" s="104"/>
      <c r="F64" s="104"/>
      <c r="G64" s="104"/>
      <c r="H64" s="104"/>
      <c r="I64" s="104"/>
      <c r="J64" s="104"/>
      <c r="K64" s="105"/>
      <c r="L64" s="106"/>
      <c r="M64" s="104"/>
      <c r="N64" s="104"/>
      <c r="O64" s="104"/>
      <c r="P64" s="104"/>
      <c r="Q64" s="104"/>
      <c r="R64" s="106"/>
      <c r="S64" s="104"/>
      <c r="T64" s="104"/>
      <c r="U64" s="104"/>
      <c r="V64" s="104"/>
      <c r="W64" s="105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  <c r="BG64" s="104"/>
      <c r="BH64" s="104"/>
      <c r="BI64" s="104"/>
      <c r="BJ64" s="104"/>
      <c r="BK64" s="104"/>
      <c r="BL64" s="104"/>
      <c r="BM64" s="104"/>
      <c r="BN64" s="104"/>
    </row>
    <row r="65">
      <c r="A65" s="104"/>
      <c r="B65" s="104"/>
      <c r="C65" s="104"/>
      <c r="D65" s="104"/>
      <c r="E65" s="104"/>
      <c r="F65" s="104"/>
      <c r="G65" s="104"/>
      <c r="H65" s="104"/>
      <c r="I65" s="104"/>
      <c r="J65" s="104"/>
      <c r="K65" s="105"/>
      <c r="L65" s="106"/>
      <c r="M65" s="104"/>
      <c r="N65" s="104"/>
      <c r="O65" s="104"/>
      <c r="P65" s="104"/>
      <c r="Q65" s="104"/>
      <c r="R65" s="106"/>
      <c r="S65" s="104"/>
      <c r="T65" s="104"/>
      <c r="U65" s="104"/>
      <c r="V65" s="104"/>
      <c r="W65" s="105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  <c r="BG65" s="104"/>
      <c r="BH65" s="104"/>
      <c r="BI65" s="104"/>
      <c r="BJ65" s="104"/>
      <c r="BK65" s="104"/>
      <c r="BL65" s="104"/>
      <c r="BM65" s="104"/>
      <c r="BN65" s="104"/>
    </row>
    <row r="66">
      <c r="A66" s="104"/>
      <c r="B66" s="104"/>
      <c r="C66" s="104"/>
      <c r="D66" s="104"/>
      <c r="E66" s="104"/>
      <c r="F66" s="104"/>
      <c r="G66" s="104"/>
      <c r="H66" s="104"/>
      <c r="I66" s="104"/>
      <c r="J66" s="104"/>
      <c r="K66" s="105"/>
      <c r="L66" s="106"/>
      <c r="M66" s="104"/>
      <c r="N66" s="104"/>
      <c r="O66" s="104"/>
      <c r="P66" s="104"/>
      <c r="Q66" s="104"/>
      <c r="R66" s="106"/>
      <c r="S66" s="104"/>
      <c r="T66" s="104"/>
      <c r="U66" s="104"/>
      <c r="V66" s="104"/>
      <c r="W66" s="105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  <c r="BG66" s="104"/>
      <c r="BH66" s="104"/>
      <c r="BI66" s="104"/>
      <c r="BJ66" s="104"/>
      <c r="BK66" s="104"/>
      <c r="BL66" s="104"/>
      <c r="BM66" s="104"/>
      <c r="BN66" s="104"/>
    </row>
    <row r="67">
      <c r="A67" s="104"/>
      <c r="B67" s="104"/>
      <c r="C67" s="104"/>
      <c r="D67" s="104"/>
      <c r="E67" s="104"/>
      <c r="F67" s="104"/>
      <c r="G67" s="104"/>
      <c r="H67" s="104"/>
      <c r="I67" s="104"/>
      <c r="J67" s="104"/>
      <c r="K67" s="105"/>
      <c r="L67" s="106"/>
      <c r="M67" s="104"/>
      <c r="N67" s="104"/>
      <c r="O67" s="104"/>
      <c r="P67" s="104"/>
      <c r="Q67" s="104"/>
      <c r="R67" s="106"/>
      <c r="S67" s="104"/>
      <c r="T67" s="104"/>
      <c r="U67" s="104"/>
      <c r="V67" s="104"/>
      <c r="W67" s="105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4"/>
      <c r="BN67" s="104"/>
    </row>
    <row r="68">
      <c r="A68" s="104"/>
      <c r="B68" s="104"/>
      <c r="C68" s="104"/>
      <c r="D68" s="104"/>
      <c r="E68" s="104"/>
      <c r="F68" s="104"/>
      <c r="G68" s="104"/>
      <c r="H68" s="104"/>
      <c r="I68" s="104"/>
      <c r="J68" s="104"/>
      <c r="K68" s="105"/>
      <c r="L68" s="106"/>
      <c r="M68" s="104"/>
      <c r="N68" s="104"/>
      <c r="O68" s="104"/>
      <c r="P68" s="104"/>
      <c r="Q68" s="104"/>
      <c r="R68" s="106"/>
      <c r="S68" s="104"/>
      <c r="T68" s="104"/>
      <c r="U68" s="104"/>
      <c r="V68" s="104"/>
      <c r="W68" s="105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/>
      <c r="BD68" s="104"/>
      <c r="BE68" s="104"/>
      <c r="BF68" s="104"/>
      <c r="BG68" s="104"/>
      <c r="BH68" s="104"/>
      <c r="BI68" s="104"/>
      <c r="BJ68" s="104"/>
      <c r="BK68" s="104"/>
      <c r="BL68" s="104"/>
      <c r="BM68" s="104"/>
      <c r="BN68" s="104"/>
    </row>
    <row r="69">
      <c r="A69" s="104"/>
      <c r="B69" s="104"/>
      <c r="C69" s="104"/>
      <c r="D69" s="104"/>
      <c r="E69" s="104"/>
      <c r="F69" s="104"/>
      <c r="G69" s="104"/>
      <c r="H69" s="104"/>
      <c r="I69" s="104"/>
      <c r="J69" s="104"/>
      <c r="K69" s="105"/>
      <c r="L69" s="106"/>
      <c r="M69" s="104"/>
      <c r="N69" s="104"/>
      <c r="O69" s="104"/>
      <c r="P69" s="104"/>
      <c r="Q69" s="104"/>
      <c r="R69" s="106"/>
      <c r="S69" s="104"/>
      <c r="T69" s="104"/>
      <c r="U69" s="104"/>
      <c r="V69" s="104"/>
      <c r="W69" s="105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/>
      <c r="BG69" s="104"/>
      <c r="BH69" s="104"/>
      <c r="BI69" s="104"/>
      <c r="BJ69" s="104"/>
      <c r="BK69" s="104"/>
      <c r="BL69" s="104"/>
      <c r="BM69" s="104"/>
      <c r="BN69" s="104"/>
    </row>
    <row r="70">
      <c r="A70" s="104"/>
      <c r="B70" s="104"/>
      <c r="C70" s="104"/>
      <c r="D70" s="104"/>
      <c r="E70" s="104"/>
      <c r="F70" s="104"/>
      <c r="G70" s="104"/>
      <c r="H70" s="104"/>
      <c r="I70" s="104"/>
      <c r="J70" s="104"/>
      <c r="K70" s="105"/>
      <c r="L70" s="106"/>
      <c r="M70" s="104"/>
      <c r="N70" s="104"/>
      <c r="O70" s="104"/>
      <c r="P70" s="104"/>
      <c r="Q70" s="104"/>
      <c r="R70" s="106"/>
      <c r="S70" s="104"/>
      <c r="T70" s="104"/>
      <c r="U70" s="104"/>
      <c r="V70" s="104"/>
      <c r="W70" s="105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/>
      <c r="BN70" s="104"/>
    </row>
    <row r="71">
      <c r="A71" s="104"/>
      <c r="B71" s="104"/>
      <c r="C71" s="104"/>
      <c r="D71" s="104"/>
      <c r="E71" s="104"/>
      <c r="F71" s="104"/>
      <c r="G71" s="104"/>
      <c r="H71" s="104"/>
      <c r="I71" s="104"/>
      <c r="J71" s="104"/>
      <c r="K71" s="105"/>
      <c r="L71" s="106"/>
      <c r="M71" s="104"/>
      <c r="N71" s="104"/>
      <c r="O71" s="104"/>
      <c r="P71" s="104"/>
      <c r="Q71" s="104"/>
      <c r="R71" s="106"/>
      <c r="S71" s="104"/>
      <c r="T71" s="104"/>
      <c r="U71" s="104"/>
      <c r="V71" s="104"/>
      <c r="W71" s="105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  <c r="BG71" s="104"/>
      <c r="BH71" s="104"/>
      <c r="BI71" s="104"/>
      <c r="BJ71" s="104"/>
      <c r="BK71" s="104"/>
      <c r="BL71" s="104"/>
      <c r="BM71" s="104"/>
      <c r="BN71" s="104"/>
    </row>
    <row r="72">
      <c r="A72" s="104"/>
      <c r="B72" s="104"/>
      <c r="C72" s="104"/>
      <c r="D72" s="104"/>
      <c r="E72" s="104"/>
      <c r="F72" s="104"/>
      <c r="G72" s="104"/>
      <c r="H72" s="104"/>
      <c r="I72" s="104"/>
      <c r="J72" s="104"/>
      <c r="K72" s="105"/>
      <c r="L72" s="106"/>
      <c r="M72" s="104"/>
      <c r="N72" s="104"/>
      <c r="O72" s="104"/>
      <c r="P72" s="104"/>
      <c r="Q72" s="104"/>
      <c r="R72" s="106"/>
      <c r="S72" s="104"/>
      <c r="T72" s="104"/>
      <c r="U72" s="104"/>
      <c r="V72" s="104"/>
      <c r="W72" s="105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  <c r="BG72" s="104"/>
      <c r="BH72" s="104"/>
      <c r="BI72" s="104"/>
      <c r="BJ72" s="104"/>
      <c r="BK72" s="104"/>
      <c r="BL72" s="104"/>
      <c r="BM72" s="104"/>
      <c r="BN72" s="104"/>
    </row>
    <row r="73">
      <c r="A73" s="104"/>
      <c r="B73" s="104"/>
      <c r="C73" s="104"/>
      <c r="D73" s="104"/>
      <c r="E73" s="104"/>
      <c r="F73" s="104"/>
      <c r="G73" s="104"/>
      <c r="H73" s="104"/>
      <c r="I73" s="104"/>
      <c r="J73" s="104"/>
      <c r="K73" s="105"/>
      <c r="L73" s="106"/>
      <c r="M73" s="104"/>
      <c r="N73" s="104"/>
      <c r="O73" s="104"/>
      <c r="P73" s="104"/>
      <c r="Q73" s="104"/>
      <c r="R73" s="106"/>
      <c r="S73" s="104"/>
      <c r="T73" s="104"/>
      <c r="U73" s="104"/>
      <c r="V73" s="104"/>
      <c r="W73" s="105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 s="104"/>
      <c r="BG73" s="104"/>
      <c r="BH73" s="104"/>
      <c r="BI73" s="104"/>
      <c r="BJ73" s="104"/>
      <c r="BK73" s="104"/>
      <c r="BL73" s="104"/>
      <c r="BM73" s="104"/>
      <c r="BN73" s="104"/>
    </row>
    <row r="74">
      <c r="A74" s="104"/>
      <c r="B74" s="104"/>
      <c r="C74" s="104"/>
      <c r="D74" s="104"/>
      <c r="E74" s="104"/>
      <c r="F74" s="104"/>
      <c r="G74" s="104"/>
      <c r="H74" s="104"/>
      <c r="I74" s="104"/>
      <c r="J74" s="104"/>
      <c r="K74" s="105"/>
      <c r="L74" s="106"/>
      <c r="M74" s="104"/>
      <c r="N74" s="104"/>
      <c r="O74" s="104"/>
      <c r="P74" s="104"/>
      <c r="Q74" s="104"/>
      <c r="R74" s="106"/>
      <c r="S74" s="104"/>
      <c r="T74" s="104"/>
      <c r="U74" s="104"/>
      <c r="V74" s="104"/>
      <c r="W74" s="105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4"/>
    </row>
    <row r="75">
      <c r="A75" s="104"/>
      <c r="B75" s="104"/>
      <c r="C75" s="104"/>
      <c r="D75" s="104"/>
      <c r="E75" s="104"/>
      <c r="F75" s="104"/>
      <c r="G75" s="104"/>
      <c r="H75" s="104"/>
      <c r="I75" s="104"/>
      <c r="J75" s="104"/>
      <c r="K75" s="105"/>
      <c r="L75" s="106"/>
      <c r="M75" s="104"/>
      <c r="N75" s="104"/>
      <c r="O75" s="104"/>
      <c r="P75" s="104"/>
      <c r="Q75" s="104"/>
      <c r="R75" s="106"/>
      <c r="S75" s="104"/>
      <c r="T75" s="104"/>
      <c r="U75" s="104"/>
      <c r="V75" s="104"/>
      <c r="W75" s="105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</row>
    <row r="76">
      <c r="A76" s="104"/>
      <c r="B76" s="104"/>
      <c r="C76" s="104"/>
      <c r="D76" s="104"/>
      <c r="E76" s="104"/>
      <c r="F76" s="104"/>
      <c r="G76" s="104"/>
      <c r="H76" s="104"/>
      <c r="I76" s="104"/>
      <c r="J76" s="104"/>
      <c r="K76" s="105"/>
      <c r="L76" s="106"/>
      <c r="M76" s="104"/>
      <c r="N76" s="104"/>
      <c r="O76" s="104"/>
      <c r="P76" s="104"/>
      <c r="Q76" s="104"/>
      <c r="R76" s="106"/>
      <c r="S76" s="104"/>
      <c r="T76" s="104"/>
      <c r="U76" s="104"/>
      <c r="V76" s="104"/>
      <c r="W76" s="105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</row>
    <row r="77">
      <c r="A77" s="104"/>
      <c r="B77" s="104"/>
      <c r="C77" s="104"/>
      <c r="D77" s="104"/>
      <c r="E77" s="104"/>
      <c r="F77" s="104"/>
      <c r="G77" s="104"/>
      <c r="H77" s="104"/>
      <c r="I77" s="104"/>
      <c r="J77" s="104"/>
      <c r="K77" s="105"/>
      <c r="L77" s="106"/>
      <c r="M77" s="104"/>
      <c r="N77" s="104"/>
      <c r="O77" s="104"/>
      <c r="P77" s="104"/>
      <c r="Q77" s="104"/>
      <c r="R77" s="106"/>
      <c r="S77" s="104"/>
      <c r="T77" s="104"/>
      <c r="U77" s="104"/>
      <c r="V77" s="104"/>
      <c r="W77" s="105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</row>
    <row r="78">
      <c r="A78" s="104"/>
      <c r="B78" s="104"/>
      <c r="C78" s="104"/>
      <c r="D78" s="104"/>
      <c r="E78" s="104"/>
      <c r="F78" s="104"/>
      <c r="G78" s="104"/>
      <c r="H78" s="104"/>
      <c r="I78" s="104"/>
      <c r="J78" s="104"/>
      <c r="K78" s="105"/>
      <c r="L78" s="106"/>
      <c r="M78" s="104"/>
      <c r="N78" s="104"/>
      <c r="O78" s="104"/>
      <c r="P78" s="104"/>
      <c r="Q78" s="104"/>
      <c r="R78" s="106"/>
      <c r="S78" s="104"/>
      <c r="T78" s="104"/>
      <c r="U78" s="104"/>
      <c r="V78" s="104"/>
      <c r="W78" s="105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</row>
    <row r="79">
      <c r="A79" s="104"/>
      <c r="B79" s="104"/>
      <c r="C79" s="104"/>
      <c r="D79" s="104"/>
      <c r="E79" s="104"/>
      <c r="F79" s="104"/>
      <c r="G79" s="104"/>
      <c r="H79" s="104"/>
      <c r="I79" s="104"/>
      <c r="J79" s="104"/>
      <c r="K79" s="105"/>
      <c r="L79" s="106"/>
      <c r="M79" s="104"/>
      <c r="N79" s="104"/>
      <c r="O79" s="104"/>
      <c r="P79" s="104"/>
      <c r="Q79" s="104"/>
      <c r="R79" s="106"/>
      <c r="S79" s="104"/>
      <c r="T79" s="104"/>
      <c r="U79" s="104"/>
      <c r="V79" s="104"/>
      <c r="W79" s="105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4"/>
    </row>
    <row r="80">
      <c r="A80" s="104"/>
      <c r="B80" s="104"/>
      <c r="C80" s="104"/>
      <c r="D80" s="104"/>
      <c r="E80" s="104"/>
      <c r="F80" s="104"/>
      <c r="G80" s="104"/>
      <c r="H80" s="104"/>
      <c r="I80" s="104"/>
      <c r="J80" s="104"/>
      <c r="K80" s="105"/>
      <c r="L80" s="106"/>
      <c r="M80" s="104"/>
      <c r="N80" s="104"/>
      <c r="O80" s="104"/>
      <c r="P80" s="104"/>
      <c r="Q80" s="104"/>
      <c r="R80" s="106"/>
      <c r="S80" s="104"/>
      <c r="T80" s="104"/>
      <c r="U80" s="104"/>
      <c r="V80" s="104"/>
      <c r="W80" s="105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/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4"/>
    </row>
    <row r="81">
      <c r="A81" s="104"/>
      <c r="B81" s="104"/>
      <c r="C81" s="104"/>
      <c r="D81" s="104"/>
      <c r="E81" s="104"/>
      <c r="F81" s="104"/>
      <c r="G81" s="104"/>
      <c r="H81" s="104"/>
      <c r="I81" s="104"/>
      <c r="J81" s="104"/>
      <c r="K81" s="105"/>
      <c r="L81" s="106"/>
      <c r="M81" s="104"/>
      <c r="N81" s="104"/>
      <c r="O81" s="104"/>
      <c r="P81" s="104"/>
      <c r="Q81" s="104"/>
      <c r="R81" s="106"/>
      <c r="S81" s="104"/>
      <c r="T81" s="104"/>
      <c r="U81" s="104"/>
      <c r="V81" s="104"/>
      <c r="W81" s="105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/>
      <c r="BE81" s="104"/>
      <c r="BF81" s="104"/>
      <c r="BG81" s="104"/>
      <c r="BH81" s="104"/>
      <c r="BI81" s="104"/>
      <c r="BJ81" s="104"/>
      <c r="BK81" s="104"/>
      <c r="BL81" s="104"/>
      <c r="BM81" s="104"/>
      <c r="BN81" s="104"/>
    </row>
    <row r="82">
      <c r="A82" s="104"/>
      <c r="B82" s="104"/>
      <c r="C82" s="104"/>
      <c r="D82" s="104"/>
      <c r="E82" s="104"/>
      <c r="F82" s="104"/>
      <c r="G82" s="104"/>
      <c r="H82" s="104"/>
      <c r="I82" s="104"/>
      <c r="J82" s="104"/>
      <c r="K82" s="105"/>
      <c r="L82" s="106"/>
      <c r="M82" s="104"/>
      <c r="N82" s="104"/>
      <c r="O82" s="104"/>
      <c r="P82" s="104"/>
      <c r="Q82" s="104"/>
      <c r="R82" s="106"/>
      <c r="S82" s="104"/>
      <c r="T82" s="104"/>
      <c r="U82" s="104"/>
      <c r="V82" s="104"/>
      <c r="W82" s="105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/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/>
      <c r="BF82" s="104"/>
      <c r="BG82" s="104"/>
      <c r="BH82" s="104"/>
      <c r="BI82" s="104"/>
      <c r="BJ82" s="104"/>
      <c r="BK82" s="104"/>
      <c r="BL82" s="104"/>
      <c r="BM82" s="104"/>
      <c r="BN82" s="104"/>
    </row>
    <row r="83">
      <c r="A83" s="104"/>
      <c r="B83" s="104"/>
      <c r="C83" s="104"/>
      <c r="D83" s="104"/>
      <c r="E83" s="104"/>
      <c r="F83" s="104"/>
      <c r="G83" s="104"/>
      <c r="H83" s="104"/>
      <c r="I83" s="104"/>
      <c r="J83" s="104"/>
      <c r="K83" s="105"/>
      <c r="L83" s="106"/>
      <c r="M83" s="104"/>
      <c r="N83" s="104"/>
      <c r="O83" s="104"/>
      <c r="P83" s="104"/>
      <c r="Q83" s="104"/>
      <c r="R83" s="106"/>
      <c r="S83" s="104"/>
      <c r="T83" s="104"/>
      <c r="U83" s="104"/>
      <c r="V83" s="104"/>
      <c r="W83" s="105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/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/>
      <c r="BG83" s="104"/>
      <c r="BH83" s="104"/>
      <c r="BI83" s="104"/>
      <c r="BJ83" s="104"/>
      <c r="BK83" s="104"/>
      <c r="BL83" s="104"/>
      <c r="BM83" s="104"/>
      <c r="BN83" s="104"/>
    </row>
    <row r="84">
      <c r="A84" s="104"/>
      <c r="B84" s="104"/>
      <c r="C84" s="104"/>
      <c r="D84" s="104"/>
      <c r="E84" s="104"/>
      <c r="F84" s="104"/>
      <c r="G84" s="104"/>
      <c r="H84" s="104"/>
      <c r="I84" s="104"/>
      <c r="J84" s="104"/>
      <c r="K84" s="105"/>
      <c r="L84" s="106"/>
      <c r="M84" s="104"/>
      <c r="N84" s="104"/>
      <c r="O84" s="104"/>
      <c r="P84" s="104"/>
      <c r="Q84" s="104"/>
      <c r="R84" s="106"/>
      <c r="S84" s="104"/>
      <c r="T84" s="104"/>
      <c r="U84" s="104"/>
      <c r="V84" s="104"/>
      <c r="W84" s="105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/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/>
      <c r="BH84" s="104"/>
      <c r="BI84" s="104"/>
      <c r="BJ84" s="104"/>
      <c r="BK84" s="104"/>
      <c r="BL84" s="104"/>
      <c r="BM84" s="104"/>
      <c r="BN84" s="104"/>
    </row>
    <row r="85">
      <c r="A85" s="104"/>
      <c r="B85" s="104"/>
      <c r="C85" s="104"/>
      <c r="D85" s="104"/>
      <c r="E85" s="104"/>
      <c r="F85" s="104"/>
      <c r="G85" s="104"/>
      <c r="H85" s="104"/>
      <c r="I85" s="104"/>
      <c r="J85" s="104"/>
      <c r="K85" s="105"/>
      <c r="L85" s="106"/>
      <c r="M85" s="104"/>
      <c r="N85" s="104"/>
      <c r="O85" s="104"/>
      <c r="P85" s="104"/>
      <c r="Q85" s="104"/>
      <c r="R85" s="106"/>
      <c r="S85" s="104"/>
      <c r="T85" s="104"/>
      <c r="U85" s="104"/>
      <c r="V85" s="104"/>
      <c r="W85" s="105"/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/>
      <c r="BI85" s="104"/>
      <c r="BJ85" s="104"/>
      <c r="BK85" s="104"/>
      <c r="BL85" s="104"/>
      <c r="BM85" s="104"/>
      <c r="BN85" s="104"/>
    </row>
    <row r="86">
      <c r="A86" s="104"/>
      <c r="B86" s="104"/>
      <c r="C86" s="104"/>
      <c r="D86" s="104"/>
      <c r="E86" s="104"/>
      <c r="F86" s="104"/>
      <c r="G86" s="104"/>
      <c r="H86" s="104"/>
      <c r="I86" s="104"/>
      <c r="J86" s="104"/>
      <c r="K86" s="105"/>
      <c r="L86" s="106"/>
      <c r="M86" s="104"/>
      <c r="N86" s="104"/>
      <c r="O86" s="104"/>
      <c r="P86" s="104"/>
      <c r="Q86" s="104"/>
      <c r="R86" s="106"/>
      <c r="S86" s="104"/>
      <c r="T86" s="104"/>
      <c r="U86" s="104"/>
      <c r="V86" s="104"/>
      <c r="W86" s="105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/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  <c r="BH86" s="104"/>
      <c r="BI86" s="104"/>
      <c r="BJ86" s="104"/>
      <c r="BK86" s="104"/>
      <c r="BL86" s="104"/>
      <c r="BM86" s="104"/>
      <c r="BN86" s="104"/>
    </row>
    <row r="87">
      <c r="A87" s="104"/>
      <c r="B87" s="104"/>
      <c r="C87" s="104"/>
      <c r="D87" s="104"/>
      <c r="E87" s="104"/>
      <c r="F87" s="104"/>
      <c r="G87" s="104"/>
      <c r="H87" s="104"/>
      <c r="I87" s="104"/>
      <c r="J87" s="104"/>
      <c r="K87" s="105"/>
      <c r="L87" s="106"/>
      <c r="M87" s="104"/>
      <c r="N87" s="104"/>
      <c r="O87" s="104"/>
      <c r="P87" s="104"/>
      <c r="Q87" s="104"/>
      <c r="R87" s="106"/>
      <c r="S87" s="104"/>
      <c r="T87" s="104"/>
      <c r="U87" s="104"/>
      <c r="V87" s="104"/>
      <c r="W87" s="105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/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/>
      <c r="BK87" s="104"/>
      <c r="BL87" s="104"/>
      <c r="BM87" s="104"/>
      <c r="BN87" s="104"/>
    </row>
    <row r="88">
      <c r="A88" s="104"/>
      <c r="B88" s="104"/>
      <c r="C88" s="104"/>
      <c r="D88" s="104"/>
      <c r="E88" s="104"/>
      <c r="F88" s="104"/>
      <c r="G88" s="104"/>
      <c r="H88" s="104"/>
      <c r="I88" s="104"/>
      <c r="J88" s="104"/>
      <c r="K88" s="105"/>
      <c r="L88" s="106"/>
      <c r="M88" s="104"/>
      <c r="N88" s="104"/>
      <c r="O88" s="104"/>
      <c r="P88" s="104"/>
      <c r="Q88" s="104"/>
      <c r="R88" s="106"/>
      <c r="S88" s="104"/>
      <c r="T88" s="104"/>
      <c r="U88" s="104"/>
      <c r="V88" s="104"/>
      <c r="W88" s="105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</row>
    <row r="89">
      <c r="A89" s="104"/>
      <c r="B89" s="104"/>
      <c r="C89" s="104"/>
      <c r="D89" s="104"/>
      <c r="E89" s="104"/>
      <c r="F89" s="104"/>
      <c r="G89" s="104"/>
      <c r="H89" s="104"/>
      <c r="I89" s="104"/>
      <c r="J89" s="104"/>
      <c r="K89" s="105"/>
      <c r="L89" s="106"/>
      <c r="M89" s="104"/>
      <c r="N89" s="104"/>
      <c r="O89" s="104"/>
      <c r="P89" s="104"/>
      <c r="Q89" s="104"/>
      <c r="R89" s="106"/>
      <c r="S89" s="104"/>
      <c r="T89" s="104"/>
      <c r="U89" s="104"/>
      <c r="V89" s="104"/>
      <c r="W89" s="105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/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/>
      <c r="BM89" s="104"/>
      <c r="BN89" s="104"/>
    </row>
    <row r="90">
      <c r="A90" s="104"/>
      <c r="B90" s="104"/>
      <c r="C90" s="104"/>
      <c r="D90" s="104"/>
      <c r="E90" s="104"/>
      <c r="F90" s="104"/>
      <c r="G90" s="104"/>
      <c r="H90" s="104"/>
      <c r="I90" s="104"/>
      <c r="J90" s="104"/>
      <c r="K90" s="105"/>
      <c r="L90" s="106"/>
      <c r="M90" s="104"/>
      <c r="N90" s="104"/>
      <c r="O90" s="104"/>
      <c r="P90" s="104"/>
      <c r="Q90" s="104"/>
      <c r="R90" s="106"/>
      <c r="S90" s="104"/>
      <c r="T90" s="104"/>
      <c r="U90" s="104"/>
      <c r="V90" s="104"/>
      <c r="W90" s="105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/>
      <c r="BN90" s="104"/>
    </row>
    <row r="91">
      <c r="A91" s="104"/>
      <c r="B91" s="104"/>
      <c r="C91" s="104"/>
      <c r="D91" s="104"/>
      <c r="E91" s="104"/>
      <c r="F91" s="104"/>
      <c r="G91" s="104"/>
      <c r="H91" s="104"/>
      <c r="I91" s="104"/>
      <c r="J91" s="104"/>
      <c r="K91" s="105"/>
      <c r="L91" s="106"/>
      <c r="M91" s="104"/>
      <c r="N91" s="104"/>
      <c r="O91" s="104"/>
      <c r="P91" s="104"/>
      <c r="Q91" s="104"/>
      <c r="R91" s="106"/>
      <c r="S91" s="104"/>
      <c r="T91" s="104"/>
      <c r="U91" s="104"/>
      <c r="V91" s="104"/>
      <c r="W91" s="105"/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4"/>
    </row>
    <row r="92">
      <c r="A92" s="104"/>
      <c r="B92" s="104"/>
      <c r="C92" s="104"/>
      <c r="D92" s="104"/>
      <c r="E92" s="104"/>
      <c r="F92" s="104"/>
      <c r="G92" s="104"/>
      <c r="H92" s="104"/>
      <c r="I92" s="104"/>
      <c r="J92" s="104"/>
      <c r="K92" s="105"/>
      <c r="L92" s="106"/>
      <c r="M92" s="104"/>
      <c r="N92" s="104"/>
      <c r="O92" s="104"/>
      <c r="P92" s="104"/>
      <c r="Q92" s="104"/>
      <c r="R92" s="106"/>
      <c r="S92" s="104"/>
      <c r="T92" s="104"/>
      <c r="U92" s="104"/>
      <c r="V92" s="104"/>
      <c r="W92" s="105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4"/>
    </row>
    <row r="93">
      <c r="A93" s="104"/>
      <c r="B93" s="104"/>
      <c r="C93" s="104"/>
      <c r="D93" s="104"/>
      <c r="E93" s="104"/>
      <c r="F93" s="104"/>
      <c r="G93" s="104"/>
      <c r="H93" s="104"/>
      <c r="I93" s="104"/>
      <c r="J93" s="104"/>
      <c r="K93" s="105"/>
      <c r="L93" s="106"/>
      <c r="M93" s="104"/>
      <c r="N93" s="104"/>
      <c r="O93" s="104"/>
      <c r="P93" s="104"/>
      <c r="Q93" s="104"/>
      <c r="R93" s="106"/>
      <c r="S93" s="104"/>
      <c r="T93" s="104"/>
      <c r="U93" s="104"/>
      <c r="V93" s="104"/>
      <c r="W93" s="105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  <c r="BG93" s="104"/>
      <c r="BH93" s="104"/>
      <c r="BI93" s="104"/>
      <c r="BJ93" s="104"/>
      <c r="BK93" s="104"/>
      <c r="BL93" s="104"/>
      <c r="BM93" s="104"/>
      <c r="BN93" s="104"/>
    </row>
    <row r="94">
      <c r="A94" s="104"/>
      <c r="B94" s="104"/>
      <c r="C94" s="104"/>
      <c r="D94" s="104"/>
      <c r="E94" s="104"/>
      <c r="F94" s="104"/>
      <c r="G94" s="104"/>
      <c r="H94" s="104"/>
      <c r="I94" s="104"/>
      <c r="J94" s="104"/>
      <c r="K94" s="105"/>
      <c r="L94" s="106"/>
      <c r="M94" s="104"/>
      <c r="N94" s="104"/>
      <c r="O94" s="104"/>
      <c r="P94" s="104"/>
      <c r="Q94" s="104"/>
      <c r="R94" s="106"/>
      <c r="S94" s="104"/>
      <c r="T94" s="104"/>
      <c r="U94" s="104"/>
      <c r="V94" s="104"/>
      <c r="W94" s="105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04"/>
      <c r="BG94" s="104"/>
      <c r="BH94" s="104"/>
      <c r="BI94" s="104"/>
      <c r="BJ94" s="104"/>
      <c r="BK94" s="104"/>
      <c r="BL94" s="104"/>
      <c r="BM94" s="104"/>
      <c r="BN94" s="104"/>
    </row>
    <row r="95">
      <c r="A95" s="104"/>
      <c r="B95" s="104"/>
      <c r="C95" s="104"/>
      <c r="D95" s="104"/>
      <c r="E95" s="104"/>
      <c r="F95" s="104"/>
      <c r="G95" s="104"/>
      <c r="H95" s="104"/>
      <c r="I95" s="104"/>
      <c r="J95" s="104"/>
      <c r="K95" s="105"/>
      <c r="L95" s="106"/>
      <c r="M95" s="104"/>
      <c r="N95" s="104"/>
      <c r="O95" s="104"/>
      <c r="P95" s="104"/>
      <c r="Q95" s="104"/>
      <c r="R95" s="106"/>
      <c r="S95" s="104"/>
      <c r="T95" s="104"/>
      <c r="U95" s="104"/>
      <c r="V95" s="104"/>
      <c r="W95" s="105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  <c r="BG95" s="104"/>
      <c r="BH95" s="104"/>
      <c r="BI95" s="104"/>
      <c r="BJ95" s="104"/>
      <c r="BK95" s="104"/>
      <c r="BL95" s="104"/>
      <c r="BM95" s="104"/>
      <c r="BN95" s="104"/>
    </row>
    <row r="96">
      <c r="A96" s="104"/>
      <c r="B96" s="104"/>
      <c r="C96" s="104"/>
      <c r="D96" s="104"/>
      <c r="E96" s="104"/>
      <c r="F96" s="104"/>
      <c r="G96" s="104"/>
      <c r="H96" s="104"/>
      <c r="I96" s="104"/>
      <c r="J96" s="104"/>
      <c r="K96" s="105"/>
      <c r="L96" s="106"/>
      <c r="M96" s="104"/>
      <c r="N96" s="104"/>
      <c r="O96" s="104"/>
      <c r="P96" s="104"/>
      <c r="Q96" s="104"/>
      <c r="R96" s="106"/>
      <c r="S96" s="104"/>
      <c r="T96" s="104"/>
      <c r="U96" s="104"/>
      <c r="V96" s="104"/>
      <c r="W96" s="105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/>
      <c r="BH96" s="104"/>
      <c r="BI96" s="104"/>
      <c r="BJ96" s="104"/>
      <c r="BK96" s="104"/>
      <c r="BL96" s="104"/>
      <c r="BM96" s="104"/>
      <c r="BN96" s="104"/>
    </row>
    <row r="97">
      <c r="A97" s="104"/>
      <c r="B97" s="104"/>
      <c r="C97" s="104"/>
      <c r="D97" s="104"/>
      <c r="E97" s="104"/>
      <c r="F97" s="104"/>
      <c r="G97" s="104"/>
      <c r="H97" s="104"/>
      <c r="I97" s="104"/>
      <c r="J97" s="104"/>
      <c r="K97" s="105"/>
      <c r="L97" s="106"/>
      <c r="M97" s="104"/>
      <c r="N97" s="104"/>
      <c r="O97" s="104"/>
      <c r="P97" s="104"/>
      <c r="Q97" s="104"/>
      <c r="R97" s="106"/>
      <c r="S97" s="104"/>
      <c r="T97" s="104"/>
      <c r="U97" s="104"/>
      <c r="V97" s="104"/>
      <c r="W97" s="105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/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/>
      <c r="BI97" s="104"/>
      <c r="BJ97" s="104"/>
      <c r="BK97" s="104"/>
      <c r="BL97" s="104"/>
      <c r="BM97" s="104"/>
      <c r="BN97" s="104"/>
    </row>
    <row r="98">
      <c r="A98" s="104"/>
      <c r="B98" s="104"/>
      <c r="C98" s="104"/>
      <c r="D98" s="104"/>
      <c r="E98" s="104"/>
      <c r="F98" s="104"/>
      <c r="G98" s="104"/>
      <c r="H98" s="104"/>
      <c r="I98" s="104"/>
      <c r="J98" s="104"/>
      <c r="K98" s="105"/>
      <c r="L98" s="106"/>
      <c r="M98" s="104"/>
      <c r="N98" s="104"/>
      <c r="O98" s="104"/>
      <c r="P98" s="104"/>
      <c r="Q98" s="104"/>
      <c r="R98" s="106"/>
      <c r="S98" s="104"/>
      <c r="T98" s="104"/>
      <c r="U98" s="104"/>
      <c r="V98" s="104"/>
      <c r="W98" s="105"/>
      <c r="X98" s="104"/>
      <c r="Y98" s="104"/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/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/>
      <c r="BJ98" s="104"/>
      <c r="BK98" s="104"/>
      <c r="BL98" s="104"/>
      <c r="BM98" s="104"/>
      <c r="BN98" s="104"/>
    </row>
    <row r="99">
      <c r="A99" s="104"/>
      <c r="B99" s="104"/>
      <c r="C99" s="104"/>
      <c r="D99" s="104"/>
      <c r="E99" s="104"/>
      <c r="F99" s="104"/>
      <c r="G99" s="104"/>
      <c r="H99" s="104"/>
      <c r="I99" s="104"/>
      <c r="J99" s="104"/>
      <c r="K99" s="105"/>
      <c r="L99" s="106"/>
      <c r="M99" s="104"/>
      <c r="N99" s="104"/>
      <c r="O99" s="104"/>
      <c r="P99" s="104"/>
      <c r="Q99" s="104"/>
      <c r="R99" s="106"/>
      <c r="S99" s="104"/>
      <c r="T99" s="104"/>
      <c r="U99" s="104"/>
      <c r="V99" s="104"/>
      <c r="W99" s="105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/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/>
      <c r="BK99" s="104"/>
      <c r="BL99" s="104"/>
      <c r="BM99" s="104"/>
      <c r="BN99" s="104"/>
    </row>
    <row r="100">
      <c r="A100" s="104"/>
      <c r="B100" s="104"/>
      <c r="C100" s="104"/>
      <c r="D100" s="104"/>
      <c r="E100" s="104"/>
      <c r="F100" s="104"/>
      <c r="G100" s="104"/>
      <c r="H100" s="104"/>
      <c r="I100" s="104"/>
      <c r="J100" s="104"/>
      <c r="K100" s="105"/>
      <c r="L100" s="106"/>
      <c r="M100" s="104"/>
      <c r="N100" s="104"/>
      <c r="O100" s="104"/>
      <c r="P100" s="104"/>
      <c r="Q100" s="104"/>
      <c r="R100" s="106"/>
      <c r="S100" s="104"/>
      <c r="T100" s="104"/>
      <c r="U100" s="104"/>
      <c r="V100" s="104"/>
      <c r="W100" s="105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/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/>
      <c r="BL100" s="104"/>
      <c r="BM100" s="104"/>
      <c r="BN100" s="104"/>
    </row>
    <row r="101">
      <c r="A101" s="104"/>
      <c r="B101" s="104"/>
      <c r="C101" s="104"/>
      <c r="D101" s="104"/>
      <c r="E101" s="104"/>
      <c r="F101" s="104"/>
      <c r="G101" s="104"/>
      <c r="H101" s="104"/>
      <c r="I101" s="104"/>
      <c r="J101" s="104"/>
      <c r="K101" s="105"/>
      <c r="L101" s="106"/>
      <c r="M101" s="104"/>
      <c r="N101" s="104"/>
      <c r="O101" s="104"/>
      <c r="P101" s="104"/>
      <c r="Q101" s="104"/>
      <c r="R101" s="106"/>
      <c r="S101" s="104"/>
      <c r="T101" s="104"/>
      <c r="U101" s="104"/>
      <c r="V101" s="104"/>
      <c r="W101" s="105"/>
      <c r="X101" s="104"/>
      <c r="Y101" s="104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/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/>
      <c r="BM101" s="104"/>
      <c r="BN101" s="104"/>
    </row>
    <row r="102">
      <c r="A102" s="104"/>
      <c r="B102" s="104"/>
      <c r="C102" s="104"/>
      <c r="D102" s="104"/>
      <c r="E102" s="104"/>
      <c r="F102" s="104"/>
      <c r="G102" s="104"/>
      <c r="H102" s="104"/>
      <c r="I102" s="104"/>
      <c r="J102" s="104"/>
      <c r="K102" s="105"/>
      <c r="L102" s="106"/>
      <c r="M102" s="104"/>
      <c r="N102" s="104"/>
      <c r="O102" s="104"/>
      <c r="P102" s="104"/>
      <c r="Q102" s="104"/>
      <c r="R102" s="106"/>
      <c r="S102" s="104"/>
      <c r="T102" s="104"/>
      <c r="U102" s="104"/>
      <c r="V102" s="104"/>
      <c r="W102" s="105"/>
      <c r="X102" s="104"/>
      <c r="Y102" s="104"/>
      <c r="Z102" s="104"/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/>
      <c r="BN102" s="104"/>
    </row>
    <row r="103">
      <c r="A103" s="104"/>
      <c r="B103" s="104"/>
      <c r="C103" s="104"/>
      <c r="D103" s="104"/>
      <c r="E103" s="104"/>
      <c r="F103" s="104"/>
      <c r="G103" s="104"/>
      <c r="H103" s="104"/>
      <c r="I103" s="104"/>
      <c r="J103" s="104"/>
      <c r="K103" s="105"/>
      <c r="L103" s="106"/>
      <c r="M103" s="104"/>
      <c r="N103" s="104"/>
      <c r="O103" s="104"/>
      <c r="P103" s="104"/>
      <c r="Q103" s="104"/>
      <c r="R103" s="106"/>
      <c r="S103" s="104"/>
      <c r="T103" s="104"/>
      <c r="U103" s="104"/>
      <c r="V103" s="104"/>
      <c r="W103" s="105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</row>
    <row r="104">
      <c r="A104" s="104"/>
      <c r="B104" s="104"/>
      <c r="C104" s="104"/>
      <c r="D104" s="104"/>
      <c r="E104" s="104"/>
      <c r="F104" s="104"/>
      <c r="G104" s="104"/>
      <c r="H104" s="104"/>
      <c r="I104" s="104"/>
      <c r="J104" s="104"/>
      <c r="K104" s="105"/>
      <c r="L104" s="106"/>
      <c r="M104" s="104"/>
      <c r="N104" s="104"/>
      <c r="O104" s="104"/>
      <c r="P104" s="104"/>
      <c r="Q104" s="104"/>
      <c r="R104" s="106"/>
      <c r="S104" s="104"/>
      <c r="T104" s="104"/>
      <c r="U104" s="104"/>
      <c r="V104" s="104"/>
      <c r="W104" s="105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4"/>
    </row>
    <row r="105">
      <c r="A105" s="104"/>
      <c r="B105" s="104"/>
      <c r="C105" s="104"/>
      <c r="D105" s="104"/>
      <c r="E105" s="104"/>
      <c r="F105" s="104"/>
      <c r="G105" s="104"/>
      <c r="H105" s="104"/>
      <c r="I105" s="104"/>
      <c r="J105" s="104"/>
      <c r="K105" s="105"/>
      <c r="L105" s="106"/>
      <c r="M105" s="104"/>
      <c r="N105" s="104"/>
      <c r="O105" s="104"/>
      <c r="P105" s="104"/>
      <c r="Q105" s="104"/>
      <c r="R105" s="106"/>
      <c r="S105" s="104"/>
      <c r="T105" s="104"/>
      <c r="U105" s="104"/>
      <c r="V105" s="104"/>
      <c r="W105" s="105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4"/>
    </row>
    <row r="106">
      <c r="A106" s="104"/>
      <c r="B106" s="104"/>
      <c r="C106" s="104"/>
      <c r="D106" s="104"/>
      <c r="E106" s="104"/>
      <c r="F106" s="104"/>
      <c r="G106" s="104"/>
      <c r="H106" s="104"/>
      <c r="I106" s="104"/>
      <c r="J106" s="104"/>
      <c r="K106" s="105"/>
      <c r="L106" s="106"/>
      <c r="M106" s="104"/>
      <c r="N106" s="104"/>
      <c r="O106" s="104"/>
      <c r="P106" s="104"/>
      <c r="Q106" s="104"/>
      <c r="R106" s="106"/>
      <c r="S106" s="104"/>
      <c r="T106" s="104"/>
      <c r="U106" s="104"/>
      <c r="V106" s="104"/>
      <c r="W106" s="105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04"/>
      <c r="BG106" s="104"/>
      <c r="BH106" s="104"/>
      <c r="BI106" s="104"/>
      <c r="BJ106" s="104"/>
      <c r="BK106" s="104"/>
      <c r="BL106" s="104"/>
      <c r="BM106" s="104"/>
      <c r="BN106" s="104"/>
    </row>
    <row r="107">
      <c r="A107" s="104"/>
      <c r="B107" s="104"/>
      <c r="C107" s="104"/>
      <c r="D107" s="104"/>
      <c r="E107" s="104"/>
      <c r="F107" s="104"/>
      <c r="G107" s="104"/>
      <c r="H107" s="104"/>
      <c r="I107" s="104"/>
      <c r="J107" s="104"/>
      <c r="K107" s="105"/>
      <c r="L107" s="106"/>
      <c r="M107" s="104"/>
      <c r="N107" s="104"/>
      <c r="O107" s="104"/>
      <c r="P107" s="104"/>
      <c r="Q107" s="104"/>
      <c r="R107" s="106"/>
      <c r="S107" s="104"/>
      <c r="T107" s="104"/>
      <c r="U107" s="104"/>
      <c r="V107" s="104"/>
      <c r="W107" s="105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/>
      <c r="BG107" s="104"/>
      <c r="BH107" s="104"/>
      <c r="BI107" s="104"/>
      <c r="BJ107" s="104"/>
      <c r="BK107" s="104"/>
      <c r="BL107" s="104"/>
      <c r="BM107" s="104"/>
      <c r="BN107" s="104"/>
    </row>
    <row r="108">
      <c r="A108" s="104"/>
      <c r="B108" s="104"/>
      <c r="C108" s="104"/>
      <c r="D108" s="104"/>
      <c r="E108" s="104"/>
      <c r="F108" s="104"/>
      <c r="G108" s="104"/>
      <c r="H108" s="104"/>
      <c r="I108" s="104"/>
      <c r="J108" s="104"/>
      <c r="K108" s="105"/>
      <c r="L108" s="106"/>
      <c r="M108" s="104"/>
      <c r="N108" s="104"/>
      <c r="O108" s="104"/>
      <c r="P108" s="104"/>
      <c r="Q108" s="104"/>
      <c r="R108" s="106"/>
      <c r="S108" s="104"/>
      <c r="T108" s="104"/>
      <c r="U108" s="104"/>
      <c r="V108" s="104"/>
      <c r="W108" s="105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/>
      <c r="BH108" s="104"/>
      <c r="BI108" s="104"/>
      <c r="BJ108" s="104"/>
      <c r="BK108" s="104"/>
      <c r="BL108" s="104"/>
      <c r="BM108" s="104"/>
      <c r="BN108" s="104"/>
    </row>
    <row r="109">
      <c r="A109" s="104"/>
      <c r="B109" s="104"/>
      <c r="C109" s="104"/>
      <c r="D109" s="104"/>
      <c r="E109" s="104"/>
      <c r="F109" s="104"/>
      <c r="G109" s="104"/>
      <c r="H109" s="104"/>
      <c r="I109" s="104"/>
      <c r="J109" s="104"/>
      <c r="K109" s="105"/>
      <c r="L109" s="106"/>
      <c r="M109" s="104"/>
      <c r="N109" s="104"/>
      <c r="O109" s="104"/>
      <c r="P109" s="104"/>
      <c r="Q109" s="104"/>
      <c r="R109" s="106"/>
      <c r="S109" s="104"/>
      <c r="T109" s="104"/>
      <c r="U109" s="104"/>
      <c r="V109" s="104"/>
      <c r="W109" s="105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/>
      <c r="BI109" s="104"/>
      <c r="BJ109" s="104"/>
      <c r="BK109" s="104"/>
      <c r="BL109" s="104"/>
      <c r="BM109" s="104"/>
      <c r="BN109" s="104"/>
    </row>
    <row r="110">
      <c r="A110" s="104"/>
      <c r="B110" s="104"/>
      <c r="C110" s="104"/>
      <c r="D110" s="104"/>
      <c r="E110" s="104"/>
      <c r="F110" s="104"/>
      <c r="G110" s="104"/>
      <c r="H110" s="104"/>
      <c r="I110" s="104"/>
      <c r="J110" s="104"/>
      <c r="K110" s="105"/>
      <c r="L110" s="106"/>
      <c r="M110" s="104"/>
      <c r="N110" s="104"/>
      <c r="O110" s="104"/>
      <c r="P110" s="104"/>
      <c r="Q110" s="104"/>
      <c r="R110" s="106"/>
      <c r="S110" s="104"/>
      <c r="T110" s="104"/>
      <c r="U110" s="104"/>
      <c r="V110" s="104"/>
      <c r="W110" s="105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/>
      <c r="BJ110" s="104"/>
      <c r="BK110" s="104"/>
      <c r="BL110" s="104"/>
      <c r="BM110" s="104"/>
      <c r="BN110" s="104"/>
    </row>
    <row r="111">
      <c r="A111" s="104"/>
      <c r="B111" s="104"/>
      <c r="C111" s="104"/>
      <c r="D111" s="104"/>
      <c r="E111" s="104"/>
      <c r="F111" s="104"/>
      <c r="G111" s="104"/>
      <c r="H111" s="104"/>
      <c r="I111" s="104"/>
      <c r="J111" s="104"/>
      <c r="K111" s="105"/>
      <c r="L111" s="106"/>
      <c r="M111" s="104"/>
      <c r="N111" s="104"/>
      <c r="O111" s="104"/>
      <c r="P111" s="104"/>
      <c r="Q111" s="104"/>
      <c r="R111" s="106"/>
      <c r="S111" s="104"/>
      <c r="T111" s="104"/>
      <c r="U111" s="104"/>
      <c r="V111" s="104"/>
      <c r="W111" s="105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/>
      <c r="BK111" s="104"/>
      <c r="BL111" s="104"/>
      <c r="BM111" s="104"/>
      <c r="BN111" s="104"/>
    </row>
    <row r="112">
      <c r="A112" s="104"/>
      <c r="B112" s="104"/>
      <c r="C112" s="104"/>
      <c r="D112" s="104"/>
      <c r="E112" s="104"/>
      <c r="F112" s="104"/>
      <c r="G112" s="104"/>
      <c r="H112" s="104"/>
      <c r="I112" s="104"/>
      <c r="J112" s="104"/>
      <c r="K112" s="105"/>
      <c r="L112" s="106"/>
      <c r="M112" s="104"/>
      <c r="N112" s="104"/>
      <c r="O112" s="104"/>
      <c r="P112" s="104"/>
      <c r="Q112" s="104"/>
      <c r="R112" s="106"/>
      <c r="S112" s="104"/>
      <c r="T112" s="104"/>
      <c r="U112" s="104"/>
      <c r="V112" s="104"/>
      <c r="W112" s="105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/>
      <c r="BL112" s="104"/>
      <c r="BM112" s="104"/>
      <c r="BN112" s="104"/>
    </row>
    <row r="113">
      <c r="A113" s="104"/>
      <c r="B113" s="104"/>
      <c r="C113" s="104"/>
      <c r="D113" s="104"/>
      <c r="E113" s="104"/>
      <c r="F113" s="104"/>
      <c r="G113" s="104"/>
      <c r="H113" s="104"/>
      <c r="I113" s="104"/>
      <c r="J113" s="104"/>
      <c r="K113" s="105"/>
      <c r="L113" s="106"/>
      <c r="M113" s="104"/>
      <c r="N113" s="104"/>
      <c r="O113" s="104"/>
      <c r="P113" s="104"/>
      <c r="Q113" s="104"/>
      <c r="R113" s="106"/>
      <c r="S113" s="104"/>
      <c r="T113" s="104"/>
      <c r="U113" s="104"/>
      <c r="V113" s="104"/>
      <c r="W113" s="105"/>
      <c r="X113" s="104"/>
      <c r="Y113" s="104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/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/>
      <c r="BM113" s="104"/>
      <c r="BN113" s="104"/>
    </row>
    <row r="114">
      <c r="A114" s="104"/>
      <c r="B114" s="104"/>
      <c r="C114" s="104"/>
      <c r="D114" s="104"/>
      <c r="E114" s="104"/>
      <c r="F114" s="104"/>
      <c r="G114" s="104"/>
      <c r="H114" s="104"/>
      <c r="I114" s="104"/>
      <c r="J114" s="104"/>
      <c r="K114" s="105"/>
      <c r="L114" s="106"/>
      <c r="M114" s="104"/>
      <c r="N114" s="104"/>
      <c r="O114" s="104"/>
      <c r="P114" s="104"/>
      <c r="Q114" s="104"/>
      <c r="R114" s="106"/>
      <c r="S114" s="104"/>
      <c r="T114" s="104"/>
      <c r="U114" s="104"/>
      <c r="V114" s="104"/>
      <c r="W114" s="105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/>
      <c r="BN114" s="104"/>
    </row>
    <row r="115">
      <c r="A115" s="104"/>
      <c r="B115" s="104"/>
      <c r="C115" s="104"/>
      <c r="D115" s="104"/>
      <c r="E115" s="104"/>
      <c r="F115" s="104"/>
      <c r="G115" s="104"/>
      <c r="H115" s="104"/>
      <c r="I115" s="104"/>
      <c r="J115" s="104"/>
      <c r="K115" s="105"/>
      <c r="L115" s="106"/>
      <c r="M115" s="104"/>
      <c r="N115" s="104"/>
      <c r="O115" s="104"/>
      <c r="P115" s="104"/>
      <c r="Q115" s="104"/>
      <c r="R115" s="106"/>
      <c r="S115" s="104"/>
      <c r="T115" s="104"/>
      <c r="U115" s="104"/>
      <c r="V115" s="104"/>
      <c r="W115" s="105"/>
      <c r="X115" s="104"/>
      <c r="Y115" s="104"/>
      <c r="Z115" s="104"/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4"/>
    </row>
    <row r="116">
      <c r="A116" s="104"/>
      <c r="B116" s="104"/>
      <c r="C116" s="104"/>
      <c r="D116" s="104"/>
      <c r="E116" s="104"/>
      <c r="F116" s="104"/>
      <c r="G116" s="104"/>
      <c r="H116" s="104"/>
      <c r="I116" s="104"/>
      <c r="J116" s="104"/>
      <c r="K116" s="105"/>
      <c r="L116" s="106"/>
      <c r="M116" s="104"/>
      <c r="N116" s="104"/>
      <c r="O116" s="104"/>
      <c r="P116" s="104"/>
      <c r="Q116" s="104"/>
      <c r="R116" s="106"/>
      <c r="S116" s="104"/>
      <c r="T116" s="104"/>
      <c r="U116" s="104"/>
      <c r="V116" s="104"/>
      <c r="W116" s="105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4"/>
    </row>
    <row r="117">
      <c r="A117" s="104"/>
      <c r="B117" s="104"/>
      <c r="C117" s="104"/>
      <c r="D117" s="104"/>
      <c r="E117" s="104"/>
      <c r="F117" s="104"/>
      <c r="G117" s="104"/>
      <c r="H117" s="104"/>
      <c r="I117" s="104"/>
      <c r="J117" s="104"/>
      <c r="K117" s="105"/>
      <c r="L117" s="106"/>
      <c r="M117" s="104"/>
      <c r="N117" s="104"/>
      <c r="O117" s="104"/>
      <c r="P117" s="104"/>
      <c r="Q117" s="104"/>
      <c r="R117" s="106"/>
      <c r="S117" s="104"/>
      <c r="T117" s="104"/>
      <c r="U117" s="104"/>
      <c r="V117" s="104"/>
      <c r="W117" s="105"/>
      <c r="X117" s="104"/>
      <c r="Y117" s="104"/>
      <c r="Z117" s="104"/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4"/>
    </row>
    <row r="118">
      <c r="A118" s="104"/>
      <c r="B118" s="104"/>
      <c r="C118" s="104"/>
      <c r="D118" s="104"/>
      <c r="E118" s="104"/>
      <c r="F118" s="104"/>
      <c r="G118" s="104"/>
      <c r="H118" s="104"/>
      <c r="I118" s="104"/>
      <c r="J118" s="104"/>
      <c r="K118" s="105"/>
      <c r="L118" s="106"/>
      <c r="M118" s="104"/>
      <c r="N118" s="104"/>
      <c r="O118" s="104"/>
      <c r="P118" s="104"/>
      <c r="Q118" s="104"/>
      <c r="R118" s="106"/>
      <c r="S118" s="104"/>
      <c r="T118" s="104"/>
      <c r="U118" s="104"/>
      <c r="V118" s="104"/>
      <c r="W118" s="105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/>
      <c r="BF118" s="104"/>
      <c r="BG118" s="104"/>
      <c r="BH118" s="104"/>
      <c r="BI118" s="104"/>
      <c r="BJ118" s="104"/>
      <c r="BK118" s="104"/>
      <c r="BL118" s="104"/>
      <c r="BM118" s="104"/>
      <c r="BN118" s="104"/>
    </row>
    <row r="119">
      <c r="A119" s="104"/>
      <c r="B119" s="104"/>
      <c r="C119" s="104"/>
      <c r="D119" s="104"/>
      <c r="E119" s="104"/>
      <c r="F119" s="104"/>
      <c r="G119" s="104"/>
      <c r="H119" s="104"/>
      <c r="I119" s="104"/>
      <c r="J119" s="104"/>
      <c r="K119" s="105"/>
      <c r="L119" s="106"/>
      <c r="M119" s="104"/>
      <c r="N119" s="104"/>
      <c r="O119" s="104"/>
      <c r="P119" s="104"/>
      <c r="Q119" s="104"/>
      <c r="R119" s="106"/>
      <c r="S119" s="104"/>
      <c r="T119" s="104"/>
      <c r="U119" s="104"/>
      <c r="V119" s="104"/>
      <c r="W119" s="105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104"/>
      <c r="AT119" s="104"/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/>
      <c r="BG119" s="104"/>
      <c r="BH119" s="104"/>
      <c r="BI119" s="104"/>
      <c r="BJ119" s="104"/>
      <c r="BK119" s="104"/>
      <c r="BL119" s="104"/>
      <c r="BM119" s="104"/>
      <c r="BN119" s="104"/>
    </row>
    <row r="120">
      <c r="A120" s="104"/>
      <c r="B120" s="104"/>
      <c r="C120" s="104"/>
      <c r="D120" s="104"/>
      <c r="E120" s="104"/>
      <c r="F120" s="104"/>
      <c r="G120" s="104"/>
      <c r="H120" s="104"/>
      <c r="I120" s="104"/>
      <c r="J120" s="104"/>
      <c r="K120" s="105"/>
      <c r="L120" s="106"/>
      <c r="M120" s="104"/>
      <c r="N120" s="104"/>
      <c r="O120" s="104"/>
      <c r="P120" s="104"/>
      <c r="Q120" s="104"/>
      <c r="R120" s="106"/>
      <c r="S120" s="104"/>
      <c r="T120" s="104"/>
      <c r="U120" s="104"/>
      <c r="V120" s="104"/>
      <c r="W120" s="105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/>
      <c r="BH120" s="104"/>
      <c r="BI120" s="104"/>
      <c r="BJ120" s="104"/>
      <c r="BK120" s="104"/>
      <c r="BL120" s="104"/>
      <c r="BM120" s="104"/>
      <c r="BN120" s="104"/>
    </row>
    <row r="121">
      <c r="A121" s="104"/>
      <c r="B121" s="104"/>
      <c r="C121" s="104"/>
      <c r="D121" s="104"/>
      <c r="E121" s="104"/>
      <c r="F121" s="104"/>
      <c r="G121" s="104"/>
      <c r="H121" s="104"/>
      <c r="I121" s="104"/>
      <c r="J121" s="104"/>
      <c r="K121" s="105"/>
      <c r="L121" s="106"/>
      <c r="M121" s="104"/>
      <c r="N121" s="104"/>
      <c r="O121" s="104"/>
      <c r="P121" s="104"/>
      <c r="Q121" s="104"/>
      <c r="R121" s="106"/>
      <c r="S121" s="104"/>
      <c r="T121" s="104"/>
      <c r="U121" s="104"/>
      <c r="V121" s="104"/>
      <c r="W121" s="105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104"/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/>
      <c r="BI121" s="104"/>
      <c r="BJ121" s="104"/>
      <c r="BK121" s="104"/>
      <c r="BL121" s="104"/>
      <c r="BM121" s="104"/>
      <c r="BN121" s="104"/>
    </row>
    <row r="122">
      <c r="A122" s="104"/>
      <c r="B122" s="104"/>
      <c r="C122" s="104"/>
      <c r="D122" s="104"/>
      <c r="E122" s="104"/>
      <c r="F122" s="104"/>
      <c r="G122" s="104"/>
      <c r="H122" s="104"/>
      <c r="I122" s="104"/>
      <c r="J122" s="104"/>
      <c r="K122" s="105"/>
      <c r="L122" s="106"/>
      <c r="M122" s="104"/>
      <c r="N122" s="104"/>
      <c r="O122" s="104"/>
      <c r="P122" s="104"/>
      <c r="Q122" s="104"/>
      <c r="R122" s="106"/>
      <c r="S122" s="104"/>
      <c r="T122" s="104"/>
      <c r="U122" s="104"/>
      <c r="V122" s="104"/>
      <c r="W122" s="105"/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104"/>
      <c r="AT122" s="104"/>
      <c r="AU122" s="104"/>
      <c r="AV122" s="104"/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/>
      <c r="BJ122" s="104"/>
      <c r="BK122" s="104"/>
      <c r="BL122" s="104"/>
      <c r="BM122" s="104"/>
      <c r="BN122" s="104"/>
    </row>
    <row r="123">
      <c r="A123" s="104"/>
      <c r="B123" s="104"/>
      <c r="C123" s="104"/>
      <c r="D123" s="104"/>
      <c r="E123" s="104"/>
      <c r="F123" s="104"/>
      <c r="G123" s="104"/>
      <c r="H123" s="104"/>
      <c r="I123" s="104"/>
      <c r="J123" s="104"/>
      <c r="K123" s="105"/>
      <c r="L123" s="106"/>
      <c r="M123" s="104"/>
      <c r="N123" s="104"/>
      <c r="O123" s="104"/>
      <c r="P123" s="104"/>
      <c r="Q123" s="104"/>
      <c r="R123" s="106"/>
      <c r="S123" s="104"/>
      <c r="T123" s="104"/>
      <c r="U123" s="104"/>
      <c r="V123" s="104"/>
      <c r="W123" s="105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104"/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/>
      <c r="BK123" s="104"/>
      <c r="BL123" s="104"/>
      <c r="BM123" s="104"/>
      <c r="BN123" s="104"/>
    </row>
    <row r="124">
      <c r="A124" s="104"/>
      <c r="B124" s="104"/>
      <c r="C124" s="104"/>
      <c r="D124" s="104"/>
      <c r="E124" s="104"/>
      <c r="F124" s="104"/>
      <c r="G124" s="104"/>
      <c r="H124" s="104"/>
      <c r="I124" s="104"/>
      <c r="J124" s="104"/>
      <c r="K124" s="105"/>
      <c r="L124" s="106"/>
      <c r="M124" s="104"/>
      <c r="N124" s="104"/>
      <c r="O124" s="104"/>
      <c r="P124" s="104"/>
      <c r="Q124" s="104"/>
      <c r="R124" s="106"/>
      <c r="S124" s="104"/>
      <c r="T124" s="104"/>
      <c r="U124" s="104"/>
      <c r="V124" s="104"/>
      <c r="W124" s="105"/>
      <c r="X124" s="104"/>
      <c r="Y124" s="104"/>
      <c r="Z124" s="104"/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</row>
    <row r="125">
      <c r="A125" s="104"/>
      <c r="B125" s="104"/>
      <c r="C125" s="104"/>
      <c r="D125" s="104"/>
      <c r="E125" s="104"/>
      <c r="F125" s="104"/>
      <c r="G125" s="104"/>
      <c r="H125" s="104"/>
      <c r="I125" s="104"/>
      <c r="J125" s="104"/>
      <c r="K125" s="105"/>
      <c r="L125" s="106"/>
      <c r="M125" s="104"/>
      <c r="N125" s="104"/>
      <c r="O125" s="104"/>
      <c r="P125" s="104"/>
      <c r="Q125" s="104"/>
      <c r="R125" s="106"/>
      <c r="S125" s="104"/>
      <c r="T125" s="104"/>
      <c r="U125" s="104"/>
      <c r="V125" s="104"/>
      <c r="W125" s="105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104"/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/>
      <c r="BM125" s="104"/>
      <c r="BN125" s="104"/>
    </row>
    <row r="126">
      <c r="A126" s="104"/>
      <c r="B126" s="104"/>
      <c r="C126" s="104"/>
      <c r="D126" s="104"/>
      <c r="E126" s="104"/>
      <c r="F126" s="104"/>
      <c r="G126" s="104"/>
      <c r="H126" s="104"/>
      <c r="I126" s="104"/>
      <c r="J126" s="104"/>
      <c r="K126" s="105"/>
      <c r="L126" s="106"/>
      <c r="M126" s="104"/>
      <c r="N126" s="104"/>
      <c r="O126" s="104"/>
      <c r="P126" s="104"/>
      <c r="Q126" s="104"/>
      <c r="R126" s="106"/>
      <c r="S126" s="104"/>
      <c r="T126" s="104"/>
      <c r="U126" s="104"/>
      <c r="V126" s="104"/>
      <c r="W126" s="105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104"/>
      <c r="AT126" s="104"/>
      <c r="AU126" s="104"/>
      <c r="AV126" s="104"/>
      <c r="AW126" s="104"/>
      <c r="AX126" s="104"/>
      <c r="AY126" s="104"/>
      <c r="AZ126" s="104"/>
      <c r="BA126" s="104"/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/>
      <c r="BN126" s="104"/>
    </row>
    <row r="127">
      <c r="A127" s="104"/>
      <c r="B127" s="104"/>
      <c r="C127" s="104"/>
      <c r="D127" s="104"/>
      <c r="E127" s="104"/>
      <c r="F127" s="104"/>
      <c r="G127" s="104"/>
      <c r="H127" s="104"/>
      <c r="I127" s="104"/>
      <c r="J127" s="104"/>
      <c r="K127" s="105"/>
      <c r="L127" s="106"/>
      <c r="M127" s="104"/>
      <c r="N127" s="104"/>
      <c r="O127" s="104"/>
      <c r="P127" s="104"/>
      <c r="Q127" s="104"/>
      <c r="R127" s="106"/>
      <c r="S127" s="104"/>
      <c r="T127" s="104"/>
      <c r="U127" s="104"/>
      <c r="V127" s="104"/>
      <c r="W127" s="105"/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4"/>
    </row>
    <row r="128">
      <c r="A128" s="104"/>
      <c r="B128" s="104"/>
      <c r="C128" s="104"/>
      <c r="D128" s="104"/>
      <c r="E128" s="104"/>
      <c r="F128" s="104"/>
      <c r="G128" s="104"/>
      <c r="H128" s="104"/>
      <c r="I128" s="104"/>
      <c r="J128" s="104"/>
      <c r="K128" s="105"/>
      <c r="L128" s="106"/>
      <c r="M128" s="104"/>
      <c r="N128" s="104"/>
      <c r="O128" s="104"/>
      <c r="P128" s="104"/>
      <c r="Q128" s="104"/>
      <c r="R128" s="106"/>
      <c r="S128" s="104"/>
      <c r="T128" s="104"/>
      <c r="U128" s="104"/>
      <c r="V128" s="104"/>
      <c r="W128" s="105"/>
      <c r="X128" s="104"/>
      <c r="Y128" s="104"/>
      <c r="Z128" s="104"/>
      <c r="AA128" s="104"/>
      <c r="AB128" s="104"/>
      <c r="AC128" s="104"/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104"/>
      <c r="AT128" s="104"/>
      <c r="AU128" s="104"/>
      <c r="AV128" s="104"/>
      <c r="AW128" s="104"/>
      <c r="AX128" s="104"/>
      <c r="AY128" s="104"/>
      <c r="AZ128" s="104"/>
      <c r="BA128" s="104"/>
      <c r="BB128" s="104"/>
      <c r="BC128" s="104"/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4"/>
    </row>
    <row r="129">
      <c r="A129" s="104"/>
      <c r="B129" s="104"/>
      <c r="C129" s="104"/>
      <c r="D129" s="104"/>
      <c r="E129" s="104"/>
      <c r="F129" s="104"/>
      <c r="G129" s="104"/>
      <c r="H129" s="104"/>
      <c r="I129" s="104"/>
      <c r="J129" s="104"/>
      <c r="K129" s="105"/>
      <c r="L129" s="106"/>
      <c r="M129" s="104"/>
      <c r="N129" s="104"/>
      <c r="O129" s="104"/>
      <c r="P129" s="104"/>
      <c r="Q129" s="104"/>
      <c r="R129" s="106"/>
      <c r="S129" s="104"/>
      <c r="T129" s="104"/>
      <c r="U129" s="104"/>
      <c r="V129" s="104"/>
      <c r="W129" s="105"/>
      <c r="X129" s="104"/>
      <c r="Y129" s="104"/>
      <c r="Z129" s="104"/>
      <c r="AA129" s="104"/>
      <c r="AB129" s="104"/>
      <c r="AC129" s="104"/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104"/>
      <c r="AT129" s="104"/>
      <c r="AU129" s="104"/>
      <c r="AV129" s="104"/>
      <c r="AW129" s="104"/>
      <c r="AX129" s="104"/>
      <c r="AY129" s="104"/>
      <c r="AZ129" s="104"/>
      <c r="BA129" s="104"/>
      <c r="BB129" s="104"/>
      <c r="BC129" s="104"/>
      <c r="BD129" s="104"/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4"/>
    </row>
    <row r="130">
      <c r="A130" s="104"/>
      <c r="B130" s="104"/>
      <c r="C130" s="104"/>
      <c r="D130" s="104"/>
      <c r="E130" s="104"/>
      <c r="F130" s="104"/>
      <c r="G130" s="104"/>
      <c r="H130" s="104"/>
      <c r="I130" s="104"/>
      <c r="J130" s="104"/>
      <c r="K130" s="105"/>
      <c r="L130" s="106"/>
      <c r="M130" s="104"/>
      <c r="N130" s="104"/>
      <c r="O130" s="104"/>
      <c r="P130" s="104"/>
      <c r="Q130" s="104"/>
      <c r="R130" s="106"/>
      <c r="S130" s="104"/>
      <c r="T130" s="104"/>
      <c r="U130" s="104"/>
      <c r="V130" s="104"/>
      <c r="W130" s="105"/>
      <c r="X130" s="104"/>
      <c r="Y130" s="104"/>
      <c r="Z130" s="104"/>
      <c r="AA130" s="104"/>
      <c r="AB130" s="104"/>
      <c r="AC130" s="104"/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104"/>
      <c r="AT130" s="104"/>
      <c r="AU130" s="104"/>
      <c r="AV130" s="104"/>
      <c r="AW130" s="104"/>
      <c r="AX130" s="104"/>
      <c r="AY130" s="104"/>
      <c r="AZ130" s="104"/>
      <c r="BA130" s="104"/>
      <c r="BB130" s="104"/>
      <c r="BC130" s="104"/>
      <c r="BD130" s="104"/>
      <c r="BE130" s="104"/>
      <c r="BF130" s="104"/>
      <c r="BG130" s="104"/>
      <c r="BH130" s="104"/>
      <c r="BI130" s="104"/>
      <c r="BJ130" s="104"/>
      <c r="BK130" s="104"/>
      <c r="BL130" s="104"/>
      <c r="BM130" s="104"/>
      <c r="BN130" s="104"/>
    </row>
    <row r="131">
      <c r="A131" s="104"/>
      <c r="B131" s="104"/>
      <c r="C131" s="104"/>
      <c r="D131" s="104"/>
      <c r="E131" s="104"/>
      <c r="F131" s="104"/>
      <c r="G131" s="104"/>
      <c r="H131" s="104"/>
      <c r="I131" s="104"/>
      <c r="J131" s="104"/>
      <c r="K131" s="105"/>
      <c r="L131" s="106"/>
      <c r="M131" s="104"/>
      <c r="N131" s="104"/>
      <c r="O131" s="104"/>
      <c r="P131" s="104"/>
      <c r="Q131" s="104"/>
      <c r="R131" s="106"/>
      <c r="S131" s="104"/>
      <c r="T131" s="104"/>
      <c r="U131" s="104"/>
      <c r="V131" s="104"/>
      <c r="W131" s="105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104"/>
      <c r="AT131" s="104"/>
      <c r="AU131" s="104"/>
      <c r="AV131" s="104"/>
      <c r="AW131" s="104"/>
      <c r="AX131" s="104"/>
      <c r="AY131" s="104"/>
      <c r="AZ131" s="104"/>
      <c r="BA131" s="104"/>
      <c r="BB131" s="104"/>
      <c r="BC131" s="104"/>
      <c r="BD131" s="104"/>
      <c r="BE131" s="104"/>
      <c r="BF131" s="104"/>
      <c r="BG131" s="104"/>
      <c r="BH131" s="104"/>
      <c r="BI131" s="104"/>
      <c r="BJ131" s="104"/>
      <c r="BK131" s="104"/>
      <c r="BL131" s="104"/>
      <c r="BM131" s="104"/>
      <c r="BN131" s="104"/>
    </row>
    <row r="132">
      <c r="A132" s="104"/>
      <c r="B132" s="104"/>
      <c r="C132" s="104"/>
      <c r="D132" s="104"/>
      <c r="E132" s="104"/>
      <c r="F132" s="104"/>
      <c r="G132" s="104"/>
      <c r="H132" s="104"/>
      <c r="I132" s="104"/>
      <c r="J132" s="104"/>
      <c r="K132" s="105"/>
      <c r="L132" s="106"/>
      <c r="M132" s="104"/>
      <c r="N132" s="104"/>
      <c r="O132" s="104"/>
      <c r="P132" s="104"/>
      <c r="Q132" s="104"/>
      <c r="R132" s="106"/>
      <c r="S132" s="104"/>
      <c r="T132" s="104"/>
      <c r="U132" s="104"/>
      <c r="V132" s="104"/>
      <c r="W132" s="105"/>
      <c r="X132" s="104"/>
      <c r="Y132" s="104"/>
      <c r="Z132" s="104"/>
      <c r="AA132" s="104"/>
      <c r="AB132" s="104"/>
      <c r="AC132" s="104"/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104"/>
      <c r="AT132" s="104"/>
      <c r="AU132" s="104"/>
      <c r="AV132" s="104"/>
      <c r="AW132" s="104"/>
      <c r="AX132" s="104"/>
      <c r="AY132" s="104"/>
      <c r="AZ132" s="104"/>
      <c r="BA132" s="104"/>
      <c r="BB132" s="104"/>
      <c r="BC132" s="104"/>
      <c r="BD132" s="104"/>
      <c r="BE132" s="104"/>
      <c r="BF132" s="104"/>
      <c r="BG132" s="104"/>
      <c r="BH132" s="104"/>
      <c r="BI132" s="104"/>
      <c r="BJ132" s="104"/>
      <c r="BK132" s="104"/>
      <c r="BL132" s="104"/>
      <c r="BM132" s="104"/>
      <c r="BN132" s="104"/>
    </row>
    <row r="133">
      <c r="A133" s="104"/>
      <c r="B133" s="104"/>
      <c r="C133" s="104"/>
      <c r="D133" s="104"/>
      <c r="E133" s="104"/>
      <c r="F133" s="104"/>
      <c r="G133" s="104"/>
      <c r="H133" s="104"/>
      <c r="I133" s="104"/>
      <c r="J133" s="104"/>
      <c r="K133" s="105"/>
      <c r="L133" s="106"/>
      <c r="M133" s="104"/>
      <c r="N133" s="104"/>
      <c r="O133" s="104"/>
      <c r="P133" s="104"/>
      <c r="Q133" s="104"/>
      <c r="R133" s="106"/>
      <c r="S133" s="104"/>
      <c r="T133" s="104"/>
      <c r="U133" s="104"/>
      <c r="V133" s="104"/>
      <c r="W133" s="105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104"/>
      <c r="BG133" s="104"/>
      <c r="BH133" s="104"/>
      <c r="BI133" s="104"/>
      <c r="BJ133" s="104"/>
      <c r="BK133" s="104"/>
      <c r="BL133" s="104"/>
      <c r="BM133" s="104"/>
      <c r="BN133" s="104"/>
    </row>
    <row r="134">
      <c r="A134" s="104"/>
      <c r="B134" s="104"/>
      <c r="C134" s="104"/>
      <c r="D134" s="104"/>
      <c r="E134" s="104"/>
      <c r="F134" s="104"/>
      <c r="G134" s="104"/>
      <c r="H134" s="104"/>
      <c r="I134" s="104"/>
      <c r="J134" s="104"/>
      <c r="K134" s="105"/>
      <c r="L134" s="106"/>
      <c r="M134" s="104"/>
      <c r="N134" s="104"/>
      <c r="O134" s="104"/>
      <c r="P134" s="104"/>
      <c r="Q134" s="104"/>
      <c r="R134" s="106"/>
      <c r="S134" s="104"/>
      <c r="T134" s="104"/>
      <c r="U134" s="104"/>
      <c r="V134" s="104"/>
      <c r="W134" s="105"/>
      <c r="X134" s="104"/>
      <c r="Y134" s="104"/>
      <c r="Z134" s="104"/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104"/>
      <c r="AT134" s="104"/>
      <c r="AU134" s="104"/>
      <c r="AV134" s="104"/>
      <c r="AW134" s="104"/>
      <c r="AX134" s="104"/>
      <c r="AY134" s="104"/>
      <c r="AZ134" s="104"/>
      <c r="BA134" s="104"/>
      <c r="BB134" s="104"/>
      <c r="BC134" s="104"/>
      <c r="BD134" s="104"/>
      <c r="BE134" s="104"/>
      <c r="BF134" s="104"/>
      <c r="BG134" s="104"/>
      <c r="BH134" s="104"/>
      <c r="BI134" s="104"/>
      <c r="BJ134" s="104"/>
      <c r="BK134" s="104"/>
      <c r="BL134" s="104"/>
      <c r="BM134" s="104"/>
      <c r="BN134" s="104"/>
    </row>
    <row r="135">
      <c r="A135" s="104"/>
      <c r="B135" s="104"/>
      <c r="C135" s="104"/>
      <c r="D135" s="104"/>
      <c r="E135" s="104"/>
      <c r="F135" s="104"/>
      <c r="G135" s="104"/>
      <c r="H135" s="104"/>
      <c r="I135" s="104"/>
      <c r="J135" s="104"/>
      <c r="K135" s="105"/>
      <c r="L135" s="106"/>
      <c r="M135" s="104"/>
      <c r="N135" s="104"/>
      <c r="O135" s="104"/>
      <c r="P135" s="104"/>
      <c r="Q135" s="104"/>
      <c r="R135" s="106"/>
      <c r="S135" s="104"/>
      <c r="T135" s="104"/>
      <c r="U135" s="104"/>
      <c r="V135" s="104"/>
      <c r="W135" s="105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104"/>
      <c r="BG135" s="104"/>
      <c r="BH135" s="104"/>
      <c r="BI135" s="104"/>
      <c r="BJ135" s="104"/>
      <c r="BK135" s="104"/>
      <c r="BL135" s="104"/>
      <c r="BM135" s="104"/>
      <c r="BN135" s="104"/>
    </row>
    <row r="136">
      <c r="A136" s="104"/>
      <c r="B136" s="104"/>
      <c r="C136" s="104"/>
      <c r="D136" s="104"/>
      <c r="E136" s="104"/>
      <c r="F136" s="104"/>
      <c r="G136" s="104"/>
      <c r="H136" s="104"/>
      <c r="I136" s="104"/>
      <c r="J136" s="104"/>
      <c r="K136" s="105"/>
      <c r="L136" s="106"/>
      <c r="M136" s="104"/>
      <c r="N136" s="104"/>
      <c r="O136" s="104"/>
      <c r="P136" s="104"/>
      <c r="Q136" s="104"/>
      <c r="R136" s="106"/>
      <c r="S136" s="104"/>
      <c r="T136" s="104"/>
      <c r="U136" s="104"/>
      <c r="V136" s="104"/>
      <c r="W136" s="105"/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 s="104"/>
      <c r="BG136" s="104"/>
      <c r="BH136" s="104"/>
      <c r="BI136" s="104"/>
      <c r="BJ136" s="104"/>
      <c r="BK136" s="104"/>
      <c r="BL136" s="104"/>
      <c r="BM136" s="104"/>
      <c r="BN136" s="104"/>
    </row>
    <row r="137">
      <c r="A137" s="104"/>
      <c r="B137" s="104"/>
      <c r="C137" s="104"/>
      <c r="D137" s="104"/>
      <c r="E137" s="104"/>
      <c r="F137" s="104"/>
      <c r="G137" s="104"/>
      <c r="H137" s="104"/>
      <c r="I137" s="104"/>
      <c r="J137" s="104"/>
      <c r="K137" s="105"/>
      <c r="L137" s="106"/>
      <c r="M137" s="104"/>
      <c r="N137" s="104"/>
      <c r="O137" s="104"/>
      <c r="P137" s="104"/>
      <c r="Q137" s="104"/>
      <c r="R137" s="106"/>
      <c r="S137" s="104"/>
      <c r="T137" s="104"/>
      <c r="U137" s="104"/>
      <c r="V137" s="104"/>
      <c r="W137" s="105"/>
      <c r="X137" s="104"/>
      <c r="Y137" s="104"/>
      <c r="Z137" s="104"/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/>
      <c r="BD137" s="104"/>
      <c r="BE137" s="104"/>
      <c r="BF137" s="104"/>
      <c r="BG137" s="104"/>
      <c r="BH137" s="104"/>
      <c r="BI137" s="104"/>
      <c r="BJ137" s="104"/>
      <c r="BK137" s="104"/>
      <c r="BL137" s="104"/>
      <c r="BM137" s="104"/>
      <c r="BN137" s="104"/>
    </row>
    <row r="138">
      <c r="A138" s="104"/>
      <c r="B138" s="104"/>
      <c r="C138" s="104"/>
      <c r="D138" s="104"/>
      <c r="E138" s="104"/>
      <c r="F138" s="104"/>
      <c r="G138" s="104"/>
      <c r="H138" s="104"/>
      <c r="I138" s="104"/>
      <c r="J138" s="104"/>
      <c r="K138" s="105"/>
      <c r="L138" s="106"/>
      <c r="M138" s="104"/>
      <c r="N138" s="104"/>
      <c r="O138" s="104"/>
      <c r="P138" s="104"/>
      <c r="Q138" s="104"/>
      <c r="R138" s="106"/>
      <c r="S138" s="104"/>
      <c r="T138" s="104"/>
      <c r="U138" s="104"/>
      <c r="V138" s="104"/>
      <c r="W138" s="105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04"/>
      <c r="BG138" s="104"/>
      <c r="BH138" s="104"/>
      <c r="BI138" s="104"/>
      <c r="BJ138" s="104"/>
      <c r="BK138" s="104"/>
      <c r="BL138" s="104"/>
      <c r="BM138" s="104"/>
      <c r="BN138" s="104"/>
    </row>
    <row r="139">
      <c r="A139" s="104"/>
      <c r="B139" s="104"/>
      <c r="C139" s="104"/>
      <c r="D139" s="104"/>
      <c r="E139" s="104"/>
      <c r="F139" s="104"/>
      <c r="G139" s="104"/>
      <c r="H139" s="104"/>
      <c r="I139" s="104"/>
      <c r="J139" s="104"/>
      <c r="K139" s="105"/>
      <c r="L139" s="106"/>
      <c r="M139" s="104"/>
      <c r="N139" s="104"/>
      <c r="O139" s="104"/>
      <c r="P139" s="104"/>
      <c r="Q139" s="104"/>
      <c r="R139" s="106"/>
      <c r="S139" s="104"/>
      <c r="T139" s="104"/>
      <c r="U139" s="104"/>
      <c r="V139" s="104"/>
      <c r="W139" s="105"/>
      <c r="X139" s="104"/>
      <c r="Y139" s="104"/>
      <c r="Z139" s="104"/>
      <c r="AA139" s="104"/>
      <c r="AB139" s="104"/>
      <c r="AC139" s="104"/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104"/>
      <c r="AT139" s="104"/>
      <c r="AU139" s="104"/>
      <c r="AV139" s="104"/>
      <c r="AW139" s="104"/>
      <c r="AX139" s="104"/>
      <c r="AY139" s="104"/>
      <c r="AZ139" s="104"/>
      <c r="BA139" s="104"/>
      <c r="BB139" s="104"/>
      <c r="BC139" s="104"/>
      <c r="BD139" s="104"/>
      <c r="BE139" s="104"/>
      <c r="BF139" s="104"/>
      <c r="BG139" s="104"/>
      <c r="BH139" s="104"/>
      <c r="BI139" s="104"/>
      <c r="BJ139" s="104"/>
      <c r="BK139" s="104"/>
      <c r="BL139" s="104"/>
      <c r="BM139" s="104"/>
      <c r="BN139" s="104"/>
    </row>
    <row r="140">
      <c r="A140" s="104"/>
      <c r="B140" s="104"/>
      <c r="C140" s="104"/>
      <c r="D140" s="104"/>
      <c r="E140" s="104"/>
      <c r="F140" s="104"/>
      <c r="G140" s="104"/>
      <c r="H140" s="104"/>
      <c r="I140" s="104"/>
      <c r="J140" s="104"/>
      <c r="K140" s="105"/>
      <c r="L140" s="106"/>
      <c r="M140" s="104"/>
      <c r="N140" s="104"/>
      <c r="O140" s="104"/>
      <c r="P140" s="104"/>
      <c r="Q140" s="104"/>
      <c r="R140" s="106"/>
      <c r="S140" s="104"/>
      <c r="T140" s="104"/>
      <c r="U140" s="104"/>
      <c r="V140" s="104"/>
      <c r="W140" s="105"/>
      <c r="X140" s="104"/>
      <c r="Y140" s="104"/>
      <c r="Z140" s="104"/>
      <c r="AA140" s="104"/>
      <c r="AB140" s="104"/>
      <c r="AC140" s="104"/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104"/>
      <c r="AT140" s="104"/>
      <c r="AU140" s="104"/>
      <c r="AV140" s="104"/>
      <c r="AW140" s="104"/>
      <c r="AX140" s="104"/>
      <c r="AY140" s="104"/>
      <c r="AZ140" s="104"/>
      <c r="BA140" s="104"/>
      <c r="BB140" s="104"/>
      <c r="BC140" s="104"/>
      <c r="BD140" s="104"/>
      <c r="BE140" s="104"/>
      <c r="BF140" s="104"/>
      <c r="BG140" s="104"/>
      <c r="BH140" s="104"/>
      <c r="BI140" s="104"/>
      <c r="BJ140" s="104"/>
      <c r="BK140" s="104"/>
      <c r="BL140" s="104"/>
      <c r="BM140" s="104"/>
      <c r="BN140" s="104"/>
    </row>
    <row r="141">
      <c r="A141" s="104"/>
      <c r="B141" s="104"/>
      <c r="C141" s="104"/>
      <c r="D141" s="104"/>
      <c r="E141" s="104"/>
      <c r="F141" s="104"/>
      <c r="G141" s="104"/>
      <c r="H141" s="104"/>
      <c r="I141" s="104"/>
      <c r="J141" s="104"/>
      <c r="K141" s="105"/>
      <c r="L141" s="106"/>
      <c r="M141" s="104"/>
      <c r="N141" s="104"/>
      <c r="O141" s="104"/>
      <c r="P141" s="104"/>
      <c r="Q141" s="104"/>
      <c r="R141" s="106"/>
      <c r="S141" s="104"/>
      <c r="T141" s="104"/>
      <c r="U141" s="104"/>
      <c r="V141" s="104"/>
      <c r="W141" s="105"/>
      <c r="X141" s="104"/>
      <c r="Y141" s="104"/>
      <c r="Z141" s="104"/>
      <c r="AA141" s="104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104"/>
      <c r="AT141" s="104"/>
      <c r="AU141" s="104"/>
      <c r="AV141" s="104"/>
      <c r="AW141" s="104"/>
      <c r="AX141" s="104"/>
      <c r="AY141" s="104"/>
      <c r="AZ141" s="104"/>
      <c r="BA141" s="104"/>
      <c r="BB141" s="104"/>
      <c r="BC141" s="104"/>
      <c r="BD141" s="104"/>
      <c r="BE141" s="104"/>
      <c r="BF141" s="104"/>
      <c r="BG141" s="104"/>
      <c r="BH141" s="104"/>
      <c r="BI141" s="104"/>
      <c r="BJ141" s="104"/>
      <c r="BK141" s="104"/>
      <c r="BL141" s="104"/>
      <c r="BM141" s="104"/>
      <c r="BN141" s="104"/>
    </row>
    <row r="142">
      <c r="A142" s="104"/>
      <c r="B142" s="104"/>
      <c r="C142" s="104"/>
      <c r="D142" s="104"/>
      <c r="E142" s="104"/>
      <c r="F142" s="104"/>
      <c r="G142" s="104"/>
      <c r="H142" s="104"/>
      <c r="I142" s="104"/>
      <c r="J142" s="104"/>
      <c r="K142" s="105"/>
      <c r="L142" s="106"/>
      <c r="M142" s="104"/>
      <c r="N142" s="104"/>
      <c r="O142" s="104"/>
      <c r="P142" s="104"/>
      <c r="Q142" s="104"/>
      <c r="R142" s="106"/>
      <c r="S142" s="104"/>
      <c r="T142" s="104"/>
      <c r="U142" s="104"/>
      <c r="V142" s="104"/>
      <c r="W142" s="105"/>
      <c r="X142" s="104"/>
      <c r="Y142" s="104"/>
      <c r="Z142" s="104"/>
      <c r="AA142" s="104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104"/>
      <c r="AV142" s="104"/>
      <c r="AW142" s="104"/>
      <c r="AX142" s="104"/>
      <c r="AY142" s="104"/>
      <c r="AZ142" s="104"/>
      <c r="BA142" s="104"/>
      <c r="BB142" s="104"/>
      <c r="BC142" s="104"/>
      <c r="BD142" s="104"/>
      <c r="BE142" s="104"/>
      <c r="BF142" s="104"/>
      <c r="BG142" s="104"/>
      <c r="BH142" s="104"/>
      <c r="BI142" s="104"/>
      <c r="BJ142" s="104"/>
      <c r="BK142" s="104"/>
      <c r="BL142" s="104"/>
      <c r="BM142" s="104"/>
      <c r="BN142" s="104"/>
    </row>
    <row r="143">
      <c r="A143" s="104"/>
      <c r="B143" s="104"/>
      <c r="C143" s="104"/>
      <c r="D143" s="104"/>
      <c r="E143" s="104"/>
      <c r="F143" s="104"/>
      <c r="G143" s="104"/>
      <c r="H143" s="104"/>
      <c r="I143" s="104"/>
      <c r="J143" s="104"/>
      <c r="K143" s="105"/>
      <c r="L143" s="106"/>
      <c r="M143" s="104"/>
      <c r="N143" s="104"/>
      <c r="O143" s="104"/>
      <c r="P143" s="104"/>
      <c r="Q143" s="104"/>
      <c r="R143" s="106"/>
      <c r="S143" s="104"/>
      <c r="T143" s="104"/>
      <c r="U143" s="104"/>
      <c r="V143" s="104"/>
      <c r="W143" s="105"/>
      <c r="X143" s="104"/>
      <c r="Y143" s="104"/>
      <c r="Z143" s="104"/>
      <c r="AA143" s="104"/>
      <c r="AB143" s="104"/>
      <c r="AC143" s="104"/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/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/>
      <c r="BN143" s="104"/>
    </row>
    <row r="144">
      <c r="A144" s="104"/>
      <c r="B144" s="104"/>
      <c r="C144" s="104"/>
      <c r="D144" s="104"/>
      <c r="E144" s="104"/>
      <c r="F144" s="104"/>
      <c r="G144" s="104"/>
      <c r="H144" s="104"/>
      <c r="I144" s="104"/>
      <c r="J144" s="104"/>
      <c r="K144" s="105"/>
      <c r="L144" s="106"/>
      <c r="M144" s="104"/>
      <c r="N144" s="104"/>
      <c r="O144" s="104"/>
      <c r="P144" s="104"/>
      <c r="Q144" s="104"/>
      <c r="R144" s="106"/>
      <c r="S144" s="104"/>
      <c r="T144" s="104"/>
      <c r="U144" s="104"/>
      <c r="V144" s="104"/>
      <c r="W144" s="105"/>
      <c r="X144" s="104"/>
      <c r="Y144" s="104"/>
      <c r="Z144" s="104"/>
      <c r="AA144" s="104"/>
      <c r="AB144" s="104"/>
      <c r="AC144" s="104"/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104"/>
      <c r="AV144" s="104"/>
      <c r="AW144" s="104"/>
      <c r="AX144" s="104"/>
      <c r="AY144" s="104"/>
      <c r="AZ144" s="104"/>
      <c r="BA144" s="104"/>
      <c r="BB144" s="104"/>
      <c r="BC144" s="104"/>
      <c r="BD144" s="104"/>
      <c r="BE144" s="104"/>
      <c r="BF144" s="104"/>
      <c r="BG144" s="104"/>
      <c r="BH144" s="104"/>
      <c r="BI144" s="104"/>
      <c r="BJ144" s="104"/>
      <c r="BK144" s="104"/>
      <c r="BL144" s="104"/>
      <c r="BM144" s="104"/>
      <c r="BN144" s="104"/>
    </row>
    <row r="145">
      <c r="A145" s="104"/>
      <c r="B145" s="104"/>
      <c r="C145" s="104"/>
      <c r="D145" s="104"/>
      <c r="E145" s="104"/>
      <c r="F145" s="104"/>
      <c r="G145" s="104"/>
      <c r="H145" s="104"/>
      <c r="I145" s="104"/>
      <c r="J145" s="104"/>
      <c r="K145" s="105"/>
      <c r="L145" s="106"/>
      <c r="M145" s="104"/>
      <c r="N145" s="104"/>
      <c r="O145" s="104"/>
      <c r="P145" s="104"/>
      <c r="Q145" s="104"/>
      <c r="R145" s="106"/>
      <c r="S145" s="104"/>
      <c r="T145" s="104"/>
      <c r="U145" s="104"/>
      <c r="V145" s="104"/>
      <c r="W145" s="105"/>
      <c r="X145" s="104"/>
      <c r="Y145" s="104"/>
      <c r="Z145" s="104"/>
      <c r="AA145" s="104"/>
      <c r="AB145" s="104"/>
      <c r="AC145" s="104"/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104"/>
      <c r="AT145" s="104"/>
      <c r="AU145" s="104"/>
      <c r="AV145" s="104"/>
      <c r="AW145" s="104"/>
      <c r="AX145" s="104"/>
      <c r="AY145" s="104"/>
      <c r="AZ145" s="104"/>
      <c r="BA145" s="104"/>
      <c r="BB145" s="104"/>
      <c r="BC145" s="104"/>
      <c r="BD145" s="104"/>
      <c r="BE145" s="104"/>
      <c r="BF145" s="104"/>
      <c r="BG145" s="104"/>
      <c r="BH145" s="104"/>
      <c r="BI145" s="104"/>
      <c r="BJ145" s="104"/>
      <c r="BK145" s="104"/>
      <c r="BL145" s="104"/>
      <c r="BM145" s="104"/>
      <c r="BN145" s="104"/>
    </row>
    <row r="146">
      <c r="A146" s="104"/>
      <c r="B146" s="104"/>
      <c r="C146" s="104"/>
      <c r="D146" s="104"/>
      <c r="E146" s="104"/>
      <c r="F146" s="104"/>
      <c r="G146" s="104"/>
      <c r="H146" s="104"/>
      <c r="I146" s="104"/>
      <c r="J146" s="104"/>
      <c r="K146" s="105"/>
      <c r="L146" s="106"/>
      <c r="M146" s="104"/>
      <c r="N146" s="104"/>
      <c r="O146" s="104"/>
      <c r="P146" s="104"/>
      <c r="Q146" s="104"/>
      <c r="R146" s="106"/>
      <c r="S146" s="104"/>
      <c r="T146" s="104"/>
      <c r="U146" s="104"/>
      <c r="V146" s="104"/>
      <c r="W146" s="105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104"/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4"/>
      <c r="BE146" s="104"/>
      <c r="BF146" s="104"/>
      <c r="BG146" s="104"/>
      <c r="BH146" s="104"/>
      <c r="BI146" s="104"/>
      <c r="BJ146" s="104"/>
      <c r="BK146" s="104"/>
      <c r="BL146" s="104"/>
      <c r="BM146" s="104"/>
      <c r="BN146" s="104"/>
    </row>
    <row r="147">
      <c r="A147" s="104"/>
      <c r="B147" s="104"/>
      <c r="C147" s="104"/>
      <c r="D147" s="104"/>
      <c r="E147" s="104"/>
      <c r="F147" s="104"/>
      <c r="G147" s="104"/>
      <c r="H147" s="104"/>
      <c r="I147" s="104"/>
      <c r="J147" s="104"/>
      <c r="K147" s="105"/>
      <c r="L147" s="106"/>
      <c r="M147" s="104"/>
      <c r="N147" s="104"/>
      <c r="O147" s="104"/>
      <c r="P147" s="104"/>
      <c r="Q147" s="104"/>
      <c r="R147" s="106"/>
      <c r="S147" s="104"/>
      <c r="T147" s="104"/>
      <c r="U147" s="104"/>
      <c r="V147" s="104"/>
      <c r="W147" s="105"/>
      <c r="X147" s="104"/>
      <c r="Y147" s="104"/>
      <c r="Z147" s="104"/>
      <c r="AA147" s="104"/>
      <c r="AB147" s="104"/>
      <c r="AC147" s="104"/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104"/>
      <c r="AT147" s="104"/>
      <c r="AU147" s="104"/>
      <c r="AV147" s="104"/>
      <c r="AW147" s="104"/>
      <c r="AX147" s="104"/>
      <c r="AY147" s="104"/>
      <c r="AZ147" s="104"/>
      <c r="BA147" s="104"/>
      <c r="BB147" s="104"/>
      <c r="BC147" s="104"/>
      <c r="BD147" s="104"/>
      <c r="BE147" s="104"/>
      <c r="BF147" s="104"/>
      <c r="BG147" s="104"/>
      <c r="BH147" s="104"/>
      <c r="BI147" s="104"/>
      <c r="BJ147" s="104"/>
      <c r="BK147" s="104"/>
      <c r="BL147" s="104"/>
      <c r="BM147" s="104"/>
      <c r="BN147" s="104"/>
    </row>
    <row r="148">
      <c r="A148" s="104"/>
      <c r="B148" s="104"/>
      <c r="C148" s="104"/>
      <c r="D148" s="104"/>
      <c r="E148" s="104"/>
      <c r="F148" s="104"/>
      <c r="G148" s="104"/>
      <c r="H148" s="104"/>
      <c r="I148" s="104"/>
      <c r="J148" s="104"/>
      <c r="K148" s="105"/>
      <c r="L148" s="106"/>
      <c r="M148" s="104"/>
      <c r="N148" s="104"/>
      <c r="O148" s="104"/>
      <c r="P148" s="104"/>
      <c r="Q148" s="104"/>
      <c r="R148" s="106"/>
      <c r="S148" s="104"/>
      <c r="T148" s="104"/>
      <c r="U148" s="104"/>
      <c r="V148" s="104"/>
      <c r="W148" s="105"/>
      <c r="X148" s="104"/>
      <c r="Y148" s="104"/>
      <c r="Z148" s="104"/>
      <c r="AA148" s="104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104"/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 s="104"/>
      <c r="BG148" s="104"/>
      <c r="BH148" s="104"/>
      <c r="BI148" s="104"/>
      <c r="BJ148" s="104"/>
      <c r="BK148" s="104"/>
      <c r="BL148" s="104"/>
      <c r="BM148" s="104"/>
      <c r="BN148" s="104"/>
    </row>
    <row r="149">
      <c r="A149" s="104"/>
      <c r="B149" s="104"/>
      <c r="C149" s="104"/>
      <c r="D149" s="104"/>
      <c r="E149" s="104"/>
      <c r="F149" s="104"/>
      <c r="G149" s="104"/>
      <c r="H149" s="104"/>
      <c r="I149" s="104"/>
      <c r="J149" s="104"/>
      <c r="K149" s="105"/>
      <c r="L149" s="106"/>
      <c r="M149" s="104"/>
      <c r="N149" s="104"/>
      <c r="O149" s="104"/>
      <c r="P149" s="104"/>
      <c r="Q149" s="104"/>
      <c r="R149" s="106"/>
      <c r="S149" s="104"/>
      <c r="T149" s="104"/>
      <c r="U149" s="104"/>
      <c r="V149" s="104"/>
      <c r="W149" s="105"/>
      <c r="X149" s="104"/>
      <c r="Y149" s="104"/>
      <c r="Z149" s="104"/>
      <c r="AA149" s="104"/>
      <c r="AB149" s="104"/>
      <c r="AC149" s="104"/>
      <c r="AD149" s="104"/>
      <c r="AE149" s="104"/>
      <c r="AF149" s="104"/>
      <c r="AG149" s="104"/>
      <c r="AH149" s="104"/>
      <c r="AI149" s="104"/>
      <c r="AJ149" s="104"/>
      <c r="AK149" s="104"/>
      <c r="AL149" s="104"/>
      <c r="AM149" s="104"/>
      <c r="AN149" s="104"/>
      <c r="AO149" s="104"/>
      <c r="AP149" s="104"/>
      <c r="AQ149" s="104"/>
      <c r="AR149" s="104"/>
      <c r="AS149" s="104"/>
      <c r="AT149" s="104"/>
      <c r="AU149" s="104"/>
      <c r="AV149" s="104"/>
      <c r="AW149" s="104"/>
      <c r="AX149" s="104"/>
      <c r="AY149" s="104"/>
      <c r="AZ149" s="104"/>
      <c r="BA149" s="104"/>
      <c r="BB149" s="104"/>
      <c r="BC149" s="104"/>
      <c r="BD149" s="104"/>
      <c r="BE149" s="104"/>
      <c r="BF149" s="104"/>
      <c r="BG149" s="104"/>
      <c r="BH149" s="104"/>
      <c r="BI149" s="104"/>
      <c r="BJ149" s="104"/>
      <c r="BK149" s="104"/>
      <c r="BL149" s="104"/>
      <c r="BM149" s="104"/>
      <c r="BN149" s="104"/>
    </row>
    <row r="150">
      <c r="A150" s="104"/>
      <c r="B150" s="104"/>
      <c r="C150" s="104"/>
      <c r="D150" s="104"/>
      <c r="E150" s="104"/>
      <c r="F150" s="104"/>
      <c r="G150" s="104"/>
      <c r="H150" s="104"/>
      <c r="I150" s="104"/>
      <c r="J150" s="104"/>
      <c r="K150" s="105"/>
      <c r="L150" s="106"/>
      <c r="M150" s="104"/>
      <c r="N150" s="104"/>
      <c r="O150" s="104"/>
      <c r="P150" s="104"/>
      <c r="Q150" s="104"/>
      <c r="R150" s="106"/>
      <c r="S150" s="104"/>
      <c r="T150" s="104"/>
      <c r="U150" s="104"/>
      <c r="V150" s="104"/>
      <c r="W150" s="105"/>
      <c r="X150" s="104"/>
      <c r="Y150" s="104"/>
      <c r="Z150" s="104"/>
      <c r="AA150" s="104"/>
      <c r="AB150" s="104"/>
      <c r="AC150" s="104"/>
      <c r="AD150" s="104"/>
      <c r="AE150" s="104"/>
      <c r="AF150" s="104"/>
      <c r="AG150" s="104"/>
      <c r="AH150" s="104"/>
      <c r="AI150" s="104"/>
      <c r="AJ150" s="104"/>
      <c r="AK150" s="104"/>
      <c r="AL150" s="104"/>
      <c r="AM150" s="104"/>
      <c r="AN150" s="104"/>
      <c r="AO150" s="104"/>
      <c r="AP150" s="104"/>
      <c r="AQ150" s="104"/>
      <c r="AR150" s="104"/>
      <c r="AS150" s="104"/>
      <c r="AT150" s="104"/>
      <c r="AU150" s="104"/>
      <c r="AV150" s="104"/>
      <c r="AW150" s="104"/>
      <c r="AX150" s="104"/>
      <c r="AY150" s="104"/>
      <c r="AZ150" s="104"/>
      <c r="BA150" s="104"/>
      <c r="BB150" s="104"/>
      <c r="BC150" s="104"/>
      <c r="BD150" s="104"/>
      <c r="BE150" s="104"/>
      <c r="BF150" s="104"/>
      <c r="BG150" s="104"/>
      <c r="BH150" s="104"/>
      <c r="BI150" s="104"/>
      <c r="BJ150" s="104"/>
      <c r="BK150" s="104"/>
      <c r="BL150" s="104"/>
      <c r="BM150" s="104"/>
      <c r="BN150" s="104"/>
    </row>
    <row r="151">
      <c r="A151" s="104"/>
      <c r="B151" s="104"/>
      <c r="C151" s="104"/>
      <c r="D151" s="104"/>
      <c r="E151" s="104"/>
      <c r="F151" s="104"/>
      <c r="G151" s="104"/>
      <c r="H151" s="104"/>
      <c r="I151" s="104"/>
      <c r="J151" s="104"/>
      <c r="K151" s="105"/>
      <c r="L151" s="106"/>
      <c r="M151" s="104"/>
      <c r="N151" s="104"/>
      <c r="O151" s="104"/>
      <c r="P151" s="104"/>
      <c r="Q151" s="104"/>
      <c r="R151" s="106"/>
      <c r="S151" s="104"/>
      <c r="T151" s="104"/>
      <c r="U151" s="104"/>
      <c r="V151" s="104"/>
      <c r="W151" s="105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 s="104"/>
      <c r="BG151" s="104"/>
      <c r="BH151" s="104"/>
      <c r="BI151" s="104"/>
      <c r="BJ151" s="104"/>
      <c r="BK151" s="104"/>
      <c r="BL151" s="104"/>
      <c r="BM151" s="104"/>
      <c r="BN151" s="104"/>
    </row>
    <row r="152">
      <c r="A152" s="104"/>
      <c r="B152" s="104"/>
      <c r="C152" s="104"/>
      <c r="D152" s="104"/>
      <c r="E152" s="104"/>
      <c r="F152" s="104"/>
      <c r="G152" s="104"/>
      <c r="H152" s="104"/>
      <c r="I152" s="104"/>
      <c r="J152" s="104"/>
      <c r="K152" s="105"/>
      <c r="L152" s="106"/>
      <c r="M152" s="104"/>
      <c r="N152" s="104"/>
      <c r="O152" s="104"/>
      <c r="P152" s="104"/>
      <c r="Q152" s="104"/>
      <c r="R152" s="106"/>
      <c r="S152" s="104"/>
      <c r="T152" s="104"/>
      <c r="U152" s="104"/>
      <c r="V152" s="104"/>
      <c r="W152" s="105"/>
      <c r="X152" s="104"/>
      <c r="Y152" s="104"/>
      <c r="Z152" s="104"/>
      <c r="AA152" s="104"/>
      <c r="AB152" s="104"/>
      <c r="AC152" s="104"/>
      <c r="AD152" s="104"/>
      <c r="AE152" s="104"/>
      <c r="AF152" s="104"/>
      <c r="AG152" s="104"/>
      <c r="AH152" s="104"/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104"/>
      <c r="AS152" s="104"/>
      <c r="AT152" s="104"/>
      <c r="AU152" s="104"/>
      <c r="AV152" s="104"/>
      <c r="AW152" s="104"/>
      <c r="AX152" s="104"/>
      <c r="AY152" s="104"/>
      <c r="AZ152" s="104"/>
      <c r="BA152" s="104"/>
      <c r="BB152" s="104"/>
      <c r="BC152" s="104"/>
      <c r="BD152" s="104"/>
      <c r="BE152" s="104"/>
      <c r="BF152" s="104"/>
      <c r="BG152" s="104"/>
      <c r="BH152" s="104"/>
      <c r="BI152" s="104"/>
      <c r="BJ152" s="104"/>
      <c r="BK152" s="104"/>
      <c r="BL152" s="104"/>
      <c r="BM152" s="104"/>
      <c r="BN152" s="104"/>
    </row>
    <row r="153">
      <c r="A153" s="104"/>
      <c r="B153" s="104"/>
      <c r="C153" s="104"/>
      <c r="D153" s="104"/>
      <c r="E153" s="104"/>
      <c r="F153" s="104"/>
      <c r="G153" s="104"/>
      <c r="H153" s="104"/>
      <c r="I153" s="104"/>
      <c r="J153" s="104"/>
      <c r="K153" s="105"/>
      <c r="L153" s="106"/>
      <c r="M153" s="104"/>
      <c r="N153" s="104"/>
      <c r="O153" s="104"/>
      <c r="P153" s="104"/>
      <c r="Q153" s="104"/>
      <c r="R153" s="106"/>
      <c r="S153" s="104"/>
      <c r="T153" s="104"/>
      <c r="U153" s="104"/>
      <c r="V153" s="104"/>
      <c r="W153" s="105"/>
      <c r="X153" s="104"/>
      <c r="Y153" s="104"/>
      <c r="Z153" s="104"/>
      <c r="AA153" s="104"/>
      <c r="AB153" s="104"/>
      <c r="AC153" s="104"/>
      <c r="AD153" s="104"/>
      <c r="AE153" s="104"/>
      <c r="AF153" s="104"/>
      <c r="AG153" s="104"/>
      <c r="AH153" s="104"/>
      <c r="AI153" s="104"/>
      <c r="AJ153" s="104"/>
      <c r="AK153" s="104"/>
      <c r="AL153" s="104"/>
      <c r="AM153" s="104"/>
      <c r="AN153" s="104"/>
      <c r="AO153" s="104"/>
      <c r="AP153" s="104"/>
      <c r="AQ153" s="104"/>
      <c r="AR153" s="104"/>
      <c r="AS153" s="104"/>
      <c r="AT153" s="104"/>
      <c r="AU153" s="104"/>
      <c r="AV153" s="104"/>
      <c r="AW153" s="104"/>
      <c r="AX153" s="104"/>
      <c r="AY153" s="104"/>
      <c r="AZ153" s="104"/>
      <c r="BA153" s="104"/>
      <c r="BB153" s="104"/>
      <c r="BC153" s="104"/>
      <c r="BD153" s="104"/>
      <c r="BE153" s="104"/>
      <c r="BF153" s="104"/>
      <c r="BG153" s="104"/>
      <c r="BH153" s="104"/>
      <c r="BI153" s="104"/>
      <c r="BJ153" s="104"/>
      <c r="BK153" s="104"/>
      <c r="BL153" s="104"/>
      <c r="BM153" s="104"/>
      <c r="BN153" s="104"/>
    </row>
    <row r="154">
      <c r="A154" s="104"/>
      <c r="B154" s="104"/>
      <c r="C154" s="104"/>
      <c r="D154" s="104"/>
      <c r="E154" s="104"/>
      <c r="F154" s="104"/>
      <c r="G154" s="104"/>
      <c r="H154" s="104"/>
      <c r="I154" s="104"/>
      <c r="J154" s="104"/>
      <c r="K154" s="105"/>
      <c r="L154" s="106"/>
      <c r="M154" s="104"/>
      <c r="N154" s="104"/>
      <c r="O154" s="104"/>
      <c r="P154" s="104"/>
      <c r="Q154" s="104"/>
      <c r="R154" s="106"/>
      <c r="S154" s="104"/>
      <c r="T154" s="104"/>
      <c r="U154" s="104"/>
      <c r="V154" s="104"/>
      <c r="W154" s="105"/>
      <c r="X154" s="104"/>
      <c r="Y154" s="104"/>
      <c r="Z154" s="104"/>
      <c r="AA154" s="104"/>
      <c r="AB154" s="104"/>
      <c r="AC154" s="104"/>
      <c r="AD154" s="104"/>
      <c r="AE154" s="104"/>
      <c r="AF154" s="104"/>
      <c r="AG154" s="104"/>
      <c r="AH154" s="104"/>
      <c r="AI154" s="104"/>
      <c r="AJ154" s="104"/>
      <c r="AK154" s="104"/>
      <c r="AL154" s="104"/>
      <c r="AM154" s="104"/>
      <c r="AN154" s="104"/>
      <c r="AO154" s="104"/>
      <c r="AP154" s="104"/>
      <c r="AQ154" s="104"/>
      <c r="AR154" s="104"/>
      <c r="AS154" s="104"/>
      <c r="AT154" s="104"/>
      <c r="AU154" s="104"/>
      <c r="AV154" s="104"/>
      <c r="AW154" s="104"/>
      <c r="AX154" s="104"/>
      <c r="AY154" s="104"/>
      <c r="AZ154" s="104"/>
      <c r="BA154" s="104"/>
      <c r="BB154" s="104"/>
      <c r="BC154" s="104"/>
      <c r="BD154" s="104"/>
      <c r="BE154" s="104"/>
      <c r="BF154" s="104"/>
      <c r="BG154" s="104"/>
      <c r="BH154" s="104"/>
      <c r="BI154" s="104"/>
      <c r="BJ154" s="104"/>
      <c r="BK154" s="104"/>
      <c r="BL154" s="104"/>
      <c r="BM154" s="104"/>
      <c r="BN154" s="104"/>
    </row>
    <row r="155">
      <c r="A155" s="104"/>
      <c r="B155" s="104"/>
      <c r="C155" s="104"/>
      <c r="D155" s="104"/>
      <c r="E155" s="104"/>
      <c r="F155" s="104"/>
      <c r="G155" s="104"/>
      <c r="H155" s="104"/>
      <c r="I155" s="104"/>
      <c r="J155" s="104"/>
      <c r="K155" s="105"/>
      <c r="L155" s="106"/>
      <c r="M155" s="104"/>
      <c r="N155" s="104"/>
      <c r="O155" s="104"/>
      <c r="P155" s="104"/>
      <c r="Q155" s="104"/>
      <c r="R155" s="106"/>
      <c r="S155" s="104"/>
      <c r="T155" s="104"/>
      <c r="U155" s="104"/>
      <c r="V155" s="104"/>
      <c r="W155" s="105"/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  <c r="AH155" s="104"/>
      <c r="AI155" s="104"/>
      <c r="AJ155" s="104"/>
      <c r="AK155" s="104"/>
      <c r="AL155" s="104"/>
      <c r="AM155" s="104"/>
      <c r="AN155" s="104"/>
      <c r="AO155" s="104"/>
      <c r="AP155" s="104"/>
      <c r="AQ155" s="104"/>
      <c r="AR155" s="104"/>
      <c r="AS155" s="104"/>
      <c r="AT155" s="104"/>
      <c r="AU155" s="104"/>
      <c r="AV155" s="104"/>
      <c r="AW155" s="104"/>
      <c r="AX155" s="104"/>
      <c r="AY155" s="104"/>
      <c r="AZ155" s="104"/>
      <c r="BA155" s="104"/>
      <c r="BB155" s="104"/>
      <c r="BC155" s="104"/>
      <c r="BD155" s="104"/>
      <c r="BE155" s="104"/>
      <c r="BF155" s="104"/>
      <c r="BG155" s="104"/>
      <c r="BH155" s="104"/>
      <c r="BI155" s="104"/>
      <c r="BJ155" s="104"/>
      <c r="BK155" s="104"/>
      <c r="BL155" s="104"/>
      <c r="BM155" s="104"/>
      <c r="BN155" s="104"/>
    </row>
    <row r="156">
      <c r="A156" s="104"/>
      <c r="B156" s="104"/>
      <c r="C156" s="104"/>
      <c r="D156" s="104"/>
      <c r="E156" s="104"/>
      <c r="F156" s="104"/>
      <c r="G156" s="104"/>
      <c r="H156" s="104"/>
      <c r="I156" s="104"/>
      <c r="J156" s="104"/>
      <c r="K156" s="105"/>
      <c r="L156" s="106"/>
      <c r="M156" s="104"/>
      <c r="N156" s="104"/>
      <c r="O156" s="104"/>
      <c r="P156" s="104"/>
      <c r="Q156" s="104"/>
      <c r="R156" s="106"/>
      <c r="S156" s="104"/>
      <c r="T156" s="104"/>
      <c r="U156" s="104"/>
      <c r="V156" s="104"/>
      <c r="W156" s="105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/>
      <c r="BE156" s="104"/>
      <c r="BF156" s="104"/>
      <c r="BG156" s="104"/>
      <c r="BH156" s="104"/>
      <c r="BI156" s="104"/>
      <c r="BJ156" s="104"/>
      <c r="BK156" s="104"/>
      <c r="BL156" s="104"/>
      <c r="BM156" s="104"/>
      <c r="BN156" s="104"/>
    </row>
    <row r="157">
      <c r="A157" s="104"/>
      <c r="B157" s="104"/>
      <c r="C157" s="104"/>
      <c r="D157" s="104"/>
      <c r="E157" s="104"/>
      <c r="F157" s="104"/>
      <c r="G157" s="104"/>
      <c r="H157" s="104"/>
      <c r="I157" s="104"/>
      <c r="J157" s="104"/>
      <c r="K157" s="105"/>
      <c r="L157" s="106"/>
      <c r="M157" s="104"/>
      <c r="N157" s="104"/>
      <c r="O157" s="104"/>
      <c r="P157" s="104"/>
      <c r="Q157" s="104"/>
      <c r="R157" s="106"/>
      <c r="S157" s="104"/>
      <c r="T157" s="104"/>
      <c r="U157" s="104"/>
      <c r="V157" s="104"/>
      <c r="W157" s="105"/>
      <c r="X157" s="104"/>
      <c r="Y157" s="104"/>
      <c r="Z157" s="104"/>
      <c r="AA157" s="104"/>
      <c r="AB157" s="104"/>
      <c r="AC157" s="104"/>
      <c r="AD157" s="104"/>
      <c r="AE157" s="104"/>
      <c r="AF157" s="104"/>
      <c r="AG157" s="104"/>
      <c r="AH157" s="104"/>
      <c r="AI157" s="104"/>
      <c r="AJ157" s="104"/>
      <c r="AK157" s="104"/>
      <c r="AL157" s="104"/>
      <c r="AM157" s="104"/>
      <c r="AN157" s="104"/>
      <c r="AO157" s="104"/>
      <c r="AP157" s="104"/>
      <c r="AQ157" s="104"/>
      <c r="AR157" s="104"/>
      <c r="AS157" s="104"/>
      <c r="AT157" s="104"/>
      <c r="AU157" s="104"/>
      <c r="AV157" s="104"/>
      <c r="AW157" s="104"/>
      <c r="AX157" s="104"/>
      <c r="AY157" s="104"/>
      <c r="AZ157" s="104"/>
      <c r="BA157" s="104"/>
      <c r="BB157" s="104"/>
      <c r="BC157" s="104"/>
      <c r="BD157" s="104"/>
      <c r="BE157" s="104"/>
      <c r="BF157" s="104"/>
      <c r="BG157" s="104"/>
      <c r="BH157" s="104"/>
      <c r="BI157" s="104"/>
      <c r="BJ157" s="104"/>
      <c r="BK157" s="104"/>
      <c r="BL157" s="104"/>
      <c r="BM157" s="104"/>
      <c r="BN157" s="104"/>
    </row>
    <row r="158">
      <c r="A158" s="104"/>
      <c r="B158" s="104"/>
      <c r="C158" s="104"/>
      <c r="D158" s="104"/>
      <c r="E158" s="104"/>
      <c r="F158" s="104"/>
      <c r="G158" s="104"/>
      <c r="H158" s="104"/>
      <c r="I158" s="104"/>
      <c r="J158" s="104"/>
      <c r="K158" s="105"/>
      <c r="L158" s="106"/>
      <c r="M158" s="104"/>
      <c r="N158" s="104"/>
      <c r="O158" s="104"/>
      <c r="P158" s="104"/>
      <c r="Q158" s="104"/>
      <c r="R158" s="106"/>
      <c r="S158" s="104"/>
      <c r="T158" s="104"/>
      <c r="U158" s="104"/>
      <c r="V158" s="104"/>
      <c r="W158" s="105"/>
      <c r="X158" s="104"/>
      <c r="Y158" s="104"/>
      <c r="Z158" s="104"/>
      <c r="AA158" s="104"/>
      <c r="AB158" s="104"/>
      <c r="AC158" s="104"/>
      <c r="AD158" s="104"/>
      <c r="AE158" s="104"/>
      <c r="AF158" s="104"/>
      <c r="AG158" s="104"/>
      <c r="AH158" s="104"/>
      <c r="AI158" s="104"/>
      <c r="AJ158" s="104"/>
      <c r="AK158" s="104"/>
      <c r="AL158" s="104"/>
      <c r="AM158" s="104"/>
      <c r="AN158" s="104"/>
      <c r="AO158" s="104"/>
      <c r="AP158" s="104"/>
      <c r="AQ158" s="104"/>
      <c r="AR158" s="104"/>
      <c r="AS158" s="104"/>
      <c r="AT158" s="104"/>
      <c r="AU158" s="104"/>
      <c r="AV158" s="104"/>
      <c r="AW158" s="104"/>
      <c r="AX158" s="104"/>
      <c r="AY158" s="104"/>
      <c r="AZ158" s="104"/>
      <c r="BA158" s="104"/>
      <c r="BB158" s="104"/>
      <c r="BC158" s="104"/>
      <c r="BD158" s="104"/>
      <c r="BE158" s="104"/>
      <c r="BF158" s="104"/>
      <c r="BG158" s="104"/>
      <c r="BH158" s="104"/>
      <c r="BI158" s="104"/>
      <c r="BJ158" s="104"/>
      <c r="BK158" s="104"/>
      <c r="BL158" s="104"/>
      <c r="BM158" s="104"/>
      <c r="BN158" s="104"/>
    </row>
    <row r="159">
      <c r="A159" s="104"/>
      <c r="B159" s="104"/>
      <c r="C159" s="104"/>
      <c r="D159" s="104"/>
      <c r="E159" s="104"/>
      <c r="F159" s="104"/>
      <c r="G159" s="104"/>
      <c r="H159" s="104"/>
      <c r="I159" s="104"/>
      <c r="J159" s="104"/>
      <c r="K159" s="105"/>
      <c r="L159" s="106"/>
      <c r="M159" s="104"/>
      <c r="N159" s="104"/>
      <c r="O159" s="104"/>
      <c r="P159" s="104"/>
      <c r="Q159" s="104"/>
      <c r="R159" s="106"/>
      <c r="S159" s="104"/>
      <c r="T159" s="104"/>
      <c r="U159" s="104"/>
      <c r="V159" s="104"/>
      <c r="W159" s="105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  <c r="AH159" s="104"/>
      <c r="AI159" s="104"/>
      <c r="AJ159" s="104"/>
      <c r="AK159" s="104"/>
      <c r="AL159" s="104"/>
      <c r="AM159" s="104"/>
      <c r="AN159" s="104"/>
      <c r="AO159" s="104"/>
      <c r="AP159" s="104"/>
      <c r="AQ159" s="104"/>
      <c r="AR159" s="104"/>
      <c r="AS159" s="104"/>
      <c r="AT159" s="104"/>
      <c r="AU159" s="104"/>
      <c r="AV159" s="104"/>
      <c r="AW159" s="104"/>
      <c r="AX159" s="104"/>
      <c r="AY159" s="104"/>
      <c r="AZ159" s="104"/>
      <c r="BA159" s="104"/>
      <c r="BB159" s="104"/>
      <c r="BC159" s="104"/>
      <c r="BD159" s="104"/>
      <c r="BE159" s="104"/>
      <c r="BF159" s="104"/>
      <c r="BG159" s="104"/>
      <c r="BH159" s="104"/>
      <c r="BI159" s="104"/>
      <c r="BJ159" s="104"/>
      <c r="BK159" s="104"/>
      <c r="BL159" s="104"/>
      <c r="BM159" s="104"/>
      <c r="BN159" s="104"/>
    </row>
    <row r="160">
      <c r="A160" s="104"/>
      <c r="B160" s="104"/>
      <c r="C160" s="104"/>
      <c r="D160" s="104"/>
      <c r="E160" s="104"/>
      <c r="F160" s="104"/>
      <c r="G160" s="104"/>
      <c r="H160" s="104"/>
      <c r="I160" s="104"/>
      <c r="J160" s="104"/>
      <c r="K160" s="105"/>
      <c r="L160" s="106"/>
      <c r="M160" s="104"/>
      <c r="N160" s="104"/>
      <c r="O160" s="104"/>
      <c r="P160" s="104"/>
      <c r="Q160" s="104"/>
      <c r="R160" s="106"/>
      <c r="S160" s="104"/>
      <c r="T160" s="104"/>
      <c r="U160" s="104"/>
      <c r="V160" s="104"/>
      <c r="W160" s="105"/>
      <c r="X160" s="104"/>
      <c r="Y160" s="104"/>
      <c r="Z160" s="104"/>
      <c r="AA160" s="104"/>
      <c r="AB160" s="104"/>
      <c r="AC160" s="104"/>
      <c r="AD160" s="104"/>
      <c r="AE160" s="104"/>
      <c r="AF160" s="104"/>
      <c r="AG160" s="104"/>
      <c r="AH160" s="104"/>
      <c r="AI160" s="104"/>
      <c r="AJ160" s="104"/>
      <c r="AK160" s="104"/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</row>
    <row r="161">
      <c r="A161" s="104"/>
      <c r="B161" s="104"/>
      <c r="C161" s="104"/>
      <c r="D161" s="104"/>
      <c r="E161" s="104"/>
      <c r="F161" s="104"/>
      <c r="G161" s="104"/>
      <c r="H161" s="104"/>
      <c r="I161" s="104"/>
      <c r="J161" s="104"/>
      <c r="K161" s="105"/>
      <c r="L161" s="106"/>
      <c r="M161" s="104"/>
      <c r="N161" s="104"/>
      <c r="O161" s="104"/>
      <c r="P161" s="104"/>
      <c r="Q161" s="104"/>
      <c r="R161" s="106"/>
      <c r="S161" s="104"/>
      <c r="T161" s="104"/>
      <c r="U161" s="104"/>
      <c r="V161" s="104"/>
      <c r="W161" s="105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  <c r="AH161" s="104"/>
      <c r="AI161" s="104"/>
      <c r="AJ161" s="104"/>
      <c r="AK161" s="104"/>
      <c r="AL161" s="104"/>
      <c r="AM161" s="104"/>
      <c r="AN161" s="104"/>
      <c r="AO161" s="104"/>
      <c r="AP161" s="104"/>
      <c r="AQ161" s="104"/>
      <c r="AR161" s="104"/>
      <c r="AS161" s="104"/>
      <c r="AT161" s="104"/>
      <c r="AU161" s="104"/>
      <c r="AV161" s="104"/>
      <c r="AW161" s="104"/>
      <c r="AX161" s="104"/>
      <c r="AY161" s="104"/>
      <c r="AZ161" s="104"/>
      <c r="BA161" s="104"/>
      <c r="BB161" s="104"/>
      <c r="BC161" s="104"/>
      <c r="BD161" s="104"/>
      <c r="BE161" s="104"/>
      <c r="BF161" s="104"/>
      <c r="BG161" s="104"/>
      <c r="BH161" s="104"/>
      <c r="BI161" s="104"/>
      <c r="BJ161" s="104"/>
      <c r="BK161" s="104"/>
      <c r="BL161" s="104"/>
      <c r="BM161" s="104"/>
      <c r="BN161" s="104"/>
    </row>
    <row r="162">
      <c r="A162" s="104"/>
      <c r="B162" s="104"/>
      <c r="C162" s="104"/>
      <c r="D162" s="104"/>
      <c r="E162" s="104"/>
      <c r="F162" s="104"/>
      <c r="G162" s="104"/>
      <c r="H162" s="104"/>
      <c r="I162" s="104"/>
      <c r="J162" s="104"/>
      <c r="K162" s="105"/>
      <c r="L162" s="106"/>
      <c r="M162" s="104"/>
      <c r="N162" s="104"/>
      <c r="O162" s="104"/>
      <c r="P162" s="104"/>
      <c r="Q162" s="104"/>
      <c r="R162" s="106"/>
      <c r="S162" s="104"/>
      <c r="T162" s="104"/>
      <c r="U162" s="104"/>
      <c r="V162" s="104"/>
      <c r="W162" s="105"/>
      <c r="X162" s="104"/>
      <c r="Y162" s="104"/>
      <c r="Z162" s="104"/>
      <c r="AA162" s="104"/>
      <c r="AB162" s="104"/>
      <c r="AC162" s="104"/>
      <c r="AD162" s="104"/>
      <c r="AE162" s="104"/>
      <c r="AF162" s="104"/>
      <c r="AG162" s="104"/>
      <c r="AH162" s="104"/>
      <c r="AI162" s="104"/>
      <c r="AJ162" s="104"/>
      <c r="AK162" s="104"/>
      <c r="AL162" s="104"/>
      <c r="AM162" s="104"/>
      <c r="AN162" s="104"/>
      <c r="AO162" s="104"/>
      <c r="AP162" s="104"/>
      <c r="AQ162" s="104"/>
      <c r="AR162" s="104"/>
      <c r="AS162" s="104"/>
      <c r="AT162" s="104"/>
      <c r="AU162" s="104"/>
      <c r="AV162" s="104"/>
      <c r="AW162" s="104"/>
      <c r="AX162" s="104"/>
      <c r="AY162" s="104"/>
      <c r="AZ162" s="104"/>
      <c r="BA162" s="104"/>
      <c r="BB162" s="104"/>
      <c r="BC162" s="104"/>
      <c r="BD162" s="104"/>
      <c r="BE162" s="104"/>
      <c r="BF162" s="104"/>
      <c r="BG162" s="104"/>
      <c r="BH162" s="104"/>
      <c r="BI162" s="104"/>
      <c r="BJ162" s="104"/>
      <c r="BK162" s="104"/>
      <c r="BL162" s="104"/>
      <c r="BM162" s="104"/>
      <c r="BN162" s="104"/>
    </row>
    <row r="163">
      <c r="A163" s="104"/>
      <c r="B163" s="104"/>
      <c r="C163" s="104"/>
      <c r="D163" s="104"/>
      <c r="E163" s="104"/>
      <c r="F163" s="104"/>
      <c r="G163" s="104"/>
      <c r="H163" s="104"/>
      <c r="I163" s="104"/>
      <c r="J163" s="104"/>
      <c r="K163" s="105"/>
      <c r="L163" s="106"/>
      <c r="M163" s="104"/>
      <c r="N163" s="104"/>
      <c r="O163" s="104"/>
      <c r="P163" s="104"/>
      <c r="Q163" s="104"/>
      <c r="R163" s="106"/>
      <c r="S163" s="104"/>
      <c r="T163" s="104"/>
      <c r="U163" s="104"/>
      <c r="V163" s="104"/>
      <c r="W163" s="105"/>
      <c r="X163" s="104"/>
      <c r="Y163" s="104"/>
      <c r="Z163" s="104"/>
      <c r="AA163" s="104"/>
      <c r="AB163" s="104"/>
      <c r="AC163" s="104"/>
      <c r="AD163" s="104"/>
      <c r="AE163" s="104"/>
      <c r="AF163" s="104"/>
      <c r="AG163" s="104"/>
      <c r="AH163" s="104"/>
      <c r="AI163" s="104"/>
      <c r="AJ163" s="104"/>
      <c r="AK163" s="104"/>
      <c r="AL163" s="104"/>
      <c r="AM163" s="104"/>
      <c r="AN163" s="104"/>
      <c r="AO163" s="104"/>
      <c r="AP163" s="104"/>
      <c r="AQ163" s="104"/>
      <c r="AR163" s="104"/>
      <c r="AS163" s="104"/>
      <c r="AT163" s="104"/>
      <c r="AU163" s="104"/>
      <c r="AV163" s="104"/>
      <c r="AW163" s="104"/>
      <c r="AX163" s="104"/>
      <c r="AY163" s="104"/>
      <c r="AZ163" s="104"/>
      <c r="BA163" s="104"/>
      <c r="BB163" s="104"/>
      <c r="BC163" s="104"/>
      <c r="BD163" s="104"/>
      <c r="BE163" s="104"/>
      <c r="BF163" s="104"/>
      <c r="BG163" s="104"/>
      <c r="BH163" s="104"/>
      <c r="BI163" s="104"/>
      <c r="BJ163" s="104"/>
      <c r="BK163" s="104"/>
      <c r="BL163" s="104"/>
      <c r="BM163" s="104"/>
      <c r="BN163" s="104"/>
    </row>
    <row r="164">
      <c r="A164" s="104"/>
      <c r="B164" s="104"/>
      <c r="C164" s="104"/>
      <c r="D164" s="104"/>
      <c r="E164" s="104"/>
      <c r="F164" s="104"/>
      <c r="G164" s="104"/>
      <c r="H164" s="104"/>
      <c r="I164" s="104"/>
      <c r="J164" s="104"/>
      <c r="K164" s="105"/>
      <c r="L164" s="106"/>
      <c r="M164" s="104"/>
      <c r="N164" s="104"/>
      <c r="O164" s="104"/>
      <c r="P164" s="104"/>
      <c r="Q164" s="104"/>
      <c r="R164" s="106"/>
      <c r="S164" s="104"/>
      <c r="T164" s="104"/>
      <c r="U164" s="104"/>
      <c r="V164" s="104"/>
      <c r="W164" s="105"/>
      <c r="X164" s="104"/>
      <c r="Y164" s="104"/>
      <c r="Z164" s="104"/>
      <c r="AA164" s="104"/>
      <c r="AB164" s="104"/>
      <c r="AC164" s="104"/>
      <c r="AD164" s="104"/>
      <c r="AE164" s="104"/>
      <c r="AF164" s="104"/>
      <c r="AG164" s="104"/>
      <c r="AH164" s="104"/>
      <c r="AI164" s="104"/>
      <c r="AJ164" s="104"/>
      <c r="AK164" s="104"/>
      <c r="AL164" s="104"/>
      <c r="AM164" s="104"/>
      <c r="AN164" s="104"/>
      <c r="AO164" s="104"/>
      <c r="AP164" s="104"/>
      <c r="AQ164" s="104"/>
      <c r="AR164" s="104"/>
      <c r="AS164" s="104"/>
      <c r="AT164" s="10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/>
      <c r="BF164" s="104"/>
      <c r="BG164" s="104"/>
      <c r="BH164" s="104"/>
      <c r="BI164" s="104"/>
      <c r="BJ164" s="104"/>
      <c r="BK164" s="104"/>
      <c r="BL164" s="104"/>
      <c r="BM164" s="104"/>
      <c r="BN164" s="104"/>
    </row>
    <row r="165">
      <c r="A165" s="104"/>
      <c r="B165" s="104"/>
      <c r="C165" s="104"/>
      <c r="D165" s="104"/>
      <c r="E165" s="104"/>
      <c r="F165" s="104"/>
      <c r="G165" s="104"/>
      <c r="H165" s="104"/>
      <c r="I165" s="104"/>
      <c r="J165" s="104"/>
      <c r="K165" s="105"/>
      <c r="L165" s="106"/>
      <c r="M165" s="104"/>
      <c r="N165" s="104"/>
      <c r="O165" s="104"/>
      <c r="P165" s="104"/>
      <c r="Q165" s="104"/>
      <c r="R165" s="106"/>
      <c r="S165" s="104"/>
      <c r="T165" s="104"/>
      <c r="U165" s="104"/>
      <c r="V165" s="104"/>
      <c r="W165" s="105"/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104"/>
      <c r="AS165" s="104"/>
      <c r="AT165" s="104"/>
      <c r="AU165" s="104"/>
      <c r="AV165" s="104"/>
      <c r="AW165" s="104"/>
      <c r="AX165" s="104"/>
      <c r="AY165" s="104"/>
      <c r="AZ165" s="104"/>
      <c r="BA165" s="104"/>
      <c r="BB165" s="104"/>
      <c r="BC165" s="104"/>
      <c r="BD165" s="104"/>
      <c r="BE165" s="104"/>
      <c r="BF165" s="104"/>
      <c r="BG165" s="104"/>
      <c r="BH165" s="104"/>
      <c r="BI165" s="104"/>
      <c r="BJ165" s="104"/>
      <c r="BK165" s="104"/>
      <c r="BL165" s="104"/>
      <c r="BM165" s="104"/>
      <c r="BN165" s="104"/>
    </row>
    <row r="166">
      <c r="A166" s="104"/>
      <c r="B166" s="104"/>
      <c r="C166" s="104"/>
      <c r="D166" s="104"/>
      <c r="E166" s="104"/>
      <c r="F166" s="104"/>
      <c r="G166" s="104"/>
      <c r="H166" s="104"/>
      <c r="I166" s="104"/>
      <c r="J166" s="104"/>
      <c r="K166" s="105"/>
      <c r="L166" s="106"/>
      <c r="M166" s="104"/>
      <c r="N166" s="104"/>
      <c r="O166" s="104"/>
      <c r="P166" s="104"/>
      <c r="Q166" s="104"/>
      <c r="R166" s="106"/>
      <c r="S166" s="104"/>
      <c r="T166" s="104"/>
      <c r="U166" s="104"/>
      <c r="V166" s="104"/>
      <c r="W166" s="105"/>
      <c r="X166" s="104"/>
      <c r="Y166" s="104"/>
      <c r="Z166" s="104"/>
      <c r="AA166" s="104"/>
      <c r="AB166" s="104"/>
      <c r="AC166" s="104"/>
      <c r="AD166" s="104"/>
      <c r="AE166" s="104"/>
      <c r="AF166" s="104"/>
      <c r="AG166" s="104"/>
      <c r="AH166" s="104"/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104"/>
      <c r="AS166" s="104"/>
      <c r="AT166" s="104"/>
      <c r="AU166" s="104"/>
      <c r="AV166" s="104"/>
      <c r="AW166" s="104"/>
      <c r="AX166" s="104"/>
      <c r="AY166" s="104"/>
      <c r="AZ166" s="104"/>
      <c r="BA166" s="104"/>
      <c r="BB166" s="104"/>
      <c r="BC166" s="104"/>
      <c r="BD166" s="104"/>
      <c r="BE166" s="104"/>
      <c r="BF166" s="104"/>
      <c r="BG166" s="104"/>
      <c r="BH166" s="104"/>
      <c r="BI166" s="104"/>
      <c r="BJ166" s="104"/>
      <c r="BK166" s="104"/>
      <c r="BL166" s="104"/>
      <c r="BM166" s="104"/>
      <c r="BN166" s="104"/>
    </row>
    <row r="167">
      <c r="A167" s="104"/>
      <c r="B167" s="104"/>
      <c r="C167" s="104"/>
      <c r="D167" s="104"/>
      <c r="E167" s="104"/>
      <c r="F167" s="104"/>
      <c r="G167" s="104"/>
      <c r="H167" s="104"/>
      <c r="I167" s="104"/>
      <c r="J167" s="104"/>
      <c r="K167" s="105"/>
      <c r="L167" s="106"/>
      <c r="M167" s="104"/>
      <c r="N167" s="104"/>
      <c r="O167" s="104"/>
      <c r="P167" s="104"/>
      <c r="Q167" s="104"/>
      <c r="R167" s="106"/>
      <c r="S167" s="104"/>
      <c r="T167" s="104"/>
      <c r="U167" s="104"/>
      <c r="V167" s="104"/>
      <c r="W167" s="105"/>
      <c r="X167" s="104"/>
      <c r="Y167" s="104"/>
      <c r="Z167" s="104"/>
      <c r="AA167" s="104"/>
      <c r="AB167" s="104"/>
      <c r="AC167" s="104"/>
      <c r="AD167" s="104"/>
      <c r="AE167" s="104"/>
      <c r="AF167" s="104"/>
      <c r="AG167" s="104"/>
      <c r="AH167" s="104"/>
      <c r="AI167" s="104"/>
      <c r="AJ167" s="104"/>
      <c r="AK167" s="104"/>
      <c r="AL167" s="104"/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 s="104"/>
      <c r="AW167" s="104"/>
      <c r="AX167" s="104"/>
      <c r="AY167" s="104"/>
      <c r="AZ167" s="104"/>
      <c r="BA167" s="104"/>
      <c r="BB167" s="104"/>
      <c r="BC167" s="104"/>
      <c r="BD167" s="104"/>
      <c r="BE167" s="104"/>
      <c r="BF167" s="104"/>
      <c r="BG167" s="104"/>
      <c r="BH167" s="104"/>
      <c r="BI167" s="104"/>
      <c r="BJ167" s="104"/>
      <c r="BK167" s="104"/>
      <c r="BL167" s="104"/>
      <c r="BM167" s="104"/>
      <c r="BN167" s="104"/>
    </row>
    <row r="168">
      <c r="A168" s="104"/>
      <c r="B168" s="104"/>
      <c r="C168" s="104"/>
      <c r="D168" s="104"/>
      <c r="E168" s="104"/>
      <c r="F168" s="104"/>
      <c r="G168" s="104"/>
      <c r="H168" s="104"/>
      <c r="I168" s="104"/>
      <c r="J168" s="104"/>
      <c r="K168" s="105"/>
      <c r="L168" s="106"/>
      <c r="M168" s="104"/>
      <c r="N168" s="104"/>
      <c r="O168" s="104"/>
      <c r="P168" s="104"/>
      <c r="Q168" s="104"/>
      <c r="R168" s="106"/>
      <c r="S168" s="104"/>
      <c r="T168" s="104"/>
      <c r="U168" s="104"/>
      <c r="V168" s="104"/>
      <c r="W168" s="105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 s="104"/>
      <c r="BG168" s="104"/>
      <c r="BH168" s="104"/>
      <c r="BI168" s="104"/>
      <c r="BJ168" s="104"/>
      <c r="BK168" s="104"/>
      <c r="BL168" s="104"/>
      <c r="BM168" s="104"/>
      <c r="BN168" s="104"/>
    </row>
    <row r="169">
      <c r="A169" s="104"/>
      <c r="B169" s="104"/>
      <c r="C169" s="104"/>
      <c r="D169" s="104"/>
      <c r="E169" s="104"/>
      <c r="F169" s="104"/>
      <c r="G169" s="104"/>
      <c r="H169" s="104"/>
      <c r="I169" s="104"/>
      <c r="J169" s="104"/>
      <c r="K169" s="105"/>
      <c r="L169" s="106"/>
      <c r="M169" s="104"/>
      <c r="N169" s="104"/>
      <c r="O169" s="104"/>
      <c r="P169" s="104"/>
      <c r="Q169" s="104"/>
      <c r="R169" s="106"/>
      <c r="S169" s="104"/>
      <c r="T169" s="104"/>
      <c r="U169" s="104"/>
      <c r="V169" s="104"/>
      <c r="W169" s="105"/>
      <c r="X169" s="104"/>
      <c r="Y169" s="104"/>
      <c r="Z169" s="104"/>
      <c r="AA169" s="104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/>
      <c r="AX169" s="104"/>
      <c r="AY169" s="104"/>
      <c r="AZ169" s="104"/>
      <c r="BA169" s="104"/>
      <c r="BB169" s="104"/>
      <c r="BC169" s="104"/>
      <c r="BD169" s="104"/>
      <c r="BE169" s="104"/>
      <c r="BF169" s="104"/>
      <c r="BG169" s="104"/>
      <c r="BH169" s="104"/>
      <c r="BI169" s="104"/>
      <c r="BJ169" s="104"/>
      <c r="BK169" s="104"/>
      <c r="BL169" s="104"/>
      <c r="BM169" s="104"/>
      <c r="BN169" s="104"/>
    </row>
    <row r="170">
      <c r="A170" s="104"/>
      <c r="B170" s="104"/>
      <c r="C170" s="104"/>
      <c r="D170" s="104"/>
      <c r="E170" s="104"/>
      <c r="F170" s="104"/>
      <c r="G170" s="104"/>
      <c r="H170" s="104"/>
      <c r="I170" s="104"/>
      <c r="J170" s="104"/>
      <c r="K170" s="105"/>
      <c r="L170" s="106"/>
      <c r="M170" s="104"/>
      <c r="N170" s="104"/>
      <c r="O170" s="104"/>
      <c r="P170" s="104"/>
      <c r="Q170" s="104"/>
      <c r="R170" s="106"/>
      <c r="S170" s="104"/>
      <c r="T170" s="104"/>
      <c r="U170" s="104"/>
      <c r="V170" s="104"/>
      <c r="W170" s="105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4"/>
      <c r="BL170" s="104"/>
      <c r="BM170" s="104"/>
      <c r="BN170" s="104"/>
    </row>
    <row r="171">
      <c r="A171" s="104"/>
      <c r="B171" s="104"/>
      <c r="C171" s="104"/>
      <c r="D171" s="104"/>
      <c r="E171" s="104"/>
      <c r="F171" s="104"/>
      <c r="G171" s="104"/>
      <c r="H171" s="104"/>
      <c r="I171" s="104"/>
      <c r="J171" s="104"/>
      <c r="K171" s="105"/>
      <c r="L171" s="106"/>
      <c r="M171" s="104"/>
      <c r="N171" s="104"/>
      <c r="O171" s="104"/>
      <c r="P171" s="104"/>
      <c r="Q171" s="104"/>
      <c r="R171" s="106"/>
      <c r="S171" s="104"/>
      <c r="T171" s="104"/>
      <c r="U171" s="104"/>
      <c r="V171" s="104"/>
      <c r="W171" s="105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 s="104"/>
      <c r="BG171" s="104"/>
      <c r="BH171" s="104"/>
      <c r="BI171" s="104"/>
      <c r="BJ171" s="104"/>
      <c r="BK171" s="104"/>
      <c r="BL171" s="104"/>
      <c r="BM171" s="104"/>
      <c r="BN171" s="104"/>
    </row>
    <row r="172">
      <c r="A172" s="104"/>
      <c r="B172" s="104"/>
      <c r="C172" s="104"/>
      <c r="D172" s="104"/>
      <c r="E172" s="104"/>
      <c r="F172" s="104"/>
      <c r="G172" s="104"/>
      <c r="H172" s="104"/>
      <c r="I172" s="104"/>
      <c r="J172" s="104"/>
      <c r="K172" s="105"/>
      <c r="L172" s="106"/>
      <c r="M172" s="104"/>
      <c r="N172" s="104"/>
      <c r="O172" s="104"/>
      <c r="P172" s="104"/>
      <c r="Q172" s="104"/>
      <c r="R172" s="106"/>
      <c r="S172" s="104"/>
      <c r="T172" s="104"/>
      <c r="U172" s="104"/>
      <c r="V172" s="104"/>
      <c r="W172" s="105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</row>
    <row r="173">
      <c r="A173" s="104"/>
      <c r="B173" s="104"/>
      <c r="C173" s="104"/>
      <c r="D173" s="104"/>
      <c r="E173" s="104"/>
      <c r="F173" s="104"/>
      <c r="G173" s="104"/>
      <c r="H173" s="104"/>
      <c r="I173" s="104"/>
      <c r="J173" s="104"/>
      <c r="K173" s="105"/>
      <c r="L173" s="106"/>
      <c r="M173" s="104"/>
      <c r="N173" s="104"/>
      <c r="O173" s="104"/>
      <c r="P173" s="104"/>
      <c r="Q173" s="104"/>
      <c r="R173" s="106"/>
      <c r="S173" s="104"/>
      <c r="T173" s="104"/>
      <c r="U173" s="104"/>
      <c r="V173" s="104"/>
      <c r="W173" s="105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  <c r="AH173" s="104"/>
      <c r="AI173" s="104"/>
      <c r="AJ173" s="104"/>
      <c r="AK173" s="104"/>
      <c r="AL173" s="104"/>
      <c r="AM173" s="104"/>
      <c r="AN173" s="104"/>
      <c r="AO173" s="104"/>
      <c r="AP173" s="104"/>
      <c r="AQ173" s="104"/>
      <c r="AR173" s="104"/>
      <c r="AS173" s="104"/>
      <c r="AT173" s="104"/>
      <c r="AU173" s="104"/>
      <c r="AV173" s="104"/>
      <c r="AW173" s="104"/>
      <c r="AX173" s="104"/>
      <c r="AY173" s="104"/>
      <c r="AZ173" s="104"/>
      <c r="BA173" s="104"/>
      <c r="BB173" s="104"/>
      <c r="BC173" s="104"/>
      <c r="BD173" s="104"/>
      <c r="BE173" s="104"/>
      <c r="BF173" s="104"/>
      <c r="BG173" s="104"/>
      <c r="BH173" s="104"/>
      <c r="BI173" s="104"/>
      <c r="BJ173" s="104"/>
      <c r="BK173" s="104"/>
      <c r="BL173" s="104"/>
      <c r="BM173" s="104"/>
      <c r="BN173" s="104"/>
    </row>
    <row r="174">
      <c r="A174" s="104"/>
      <c r="B174" s="104"/>
      <c r="C174" s="104"/>
      <c r="D174" s="104"/>
      <c r="E174" s="104"/>
      <c r="F174" s="104"/>
      <c r="G174" s="104"/>
      <c r="H174" s="104"/>
      <c r="I174" s="104"/>
      <c r="J174" s="104"/>
      <c r="K174" s="105"/>
      <c r="L174" s="106"/>
      <c r="M174" s="104"/>
      <c r="N174" s="104"/>
      <c r="O174" s="104"/>
      <c r="P174" s="104"/>
      <c r="Q174" s="104"/>
      <c r="R174" s="106"/>
      <c r="S174" s="104"/>
      <c r="T174" s="104"/>
      <c r="U174" s="104"/>
      <c r="V174" s="104"/>
      <c r="W174" s="105"/>
      <c r="X174" s="104"/>
      <c r="Y174" s="104"/>
      <c r="Z174" s="104"/>
      <c r="AA174" s="104"/>
      <c r="AB174" s="104"/>
      <c r="AC174" s="104"/>
      <c r="AD174" s="104"/>
      <c r="AE174" s="104"/>
      <c r="AF174" s="104"/>
      <c r="AG174" s="104"/>
      <c r="AH174" s="104"/>
      <c r="AI174" s="104"/>
      <c r="AJ174" s="104"/>
      <c r="AK174" s="104"/>
      <c r="AL174" s="104"/>
      <c r="AM174" s="104"/>
      <c r="AN174" s="104"/>
      <c r="AO174" s="104"/>
      <c r="AP174" s="104"/>
      <c r="AQ174" s="104"/>
      <c r="AR174" s="104"/>
      <c r="AS174" s="104"/>
      <c r="AT174" s="104"/>
      <c r="AU174" s="104"/>
      <c r="AV174" s="104"/>
      <c r="AW174" s="104"/>
      <c r="AX174" s="104"/>
      <c r="AY174" s="104"/>
      <c r="AZ174" s="104"/>
      <c r="BA174" s="104"/>
      <c r="BB174" s="104"/>
      <c r="BC174" s="104"/>
      <c r="BD174" s="104"/>
      <c r="BE174" s="104"/>
      <c r="BF174" s="104"/>
      <c r="BG174" s="104"/>
      <c r="BH174" s="104"/>
      <c r="BI174" s="104"/>
      <c r="BJ174" s="104"/>
      <c r="BK174" s="104"/>
      <c r="BL174" s="104"/>
      <c r="BM174" s="104"/>
      <c r="BN174" s="104"/>
    </row>
    <row r="175">
      <c r="A175" s="104"/>
      <c r="B175" s="104"/>
      <c r="C175" s="104"/>
      <c r="D175" s="104"/>
      <c r="E175" s="104"/>
      <c r="F175" s="104"/>
      <c r="G175" s="104"/>
      <c r="H175" s="104"/>
      <c r="I175" s="104"/>
      <c r="J175" s="104"/>
      <c r="K175" s="105"/>
      <c r="L175" s="106"/>
      <c r="M175" s="104"/>
      <c r="N175" s="104"/>
      <c r="O175" s="104"/>
      <c r="P175" s="104"/>
      <c r="Q175" s="104"/>
      <c r="R175" s="106"/>
      <c r="S175" s="104"/>
      <c r="T175" s="104"/>
      <c r="U175" s="104"/>
      <c r="V175" s="104"/>
      <c r="W175" s="105"/>
      <c r="X175" s="104"/>
      <c r="Y175" s="104"/>
      <c r="Z175" s="104"/>
      <c r="AA175" s="104"/>
      <c r="AB175" s="104"/>
      <c r="AC175" s="104"/>
      <c r="AD175" s="104"/>
      <c r="AE175" s="104"/>
      <c r="AF175" s="104"/>
      <c r="AG175" s="104"/>
      <c r="AH175" s="104"/>
      <c r="AI175" s="104"/>
      <c r="AJ175" s="104"/>
      <c r="AK175" s="104"/>
      <c r="AL175" s="104"/>
      <c r="AM175" s="104"/>
      <c r="AN175" s="104"/>
      <c r="AO175" s="104"/>
      <c r="AP175" s="104"/>
      <c r="AQ175" s="104"/>
      <c r="AR175" s="104"/>
      <c r="AS175" s="104"/>
      <c r="AT175" s="104"/>
      <c r="AU175" s="104"/>
      <c r="AV175" s="104"/>
      <c r="AW175" s="104"/>
      <c r="AX175" s="104"/>
      <c r="AY175" s="104"/>
      <c r="AZ175" s="104"/>
      <c r="BA175" s="104"/>
      <c r="BB175" s="104"/>
      <c r="BC175" s="104"/>
      <c r="BD175" s="104"/>
      <c r="BE175" s="104"/>
      <c r="BF175" s="104"/>
      <c r="BG175" s="104"/>
      <c r="BH175" s="104"/>
      <c r="BI175" s="104"/>
      <c r="BJ175" s="104"/>
      <c r="BK175" s="104"/>
      <c r="BL175" s="104"/>
      <c r="BM175" s="104"/>
      <c r="BN175" s="104"/>
    </row>
    <row r="176">
      <c r="A176" s="104"/>
      <c r="B176" s="104"/>
      <c r="C176" s="104"/>
      <c r="D176" s="104"/>
      <c r="E176" s="104"/>
      <c r="F176" s="104"/>
      <c r="G176" s="104"/>
      <c r="H176" s="104"/>
      <c r="I176" s="104"/>
      <c r="J176" s="104"/>
      <c r="K176" s="105"/>
      <c r="L176" s="106"/>
      <c r="M176" s="104"/>
      <c r="N176" s="104"/>
      <c r="O176" s="104"/>
      <c r="P176" s="104"/>
      <c r="Q176" s="104"/>
      <c r="R176" s="106"/>
      <c r="S176" s="104"/>
      <c r="T176" s="104"/>
      <c r="U176" s="104"/>
      <c r="V176" s="104"/>
      <c r="W176" s="105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  <c r="AH176" s="104"/>
      <c r="AI176" s="104"/>
      <c r="AJ176" s="104"/>
      <c r="AK176" s="104"/>
      <c r="AL176" s="104"/>
      <c r="AM176" s="104"/>
      <c r="AN176" s="104"/>
      <c r="AO176" s="104"/>
      <c r="AP176" s="104"/>
      <c r="AQ176" s="104"/>
      <c r="AR176" s="104"/>
      <c r="AS176" s="104"/>
      <c r="AT176" s="104"/>
      <c r="AU176" s="104"/>
      <c r="AV176" s="104"/>
      <c r="AW176" s="104"/>
      <c r="AX176" s="104"/>
      <c r="AY176" s="104"/>
      <c r="AZ176" s="104"/>
      <c r="BA176" s="104"/>
      <c r="BB176" s="104"/>
      <c r="BC176" s="104"/>
      <c r="BD176" s="104"/>
      <c r="BE176" s="104"/>
      <c r="BF176" s="104"/>
      <c r="BG176" s="104"/>
      <c r="BH176" s="104"/>
      <c r="BI176" s="104"/>
      <c r="BJ176" s="104"/>
      <c r="BK176" s="104"/>
      <c r="BL176" s="104"/>
      <c r="BM176" s="104"/>
      <c r="BN176" s="104"/>
    </row>
    <row r="177">
      <c r="A177" s="104"/>
      <c r="B177" s="104"/>
      <c r="C177" s="104"/>
      <c r="D177" s="104"/>
      <c r="E177" s="104"/>
      <c r="F177" s="104"/>
      <c r="G177" s="104"/>
      <c r="H177" s="104"/>
      <c r="I177" s="104"/>
      <c r="J177" s="104"/>
      <c r="K177" s="105"/>
      <c r="L177" s="106"/>
      <c r="M177" s="104"/>
      <c r="N177" s="104"/>
      <c r="O177" s="104"/>
      <c r="P177" s="104"/>
      <c r="Q177" s="104"/>
      <c r="R177" s="106"/>
      <c r="S177" s="104"/>
      <c r="T177" s="104"/>
      <c r="U177" s="104"/>
      <c r="V177" s="104"/>
      <c r="W177" s="105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  <c r="AH177" s="104"/>
      <c r="AI177" s="104"/>
      <c r="AJ177" s="104"/>
      <c r="AK177" s="104"/>
      <c r="AL177" s="104"/>
      <c r="AM177" s="104"/>
      <c r="AN177" s="104"/>
      <c r="AO177" s="104"/>
      <c r="AP177" s="104"/>
      <c r="AQ177" s="104"/>
      <c r="AR177" s="104"/>
      <c r="AS177" s="104"/>
      <c r="AT177" s="104"/>
      <c r="AU177" s="104"/>
      <c r="AV177" s="104"/>
      <c r="AW177" s="104"/>
      <c r="AX177" s="104"/>
      <c r="AY177" s="104"/>
      <c r="AZ177" s="104"/>
      <c r="BA177" s="104"/>
      <c r="BB177" s="104"/>
      <c r="BC177" s="104"/>
      <c r="BD177" s="104"/>
      <c r="BE177" s="104"/>
      <c r="BF177" s="104"/>
      <c r="BG177" s="104"/>
      <c r="BH177" s="104"/>
      <c r="BI177" s="104"/>
      <c r="BJ177" s="104"/>
      <c r="BK177" s="104"/>
      <c r="BL177" s="104"/>
      <c r="BM177" s="104"/>
      <c r="BN177" s="104"/>
    </row>
    <row r="178">
      <c r="A178" s="104"/>
      <c r="B178" s="104"/>
      <c r="C178" s="104"/>
      <c r="D178" s="104"/>
      <c r="E178" s="104"/>
      <c r="F178" s="104"/>
      <c r="G178" s="104"/>
      <c r="H178" s="104"/>
      <c r="I178" s="104"/>
      <c r="J178" s="104"/>
      <c r="K178" s="105"/>
      <c r="L178" s="106"/>
      <c r="M178" s="104"/>
      <c r="N178" s="104"/>
      <c r="O178" s="104"/>
      <c r="P178" s="104"/>
      <c r="Q178" s="104"/>
      <c r="R178" s="106"/>
      <c r="S178" s="104"/>
      <c r="T178" s="104"/>
      <c r="U178" s="104"/>
      <c r="V178" s="104"/>
      <c r="W178" s="105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 s="104"/>
      <c r="AW178" s="104"/>
      <c r="AX178" s="104"/>
      <c r="AY178" s="104"/>
      <c r="AZ178" s="104"/>
      <c r="BA178" s="104"/>
      <c r="BB178" s="104"/>
      <c r="BC178" s="104"/>
      <c r="BD178" s="104"/>
      <c r="BE178" s="104"/>
      <c r="BF178" s="104"/>
      <c r="BG178" s="104"/>
      <c r="BH178" s="104"/>
      <c r="BI178" s="104"/>
      <c r="BJ178" s="104"/>
      <c r="BK178" s="104"/>
      <c r="BL178" s="104"/>
      <c r="BM178" s="104"/>
      <c r="BN178" s="104"/>
    </row>
    <row r="179">
      <c r="A179" s="104"/>
      <c r="B179" s="104"/>
      <c r="C179" s="104"/>
      <c r="D179" s="104"/>
      <c r="E179" s="104"/>
      <c r="F179" s="104"/>
      <c r="G179" s="104"/>
      <c r="H179" s="104"/>
      <c r="I179" s="104"/>
      <c r="J179" s="104"/>
      <c r="K179" s="105"/>
      <c r="L179" s="106"/>
      <c r="M179" s="104"/>
      <c r="N179" s="104"/>
      <c r="O179" s="104"/>
      <c r="P179" s="104"/>
      <c r="Q179" s="104"/>
      <c r="R179" s="106"/>
      <c r="S179" s="104"/>
      <c r="T179" s="104"/>
      <c r="U179" s="104"/>
      <c r="V179" s="104"/>
      <c r="W179" s="105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  <c r="AH179" s="104"/>
      <c r="AI179" s="104"/>
      <c r="AJ179" s="104"/>
      <c r="AK179" s="104"/>
      <c r="AL179" s="104"/>
      <c r="AM179" s="104"/>
      <c r="AN179" s="104"/>
      <c r="AO179" s="104"/>
      <c r="AP179" s="104"/>
      <c r="AQ179" s="104"/>
      <c r="AR179" s="104"/>
      <c r="AS179" s="104"/>
      <c r="AT179" s="104"/>
      <c r="AU179" s="104"/>
      <c r="AV179" s="104"/>
      <c r="AW179" s="104"/>
      <c r="AX179" s="104"/>
      <c r="AY179" s="104"/>
      <c r="AZ179" s="104"/>
      <c r="BA179" s="104"/>
      <c r="BB179" s="104"/>
      <c r="BC179" s="104"/>
      <c r="BD179" s="104"/>
      <c r="BE179" s="104"/>
      <c r="BF179" s="104"/>
      <c r="BG179" s="104"/>
      <c r="BH179" s="104"/>
      <c r="BI179" s="104"/>
      <c r="BJ179" s="104"/>
      <c r="BK179" s="104"/>
      <c r="BL179" s="104"/>
      <c r="BM179" s="104"/>
      <c r="BN179" s="104"/>
    </row>
    <row r="180">
      <c r="A180" s="104"/>
      <c r="B180" s="104"/>
      <c r="C180" s="104"/>
      <c r="D180" s="104"/>
      <c r="E180" s="104"/>
      <c r="F180" s="104"/>
      <c r="G180" s="104"/>
      <c r="H180" s="104"/>
      <c r="I180" s="104"/>
      <c r="J180" s="104"/>
      <c r="K180" s="105"/>
      <c r="L180" s="106"/>
      <c r="M180" s="104"/>
      <c r="N180" s="104"/>
      <c r="O180" s="104"/>
      <c r="P180" s="104"/>
      <c r="Q180" s="104"/>
      <c r="R180" s="106"/>
      <c r="S180" s="104"/>
      <c r="T180" s="104"/>
      <c r="U180" s="104"/>
      <c r="V180" s="104"/>
      <c r="W180" s="105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  <c r="BE180" s="104"/>
      <c r="BF180" s="104"/>
      <c r="BG180" s="104"/>
      <c r="BH180" s="104"/>
      <c r="BI180" s="104"/>
      <c r="BJ180" s="104"/>
      <c r="BK180" s="104"/>
      <c r="BL180" s="104"/>
      <c r="BM180" s="104"/>
      <c r="BN180" s="104"/>
    </row>
    <row r="181">
      <c r="A181" s="104"/>
      <c r="B181" s="104"/>
      <c r="C181" s="104"/>
      <c r="D181" s="104"/>
      <c r="E181" s="104"/>
      <c r="F181" s="104"/>
      <c r="G181" s="104"/>
      <c r="H181" s="104"/>
      <c r="I181" s="104"/>
      <c r="J181" s="104"/>
      <c r="K181" s="105"/>
      <c r="L181" s="106"/>
      <c r="M181" s="104"/>
      <c r="N181" s="104"/>
      <c r="O181" s="104"/>
      <c r="P181" s="104"/>
      <c r="Q181" s="104"/>
      <c r="R181" s="106"/>
      <c r="S181" s="104"/>
      <c r="T181" s="104"/>
      <c r="U181" s="104"/>
      <c r="V181" s="104"/>
      <c r="W181" s="105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  <c r="BE181" s="104"/>
      <c r="BF181" s="104"/>
      <c r="BG181" s="104"/>
      <c r="BH181" s="104"/>
      <c r="BI181" s="104"/>
      <c r="BJ181" s="104"/>
      <c r="BK181" s="104"/>
      <c r="BL181" s="104"/>
      <c r="BM181" s="104"/>
      <c r="BN181" s="104"/>
    </row>
    <row r="182">
      <c r="A182" s="104"/>
      <c r="B182" s="104"/>
      <c r="C182" s="104"/>
      <c r="D182" s="104"/>
      <c r="E182" s="104"/>
      <c r="F182" s="104"/>
      <c r="G182" s="104"/>
      <c r="H182" s="104"/>
      <c r="I182" s="104"/>
      <c r="J182" s="104"/>
      <c r="K182" s="105"/>
      <c r="L182" s="106"/>
      <c r="M182" s="104"/>
      <c r="N182" s="104"/>
      <c r="O182" s="104"/>
      <c r="P182" s="104"/>
      <c r="Q182" s="104"/>
      <c r="R182" s="106"/>
      <c r="S182" s="104"/>
      <c r="T182" s="104"/>
      <c r="U182" s="104"/>
      <c r="V182" s="104"/>
      <c r="W182" s="105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/>
      <c r="BH182" s="104"/>
      <c r="BI182" s="104"/>
      <c r="BJ182" s="104"/>
      <c r="BK182" s="104"/>
      <c r="BL182" s="104"/>
      <c r="BM182" s="104"/>
      <c r="BN182" s="104"/>
    </row>
    <row r="183">
      <c r="A183" s="104"/>
      <c r="B183" s="104"/>
      <c r="C183" s="104"/>
      <c r="D183" s="104"/>
      <c r="E183" s="104"/>
      <c r="F183" s="104"/>
      <c r="G183" s="104"/>
      <c r="H183" s="104"/>
      <c r="I183" s="104"/>
      <c r="J183" s="104"/>
      <c r="K183" s="105"/>
      <c r="L183" s="106"/>
      <c r="M183" s="104"/>
      <c r="N183" s="104"/>
      <c r="O183" s="104"/>
      <c r="P183" s="104"/>
      <c r="Q183" s="104"/>
      <c r="R183" s="106"/>
      <c r="S183" s="104"/>
      <c r="T183" s="104"/>
      <c r="U183" s="104"/>
      <c r="V183" s="104"/>
      <c r="W183" s="105"/>
      <c r="X183" s="104"/>
      <c r="Y183" s="104"/>
      <c r="Z183" s="104"/>
      <c r="AA183" s="104"/>
      <c r="AB183" s="104"/>
      <c r="AC183" s="104"/>
      <c r="AD183" s="104"/>
      <c r="AE183" s="104"/>
      <c r="AF183" s="104"/>
      <c r="AG183" s="104"/>
      <c r="AH183" s="104"/>
      <c r="AI183" s="104"/>
      <c r="AJ183" s="104"/>
      <c r="AK183" s="104"/>
      <c r="AL183" s="104"/>
      <c r="AM183" s="104"/>
      <c r="AN183" s="104"/>
      <c r="AO183" s="104"/>
      <c r="AP183" s="104"/>
      <c r="AQ183" s="104"/>
      <c r="AR183" s="104"/>
      <c r="AS183" s="104"/>
      <c r="AT183" s="104"/>
      <c r="AU183" s="104"/>
      <c r="AV183" s="104"/>
      <c r="AW183" s="104"/>
      <c r="AX183" s="104"/>
      <c r="AY183" s="104"/>
      <c r="AZ183" s="104"/>
      <c r="BA183" s="104"/>
      <c r="BB183" s="104"/>
      <c r="BC183" s="104"/>
      <c r="BD183" s="104"/>
      <c r="BE183" s="104"/>
      <c r="BF183" s="104"/>
      <c r="BG183" s="104"/>
      <c r="BH183" s="104"/>
      <c r="BI183" s="104"/>
      <c r="BJ183" s="104"/>
      <c r="BK183" s="104"/>
      <c r="BL183" s="104"/>
      <c r="BM183" s="104"/>
      <c r="BN183" s="104"/>
    </row>
    <row r="184">
      <c r="A184" s="104"/>
      <c r="B184" s="104"/>
      <c r="C184" s="104"/>
      <c r="D184" s="104"/>
      <c r="E184" s="104"/>
      <c r="F184" s="104"/>
      <c r="G184" s="104"/>
      <c r="H184" s="104"/>
      <c r="I184" s="104"/>
      <c r="J184" s="104"/>
      <c r="K184" s="105"/>
      <c r="L184" s="106"/>
      <c r="M184" s="104"/>
      <c r="N184" s="104"/>
      <c r="O184" s="104"/>
      <c r="P184" s="104"/>
      <c r="Q184" s="104"/>
      <c r="R184" s="106"/>
      <c r="S184" s="104"/>
      <c r="T184" s="104"/>
      <c r="U184" s="104"/>
      <c r="V184" s="104"/>
      <c r="W184" s="105"/>
      <c r="X184" s="104"/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104"/>
      <c r="AR184" s="104"/>
      <c r="AS184" s="104"/>
      <c r="AT184" s="104"/>
      <c r="AU184" s="104"/>
      <c r="AV184" s="104"/>
      <c r="AW184" s="104"/>
      <c r="AX184" s="104"/>
      <c r="AY184" s="104"/>
      <c r="AZ184" s="104"/>
      <c r="BA184" s="104"/>
      <c r="BB184" s="104"/>
      <c r="BC184" s="104"/>
      <c r="BD184" s="104"/>
      <c r="BE184" s="104"/>
      <c r="BF184" s="104"/>
      <c r="BG184" s="104"/>
      <c r="BH184" s="104"/>
      <c r="BI184" s="104"/>
      <c r="BJ184" s="104"/>
      <c r="BK184" s="104"/>
      <c r="BL184" s="104"/>
      <c r="BM184" s="104"/>
      <c r="BN184" s="104"/>
    </row>
    <row r="185">
      <c r="A185" s="104"/>
      <c r="B185" s="104"/>
      <c r="C185" s="104"/>
      <c r="D185" s="104"/>
      <c r="E185" s="104"/>
      <c r="F185" s="104"/>
      <c r="G185" s="104"/>
      <c r="H185" s="104"/>
      <c r="I185" s="104"/>
      <c r="J185" s="104"/>
      <c r="K185" s="105"/>
      <c r="L185" s="106"/>
      <c r="M185" s="104"/>
      <c r="N185" s="104"/>
      <c r="O185" s="104"/>
      <c r="P185" s="104"/>
      <c r="Q185" s="104"/>
      <c r="R185" s="106"/>
      <c r="S185" s="104"/>
      <c r="T185" s="104"/>
      <c r="U185" s="104"/>
      <c r="V185" s="104"/>
      <c r="W185" s="105"/>
      <c r="X185" s="104"/>
      <c r="Y185" s="104"/>
      <c r="Z185" s="104"/>
      <c r="AA185" s="104"/>
      <c r="AB185" s="104"/>
      <c r="AC185" s="104"/>
      <c r="AD185" s="104"/>
      <c r="AE185" s="104"/>
      <c r="AF185" s="104"/>
      <c r="AG185" s="104"/>
      <c r="AH185" s="104"/>
      <c r="AI185" s="104"/>
      <c r="AJ185" s="104"/>
      <c r="AK185" s="104"/>
      <c r="AL185" s="104"/>
      <c r="AM185" s="104"/>
      <c r="AN185" s="104"/>
      <c r="AO185" s="104"/>
      <c r="AP185" s="104"/>
      <c r="AQ185" s="104"/>
      <c r="AR185" s="104"/>
      <c r="AS185" s="104"/>
      <c r="AT185" s="104"/>
      <c r="AU185" s="104"/>
      <c r="AV185" s="104"/>
      <c r="AW185" s="104"/>
      <c r="AX185" s="104"/>
      <c r="AY185" s="104"/>
      <c r="AZ185" s="104"/>
      <c r="BA185" s="104"/>
      <c r="BB185" s="104"/>
      <c r="BC185" s="104"/>
      <c r="BD185" s="104"/>
      <c r="BE185" s="104"/>
      <c r="BF185" s="104"/>
      <c r="BG185" s="104"/>
      <c r="BH185" s="104"/>
      <c r="BI185" s="104"/>
      <c r="BJ185" s="104"/>
      <c r="BK185" s="104"/>
      <c r="BL185" s="104"/>
      <c r="BM185" s="104"/>
      <c r="BN185" s="104"/>
    </row>
    <row r="186">
      <c r="A186" s="104"/>
      <c r="B186" s="104"/>
      <c r="C186" s="104"/>
      <c r="D186" s="104"/>
      <c r="E186" s="104"/>
      <c r="F186" s="104"/>
      <c r="G186" s="104"/>
      <c r="H186" s="104"/>
      <c r="I186" s="104"/>
      <c r="J186" s="104"/>
      <c r="K186" s="105"/>
      <c r="L186" s="106"/>
      <c r="M186" s="104"/>
      <c r="N186" s="104"/>
      <c r="O186" s="104"/>
      <c r="P186" s="104"/>
      <c r="Q186" s="104"/>
      <c r="R186" s="106"/>
      <c r="S186" s="104"/>
      <c r="T186" s="104"/>
      <c r="U186" s="104"/>
      <c r="V186" s="104"/>
      <c r="W186" s="105"/>
      <c r="X186" s="104"/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104"/>
      <c r="AR186" s="104"/>
      <c r="AS186" s="104"/>
      <c r="AT186" s="104"/>
      <c r="AU186" s="104"/>
      <c r="AV186" s="104"/>
      <c r="AW186" s="104"/>
      <c r="AX186" s="104"/>
      <c r="AY186" s="104"/>
      <c r="AZ186" s="104"/>
      <c r="BA186" s="104"/>
      <c r="BB186" s="104"/>
      <c r="BC186" s="104"/>
      <c r="BD186" s="104"/>
      <c r="BE186" s="104"/>
      <c r="BF186" s="104"/>
      <c r="BG186" s="104"/>
      <c r="BH186" s="104"/>
      <c r="BI186" s="104"/>
      <c r="BJ186" s="104"/>
      <c r="BK186" s="104"/>
      <c r="BL186" s="104"/>
      <c r="BM186" s="104"/>
      <c r="BN186" s="104"/>
    </row>
    <row r="187">
      <c r="A187" s="104"/>
      <c r="B187" s="104"/>
      <c r="C187" s="104"/>
      <c r="D187" s="104"/>
      <c r="E187" s="104"/>
      <c r="F187" s="104"/>
      <c r="G187" s="104"/>
      <c r="H187" s="104"/>
      <c r="I187" s="104"/>
      <c r="J187" s="104"/>
      <c r="K187" s="105"/>
      <c r="L187" s="106"/>
      <c r="M187" s="104"/>
      <c r="N187" s="104"/>
      <c r="O187" s="104"/>
      <c r="P187" s="104"/>
      <c r="Q187" s="104"/>
      <c r="R187" s="106"/>
      <c r="S187" s="104"/>
      <c r="T187" s="104"/>
      <c r="U187" s="104"/>
      <c r="V187" s="104"/>
      <c r="W187" s="105"/>
      <c r="X187" s="104"/>
      <c r="Y187" s="104"/>
      <c r="Z187" s="104"/>
      <c r="AA187" s="104"/>
      <c r="AB187" s="104"/>
      <c r="AC187" s="104"/>
      <c r="AD187" s="104"/>
      <c r="AE187" s="104"/>
      <c r="AF187" s="104"/>
      <c r="AG187" s="104"/>
      <c r="AH187" s="104"/>
      <c r="AI187" s="104"/>
      <c r="AJ187" s="104"/>
      <c r="AK187" s="104"/>
      <c r="AL187" s="104"/>
      <c r="AM187" s="104"/>
      <c r="AN187" s="104"/>
      <c r="AO187" s="104"/>
      <c r="AP187" s="104"/>
      <c r="AQ187" s="104"/>
      <c r="AR187" s="104"/>
      <c r="AS187" s="104"/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  <c r="BE187" s="104"/>
      <c r="BF187" s="104"/>
      <c r="BG187" s="104"/>
      <c r="BH187" s="104"/>
      <c r="BI187" s="104"/>
      <c r="BJ187" s="104"/>
      <c r="BK187" s="104"/>
      <c r="BL187" s="104"/>
      <c r="BM187" s="104"/>
      <c r="BN187" s="104"/>
    </row>
    <row r="188">
      <c r="A188" s="104"/>
      <c r="B188" s="104"/>
      <c r="C188" s="104"/>
      <c r="D188" s="104"/>
      <c r="E188" s="104"/>
      <c r="F188" s="104"/>
      <c r="G188" s="104"/>
      <c r="H188" s="104"/>
      <c r="I188" s="104"/>
      <c r="J188" s="104"/>
      <c r="K188" s="105"/>
      <c r="L188" s="106"/>
      <c r="M188" s="104"/>
      <c r="N188" s="104"/>
      <c r="O188" s="104"/>
      <c r="P188" s="104"/>
      <c r="Q188" s="104"/>
      <c r="R188" s="106"/>
      <c r="S188" s="104"/>
      <c r="T188" s="104"/>
      <c r="U188" s="104"/>
      <c r="V188" s="104"/>
      <c r="W188" s="105"/>
      <c r="X188" s="104"/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104"/>
      <c r="AR188" s="104"/>
      <c r="AS188" s="104"/>
      <c r="AT188" s="10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104"/>
      <c r="BG188" s="104"/>
      <c r="BH188" s="104"/>
      <c r="BI188" s="104"/>
      <c r="BJ188" s="104"/>
      <c r="BK188" s="104"/>
      <c r="BL188" s="104"/>
      <c r="BM188" s="104"/>
      <c r="BN188" s="104"/>
    </row>
    <row r="189">
      <c r="A189" s="104"/>
      <c r="B189" s="104"/>
      <c r="C189" s="104"/>
      <c r="D189" s="104"/>
      <c r="E189" s="104"/>
      <c r="F189" s="104"/>
      <c r="G189" s="104"/>
      <c r="H189" s="104"/>
      <c r="I189" s="104"/>
      <c r="J189" s="104"/>
      <c r="K189" s="105"/>
      <c r="L189" s="106"/>
      <c r="M189" s="104"/>
      <c r="N189" s="104"/>
      <c r="O189" s="104"/>
      <c r="P189" s="104"/>
      <c r="Q189" s="104"/>
      <c r="R189" s="106"/>
      <c r="S189" s="104"/>
      <c r="T189" s="104"/>
      <c r="U189" s="104"/>
      <c r="V189" s="104"/>
      <c r="W189" s="105"/>
      <c r="X189" s="104"/>
      <c r="Y189" s="104"/>
      <c r="Z189" s="104"/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/>
      <c r="AS189" s="104"/>
      <c r="AT189" s="104"/>
      <c r="AU189" s="104"/>
      <c r="AV189" s="104"/>
      <c r="AW189" s="104"/>
      <c r="AX189" s="104"/>
      <c r="AY189" s="104"/>
      <c r="AZ189" s="104"/>
      <c r="BA189" s="104"/>
      <c r="BB189" s="104"/>
      <c r="BC189" s="104"/>
      <c r="BD189" s="104"/>
      <c r="BE189" s="104"/>
      <c r="BF189" s="104"/>
      <c r="BG189" s="104"/>
      <c r="BH189" s="104"/>
      <c r="BI189" s="104"/>
      <c r="BJ189" s="104"/>
      <c r="BK189" s="104"/>
      <c r="BL189" s="104"/>
      <c r="BM189" s="104"/>
      <c r="BN189" s="104"/>
    </row>
    <row r="190">
      <c r="A190" s="104"/>
      <c r="B190" s="104"/>
      <c r="C190" s="104"/>
      <c r="D190" s="104"/>
      <c r="E190" s="104"/>
      <c r="F190" s="104"/>
      <c r="G190" s="104"/>
      <c r="H190" s="104"/>
      <c r="I190" s="104"/>
      <c r="J190" s="104"/>
      <c r="K190" s="105"/>
      <c r="L190" s="106"/>
      <c r="M190" s="104"/>
      <c r="N190" s="104"/>
      <c r="O190" s="104"/>
      <c r="P190" s="104"/>
      <c r="Q190" s="104"/>
      <c r="R190" s="106"/>
      <c r="S190" s="104"/>
      <c r="T190" s="104"/>
      <c r="U190" s="104"/>
      <c r="V190" s="104"/>
      <c r="W190" s="105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B190" s="104"/>
      <c r="BC190" s="104"/>
      <c r="BD190" s="104"/>
      <c r="BE190" s="104"/>
      <c r="BF190" s="104"/>
      <c r="BG190" s="104"/>
      <c r="BH190" s="104"/>
      <c r="BI190" s="104"/>
      <c r="BJ190" s="104"/>
      <c r="BK190" s="104"/>
      <c r="BL190" s="104"/>
      <c r="BM190" s="104"/>
      <c r="BN190" s="104"/>
    </row>
    <row r="191">
      <c r="A191" s="104"/>
      <c r="B191" s="104"/>
      <c r="C191" s="104"/>
      <c r="D191" s="104"/>
      <c r="E191" s="104"/>
      <c r="F191" s="104"/>
      <c r="G191" s="104"/>
      <c r="H191" s="104"/>
      <c r="I191" s="104"/>
      <c r="J191" s="104"/>
      <c r="K191" s="105"/>
      <c r="L191" s="106"/>
      <c r="M191" s="104"/>
      <c r="N191" s="104"/>
      <c r="O191" s="104"/>
      <c r="P191" s="104"/>
      <c r="Q191" s="104"/>
      <c r="R191" s="106"/>
      <c r="S191" s="104"/>
      <c r="T191" s="104"/>
      <c r="U191" s="104"/>
      <c r="V191" s="104"/>
      <c r="W191" s="105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 s="104"/>
      <c r="BG191" s="104"/>
      <c r="BH191" s="104"/>
      <c r="BI191" s="104"/>
      <c r="BJ191" s="104"/>
      <c r="BK191" s="104"/>
      <c r="BL191" s="104"/>
      <c r="BM191" s="104"/>
      <c r="BN191" s="104"/>
    </row>
    <row r="192">
      <c r="A192" s="104"/>
      <c r="B192" s="104"/>
      <c r="C192" s="104"/>
      <c r="D192" s="104"/>
      <c r="E192" s="104"/>
      <c r="F192" s="104"/>
      <c r="G192" s="104"/>
      <c r="H192" s="104"/>
      <c r="I192" s="104"/>
      <c r="J192" s="104"/>
      <c r="K192" s="105"/>
      <c r="L192" s="106"/>
      <c r="M192" s="104"/>
      <c r="N192" s="104"/>
      <c r="O192" s="104"/>
      <c r="P192" s="104"/>
      <c r="Q192" s="104"/>
      <c r="R192" s="106"/>
      <c r="S192" s="104"/>
      <c r="T192" s="104"/>
      <c r="U192" s="104"/>
      <c r="V192" s="104"/>
      <c r="W192" s="105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/>
      <c r="BG192" s="104"/>
      <c r="BH192" s="104"/>
      <c r="BI192" s="104"/>
      <c r="BJ192" s="104"/>
      <c r="BK192" s="104"/>
      <c r="BL192" s="104"/>
      <c r="BM192" s="104"/>
      <c r="BN192" s="104"/>
    </row>
    <row r="193">
      <c r="A193" s="104"/>
      <c r="B193" s="104"/>
      <c r="C193" s="104"/>
      <c r="D193" s="104"/>
      <c r="E193" s="104"/>
      <c r="F193" s="104"/>
      <c r="G193" s="104"/>
      <c r="H193" s="104"/>
      <c r="I193" s="104"/>
      <c r="J193" s="104"/>
      <c r="K193" s="105"/>
      <c r="L193" s="106"/>
      <c r="M193" s="104"/>
      <c r="N193" s="104"/>
      <c r="O193" s="104"/>
      <c r="P193" s="104"/>
      <c r="Q193" s="104"/>
      <c r="R193" s="106"/>
      <c r="S193" s="104"/>
      <c r="T193" s="104"/>
      <c r="U193" s="104"/>
      <c r="V193" s="104"/>
      <c r="W193" s="105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104"/>
      <c r="AR193" s="104"/>
      <c r="AS193" s="104"/>
      <c r="AT193" s="10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104"/>
      <c r="BG193" s="104"/>
      <c r="BH193" s="104"/>
      <c r="BI193" s="104"/>
      <c r="BJ193" s="104"/>
      <c r="BK193" s="104"/>
      <c r="BL193" s="104"/>
      <c r="BM193" s="104"/>
      <c r="BN193" s="104"/>
    </row>
    <row r="194">
      <c r="A194" s="104"/>
      <c r="B194" s="104"/>
      <c r="C194" s="104"/>
      <c r="D194" s="104"/>
      <c r="E194" s="104"/>
      <c r="F194" s="104"/>
      <c r="G194" s="104"/>
      <c r="H194" s="104"/>
      <c r="I194" s="104"/>
      <c r="J194" s="104"/>
      <c r="K194" s="105"/>
      <c r="L194" s="106"/>
      <c r="M194" s="104"/>
      <c r="N194" s="104"/>
      <c r="O194" s="104"/>
      <c r="P194" s="104"/>
      <c r="Q194" s="104"/>
      <c r="R194" s="106"/>
      <c r="S194" s="104"/>
      <c r="T194" s="104"/>
      <c r="U194" s="104"/>
      <c r="V194" s="104"/>
      <c r="W194" s="105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/>
      <c r="BD194" s="104"/>
      <c r="BE194" s="104"/>
      <c r="BF194" s="104"/>
      <c r="BG194" s="104"/>
      <c r="BH194" s="104"/>
      <c r="BI194" s="104"/>
      <c r="BJ194" s="104"/>
      <c r="BK194" s="104"/>
      <c r="BL194" s="104"/>
      <c r="BM194" s="104"/>
      <c r="BN194" s="104"/>
    </row>
    <row r="195">
      <c r="A195" s="104"/>
      <c r="B195" s="104"/>
      <c r="C195" s="104"/>
      <c r="D195" s="104"/>
      <c r="E195" s="104"/>
      <c r="F195" s="104"/>
      <c r="G195" s="104"/>
      <c r="H195" s="104"/>
      <c r="I195" s="104"/>
      <c r="J195" s="104"/>
      <c r="K195" s="105"/>
      <c r="L195" s="106"/>
      <c r="M195" s="104"/>
      <c r="N195" s="104"/>
      <c r="O195" s="104"/>
      <c r="P195" s="104"/>
      <c r="Q195" s="104"/>
      <c r="R195" s="106"/>
      <c r="S195" s="104"/>
      <c r="T195" s="104"/>
      <c r="U195" s="104"/>
      <c r="V195" s="104"/>
      <c r="W195" s="105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/>
      <c r="BH195" s="104"/>
      <c r="BI195" s="104"/>
      <c r="BJ195" s="104"/>
      <c r="BK195" s="104"/>
      <c r="BL195" s="104"/>
      <c r="BM195" s="104"/>
      <c r="BN195" s="104"/>
    </row>
    <row r="196">
      <c r="A196" s="104"/>
      <c r="B196" s="104"/>
      <c r="C196" s="104"/>
      <c r="D196" s="104"/>
      <c r="E196" s="104"/>
      <c r="F196" s="104"/>
      <c r="G196" s="104"/>
      <c r="H196" s="104"/>
      <c r="I196" s="104"/>
      <c r="J196" s="104"/>
      <c r="K196" s="105"/>
      <c r="L196" s="106"/>
      <c r="M196" s="104"/>
      <c r="N196" s="104"/>
      <c r="O196" s="104"/>
      <c r="P196" s="104"/>
      <c r="Q196" s="104"/>
      <c r="R196" s="106"/>
      <c r="S196" s="104"/>
      <c r="T196" s="104"/>
      <c r="U196" s="104"/>
      <c r="V196" s="104"/>
      <c r="W196" s="105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  <c r="BH196" s="104"/>
      <c r="BI196" s="104"/>
      <c r="BJ196" s="104"/>
      <c r="BK196" s="104"/>
      <c r="BL196" s="104"/>
      <c r="BM196" s="104"/>
      <c r="BN196" s="104"/>
    </row>
    <row r="197">
      <c r="A197" s="104"/>
      <c r="B197" s="104"/>
      <c r="C197" s="104"/>
      <c r="D197" s="104"/>
      <c r="E197" s="104"/>
      <c r="F197" s="104"/>
      <c r="G197" s="104"/>
      <c r="H197" s="104"/>
      <c r="I197" s="104"/>
      <c r="J197" s="104"/>
      <c r="K197" s="105"/>
      <c r="L197" s="106"/>
      <c r="M197" s="104"/>
      <c r="N197" s="104"/>
      <c r="O197" s="104"/>
      <c r="P197" s="104"/>
      <c r="Q197" s="104"/>
      <c r="R197" s="106"/>
      <c r="S197" s="104"/>
      <c r="T197" s="104"/>
      <c r="U197" s="104"/>
      <c r="V197" s="104"/>
      <c r="W197" s="105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104"/>
      <c r="AR197" s="104"/>
      <c r="AS197" s="104"/>
      <c r="AT197" s="104"/>
      <c r="AU197" s="104"/>
      <c r="AV197" s="104"/>
      <c r="AW197" s="104"/>
      <c r="AX197" s="104"/>
      <c r="AY197" s="104"/>
      <c r="AZ197" s="104"/>
      <c r="BA197" s="104"/>
      <c r="BB197" s="104"/>
      <c r="BC197" s="104"/>
      <c r="BD197" s="104"/>
      <c r="BE197" s="104"/>
      <c r="BF197" s="104"/>
      <c r="BG197" s="104"/>
      <c r="BH197" s="104"/>
      <c r="BI197" s="104"/>
      <c r="BJ197" s="104"/>
      <c r="BK197" s="104"/>
      <c r="BL197" s="104"/>
      <c r="BM197" s="104"/>
      <c r="BN197" s="104"/>
    </row>
    <row r="198">
      <c r="A198" s="104"/>
      <c r="B198" s="104"/>
      <c r="C198" s="104"/>
      <c r="D198" s="104"/>
      <c r="E198" s="104"/>
      <c r="F198" s="104"/>
      <c r="G198" s="104"/>
      <c r="H198" s="104"/>
      <c r="I198" s="104"/>
      <c r="J198" s="104"/>
      <c r="K198" s="105"/>
      <c r="L198" s="106"/>
      <c r="M198" s="104"/>
      <c r="N198" s="104"/>
      <c r="O198" s="104"/>
      <c r="P198" s="104"/>
      <c r="Q198" s="104"/>
      <c r="R198" s="106"/>
      <c r="S198" s="104"/>
      <c r="T198" s="104"/>
      <c r="U198" s="104"/>
      <c r="V198" s="104"/>
      <c r="W198" s="105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 s="104"/>
      <c r="BG198" s="104"/>
      <c r="BH198" s="104"/>
      <c r="BI198" s="104"/>
      <c r="BJ198" s="104"/>
      <c r="BK198" s="104"/>
      <c r="BL198" s="104"/>
      <c r="BM198" s="104"/>
      <c r="BN198" s="104"/>
    </row>
    <row r="199">
      <c r="A199" s="104"/>
      <c r="B199" s="104"/>
      <c r="C199" s="104"/>
      <c r="D199" s="104"/>
      <c r="E199" s="104"/>
      <c r="F199" s="104"/>
      <c r="G199" s="104"/>
      <c r="H199" s="104"/>
      <c r="I199" s="104"/>
      <c r="J199" s="104"/>
      <c r="K199" s="105"/>
      <c r="L199" s="106"/>
      <c r="M199" s="104"/>
      <c r="N199" s="104"/>
      <c r="O199" s="104"/>
      <c r="P199" s="104"/>
      <c r="Q199" s="104"/>
      <c r="R199" s="106"/>
      <c r="S199" s="104"/>
      <c r="T199" s="104"/>
      <c r="U199" s="104"/>
      <c r="V199" s="104"/>
      <c r="W199" s="105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B199" s="104"/>
      <c r="BC199" s="104"/>
      <c r="BD199" s="104"/>
      <c r="BE199" s="104"/>
      <c r="BF199" s="104"/>
      <c r="BG199" s="104"/>
      <c r="BH199" s="104"/>
      <c r="BI199" s="104"/>
      <c r="BJ199" s="104"/>
      <c r="BK199" s="104"/>
      <c r="BL199" s="104"/>
      <c r="BM199" s="104"/>
      <c r="BN199" s="104"/>
    </row>
    <row r="200">
      <c r="A200" s="104"/>
      <c r="B200" s="104"/>
      <c r="C200" s="104"/>
      <c r="D200" s="104"/>
      <c r="E200" s="104"/>
      <c r="F200" s="104"/>
      <c r="G200" s="104"/>
      <c r="H200" s="104"/>
      <c r="I200" s="104"/>
      <c r="J200" s="104"/>
      <c r="K200" s="105"/>
      <c r="L200" s="106"/>
      <c r="M200" s="104"/>
      <c r="N200" s="104"/>
      <c r="O200" s="104"/>
      <c r="P200" s="104"/>
      <c r="Q200" s="104"/>
      <c r="R200" s="106"/>
      <c r="S200" s="104"/>
      <c r="T200" s="104"/>
      <c r="U200" s="104"/>
      <c r="V200" s="104"/>
      <c r="W200" s="105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/>
      <c r="AV200" s="104"/>
      <c r="AW200" s="104"/>
      <c r="AX200" s="104"/>
      <c r="AY200" s="104"/>
      <c r="AZ200" s="104"/>
      <c r="BA200" s="104"/>
      <c r="BB200" s="104"/>
      <c r="BC200" s="104"/>
      <c r="BD200" s="104"/>
      <c r="BE200" s="104"/>
      <c r="BF200" s="104"/>
      <c r="BG200" s="104"/>
      <c r="BH200" s="104"/>
      <c r="BI200" s="104"/>
      <c r="BJ200" s="104"/>
      <c r="BK200" s="104"/>
      <c r="BL200" s="104"/>
      <c r="BM200" s="104"/>
      <c r="BN200" s="104"/>
    </row>
    <row r="201">
      <c r="A201" s="104"/>
      <c r="B201" s="104"/>
      <c r="C201" s="104"/>
      <c r="D201" s="104"/>
      <c r="E201" s="104"/>
      <c r="F201" s="104"/>
      <c r="G201" s="104"/>
      <c r="H201" s="104"/>
      <c r="I201" s="104"/>
      <c r="J201" s="104"/>
      <c r="K201" s="105"/>
      <c r="L201" s="106"/>
      <c r="M201" s="104"/>
      <c r="N201" s="104"/>
      <c r="O201" s="104"/>
      <c r="P201" s="104"/>
      <c r="Q201" s="104"/>
      <c r="R201" s="106"/>
      <c r="S201" s="104"/>
      <c r="T201" s="104"/>
      <c r="U201" s="104"/>
      <c r="V201" s="104"/>
      <c r="W201" s="105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4"/>
      <c r="AZ201" s="104"/>
      <c r="BA201" s="104"/>
      <c r="BB201" s="104"/>
      <c r="BC201" s="104"/>
      <c r="BD201" s="104"/>
      <c r="BE201" s="104"/>
      <c r="BF201" s="104"/>
      <c r="BG201" s="104"/>
      <c r="BH201" s="104"/>
      <c r="BI201" s="104"/>
      <c r="BJ201" s="104"/>
      <c r="BK201" s="104"/>
      <c r="BL201" s="104"/>
      <c r="BM201" s="104"/>
      <c r="BN201" s="104"/>
    </row>
    <row r="202">
      <c r="A202" s="104"/>
      <c r="B202" s="104"/>
      <c r="C202" s="104"/>
      <c r="D202" s="104"/>
      <c r="E202" s="104"/>
      <c r="F202" s="104"/>
      <c r="G202" s="104"/>
      <c r="H202" s="104"/>
      <c r="I202" s="104"/>
      <c r="J202" s="104"/>
      <c r="K202" s="105"/>
      <c r="L202" s="106"/>
      <c r="M202" s="104"/>
      <c r="N202" s="104"/>
      <c r="O202" s="104"/>
      <c r="P202" s="104"/>
      <c r="Q202" s="104"/>
      <c r="R202" s="106"/>
      <c r="S202" s="104"/>
      <c r="T202" s="104"/>
      <c r="U202" s="104"/>
      <c r="V202" s="104"/>
      <c r="W202" s="105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  <c r="AX202" s="104"/>
      <c r="AY202" s="104"/>
      <c r="AZ202" s="104"/>
      <c r="BA202" s="104"/>
      <c r="BB202" s="104"/>
      <c r="BC202" s="104"/>
      <c r="BD202" s="104"/>
      <c r="BE202" s="104"/>
      <c r="BF202" s="104"/>
      <c r="BG202" s="104"/>
      <c r="BH202" s="104"/>
      <c r="BI202" s="104"/>
      <c r="BJ202" s="104"/>
      <c r="BK202" s="104"/>
      <c r="BL202" s="104"/>
      <c r="BM202" s="104"/>
      <c r="BN202" s="104"/>
    </row>
    <row r="203">
      <c r="A203" s="104"/>
      <c r="B203" s="104"/>
      <c r="C203" s="104"/>
      <c r="D203" s="104"/>
      <c r="E203" s="104"/>
      <c r="F203" s="104"/>
      <c r="G203" s="104"/>
      <c r="H203" s="104"/>
      <c r="I203" s="104"/>
      <c r="J203" s="104"/>
      <c r="K203" s="105"/>
      <c r="L203" s="106"/>
      <c r="M203" s="104"/>
      <c r="N203" s="104"/>
      <c r="O203" s="104"/>
      <c r="P203" s="104"/>
      <c r="Q203" s="104"/>
      <c r="R203" s="106"/>
      <c r="S203" s="104"/>
      <c r="T203" s="104"/>
      <c r="U203" s="104"/>
      <c r="V203" s="104"/>
      <c r="W203" s="105"/>
      <c r="X203" s="104"/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104"/>
      <c r="AR203" s="104"/>
      <c r="AS203" s="104"/>
      <c r="AT203" s="104"/>
      <c r="AU203" s="104"/>
      <c r="AV203" s="104"/>
      <c r="AW203" s="104"/>
      <c r="AX203" s="104"/>
      <c r="AY203" s="104"/>
      <c r="AZ203" s="104"/>
      <c r="BA203" s="104"/>
      <c r="BB203" s="104"/>
      <c r="BC203" s="104"/>
      <c r="BD203" s="104"/>
      <c r="BE203" s="104"/>
      <c r="BF203" s="104"/>
      <c r="BG203" s="104"/>
      <c r="BH203" s="104"/>
      <c r="BI203" s="104"/>
      <c r="BJ203" s="104"/>
      <c r="BK203" s="104"/>
      <c r="BL203" s="104"/>
      <c r="BM203" s="104"/>
      <c r="BN203" s="104"/>
    </row>
    <row r="204">
      <c r="A204" s="104"/>
      <c r="B204" s="104"/>
      <c r="C204" s="104"/>
      <c r="D204" s="104"/>
      <c r="E204" s="104"/>
      <c r="F204" s="104"/>
      <c r="G204" s="104"/>
      <c r="H204" s="104"/>
      <c r="I204" s="104"/>
      <c r="J204" s="104"/>
      <c r="K204" s="105"/>
      <c r="L204" s="106"/>
      <c r="M204" s="104"/>
      <c r="N204" s="104"/>
      <c r="O204" s="104"/>
      <c r="P204" s="104"/>
      <c r="Q204" s="104"/>
      <c r="R204" s="106"/>
      <c r="S204" s="104"/>
      <c r="T204" s="104"/>
      <c r="U204" s="104"/>
      <c r="V204" s="104"/>
      <c r="W204" s="105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  <c r="AM204" s="104"/>
      <c r="AN204" s="104"/>
      <c r="AO204" s="104"/>
      <c r="AP204" s="104"/>
      <c r="AQ204" s="104"/>
      <c r="AR204" s="104"/>
      <c r="AS204" s="104"/>
      <c r="AT204" s="104"/>
      <c r="AU204" s="104"/>
      <c r="AV204" s="104"/>
      <c r="AW204" s="104"/>
      <c r="AX204" s="104"/>
      <c r="AY204" s="104"/>
      <c r="AZ204" s="104"/>
      <c r="BA204" s="104"/>
      <c r="BB204" s="104"/>
      <c r="BC204" s="104"/>
      <c r="BD204" s="104"/>
      <c r="BE204" s="104"/>
      <c r="BF204" s="104"/>
      <c r="BG204" s="104"/>
      <c r="BH204" s="104"/>
      <c r="BI204" s="104"/>
      <c r="BJ204" s="104"/>
      <c r="BK204" s="104"/>
      <c r="BL204" s="104"/>
      <c r="BM204" s="104"/>
      <c r="BN204" s="104"/>
    </row>
    <row r="205">
      <c r="A205" s="104"/>
      <c r="B205" s="104"/>
      <c r="C205" s="104"/>
      <c r="D205" s="104"/>
      <c r="E205" s="104"/>
      <c r="F205" s="104"/>
      <c r="G205" s="104"/>
      <c r="H205" s="104"/>
      <c r="I205" s="104"/>
      <c r="J205" s="104"/>
      <c r="K205" s="105"/>
      <c r="L205" s="106"/>
      <c r="M205" s="104"/>
      <c r="N205" s="104"/>
      <c r="O205" s="104"/>
      <c r="P205" s="104"/>
      <c r="Q205" s="104"/>
      <c r="R205" s="106"/>
      <c r="S205" s="104"/>
      <c r="T205" s="104"/>
      <c r="U205" s="104"/>
      <c r="V205" s="104"/>
      <c r="W205" s="105"/>
      <c r="X205" s="104"/>
      <c r="Y205" s="104"/>
      <c r="Z205" s="104"/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104"/>
      <c r="AR205" s="104"/>
      <c r="AS205" s="104"/>
      <c r="AT205" s="104"/>
      <c r="AU205" s="104"/>
      <c r="AV205" s="104"/>
      <c r="AW205" s="104"/>
      <c r="AX205" s="104"/>
      <c r="AY205" s="104"/>
      <c r="AZ205" s="104"/>
      <c r="BA205" s="104"/>
      <c r="BB205" s="104"/>
      <c r="BC205" s="104"/>
      <c r="BD205" s="104"/>
      <c r="BE205" s="104"/>
      <c r="BF205" s="104"/>
      <c r="BG205" s="104"/>
      <c r="BH205" s="104"/>
      <c r="BI205" s="104"/>
      <c r="BJ205" s="104"/>
      <c r="BK205" s="104"/>
      <c r="BL205" s="104"/>
      <c r="BM205" s="104"/>
      <c r="BN205" s="104"/>
    </row>
    <row r="206">
      <c r="A206" s="104"/>
      <c r="B206" s="104"/>
      <c r="C206" s="104"/>
      <c r="D206" s="104"/>
      <c r="E206" s="104"/>
      <c r="F206" s="104"/>
      <c r="G206" s="104"/>
      <c r="H206" s="104"/>
      <c r="I206" s="104"/>
      <c r="J206" s="104"/>
      <c r="K206" s="105"/>
      <c r="L206" s="106"/>
      <c r="M206" s="104"/>
      <c r="N206" s="104"/>
      <c r="O206" s="104"/>
      <c r="P206" s="104"/>
      <c r="Q206" s="104"/>
      <c r="R206" s="106"/>
      <c r="S206" s="104"/>
      <c r="T206" s="104"/>
      <c r="U206" s="104"/>
      <c r="V206" s="104"/>
      <c r="W206" s="105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  <c r="AM206" s="104"/>
      <c r="AN206" s="104"/>
      <c r="AO206" s="104"/>
      <c r="AP206" s="104"/>
      <c r="AQ206" s="104"/>
      <c r="AR206" s="104"/>
      <c r="AS206" s="104"/>
      <c r="AT206" s="104"/>
      <c r="AU206" s="104"/>
      <c r="AV206" s="104"/>
      <c r="AW206" s="104"/>
      <c r="AX206" s="104"/>
      <c r="AY206" s="104"/>
      <c r="AZ206" s="104"/>
      <c r="BA206" s="104"/>
      <c r="BB206" s="104"/>
      <c r="BC206" s="104"/>
      <c r="BD206" s="104"/>
      <c r="BE206" s="104"/>
      <c r="BF206" s="104"/>
      <c r="BG206" s="104"/>
      <c r="BH206" s="104"/>
      <c r="BI206" s="104"/>
      <c r="BJ206" s="104"/>
      <c r="BK206" s="104"/>
      <c r="BL206" s="104"/>
      <c r="BM206" s="104"/>
      <c r="BN206" s="104"/>
    </row>
    <row r="207">
      <c r="A207" s="104"/>
      <c r="B207" s="104"/>
      <c r="C207" s="104"/>
      <c r="D207" s="104"/>
      <c r="E207" s="104"/>
      <c r="F207" s="104"/>
      <c r="G207" s="104"/>
      <c r="H207" s="104"/>
      <c r="I207" s="104"/>
      <c r="J207" s="104"/>
      <c r="K207" s="105"/>
      <c r="L207" s="106"/>
      <c r="M207" s="104"/>
      <c r="N207" s="104"/>
      <c r="O207" s="104"/>
      <c r="P207" s="104"/>
      <c r="Q207" s="104"/>
      <c r="R207" s="106"/>
      <c r="S207" s="104"/>
      <c r="T207" s="104"/>
      <c r="U207" s="104"/>
      <c r="V207" s="104"/>
      <c r="W207" s="105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104"/>
      <c r="AR207" s="104"/>
      <c r="AS207" s="104"/>
      <c r="AT207" s="104"/>
      <c r="AU207" s="104"/>
      <c r="AV207" s="104"/>
      <c r="AW207" s="104"/>
      <c r="AX207" s="104"/>
      <c r="AY207" s="104"/>
      <c r="AZ207" s="104"/>
      <c r="BA207" s="104"/>
      <c r="BB207" s="104"/>
      <c r="BC207" s="104"/>
      <c r="BD207" s="104"/>
      <c r="BE207" s="104"/>
      <c r="BF207" s="104"/>
      <c r="BG207" s="104"/>
      <c r="BH207" s="104"/>
      <c r="BI207" s="104"/>
      <c r="BJ207" s="104"/>
      <c r="BK207" s="104"/>
      <c r="BL207" s="104"/>
      <c r="BM207" s="104"/>
      <c r="BN207" s="104"/>
    </row>
    <row r="208">
      <c r="A208" s="104"/>
      <c r="B208" s="104"/>
      <c r="C208" s="104"/>
      <c r="D208" s="104"/>
      <c r="E208" s="104"/>
      <c r="F208" s="104"/>
      <c r="G208" s="104"/>
      <c r="H208" s="104"/>
      <c r="I208" s="104"/>
      <c r="J208" s="104"/>
      <c r="K208" s="105"/>
      <c r="L208" s="106"/>
      <c r="M208" s="104"/>
      <c r="N208" s="104"/>
      <c r="O208" s="104"/>
      <c r="P208" s="104"/>
      <c r="Q208" s="104"/>
      <c r="R208" s="106"/>
      <c r="S208" s="104"/>
      <c r="T208" s="104"/>
      <c r="U208" s="104"/>
      <c r="V208" s="104"/>
      <c r="W208" s="105"/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104"/>
      <c r="AR208" s="104"/>
      <c r="AS208" s="104"/>
      <c r="AT208" s="104"/>
      <c r="AU208" s="104"/>
      <c r="AV208" s="104"/>
      <c r="AW208" s="104"/>
      <c r="AX208" s="104"/>
      <c r="AY208" s="104"/>
      <c r="AZ208" s="104"/>
      <c r="BA208" s="104"/>
      <c r="BB208" s="104"/>
      <c r="BC208" s="104"/>
      <c r="BD208" s="104"/>
      <c r="BE208" s="104"/>
      <c r="BF208" s="104"/>
      <c r="BG208" s="104"/>
      <c r="BH208" s="104"/>
      <c r="BI208" s="104"/>
      <c r="BJ208" s="104"/>
      <c r="BK208" s="104"/>
      <c r="BL208" s="104"/>
      <c r="BM208" s="104"/>
      <c r="BN208" s="104"/>
    </row>
    <row r="209">
      <c r="A209" s="104"/>
      <c r="B209" s="104"/>
      <c r="C209" s="104"/>
      <c r="D209" s="104"/>
      <c r="E209" s="104"/>
      <c r="F209" s="104"/>
      <c r="G209" s="104"/>
      <c r="H209" s="104"/>
      <c r="I209" s="104"/>
      <c r="J209" s="104"/>
      <c r="K209" s="105"/>
      <c r="L209" s="106"/>
      <c r="M209" s="104"/>
      <c r="N209" s="104"/>
      <c r="O209" s="104"/>
      <c r="P209" s="104"/>
      <c r="Q209" s="104"/>
      <c r="R209" s="106"/>
      <c r="S209" s="104"/>
      <c r="T209" s="104"/>
      <c r="U209" s="104"/>
      <c r="V209" s="104"/>
      <c r="W209" s="105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  <c r="AX209" s="104"/>
      <c r="AY209" s="104"/>
      <c r="AZ209" s="104"/>
      <c r="BA209" s="104"/>
      <c r="BB209" s="104"/>
      <c r="BC209" s="104"/>
      <c r="BD209" s="104"/>
      <c r="BE209" s="104"/>
      <c r="BF209" s="104"/>
      <c r="BG209" s="104"/>
      <c r="BH209" s="104"/>
      <c r="BI209" s="104"/>
      <c r="BJ209" s="104"/>
      <c r="BK209" s="104"/>
      <c r="BL209" s="104"/>
      <c r="BM209" s="104"/>
      <c r="BN209" s="104"/>
    </row>
    <row r="210">
      <c r="A210" s="104"/>
      <c r="B210" s="104"/>
      <c r="C210" s="104"/>
      <c r="D210" s="104"/>
      <c r="E210" s="104"/>
      <c r="F210" s="104"/>
      <c r="G210" s="104"/>
      <c r="H210" s="104"/>
      <c r="I210" s="104"/>
      <c r="J210" s="104"/>
      <c r="K210" s="105"/>
      <c r="L210" s="106"/>
      <c r="M210" s="104"/>
      <c r="N210" s="104"/>
      <c r="O210" s="104"/>
      <c r="P210" s="104"/>
      <c r="Q210" s="104"/>
      <c r="R210" s="106"/>
      <c r="S210" s="104"/>
      <c r="T210" s="104"/>
      <c r="U210" s="104"/>
      <c r="V210" s="104"/>
      <c r="W210" s="105"/>
      <c r="X210" s="104"/>
      <c r="Y210" s="104"/>
      <c r="Z210" s="104"/>
      <c r="AA210" s="104"/>
      <c r="AB210" s="104"/>
      <c r="AC210" s="104"/>
      <c r="AD210" s="104"/>
      <c r="AE210" s="104"/>
      <c r="AF210" s="104"/>
      <c r="AG210" s="104"/>
      <c r="AH210" s="104"/>
      <c r="AI210" s="104"/>
      <c r="AJ210" s="104"/>
      <c r="AK210" s="104"/>
      <c r="AL210" s="104"/>
      <c r="AM210" s="104"/>
      <c r="AN210" s="104"/>
      <c r="AO210" s="104"/>
      <c r="AP210" s="104"/>
      <c r="AQ210" s="104"/>
      <c r="AR210" s="104"/>
      <c r="AS210" s="104"/>
      <c r="AT210" s="104"/>
      <c r="AU210" s="104"/>
      <c r="AV210" s="104"/>
      <c r="AW210" s="104"/>
      <c r="AX210" s="104"/>
      <c r="AY210" s="104"/>
      <c r="AZ210" s="104"/>
      <c r="BA210" s="104"/>
      <c r="BB210" s="104"/>
      <c r="BC210" s="104"/>
      <c r="BD210" s="104"/>
      <c r="BE210" s="104"/>
      <c r="BF210" s="104"/>
      <c r="BG210" s="104"/>
      <c r="BH210" s="104"/>
      <c r="BI210" s="104"/>
      <c r="BJ210" s="104"/>
      <c r="BK210" s="104"/>
      <c r="BL210" s="104"/>
      <c r="BM210" s="104"/>
      <c r="BN210" s="104"/>
    </row>
    <row r="211">
      <c r="A211" s="104"/>
      <c r="B211" s="104"/>
      <c r="C211" s="104"/>
      <c r="D211" s="104"/>
      <c r="E211" s="104"/>
      <c r="F211" s="104"/>
      <c r="G211" s="104"/>
      <c r="H211" s="104"/>
      <c r="I211" s="104"/>
      <c r="J211" s="104"/>
      <c r="K211" s="105"/>
      <c r="L211" s="106"/>
      <c r="M211" s="104"/>
      <c r="N211" s="104"/>
      <c r="O211" s="104"/>
      <c r="P211" s="104"/>
      <c r="Q211" s="104"/>
      <c r="R211" s="106"/>
      <c r="S211" s="104"/>
      <c r="T211" s="104"/>
      <c r="U211" s="104"/>
      <c r="V211" s="104"/>
      <c r="W211" s="105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104"/>
      <c r="BG211" s="104"/>
      <c r="BH211" s="104"/>
      <c r="BI211" s="104"/>
      <c r="BJ211" s="104"/>
      <c r="BK211" s="104"/>
      <c r="BL211" s="104"/>
      <c r="BM211" s="104"/>
      <c r="BN211" s="104"/>
    </row>
    <row r="212">
      <c r="A212" s="104"/>
      <c r="B212" s="104"/>
      <c r="C212" s="104"/>
      <c r="D212" s="104"/>
      <c r="E212" s="104"/>
      <c r="F212" s="104"/>
      <c r="G212" s="104"/>
      <c r="H212" s="104"/>
      <c r="I212" s="104"/>
      <c r="J212" s="104"/>
      <c r="K212" s="105"/>
      <c r="L212" s="106"/>
      <c r="M212" s="104"/>
      <c r="N212" s="104"/>
      <c r="O212" s="104"/>
      <c r="P212" s="104"/>
      <c r="Q212" s="104"/>
      <c r="R212" s="106"/>
      <c r="S212" s="104"/>
      <c r="T212" s="104"/>
      <c r="U212" s="104"/>
      <c r="V212" s="104"/>
      <c r="W212" s="105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  <c r="AL212" s="104"/>
      <c r="AM212" s="104"/>
      <c r="AN212" s="104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104"/>
      <c r="BG212" s="104"/>
      <c r="BH212" s="104"/>
      <c r="BI212" s="104"/>
      <c r="BJ212" s="104"/>
      <c r="BK212" s="104"/>
      <c r="BL212" s="104"/>
      <c r="BM212" s="104"/>
      <c r="BN212" s="104"/>
    </row>
    <row r="213">
      <c r="A213" s="104"/>
      <c r="B213" s="104"/>
      <c r="C213" s="104"/>
      <c r="D213" s="104"/>
      <c r="E213" s="104"/>
      <c r="F213" s="104"/>
      <c r="G213" s="104"/>
      <c r="H213" s="104"/>
      <c r="I213" s="104"/>
      <c r="J213" s="104"/>
      <c r="K213" s="105"/>
      <c r="L213" s="106"/>
      <c r="M213" s="104"/>
      <c r="N213" s="104"/>
      <c r="O213" s="104"/>
      <c r="P213" s="104"/>
      <c r="Q213" s="104"/>
      <c r="R213" s="106"/>
      <c r="S213" s="104"/>
      <c r="T213" s="104"/>
      <c r="U213" s="104"/>
      <c r="V213" s="104"/>
      <c r="W213" s="105"/>
      <c r="X213" s="104"/>
      <c r="Y213" s="104"/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/>
      <c r="AV213" s="104"/>
      <c r="AW213" s="104"/>
      <c r="AX213" s="104"/>
      <c r="AY213" s="104"/>
      <c r="AZ213" s="104"/>
      <c r="BA213" s="104"/>
      <c r="BB213" s="104"/>
      <c r="BC213" s="104"/>
      <c r="BD213" s="104"/>
      <c r="BE213" s="104"/>
      <c r="BF213" s="104"/>
      <c r="BG213" s="104"/>
      <c r="BH213" s="104"/>
      <c r="BI213" s="104"/>
      <c r="BJ213" s="104"/>
      <c r="BK213" s="104"/>
      <c r="BL213" s="104"/>
      <c r="BM213" s="104"/>
      <c r="BN213" s="104"/>
    </row>
    <row r="214">
      <c r="A214" s="104"/>
      <c r="B214" s="104"/>
      <c r="C214" s="104"/>
      <c r="D214" s="104"/>
      <c r="E214" s="104"/>
      <c r="F214" s="104"/>
      <c r="G214" s="104"/>
      <c r="H214" s="104"/>
      <c r="I214" s="104"/>
      <c r="J214" s="104"/>
      <c r="K214" s="105"/>
      <c r="L214" s="106"/>
      <c r="M214" s="104"/>
      <c r="N214" s="104"/>
      <c r="O214" s="104"/>
      <c r="P214" s="104"/>
      <c r="Q214" s="104"/>
      <c r="R214" s="106"/>
      <c r="S214" s="104"/>
      <c r="T214" s="104"/>
      <c r="U214" s="104"/>
      <c r="V214" s="104"/>
      <c r="W214" s="105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4"/>
      <c r="BA214" s="104"/>
      <c r="BB214" s="104"/>
      <c r="BC214" s="104"/>
      <c r="BD214" s="104"/>
      <c r="BE214" s="104"/>
      <c r="BF214" s="104"/>
      <c r="BG214" s="104"/>
      <c r="BH214" s="104"/>
      <c r="BI214" s="104"/>
      <c r="BJ214" s="104"/>
      <c r="BK214" s="104"/>
      <c r="BL214" s="104"/>
      <c r="BM214" s="104"/>
      <c r="BN214" s="104"/>
    </row>
    <row r="215">
      <c r="A215" s="104"/>
      <c r="B215" s="104"/>
      <c r="C215" s="104"/>
      <c r="D215" s="104"/>
      <c r="E215" s="104"/>
      <c r="F215" s="104"/>
      <c r="G215" s="104"/>
      <c r="H215" s="104"/>
      <c r="I215" s="104"/>
      <c r="J215" s="104"/>
      <c r="K215" s="105"/>
      <c r="L215" s="106"/>
      <c r="M215" s="104"/>
      <c r="N215" s="104"/>
      <c r="O215" s="104"/>
      <c r="P215" s="104"/>
      <c r="Q215" s="104"/>
      <c r="R215" s="106"/>
      <c r="S215" s="104"/>
      <c r="T215" s="104"/>
      <c r="U215" s="104"/>
      <c r="V215" s="104"/>
      <c r="W215" s="105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104"/>
      <c r="AV215" s="104"/>
      <c r="AW215" s="104"/>
      <c r="AX215" s="104"/>
      <c r="AY215" s="104"/>
      <c r="AZ215" s="104"/>
      <c r="BA215" s="104"/>
      <c r="BB215" s="104"/>
      <c r="BC215" s="104"/>
      <c r="BD215" s="104"/>
      <c r="BE215" s="104"/>
      <c r="BF215" s="104"/>
      <c r="BG215" s="104"/>
      <c r="BH215" s="104"/>
      <c r="BI215" s="104"/>
      <c r="BJ215" s="104"/>
      <c r="BK215" s="104"/>
      <c r="BL215" s="104"/>
      <c r="BM215" s="104"/>
      <c r="BN215" s="104"/>
    </row>
    <row r="216">
      <c r="A216" s="104"/>
      <c r="B216" s="104"/>
      <c r="C216" s="104"/>
      <c r="D216" s="104"/>
      <c r="E216" s="104"/>
      <c r="F216" s="104"/>
      <c r="G216" s="104"/>
      <c r="H216" s="104"/>
      <c r="I216" s="104"/>
      <c r="J216" s="104"/>
      <c r="K216" s="105"/>
      <c r="L216" s="106"/>
      <c r="M216" s="104"/>
      <c r="N216" s="104"/>
      <c r="O216" s="104"/>
      <c r="P216" s="104"/>
      <c r="Q216" s="104"/>
      <c r="R216" s="106"/>
      <c r="S216" s="104"/>
      <c r="T216" s="104"/>
      <c r="U216" s="104"/>
      <c r="V216" s="104"/>
      <c r="W216" s="105"/>
      <c r="X216" s="104"/>
      <c r="Y216" s="104"/>
      <c r="Z216" s="104"/>
      <c r="AA216" s="104"/>
      <c r="AB216" s="104"/>
      <c r="AC216" s="104"/>
      <c r="AD216" s="104"/>
      <c r="AE216" s="104"/>
      <c r="AF216" s="104"/>
      <c r="AG216" s="104"/>
      <c r="AH216" s="104"/>
      <c r="AI216" s="104"/>
      <c r="AJ216" s="104"/>
      <c r="AK216" s="104"/>
      <c r="AL216" s="104"/>
      <c r="AM216" s="104"/>
      <c r="AN216" s="104"/>
      <c r="AO216" s="104"/>
      <c r="AP216" s="104"/>
      <c r="AQ216" s="104"/>
      <c r="AR216" s="104"/>
      <c r="AS216" s="104"/>
      <c r="AT216" s="104"/>
      <c r="AU216" s="104"/>
      <c r="AV216" s="104"/>
      <c r="AW216" s="104"/>
      <c r="AX216" s="104"/>
      <c r="AY216" s="104"/>
      <c r="AZ216" s="104"/>
      <c r="BA216" s="104"/>
      <c r="BB216" s="104"/>
      <c r="BC216" s="104"/>
      <c r="BD216" s="104"/>
      <c r="BE216" s="104"/>
      <c r="BF216" s="104"/>
      <c r="BG216" s="104"/>
      <c r="BH216" s="104"/>
      <c r="BI216" s="104"/>
      <c r="BJ216" s="104"/>
      <c r="BK216" s="104"/>
      <c r="BL216" s="104"/>
      <c r="BM216" s="104"/>
      <c r="BN216" s="104"/>
    </row>
    <row r="217">
      <c r="A217" s="104"/>
      <c r="B217" s="104"/>
      <c r="C217" s="104"/>
      <c r="D217" s="104"/>
      <c r="E217" s="104"/>
      <c r="F217" s="104"/>
      <c r="G217" s="104"/>
      <c r="H217" s="104"/>
      <c r="I217" s="104"/>
      <c r="J217" s="104"/>
      <c r="K217" s="105"/>
      <c r="L217" s="106"/>
      <c r="M217" s="104"/>
      <c r="N217" s="104"/>
      <c r="O217" s="104"/>
      <c r="P217" s="104"/>
      <c r="Q217" s="104"/>
      <c r="R217" s="106"/>
      <c r="S217" s="104"/>
      <c r="T217" s="104"/>
      <c r="U217" s="104"/>
      <c r="V217" s="104"/>
      <c r="W217" s="105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104"/>
      <c r="AR217" s="104"/>
      <c r="AS217" s="104"/>
      <c r="AT217" s="104"/>
      <c r="AU217" s="104"/>
      <c r="AV217" s="104"/>
      <c r="AW217" s="104"/>
      <c r="AX217" s="104"/>
      <c r="AY217" s="104"/>
      <c r="AZ217" s="104"/>
      <c r="BA217" s="104"/>
      <c r="BB217" s="104"/>
      <c r="BC217" s="104"/>
      <c r="BD217" s="104"/>
      <c r="BE217" s="104"/>
      <c r="BF217" s="104"/>
      <c r="BG217" s="104"/>
      <c r="BH217" s="104"/>
      <c r="BI217" s="104"/>
      <c r="BJ217" s="104"/>
      <c r="BK217" s="104"/>
      <c r="BL217" s="104"/>
      <c r="BM217" s="104"/>
      <c r="BN217" s="104"/>
    </row>
    <row r="218">
      <c r="A218" s="104"/>
      <c r="B218" s="104"/>
      <c r="C218" s="104"/>
      <c r="D218" s="104"/>
      <c r="E218" s="104"/>
      <c r="F218" s="104"/>
      <c r="G218" s="104"/>
      <c r="H218" s="104"/>
      <c r="I218" s="104"/>
      <c r="J218" s="104"/>
      <c r="K218" s="105"/>
      <c r="L218" s="106"/>
      <c r="M218" s="104"/>
      <c r="N218" s="104"/>
      <c r="O218" s="104"/>
      <c r="P218" s="104"/>
      <c r="Q218" s="104"/>
      <c r="R218" s="106"/>
      <c r="S218" s="104"/>
      <c r="T218" s="104"/>
      <c r="U218" s="104"/>
      <c r="V218" s="104"/>
      <c r="W218" s="105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/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  <c r="AX218" s="104"/>
      <c r="AY218" s="104"/>
      <c r="AZ218" s="104"/>
      <c r="BA218" s="104"/>
      <c r="BB218" s="104"/>
      <c r="BC218" s="104"/>
      <c r="BD218" s="104"/>
      <c r="BE218" s="104"/>
      <c r="BF218" s="104"/>
      <c r="BG218" s="104"/>
      <c r="BH218" s="104"/>
      <c r="BI218" s="104"/>
      <c r="BJ218" s="104"/>
      <c r="BK218" s="104"/>
      <c r="BL218" s="104"/>
      <c r="BM218" s="104"/>
      <c r="BN218" s="104"/>
    </row>
    <row r="219">
      <c r="A219" s="104"/>
      <c r="B219" s="104"/>
      <c r="C219" s="104"/>
      <c r="D219" s="104"/>
      <c r="E219" s="104"/>
      <c r="F219" s="104"/>
      <c r="G219" s="104"/>
      <c r="H219" s="104"/>
      <c r="I219" s="104"/>
      <c r="J219" s="104"/>
      <c r="K219" s="105"/>
      <c r="L219" s="106"/>
      <c r="M219" s="104"/>
      <c r="N219" s="104"/>
      <c r="O219" s="104"/>
      <c r="P219" s="104"/>
      <c r="Q219" s="104"/>
      <c r="R219" s="106"/>
      <c r="S219" s="104"/>
      <c r="T219" s="104"/>
      <c r="U219" s="104"/>
      <c r="V219" s="104"/>
      <c r="W219" s="105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104"/>
      <c r="AR219" s="104"/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 s="104"/>
      <c r="BG219" s="104"/>
      <c r="BH219" s="104"/>
      <c r="BI219" s="104"/>
      <c r="BJ219" s="104"/>
      <c r="BK219" s="104"/>
      <c r="BL219" s="104"/>
      <c r="BM219" s="104"/>
      <c r="BN219" s="104"/>
    </row>
    <row r="220">
      <c r="A220" s="104"/>
      <c r="B220" s="104"/>
      <c r="C220" s="104"/>
      <c r="D220" s="104"/>
      <c r="E220" s="104"/>
      <c r="F220" s="104"/>
      <c r="G220" s="104"/>
      <c r="H220" s="104"/>
      <c r="I220" s="104"/>
      <c r="J220" s="104"/>
      <c r="K220" s="105"/>
      <c r="L220" s="106"/>
      <c r="M220" s="104"/>
      <c r="N220" s="104"/>
      <c r="O220" s="104"/>
      <c r="P220" s="104"/>
      <c r="Q220" s="104"/>
      <c r="R220" s="106"/>
      <c r="S220" s="104"/>
      <c r="T220" s="104"/>
      <c r="U220" s="104"/>
      <c r="V220" s="104"/>
      <c r="W220" s="105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/>
      <c r="BB220" s="104"/>
      <c r="BC220" s="104"/>
      <c r="BD220" s="104"/>
      <c r="BE220" s="104"/>
      <c r="BF220" s="104"/>
      <c r="BG220" s="104"/>
      <c r="BH220" s="104"/>
      <c r="BI220" s="104"/>
      <c r="BJ220" s="104"/>
      <c r="BK220" s="104"/>
      <c r="BL220" s="104"/>
      <c r="BM220" s="104"/>
      <c r="BN220" s="104"/>
    </row>
    <row r="221">
      <c r="A221" s="104"/>
      <c r="B221" s="104"/>
      <c r="C221" s="104"/>
      <c r="D221" s="104"/>
      <c r="E221" s="104"/>
      <c r="F221" s="104"/>
      <c r="G221" s="104"/>
      <c r="H221" s="104"/>
      <c r="I221" s="104"/>
      <c r="J221" s="104"/>
      <c r="K221" s="105"/>
      <c r="L221" s="106"/>
      <c r="M221" s="104"/>
      <c r="N221" s="104"/>
      <c r="O221" s="104"/>
      <c r="P221" s="104"/>
      <c r="Q221" s="104"/>
      <c r="R221" s="106"/>
      <c r="S221" s="104"/>
      <c r="T221" s="104"/>
      <c r="U221" s="104"/>
      <c r="V221" s="104"/>
      <c r="W221" s="105"/>
      <c r="X221" s="104"/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104"/>
      <c r="AR221" s="104"/>
      <c r="AS221" s="104"/>
      <c r="AT221" s="104"/>
      <c r="AU221" s="104"/>
      <c r="AV221" s="104"/>
      <c r="AW221" s="104"/>
      <c r="AX221" s="104"/>
      <c r="AY221" s="104"/>
      <c r="AZ221" s="104"/>
      <c r="BA221" s="104"/>
      <c r="BB221" s="104"/>
      <c r="BC221" s="104"/>
      <c r="BD221" s="104"/>
      <c r="BE221" s="104"/>
      <c r="BF221" s="104"/>
      <c r="BG221" s="104"/>
      <c r="BH221" s="104"/>
      <c r="BI221" s="104"/>
      <c r="BJ221" s="104"/>
      <c r="BK221" s="104"/>
      <c r="BL221" s="104"/>
      <c r="BM221" s="104"/>
      <c r="BN221" s="104"/>
    </row>
    <row r="222">
      <c r="A222" s="104"/>
      <c r="B222" s="104"/>
      <c r="C222" s="104"/>
      <c r="D222" s="104"/>
      <c r="E222" s="104"/>
      <c r="F222" s="104"/>
      <c r="G222" s="104"/>
      <c r="H222" s="104"/>
      <c r="I222" s="104"/>
      <c r="J222" s="104"/>
      <c r="K222" s="105"/>
      <c r="L222" s="106"/>
      <c r="M222" s="104"/>
      <c r="N222" s="104"/>
      <c r="O222" s="104"/>
      <c r="P222" s="104"/>
      <c r="Q222" s="104"/>
      <c r="R222" s="106"/>
      <c r="S222" s="104"/>
      <c r="T222" s="104"/>
      <c r="U222" s="104"/>
      <c r="V222" s="104"/>
      <c r="W222" s="105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104"/>
      <c r="AR222" s="104"/>
      <c r="AS222" s="104"/>
      <c r="AT222" s="10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104"/>
      <c r="BG222" s="104"/>
      <c r="BH222" s="104"/>
      <c r="BI222" s="104"/>
      <c r="BJ222" s="104"/>
      <c r="BK222" s="104"/>
      <c r="BL222" s="104"/>
      <c r="BM222" s="104"/>
      <c r="BN222" s="104"/>
    </row>
    <row r="223">
      <c r="A223" s="104"/>
      <c r="B223" s="104"/>
      <c r="C223" s="104"/>
      <c r="D223" s="104"/>
      <c r="E223" s="104"/>
      <c r="F223" s="104"/>
      <c r="G223" s="104"/>
      <c r="H223" s="104"/>
      <c r="I223" s="104"/>
      <c r="J223" s="104"/>
      <c r="K223" s="105"/>
      <c r="L223" s="106"/>
      <c r="M223" s="104"/>
      <c r="N223" s="104"/>
      <c r="O223" s="104"/>
      <c r="P223" s="104"/>
      <c r="Q223" s="104"/>
      <c r="R223" s="106"/>
      <c r="S223" s="104"/>
      <c r="T223" s="104"/>
      <c r="U223" s="104"/>
      <c r="V223" s="104"/>
      <c r="W223" s="105"/>
      <c r="X223" s="104"/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  <c r="AL223" s="104"/>
      <c r="AM223" s="104"/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  <c r="AX223" s="104"/>
      <c r="AY223" s="104"/>
      <c r="AZ223" s="104"/>
      <c r="BA223" s="104"/>
      <c r="BB223" s="104"/>
      <c r="BC223" s="104"/>
      <c r="BD223" s="104"/>
      <c r="BE223" s="104"/>
      <c r="BF223" s="104"/>
      <c r="BG223" s="104"/>
      <c r="BH223" s="104"/>
      <c r="BI223" s="104"/>
      <c r="BJ223" s="104"/>
      <c r="BK223" s="104"/>
      <c r="BL223" s="104"/>
      <c r="BM223" s="104"/>
      <c r="BN223" s="104"/>
    </row>
    <row r="224">
      <c r="A224" s="104"/>
      <c r="B224" s="104"/>
      <c r="C224" s="104"/>
      <c r="D224" s="104"/>
      <c r="E224" s="104"/>
      <c r="F224" s="104"/>
      <c r="G224" s="104"/>
      <c r="H224" s="104"/>
      <c r="I224" s="104"/>
      <c r="J224" s="104"/>
      <c r="K224" s="105"/>
      <c r="L224" s="106"/>
      <c r="M224" s="104"/>
      <c r="N224" s="104"/>
      <c r="O224" s="104"/>
      <c r="P224" s="104"/>
      <c r="Q224" s="104"/>
      <c r="R224" s="106"/>
      <c r="S224" s="104"/>
      <c r="T224" s="104"/>
      <c r="U224" s="104"/>
      <c r="V224" s="104"/>
      <c r="W224" s="105"/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104"/>
      <c r="AR224" s="104"/>
      <c r="AS224" s="104"/>
      <c r="AT224" s="104"/>
      <c r="AU224" s="104"/>
      <c r="AV224" s="104"/>
      <c r="AW224" s="104"/>
      <c r="AX224" s="104"/>
      <c r="AY224" s="104"/>
      <c r="AZ224" s="104"/>
      <c r="BA224" s="104"/>
      <c r="BB224" s="104"/>
      <c r="BC224" s="104"/>
      <c r="BD224" s="104"/>
      <c r="BE224" s="104"/>
      <c r="BF224" s="104"/>
      <c r="BG224" s="104"/>
      <c r="BH224" s="104"/>
      <c r="BI224" s="104"/>
      <c r="BJ224" s="104"/>
      <c r="BK224" s="104"/>
      <c r="BL224" s="104"/>
      <c r="BM224" s="104"/>
      <c r="BN224" s="104"/>
    </row>
    <row r="225">
      <c r="A225" s="104"/>
      <c r="B225" s="104"/>
      <c r="C225" s="104"/>
      <c r="D225" s="104"/>
      <c r="E225" s="104"/>
      <c r="F225" s="104"/>
      <c r="G225" s="104"/>
      <c r="H225" s="104"/>
      <c r="I225" s="104"/>
      <c r="J225" s="104"/>
      <c r="K225" s="105"/>
      <c r="L225" s="106"/>
      <c r="M225" s="104"/>
      <c r="N225" s="104"/>
      <c r="O225" s="104"/>
      <c r="P225" s="104"/>
      <c r="Q225" s="104"/>
      <c r="R225" s="106"/>
      <c r="S225" s="104"/>
      <c r="T225" s="104"/>
      <c r="U225" s="104"/>
      <c r="V225" s="104"/>
      <c r="W225" s="105"/>
      <c r="X225" s="104"/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104"/>
      <c r="AR225" s="104"/>
      <c r="AS225" s="104"/>
      <c r="AT225" s="104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104"/>
      <c r="BG225" s="104"/>
      <c r="BH225" s="104"/>
      <c r="BI225" s="104"/>
      <c r="BJ225" s="104"/>
      <c r="BK225" s="104"/>
      <c r="BL225" s="104"/>
      <c r="BM225" s="104"/>
      <c r="BN225" s="104"/>
    </row>
    <row r="226">
      <c r="A226" s="104"/>
      <c r="B226" s="104"/>
      <c r="C226" s="104"/>
      <c r="D226" s="104"/>
      <c r="E226" s="104"/>
      <c r="F226" s="104"/>
      <c r="G226" s="104"/>
      <c r="H226" s="104"/>
      <c r="I226" s="104"/>
      <c r="J226" s="104"/>
      <c r="K226" s="105"/>
      <c r="L226" s="106"/>
      <c r="M226" s="104"/>
      <c r="N226" s="104"/>
      <c r="O226" s="104"/>
      <c r="P226" s="104"/>
      <c r="Q226" s="104"/>
      <c r="R226" s="106"/>
      <c r="S226" s="104"/>
      <c r="T226" s="104"/>
      <c r="U226" s="104"/>
      <c r="V226" s="104"/>
      <c r="W226" s="105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104"/>
      <c r="BG226" s="104"/>
      <c r="BH226" s="104"/>
      <c r="BI226" s="104"/>
      <c r="BJ226" s="104"/>
      <c r="BK226" s="104"/>
      <c r="BL226" s="104"/>
      <c r="BM226" s="104"/>
      <c r="BN226" s="104"/>
    </row>
    <row r="227">
      <c r="A227" s="104"/>
      <c r="B227" s="104"/>
      <c r="C227" s="104"/>
      <c r="D227" s="104"/>
      <c r="E227" s="104"/>
      <c r="F227" s="104"/>
      <c r="G227" s="104"/>
      <c r="H227" s="104"/>
      <c r="I227" s="104"/>
      <c r="J227" s="104"/>
      <c r="K227" s="105"/>
      <c r="L227" s="106"/>
      <c r="M227" s="104"/>
      <c r="N227" s="104"/>
      <c r="O227" s="104"/>
      <c r="P227" s="104"/>
      <c r="Q227" s="104"/>
      <c r="R227" s="106"/>
      <c r="S227" s="104"/>
      <c r="T227" s="104"/>
      <c r="U227" s="104"/>
      <c r="V227" s="104"/>
      <c r="W227" s="105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/>
      <c r="BD227" s="104"/>
      <c r="BE227" s="104"/>
      <c r="BF227" s="104"/>
      <c r="BG227" s="104"/>
      <c r="BH227" s="104"/>
      <c r="BI227" s="104"/>
      <c r="BJ227" s="104"/>
      <c r="BK227" s="104"/>
      <c r="BL227" s="104"/>
      <c r="BM227" s="104"/>
      <c r="BN227" s="104"/>
    </row>
    <row r="228">
      <c r="A228" s="104"/>
      <c r="B228" s="104"/>
      <c r="C228" s="104"/>
      <c r="D228" s="104"/>
      <c r="E228" s="104"/>
      <c r="F228" s="104"/>
      <c r="G228" s="104"/>
      <c r="H228" s="104"/>
      <c r="I228" s="104"/>
      <c r="J228" s="104"/>
      <c r="K228" s="105"/>
      <c r="L228" s="106"/>
      <c r="M228" s="104"/>
      <c r="N228" s="104"/>
      <c r="O228" s="104"/>
      <c r="P228" s="104"/>
      <c r="Q228" s="104"/>
      <c r="R228" s="106"/>
      <c r="S228" s="104"/>
      <c r="T228" s="104"/>
      <c r="U228" s="104"/>
      <c r="V228" s="104"/>
      <c r="W228" s="105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/>
      <c r="BD228" s="104"/>
      <c r="BE228" s="104"/>
      <c r="BF228" s="104"/>
      <c r="BG228" s="104"/>
      <c r="BH228" s="104"/>
      <c r="BI228" s="104"/>
      <c r="BJ228" s="104"/>
      <c r="BK228" s="104"/>
      <c r="BL228" s="104"/>
      <c r="BM228" s="104"/>
      <c r="BN228" s="104"/>
    </row>
    <row r="229">
      <c r="A229" s="104"/>
      <c r="B229" s="104"/>
      <c r="C229" s="104"/>
      <c r="D229" s="104"/>
      <c r="E229" s="104"/>
      <c r="F229" s="104"/>
      <c r="G229" s="104"/>
      <c r="H229" s="104"/>
      <c r="I229" s="104"/>
      <c r="J229" s="104"/>
      <c r="K229" s="105"/>
      <c r="L229" s="106"/>
      <c r="M229" s="104"/>
      <c r="N229" s="104"/>
      <c r="O229" s="104"/>
      <c r="P229" s="104"/>
      <c r="Q229" s="104"/>
      <c r="R229" s="106"/>
      <c r="S229" s="104"/>
      <c r="T229" s="104"/>
      <c r="U229" s="104"/>
      <c r="V229" s="104"/>
      <c r="W229" s="105"/>
      <c r="X229" s="104"/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  <c r="AX229" s="104"/>
      <c r="AY229" s="104"/>
      <c r="AZ229" s="104"/>
      <c r="BA229" s="104"/>
      <c r="BB229" s="104"/>
      <c r="BC229" s="104"/>
      <c r="BD229" s="104"/>
      <c r="BE229" s="104"/>
      <c r="BF229" s="104"/>
      <c r="BG229" s="104"/>
      <c r="BH229" s="104"/>
      <c r="BI229" s="104"/>
      <c r="BJ229" s="104"/>
      <c r="BK229" s="104"/>
      <c r="BL229" s="104"/>
      <c r="BM229" s="104"/>
      <c r="BN229" s="104"/>
    </row>
    <row r="230">
      <c r="A230" s="104"/>
      <c r="B230" s="104"/>
      <c r="C230" s="104"/>
      <c r="D230" s="104"/>
      <c r="E230" s="104"/>
      <c r="F230" s="104"/>
      <c r="G230" s="104"/>
      <c r="H230" s="104"/>
      <c r="I230" s="104"/>
      <c r="J230" s="104"/>
      <c r="K230" s="105"/>
      <c r="L230" s="106"/>
      <c r="M230" s="104"/>
      <c r="N230" s="104"/>
      <c r="O230" s="104"/>
      <c r="P230" s="104"/>
      <c r="Q230" s="104"/>
      <c r="R230" s="106"/>
      <c r="S230" s="104"/>
      <c r="T230" s="104"/>
      <c r="U230" s="104"/>
      <c r="V230" s="104"/>
      <c r="W230" s="105"/>
      <c r="X230" s="104"/>
      <c r="Y230" s="104"/>
      <c r="Z230" s="104"/>
      <c r="AA230" s="104"/>
      <c r="AB230" s="104"/>
      <c r="AC230" s="104"/>
      <c r="AD230" s="104"/>
      <c r="AE230" s="104"/>
      <c r="AF230" s="104"/>
      <c r="AG230" s="104"/>
      <c r="AH230" s="104"/>
      <c r="AI230" s="104"/>
      <c r="AJ230" s="104"/>
      <c r="AK230" s="104"/>
      <c r="AL230" s="104"/>
      <c r="AM230" s="104"/>
      <c r="AN230" s="104"/>
      <c r="AO230" s="104"/>
      <c r="AP230" s="104"/>
      <c r="AQ230" s="104"/>
      <c r="AR230" s="104"/>
      <c r="AS230" s="104"/>
      <c r="AT230" s="104"/>
      <c r="AU230" s="104"/>
      <c r="AV230" s="104"/>
      <c r="AW230" s="104"/>
      <c r="AX230" s="104"/>
      <c r="AY230" s="104"/>
      <c r="AZ230" s="104"/>
      <c r="BA230" s="104"/>
      <c r="BB230" s="104"/>
      <c r="BC230" s="104"/>
      <c r="BD230" s="104"/>
      <c r="BE230" s="104"/>
      <c r="BF230" s="104"/>
      <c r="BG230" s="104"/>
      <c r="BH230" s="104"/>
      <c r="BI230" s="104"/>
      <c r="BJ230" s="104"/>
      <c r="BK230" s="104"/>
      <c r="BL230" s="104"/>
      <c r="BM230" s="104"/>
      <c r="BN230" s="104"/>
    </row>
    <row r="231">
      <c r="A231" s="104"/>
      <c r="B231" s="104"/>
      <c r="C231" s="104"/>
      <c r="D231" s="104"/>
      <c r="E231" s="104"/>
      <c r="F231" s="104"/>
      <c r="G231" s="104"/>
      <c r="H231" s="104"/>
      <c r="I231" s="104"/>
      <c r="J231" s="104"/>
      <c r="K231" s="105"/>
      <c r="L231" s="106"/>
      <c r="M231" s="104"/>
      <c r="N231" s="104"/>
      <c r="O231" s="104"/>
      <c r="P231" s="104"/>
      <c r="Q231" s="104"/>
      <c r="R231" s="106"/>
      <c r="S231" s="104"/>
      <c r="T231" s="104"/>
      <c r="U231" s="104"/>
      <c r="V231" s="104"/>
      <c r="W231" s="105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104"/>
      <c r="AQ231" s="104"/>
      <c r="AR231" s="104"/>
      <c r="AS231" s="104"/>
      <c r="AT231" s="104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104"/>
      <c r="BG231" s="104"/>
      <c r="BH231" s="104"/>
      <c r="BI231" s="104"/>
      <c r="BJ231" s="104"/>
      <c r="BK231" s="104"/>
      <c r="BL231" s="104"/>
      <c r="BM231" s="104"/>
      <c r="BN231" s="104"/>
    </row>
    <row r="232">
      <c r="A232" s="104"/>
      <c r="B232" s="104"/>
      <c r="C232" s="104"/>
      <c r="D232" s="104"/>
      <c r="E232" s="104"/>
      <c r="F232" s="104"/>
      <c r="G232" s="104"/>
      <c r="H232" s="104"/>
      <c r="I232" s="104"/>
      <c r="J232" s="104"/>
      <c r="K232" s="105"/>
      <c r="L232" s="106"/>
      <c r="M232" s="104"/>
      <c r="N232" s="104"/>
      <c r="O232" s="104"/>
      <c r="P232" s="104"/>
      <c r="Q232" s="104"/>
      <c r="R232" s="106"/>
      <c r="S232" s="104"/>
      <c r="T232" s="104"/>
      <c r="U232" s="104"/>
      <c r="V232" s="104"/>
      <c r="W232" s="105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  <c r="AH232" s="104"/>
      <c r="AI232" s="104"/>
      <c r="AJ232" s="104"/>
      <c r="AK232" s="104"/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 s="104"/>
      <c r="BG232" s="104"/>
      <c r="BH232" s="104"/>
      <c r="BI232" s="104"/>
      <c r="BJ232" s="104"/>
      <c r="BK232" s="104"/>
      <c r="BL232" s="104"/>
      <c r="BM232" s="104"/>
      <c r="BN232" s="104"/>
    </row>
    <row r="233">
      <c r="A233" s="104"/>
      <c r="B233" s="104"/>
      <c r="C233" s="104"/>
      <c r="D233" s="104"/>
      <c r="E233" s="104"/>
      <c r="F233" s="104"/>
      <c r="G233" s="104"/>
      <c r="H233" s="104"/>
      <c r="I233" s="104"/>
      <c r="J233" s="104"/>
      <c r="K233" s="105"/>
      <c r="L233" s="106"/>
      <c r="M233" s="104"/>
      <c r="N233" s="104"/>
      <c r="O233" s="104"/>
      <c r="P233" s="104"/>
      <c r="Q233" s="104"/>
      <c r="R233" s="106"/>
      <c r="S233" s="104"/>
      <c r="T233" s="104"/>
      <c r="U233" s="104"/>
      <c r="V233" s="104"/>
      <c r="W233" s="105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104"/>
      <c r="AQ233" s="104"/>
      <c r="AR233" s="104"/>
      <c r="AS233" s="104"/>
      <c r="AT233" s="10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/>
      <c r="BF233" s="104"/>
      <c r="BG233" s="104"/>
      <c r="BH233" s="104"/>
      <c r="BI233" s="104"/>
      <c r="BJ233" s="104"/>
      <c r="BK233" s="104"/>
      <c r="BL233" s="104"/>
      <c r="BM233" s="104"/>
      <c r="BN233" s="104"/>
    </row>
    <row r="234">
      <c r="A234" s="104"/>
      <c r="B234" s="104"/>
      <c r="C234" s="104"/>
      <c r="D234" s="104"/>
      <c r="E234" s="104"/>
      <c r="F234" s="104"/>
      <c r="G234" s="104"/>
      <c r="H234" s="104"/>
      <c r="I234" s="104"/>
      <c r="J234" s="104"/>
      <c r="K234" s="105"/>
      <c r="L234" s="106"/>
      <c r="M234" s="104"/>
      <c r="N234" s="104"/>
      <c r="O234" s="104"/>
      <c r="P234" s="104"/>
      <c r="Q234" s="104"/>
      <c r="R234" s="106"/>
      <c r="S234" s="104"/>
      <c r="T234" s="104"/>
      <c r="U234" s="104"/>
      <c r="V234" s="104"/>
      <c r="W234" s="105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104"/>
      <c r="AH234" s="104"/>
      <c r="AI234" s="104"/>
      <c r="AJ234" s="104"/>
      <c r="AK234" s="104"/>
      <c r="AL234" s="104"/>
      <c r="AM234" s="104"/>
      <c r="AN234" s="104"/>
      <c r="AO234" s="104"/>
      <c r="AP234" s="104"/>
      <c r="AQ234" s="104"/>
      <c r="AR234" s="104"/>
      <c r="AS234" s="104"/>
      <c r="AT234" s="104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/>
      <c r="BE234" s="104"/>
      <c r="BF234" s="104"/>
      <c r="BG234" s="104"/>
      <c r="BH234" s="104"/>
      <c r="BI234" s="104"/>
      <c r="BJ234" s="104"/>
      <c r="BK234" s="104"/>
      <c r="BL234" s="104"/>
      <c r="BM234" s="104"/>
      <c r="BN234" s="104"/>
    </row>
    <row r="235">
      <c r="A235" s="104"/>
      <c r="B235" s="104"/>
      <c r="C235" s="104"/>
      <c r="D235" s="104"/>
      <c r="E235" s="104"/>
      <c r="F235" s="104"/>
      <c r="G235" s="104"/>
      <c r="H235" s="104"/>
      <c r="I235" s="104"/>
      <c r="J235" s="104"/>
      <c r="K235" s="105"/>
      <c r="L235" s="106"/>
      <c r="M235" s="104"/>
      <c r="N235" s="104"/>
      <c r="O235" s="104"/>
      <c r="P235" s="104"/>
      <c r="Q235" s="104"/>
      <c r="R235" s="106"/>
      <c r="S235" s="104"/>
      <c r="T235" s="104"/>
      <c r="U235" s="104"/>
      <c r="V235" s="104"/>
      <c r="W235" s="105"/>
      <c r="X235" s="104"/>
      <c r="Y235" s="104"/>
      <c r="Z235" s="104"/>
      <c r="AA235" s="104"/>
      <c r="AB235" s="104"/>
      <c r="AC235" s="104"/>
      <c r="AD235" s="104"/>
      <c r="AE235" s="104"/>
      <c r="AF235" s="104"/>
      <c r="AG235" s="104"/>
      <c r="AH235" s="104"/>
      <c r="AI235" s="104"/>
      <c r="AJ235" s="104"/>
      <c r="AK235" s="104"/>
      <c r="AL235" s="104"/>
      <c r="AM235" s="104"/>
      <c r="AN235" s="104"/>
      <c r="AO235" s="104"/>
      <c r="AP235" s="104"/>
      <c r="AQ235" s="104"/>
      <c r="AR235" s="104"/>
      <c r="AS235" s="104"/>
      <c r="AT235" s="104"/>
      <c r="AU235" s="104"/>
      <c r="AV235" s="104"/>
      <c r="AW235" s="104"/>
      <c r="AX235" s="104"/>
      <c r="AY235" s="104"/>
      <c r="AZ235" s="104"/>
      <c r="BA235" s="104"/>
      <c r="BB235" s="104"/>
      <c r="BC235" s="104"/>
      <c r="BD235" s="104"/>
      <c r="BE235" s="104"/>
      <c r="BF235" s="104"/>
      <c r="BG235" s="104"/>
      <c r="BH235" s="104"/>
      <c r="BI235" s="104"/>
      <c r="BJ235" s="104"/>
      <c r="BK235" s="104"/>
      <c r="BL235" s="104"/>
      <c r="BM235" s="104"/>
      <c r="BN235" s="104"/>
    </row>
    <row r="236">
      <c r="A236" s="104"/>
      <c r="B236" s="104"/>
      <c r="C236" s="104"/>
      <c r="D236" s="104"/>
      <c r="E236" s="104"/>
      <c r="F236" s="104"/>
      <c r="G236" s="104"/>
      <c r="H236" s="104"/>
      <c r="I236" s="104"/>
      <c r="J236" s="104"/>
      <c r="K236" s="105"/>
      <c r="L236" s="106"/>
      <c r="M236" s="104"/>
      <c r="N236" s="104"/>
      <c r="O236" s="104"/>
      <c r="P236" s="104"/>
      <c r="Q236" s="104"/>
      <c r="R236" s="106"/>
      <c r="S236" s="104"/>
      <c r="T236" s="104"/>
      <c r="U236" s="104"/>
      <c r="V236" s="104"/>
      <c r="W236" s="105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H236" s="104"/>
      <c r="AI236" s="104"/>
      <c r="AJ236" s="104"/>
      <c r="AK236" s="104"/>
      <c r="AL236" s="104"/>
      <c r="AM236" s="104"/>
      <c r="AN236" s="104"/>
      <c r="AO236" s="104"/>
      <c r="AP236" s="104"/>
      <c r="AQ236" s="104"/>
      <c r="AR236" s="104"/>
      <c r="AS236" s="104"/>
      <c r="AT236" s="104"/>
      <c r="AU236" s="104"/>
      <c r="AV236" s="104"/>
      <c r="AW236" s="104"/>
      <c r="AX236" s="104"/>
      <c r="AY236" s="104"/>
      <c r="AZ236" s="104"/>
      <c r="BA236" s="104"/>
      <c r="BB236" s="104"/>
      <c r="BC236" s="104"/>
      <c r="BD236" s="104"/>
      <c r="BE236" s="104"/>
      <c r="BF236" s="104"/>
      <c r="BG236" s="104"/>
      <c r="BH236" s="104"/>
      <c r="BI236" s="104"/>
      <c r="BJ236" s="104"/>
      <c r="BK236" s="104"/>
      <c r="BL236" s="104"/>
      <c r="BM236" s="104"/>
      <c r="BN236" s="104"/>
    </row>
    <row r="237">
      <c r="A237" s="104"/>
      <c r="B237" s="104"/>
      <c r="C237" s="104"/>
      <c r="D237" s="104"/>
      <c r="E237" s="104"/>
      <c r="F237" s="104"/>
      <c r="G237" s="104"/>
      <c r="H237" s="104"/>
      <c r="I237" s="104"/>
      <c r="J237" s="104"/>
      <c r="K237" s="105"/>
      <c r="L237" s="106"/>
      <c r="M237" s="104"/>
      <c r="N237" s="104"/>
      <c r="O237" s="104"/>
      <c r="P237" s="104"/>
      <c r="Q237" s="104"/>
      <c r="R237" s="106"/>
      <c r="S237" s="104"/>
      <c r="T237" s="104"/>
      <c r="U237" s="104"/>
      <c r="V237" s="104"/>
      <c r="W237" s="105"/>
      <c r="X237" s="104"/>
      <c r="Y237" s="104"/>
      <c r="Z237" s="104"/>
      <c r="AA237" s="104"/>
      <c r="AB237" s="104"/>
      <c r="AC237" s="104"/>
      <c r="AD237" s="104"/>
      <c r="AE237" s="104"/>
      <c r="AF237" s="104"/>
      <c r="AG237" s="104"/>
      <c r="AH237" s="104"/>
      <c r="AI237" s="104"/>
      <c r="AJ237" s="104"/>
      <c r="AK237" s="104"/>
      <c r="AL237" s="104"/>
      <c r="AM237" s="104"/>
      <c r="AN237" s="104"/>
      <c r="AO237" s="104"/>
      <c r="AP237" s="104"/>
      <c r="AQ237" s="104"/>
      <c r="AR237" s="104"/>
      <c r="AS237" s="104"/>
      <c r="AT237" s="104"/>
      <c r="AU237" s="104"/>
      <c r="AV237" s="104"/>
      <c r="AW237" s="104"/>
      <c r="AX237" s="104"/>
      <c r="AY237" s="104"/>
      <c r="AZ237" s="104"/>
      <c r="BA237" s="104"/>
      <c r="BB237" s="104"/>
      <c r="BC237" s="104"/>
      <c r="BD237" s="104"/>
      <c r="BE237" s="104"/>
      <c r="BF237" s="104"/>
      <c r="BG237" s="104"/>
      <c r="BH237" s="104"/>
      <c r="BI237" s="104"/>
      <c r="BJ237" s="104"/>
      <c r="BK237" s="104"/>
      <c r="BL237" s="104"/>
      <c r="BM237" s="104"/>
      <c r="BN237" s="104"/>
    </row>
    <row r="238">
      <c r="A238" s="104"/>
      <c r="B238" s="104"/>
      <c r="C238" s="104"/>
      <c r="D238" s="104"/>
      <c r="E238" s="104"/>
      <c r="F238" s="104"/>
      <c r="G238" s="104"/>
      <c r="H238" s="104"/>
      <c r="I238" s="104"/>
      <c r="J238" s="104"/>
      <c r="K238" s="105"/>
      <c r="L238" s="106"/>
      <c r="M238" s="104"/>
      <c r="N238" s="104"/>
      <c r="O238" s="104"/>
      <c r="P238" s="104"/>
      <c r="Q238" s="104"/>
      <c r="R238" s="106"/>
      <c r="S238" s="104"/>
      <c r="T238" s="104"/>
      <c r="U238" s="104"/>
      <c r="V238" s="104"/>
      <c r="W238" s="105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104"/>
      <c r="AQ238" s="104"/>
      <c r="AR238" s="104"/>
      <c r="AS238" s="104"/>
      <c r="AT238" s="104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104"/>
      <c r="BG238" s="104"/>
      <c r="BH238" s="104"/>
      <c r="BI238" s="104"/>
      <c r="BJ238" s="104"/>
      <c r="BK238" s="104"/>
      <c r="BL238" s="104"/>
      <c r="BM238" s="104"/>
      <c r="BN238" s="104"/>
    </row>
    <row r="239">
      <c r="A239" s="104"/>
      <c r="B239" s="104"/>
      <c r="C239" s="104"/>
      <c r="D239" s="104"/>
      <c r="E239" s="104"/>
      <c r="F239" s="104"/>
      <c r="G239" s="104"/>
      <c r="H239" s="104"/>
      <c r="I239" s="104"/>
      <c r="J239" s="104"/>
      <c r="K239" s="105"/>
      <c r="L239" s="106"/>
      <c r="M239" s="104"/>
      <c r="N239" s="104"/>
      <c r="O239" s="104"/>
      <c r="P239" s="104"/>
      <c r="Q239" s="104"/>
      <c r="R239" s="106"/>
      <c r="S239" s="104"/>
      <c r="T239" s="104"/>
      <c r="U239" s="104"/>
      <c r="V239" s="104"/>
      <c r="W239" s="105"/>
      <c r="X239" s="104"/>
      <c r="Y239" s="104"/>
      <c r="Z239" s="104"/>
      <c r="AA239" s="104"/>
      <c r="AB239" s="104"/>
      <c r="AC239" s="104"/>
      <c r="AD239" s="104"/>
      <c r="AE239" s="104"/>
      <c r="AF239" s="104"/>
      <c r="AG239" s="104"/>
      <c r="AH239" s="104"/>
      <c r="AI239" s="104"/>
      <c r="AJ239" s="104"/>
      <c r="AK239" s="104"/>
      <c r="AL239" s="104"/>
      <c r="AM239" s="104"/>
      <c r="AN239" s="104"/>
      <c r="AO239" s="104"/>
      <c r="AP239" s="104"/>
      <c r="AQ239" s="104"/>
      <c r="AR239" s="104"/>
      <c r="AS239" s="104"/>
      <c r="AT239" s="104"/>
      <c r="AU239" s="104"/>
      <c r="AV239" s="104"/>
      <c r="AW239" s="104"/>
      <c r="AX239" s="104"/>
      <c r="AY239" s="104"/>
      <c r="AZ239" s="104"/>
      <c r="BA239" s="104"/>
      <c r="BB239" s="104"/>
      <c r="BC239" s="104"/>
      <c r="BD239" s="104"/>
      <c r="BE239" s="104"/>
      <c r="BF239" s="104"/>
      <c r="BG239" s="104"/>
      <c r="BH239" s="104"/>
      <c r="BI239" s="104"/>
      <c r="BJ239" s="104"/>
      <c r="BK239" s="104"/>
      <c r="BL239" s="104"/>
      <c r="BM239" s="104"/>
      <c r="BN239" s="104"/>
    </row>
    <row r="240">
      <c r="A240" s="104"/>
      <c r="B240" s="104"/>
      <c r="C240" s="104"/>
      <c r="D240" s="104"/>
      <c r="E240" s="104"/>
      <c r="F240" s="104"/>
      <c r="G240" s="104"/>
      <c r="H240" s="104"/>
      <c r="I240" s="104"/>
      <c r="J240" s="104"/>
      <c r="K240" s="105"/>
      <c r="L240" s="106"/>
      <c r="M240" s="104"/>
      <c r="N240" s="104"/>
      <c r="O240" s="104"/>
      <c r="P240" s="104"/>
      <c r="Q240" s="104"/>
      <c r="R240" s="106"/>
      <c r="S240" s="104"/>
      <c r="T240" s="104"/>
      <c r="U240" s="104"/>
      <c r="V240" s="104"/>
      <c r="W240" s="105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  <c r="AL240" s="104"/>
      <c r="AM240" s="104"/>
      <c r="AN240" s="104"/>
      <c r="AO240" s="104"/>
      <c r="AP240" s="104"/>
      <c r="AQ240" s="104"/>
      <c r="AR240" s="104"/>
      <c r="AS240" s="104"/>
      <c r="AT240" s="104"/>
      <c r="AU240" s="104"/>
      <c r="AV240" s="104"/>
      <c r="AW240" s="104"/>
      <c r="AX240" s="104"/>
      <c r="AY240" s="104"/>
      <c r="AZ240" s="104"/>
      <c r="BA240" s="104"/>
      <c r="BB240" s="104"/>
      <c r="BC240" s="104"/>
      <c r="BD240" s="104"/>
      <c r="BE240" s="104"/>
      <c r="BF240" s="104"/>
      <c r="BG240" s="104"/>
      <c r="BH240" s="104"/>
      <c r="BI240" s="104"/>
      <c r="BJ240" s="104"/>
      <c r="BK240" s="104"/>
      <c r="BL240" s="104"/>
      <c r="BM240" s="104"/>
      <c r="BN240" s="104"/>
    </row>
    <row r="241">
      <c r="A241" s="104"/>
      <c r="B241" s="104"/>
      <c r="C241" s="104"/>
      <c r="D241" s="104"/>
      <c r="E241" s="104"/>
      <c r="F241" s="104"/>
      <c r="G241" s="104"/>
      <c r="H241" s="104"/>
      <c r="I241" s="104"/>
      <c r="J241" s="104"/>
      <c r="K241" s="105"/>
      <c r="L241" s="106"/>
      <c r="M241" s="104"/>
      <c r="N241" s="104"/>
      <c r="O241" s="104"/>
      <c r="P241" s="104"/>
      <c r="Q241" s="104"/>
      <c r="R241" s="106"/>
      <c r="S241" s="104"/>
      <c r="T241" s="104"/>
      <c r="U241" s="104"/>
      <c r="V241" s="104"/>
      <c r="W241" s="105"/>
      <c r="X241" s="104"/>
      <c r="Y241" s="104"/>
      <c r="Z241" s="104"/>
      <c r="AA241" s="104"/>
      <c r="AB241" s="104"/>
      <c r="AC241" s="104"/>
      <c r="AD241" s="104"/>
      <c r="AE241" s="104"/>
      <c r="AF241" s="104"/>
      <c r="AG241" s="104"/>
      <c r="AH241" s="104"/>
      <c r="AI241" s="104"/>
      <c r="AJ241" s="104"/>
      <c r="AK241" s="104"/>
      <c r="AL241" s="104"/>
      <c r="AM241" s="104"/>
      <c r="AN241" s="104"/>
      <c r="AO241" s="104"/>
      <c r="AP241" s="104"/>
      <c r="AQ241" s="104"/>
      <c r="AR241" s="104"/>
      <c r="AS241" s="104"/>
      <c r="AT241" s="104"/>
      <c r="AU241" s="104"/>
      <c r="AV241" s="104"/>
      <c r="AW241" s="104"/>
      <c r="AX241" s="104"/>
      <c r="AY241" s="104"/>
      <c r="AZ241" s="104"/>
      <c r="BA241" s="104"/>
      <c r="BB241" s="104"/>
      <c r="BC241" s="104"/>
      <c r="BD241" s="104"/>
      <c r="BE241" s="104"/>
      <c r="BF241" s="104"/>
      <c r="BG241" s="104"/>
      <c r="BH241" s="104"/>
      <c r="BI241" s="104"/>
      <c r="BJ241" s="104"/>
      <c r="BK241" s="104"/>
      <c r="BL241" s="104"/>
      <c r="BM241" s="104"/>
      <c r="BN241" s="104"/>
    </row>
    <row r="242">
      <c r="A242" s="104"/>
      <c r="B242" s="104"/>
      <c r="C242" s="104"/>
      <c r="D242" s="104"/>
      <c r="E242" s="104"/>
      <c r="F242" s="104"/>
      <c r="G242" s="104"/>
      <c r="H242" s="104"/>
      <c r="I242" s="104"/>
      <c r="J242" s="104"/>
      <c r="K242" s="105"/>
      <c r="L242" s="106"/>
      <c r="M242" s="104"/>
      <c r="N242" s="104"/>
      <c r="O242" s="104"/>
      <c r="P242" s="104"/>
      <c r="Q242" s="104"/>
      <c r="R242" s="106"/>
      <c r="S242" s="104"/>
      <c r="T242" s="104"/>
      <c r="U242" s="104"/>
      <c r="V242" s="104"/>
      <c r="W242" s="105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  <c r="AH242" s="104"/>
      <c r="AI242" s="104"/>
      <c r="AJ242" s="104"/>
      <c r="AK242" s="104"/>
      <c r="AL242" s="104"/>
      <c r="AM242" s="104"/>
      <c r="AN242" s="104"/>
      <c r="AO242" s="104"/>
      <c r="AP242" s="104"/>
      <c r="AQ242" s="104"/>
      <c r="AR242" s="104"/>
      <c r="AS242" s="104"/>
      <c r="AT242" s="104"/>
      <c r="AU242" s="104"/>
      <c r="AV242" s="104"/>
      <c r="AW242" s="104"/>
      <c r="AX242" s="104"/>
      <c r="AY242" s="104"/>
      <c r="AZ242" s="104"/>
      <c r="BA242" s="104"/>
      <c r="BB242" s="104"/>
      <c r="BC242" s="104"/>
      <c r="BD242" s="104"/>
      <c r="BE242" s="104"/>
      <c r="BF242" s="104"/>
      <c r="BG242" s="104"/>
      <c r="BH242" s="104"/>
      <c r="BI242" s="104"/>
      <c r="BJ242" s="104"/>
      <c r="BK242" s="104"/>
      <c r="BL242" s="104"/>
      <c r="BM242" s="104"/>
      <c r="BN242" s="104"/>
    </row>
    <row r="243">
      <c r="A243" s="104"/>
      <c r="B243" s="104"/>
      <c r="C243" s="104"/>
      <c r="D243" s="104"/>
      <c r="E243" s="104"/>
      <c r="F243" s="104"/>
      <c r="G243" s="104"/>
      <c r="H243" s="104"/>
      <c r="I243" s="104"/>
      <c r="J243" s="104"/>
      <c r="K243" s="105"/>
      <c r="L243" s="106"/>
      <c r="M243" s="104"/>
      <c r="N243" s="104"/>
      <c r="O243" s="104"/>
      <c r="P243" s="104"/>
      <c r="Q243" s="104"/>
      <c r="R243" s="106"/>
      <c r="S243" s="104"/>
      <c r="T243" s="104"/>
      <c r="U243" s="104"/>
      <c r="V243" s="104"/>
      <c r="W243" s="105"/>
      <c r="X243" s="104"/>
      <c r="Y243" s="104"/>
      <c r="Z243" s="104"/>
      <c r="AA243" s="104"/>
      <c r="AB243" s="104"/>
      <c r="AC243" s="104"/>
      <c r="AD243" s="104"/>
      <c r="AE243" s="104"/>
      <c r="AF243" s="104"/>
      <c r="AG243" s="104"/>
      <c r="AH243" s="104"/>
      <c r="AI243" s="104"/>
      <c r="AJ243" s="104"/>
      <c r="AK243" s="104"/>
      <c r="AL243" s="104"/>
      <c r="AM243" s="104"/>
      <c r="AN243" s="104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104"/>
      <c r="BG243" s="104"/>
      <c r="BH243" s="104"/>
      <c r="BI243" s="104"/>
      <c r="BJ243" s="104"/>
      <c r="BK243" s="104"/>
      <c r="BL243" s="104"/>
      <c r="BM243" s="104"/>
      <c r="BN243" s="104"/>
    </row>
    <row r="244">
      <c r="A244" s="104"/>
      <c r="B244" s="104"/>
      <c r="C244" s="104"/>
      <c r="D244" s="104"/>
      <c r="E244" s="104"/>
      <c r="F244" s="104"/>
      <c r="G244" s="104"/>
      <c r="H244" s="104"/>
      <c r="I244" s="104"/>
      <c r="J244" s="104"/>
      <c r="K244" s="105"/>
      <c r="L244" s="106"/>
      <c r="M244" s="104"/>
      <c r="N244" s="104"/>
      <c r="O244" s="104"/>
      <c r="P244" s="104"/>
      <c r="Q244" s="104"/>
      <c r="R244" s="106"/>
      <c r="S244" s="104"/>
      <c r="T244" s="104"/>
      <c r="U244" s="104"/>
      <c r="V244" s="104"/>
      <c r="W244" s="105"/>
      <c r="X244" s="104"/>
      <c r="Y244" s="104"/>
      <c r="Z244" s="104"/>
      <c r="AA244" s="104"/>
      <c r="AB244" s="104"/>
      <c r="AC244" s="104"/>
      <c r="AD244" s="104"/>
      <c r="AE244" s="104"/>
      <c r="AF244" s="104"/>
      <c r="AG244" s="104"/>
      <c r="AH244" s="104"/>
      <c r="AI244" s="104"/>
      <c r="AJ244" s="104"/>
      <c r="AK244" s="104"/>
      <c r="AL244" s="104"/>
      <c r="AM244" s="104"/>
      <c r="AN244" s="104"/>
      <c r="AO244" s="104"/>
      <c r="AP244" s="104"/>
      <c r="AQ244" s="104"/>
      <c r="AR244" s="104"/>
      <c r="AS244" s="104"/>
      <c r="AT244" s="104"/>
      <c r="AU244" s="104"/>
      <c r="AV244" s="104"/>
      <c r="AW244" s="104"/>
      <c r="AX244" s="104"/>
      <c r="AY244" s="104"/>
      <c r="AZ244" s="104"/>
      <c r="BA244" s="104"/>
      <c r="BB244" s="104"/>
      <c r="BC244" s="104"/>
      <c r="BD244" s="104"/>
      <c r="BE244" s="104"/>
      <c r="BF244" s="104"/>
      <c r="BG244" s="104"/>
      <c r="BH244" s="104"/>
      <c r="BI244" s="104"/>
      <c r="BJ244" s="104"/>
      <c r="BK244" s="104"/>
      <c r="BL244" s="104"/>
      <c r="BM244" s="104"/>
      <c r="BN244" s="104"/>
    </row>
    <row r="245">
      <c r="A245" s="104"/>
      <c r="B245" s="104"/>
      <c r="C245" s="104"/>
      <c r="D245" s="104"/>
      <c r="E245" s="104"/>
      <c r="F245" s="104"/>
      <c r="G245" s="104"/>
      <c r="H245" s="104"/>
      <c r="I245" s="104"/>
      <c r="J245" s="104"/>
      <c r="K245" s="105"/>
      <c r="L245" s="106"/>
      <c r="M245" s="104"/>
      <c r="N245" s="104"/>
      <c r="O245" s="104"/>
      <c r="P245" s="104"/>
      <c r="Q245" s="104"/>
      <c r="R245" s="106"/>
      <c r="S245" s="104"/>
      <c r="T245" s="104"/>
      <c r="U245" s="104"/>
      <c r="V245" s="104"/>
      <c r="W245" s="105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4"/>
      <c r="AH245" s="104"/>
      <c r="AI245" s="104"/>
      <c r="AJ245" s="104"/>
      <c r="AK245" s="104"/>
      <c r="AL245" s="104"/>
      <c r="AM245" s="104"/>
      <c r="AN245" s="104"/>
      <c r="AO245" s="104"/>
      <c r="AP245" s="104"/>
      <c r="AQ245" s="104"/>
      <c r="AR245" s="104"/>
      <c r="AS245" s="104"/>
      <c r="AT245" s="104"/>
      <c r="AU245" s="104"/>
      <c r="AV245" s="104"/>
      <c r="AW245" s="104"/>
      <c r="AX245" s="104"/>
      <c r="AY245" s="104"/>
      <c r="AZ245" s="104"/>
      <c r="BA245" s="104"/>
      <c r="BB245" s="104"/>
      <c r="BC245" s="104"/>
      <c r="BD245" s="104"/>
      <c r="BE245" s="104"/>
      <c r="BF245" s="104"/>
      <c r="BG245" s="104"/>
      <c r="BH245" s="104"/>
      <c r="BI245" s="104"/>
      <c r="BJ245" s="104"/>
      <c r="BK245" s="104"/>
      <c r="BL245" s="104"/>
      <c r="BM245" s="104"/>
      <c r="BN245" s="104"/>
    </row>
    <row r="246">
      <c r="A246" s="104"/>
      <c r="B246" s="104"/>
      <c r="C246" s="104"/>
      <c r="D246" s="104"/>
      <c r="E246" s="104"/>
      <c r="F246" s="104"/>
      <c r="G246" s="104"/>
      <c r="H246" s="104"/>
      <c r="I246" s="104"/>
      <c r="J246" s="104"/>
      <c r="K246" s="105"/>
      <c r="L246" s="106"/>
      <c r="M246" s="104"/>
      <c r="N246" s="104"/>
      <c r="O246" s="104"/>
      <c r="P246" s="104"/>
      <c r="Q246" s="104"/>
      <c r="R246" s="106"/>
      <c r="S246" s="104"/>
      <c r="T246" s="104"/>
      <c r="U246" s="104"/>
      <c r="V246" s="104"/>
      <c r="W246" s="105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  <c r="AH246" s="104"/>
      <c r="AI246" s="104"/>
      <c r="AJ246" s="104"/>
      <c r="AK246" s="104"/>
      <c r="AL246" s="104"/>
      <c r="AM246" s="104"/>
      <c r="AN246" s="104"/>
      <c r="AO246" s="104"/>
      <c r="AP246" s="104"/>
      <c r="AQ246" s="104"/>
      <c r="AR246" s="104"/>
      <c r="AS246" s="104"/>
      <c r="AT246" s="104"/>
      <c r="AU246" s="104"/>
      <c r="AV246" s="104"/>
      <c r="AW246" s="104"/>
      <c r="AX246" s="104"/>
      <c r="AY246" s="104"/>
      <c r="AZ246" s="104"/>
      <c r="BA246" s="104"/>
      <c r="BB246" s="104"/>
      <c r="BC246" s="104"/>
      <c r="BD246" s="104"/>
      <c r="BE246" s="104"/>
      <c r="BF246" s="104"/>
      <c r="BG246" s="104"/>
      <c r="BH246" s="104"/>
      <c r="BI246" s="104"/>
      <c r="BJ246" s="104"/>
      <c r="BK246" s="104"/>
      <c r="BL246" s="104"/>
      <c r="BM246" s="104"/>
      <c r="BN246" s="104"/>
    </row>
    <row r="247">
      <c r="A247" s="104"/>
      <c r="B247" s="104"/>
      <c r="C247" s="104"/>
      <c r="D247" s="104"/>
      <c r="E247" s="104"/>
      <c r="F247" s="104"/>
      <c r="G247" s="104"/>
      <c r="H247" s="104"/>
      <c r="I247" s="104"/>
      <c r="J247" s="104"/>
      <c r="K247" s="105"/>
      <c r="L247" s="106"/>
      <c r="M247" s="104"/>
      <c r="N247" s="104"/>
      <c r="O247" s="104"/>
      <c r="P247" s="104"/>
      <c r="Q247" s="104"/>
      <c r="R247" s="106"/>
      <c r="S247" s="104"/>
      <c r="T247" s="104"/>
      <c r="U247" s="104"/>
      <c r="V247" s="104"/>
      <c r="W247" s="105"/>
      <c r="X247" s="104"/>
      <c r="Y247" s="104"/>
      <c r="Z247" s="104"/>
      <c r="AA247" s="104"/>
      <c r="AB247" s="104"/>
      <c r="AC247" s="104"/>
      <c r="AD247" s="104"/>
      <c r="AE247" s="104"/>
      <c r="AF247" s="104"/>
      <c r="AG247" s="104"/>
      <c r="AH247" s="104"/>
      <c r="AI247" s="104"/>
      <c r="AJ247" s="104"/>
      <c r="AK247" s="104"/>
      <c r="AL247" s="104"/>
      <c r="AM247" s="104"/>
      <c r="AN247" s="104"/>
      <c r="AO247" s="104"/>
      <c r="AP247" s="104"/>
      <c r="AQ247" s="104"/>
      <c r="AR247" s="104"/>
      <c r="AS247" s="104"/>
      <c r="AT247" s="104"/>
      <c r="AU247" s="104"/>
      <c r="AV247" s="104"/>
      <c r="AW247" s="104"/>
      <c r="AX247" s="104"/>
      <c r="AY247" s="104"/>
      <c r="AZ247" s="104"/>
      <c r="BA247" s="104"/>
      <c r="BB247" s="104"/>
      <c r="BC247" s="104"/>
      <c r="BD247" s="104"/>
      <c r="BE247" s="104"/>
      <c r="BF247" s="104"/>
      <c r="BG247" s="104"/>
      <c r="BH247" s="104"/>
      <c r="BI247" s="104"/>
      <c r="BJ247" s="104"/>
      <c r="BK247" s="104"/>
      <c r="BL247" s="104"/>
      <c r="BM247" s="104"/>
      <c r="BN247" s="104"/>
    </row>
    <row r="248">
      <c r="A248" s="104"/>
      <c r="B248" s="104"/>
      <c r="C248" s="104"/>
      <c r="D248" s="104"/>
      <c r="E248" s="104"/>
      <c r="F248" s="104"/>
      <c r="G248" s="104"/>
      <c r="H248" s="104"/>
      <c r="I248" s="104"/>
      <c r="J248" s="104"/>
      <c r="K248" s="105"/>
      <c r="L248" s="106"/>
      <c r="M248" s="104"/>
      <c r="N248" s="104"/>
      <c r="O248" s="104"/>
      <c r="P248" s="104"/>
      <c r="Q248" s="104"/>
      <c r="R248" s="106"/>
      <c r="S248" s="104"/>
      <c r="T248" s="104"/>
      <c r="U248" s="104"/>
      <c r="V248" s="104"/>
      <c r="W248" s="105"/>
      <c r="X248" s="104"/>
      <c r="Y248" s="104"/>
      <c r="Z248" s="104"/>
      <c r="AA248" s="104"/>
      <c r="AB248" s="104"/>
      <c r="AC248" s="104"/>
      <c r="AD248" s="104"/>
      <c r="AE248" s="104"/>
      <c r="AF248" s="104"/>
      <c r="AG248" s="104"/>
      <c r="AH248" s="104"/>
      <c r="AI248" s="104"/>
      <c r="AJ248" s="104"/>
      <c r="AK248" s="104"/>
      <c r="AL248" s="104"/>
      <c r="AM248" s="104"/>
      <c r="AN248" s="104"/>
      <c r="AO248" s="104"/>
      <c r="AP248" s="104"/>
      <c r="AQ248" s="104"/>
      <c r="AR248" s="104"/>
      <c r="AS248" s="104"/>
      <c r="AT248" s="104"/>
      <c r="AU248" s="104"/>
      <c r="AV248" s="104"/>
      <c r="AW248" s="104"/>
      <c r="AX248" s="104"/>
      <c r="AY248" s="104"/>
      <c r="AZ248" s="104"/>
      <c r="BA248" s="104"/>
      <c r="BB248" s="104"/>
      <c r="BC248" s="104"/>
      <c r="BD248" s="104"/>
      <c r="BE248" s="104"/>
      <c r="BF248" s="104"/>
      <c r="BG248" s="104"/>
      <c r="BH248" s="104"/>
      <c r="BI248" s="104"/>
      <c r="BJ248" s="104"/>
      <c r="BK248" s="104"/>
      <c r="BL248" s="104"/>
      <c r="BM248" s="104"/>
      <c r="BN248" s="104"/>
    </row>
    <row r="249">
      <c r="A249" s="104"/>
      <c r="B249" s="104"/>
      <c r="C249" s="104"/>
      <c r="D249" s="104"/>
      <c r="E249" s="104"/>
      <c r="F249" s="104"/>
      <c r="G249" s="104"/>
      <c r="H249" s="104"/>
      <c r="I249" s="104"/>
      <c r="J249" s="104"/>
      <c r="K249" s="105"/>
      <c r="L249" s="106"/>
      <c r="M249" s="104"/>
      <c r="N249" s="104"/>
      <c r="O249" s="104"/>
      <c r="P249" s="104"/>
      <c r="Q249" s="104"/>
      <c r="R249" s="106"/>
      <c r="S249" s="104"/>
      <c r="T249" s="104"/>
      <c r="U249" s="104"/>
      <c r="V249" s="104"/>
      <c r="W249" s="105"/>
      <c r="X249" s="104"/>
      <c r="Y249" s="104"/>
      <c r="Z249" s="104"/>
      <c r="AA249" s="104"/>
      <c r="AB249" s="104"/>
      <c r="AC249" s="104"/>
      <c r="AD249" s="104"/>
      <c r="AE249" s="104"/>
      <c r="AF249" s="104"/>
      <c r="AG249" s="104"/>
      <c r="AH249" s="104"/>
      <c r="AI249" s="104"/>
      <c r="AJ249" s="104"/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104"/>
      <c r="AV249" s="104"/>
      <c r="AW249" s="104"/>
      <c r="AX249" s="104"/>
      <c r="AY249" s="104"/>
      <c r="AZ249" s="104"/>
      <c r="BA249" s="104"/>
      <c r="BB249" s="104"/>
      <c r="BC249" s="104"/>
      <c r="BD249" s="104"/>
      <c r="BE249" s="104"/>
      <c r="BF249" s="104"/>
      <c r="BG249" s="104"/>
      <c r="BH249" s="104"/>
      <c r="BI249" s="104"/>
      <c r="BJ249" s="104"/>
      <c r="BK249" s="104"/>
      <c r="BL249" s="104"/>
      <c r="BM249" s="104"/>
      <c r="BN249" s="104"/>
    </row>
    <row r="250">
      <c r="A250" s="104"/>
      <c r="B250" s="104"/>
      <c r="C250" s="104"/>
      <c r="D250" s="104"/>
      <c r="E250" s="104"/>
      <c r="F250" s="104"/>
      <c r="G250" s="104"/>
      <c r="H250" s="104"/>
      <c r="I250" s="104"/>
      <c r="J250" s="104"/>
      <c r="K250" s="105"/>
      <c r="L250" s="106"/>
      <c r="M250" s="104"/>
      <c r="N250" s="104"/>
      <c r="O250" s="104"/>
      <c r="P250" s="104"/>
      <c r="Q250" s="104"/>
      <c r="R250" s="106"/>
      <c r="S250" s="104"/>
      <c r="T250" s="104"/>
      <c r="U250" s="104"/>
      <c r="V250" s="104"/>
      <c r="W250" s="105"/>
      <c r="X250" s="104"/>
      <c r="Y250" s="104"/>
      <c r="Z250" s="104"/>
      <c r="AA250" s="104"/>
      <c r="AB250" s="104"/>
      <c r="AC250" s="104"/>
      <c r="AD250" s="104"/>
      <c r="AE250" s="104"/>
      <c r="AF250" s="104"/>
      <c r="AG250" s="104"/>
      <c r="AH250" s="104"/>
      <c r="AI250" s="104"/>
      <c r="AJ250" s="104"/>
      <c r="AK250" s="104"/>
      <c r="AL250" s="104"/>
      <c r="AM250" s="104"/>
      <c r="AN250" s="104"/>
      <c r="AO250" s="104"/>
      <c r="AP250" s="104"/>
      <c r="AQ250" s="104"/>
      <c r="AR250" s="104"/>
      <c r="AS250" s="104"/>
      <c r="AT250" s="104"/>
      <c r="AU250" s="104"/>
      <c r="AV250" s="104"/>
      <c r="AW250" s="104"/>
      <c r="AX250" s="104"/>
      <c r="AY250" s="104"/>
      <c r="AZ250" s="104"/>
      <c r="BA250" s="104"/>
      <c r="BB250" s="104"/>
      <c r="BC250" s="104"/>
      <c r="BD250" s="104"/>
      <c r="BE250" s="104"/>
      <c r="BF250" s="104"/>
      <c r="BG250" s="104"/>
      <c r="BH250" s="104"/>
      <c r="BI250" s="104"/>
      <c r="BJ250" s="104"/>
      <c r="BK250" s="104"/>
      <c r="BL250" s="104"/>
      <c r="BM250" s="104"/>
      <c r="BN250" s="104"/>
    </row>
    <row r="251">
      <c r="A251" s="104"/>
      <c r="B251" s="104"/>
      <c r="C251" s="104"/>
      <c r="D251" s="104"/>
      <c r="E251" s="104"/>
      <c r="F251" s="104"/>
      <c r="G251" s="104"/>
      <c r="H251" s="104"/>
      <c r="I251" s="104"/>
      <c r="J251" s="104"/>
      <c r="K251" s="105"/>
      <c r="L251" s="106"/>
      <c r="M251" s="104"/>
      <c r="N251" s="104"/>
      <c r="O251" s="104"/>
      <c r="P251" s="104"/>
      <c r="Q251" s="104"/>
      <c r="R251" s="106"/>
      <c r="S251" s="104"/>
      <c r="T251" s="104"/>
      <c r="U251" s="104"/>
      <c r="V251" s="104"/>
      <c r="W251" s="105"/>
      <c r="X251" s="104"/>
      <c r="Y251" s="104"/>
      <c r="Z251" s="104"/>
      <c r="AA251" s="104"/>
      <c r="AB251" s="104"/>
      <c r="AC251" s="104"/>
      <c r="AD251" s="104"/>
      <c r="AE251" s="104"/>
      <c r="AF251" s="104"/>
      <c r="AG251" s="104"/>
      <c r="AH251" s="104"/>
      <c r="AI251" s="104"/>
      <c r="AJ251" s="104"/>
      <c r="AK251" s="104"/>
      <c r="AL251" s="104"/>
      <c r="AM251" s="104"/>
      <c r="AN251" s="104"/>
      <c r="AO251" s="104"/>
      <c r="AP251" s="104"/>
      <c r="AQ251" s="104"/>
      <c r="AR251" s="104"/>
      <c r="AS251" s="104"/>
      <c r="AT251" s="104"/>
      <c r="AU251" s="104"/>
      <c r="AV251" s="104"/>
      <c r="AW251" s="104"/>
      <c r="AX251" s="104"/>
      <c r="AY251" s="104"/>
      <c r="AZ251" s="104"/>
      <c r="BA251" s="104"/>
      <c r="BB251" s="104"/>
      <c r="BC251" s="104"/>
      <c r="BD251" s="104"/>
      <c r="BE251" s="104"/>
      <c r="BF251" s="104"/>
      <c r="BG251" s="104"/>
      <c r="BH251" s="104"/>
      <c r="BI251" s="104"/>
      <c r="BJ251" s="104"/>
      <c r="BK251" s="104"/>
      <c r="BL251" s="104"/>
      <c r="BM251" s="104"/>
      <c r="BN251" s="104"/>
    </row>
    <row r="252">
      <c r="A252" s="104"/>
      <c r="B252" s="104"/>
      <c r="C252" s="104"/>
      <c r="D252" s="104"/>
      <c r="E252" s="104"/>
      <c r="F252" s="104"/>
      <c r="G252" s="104"/>
      <c r="H252" s="104"/>
      <c r="I252" s="104"/>
      <c r="J252" s="104"/>
      <c r="K252" s="105"/>
      <c r="L252" s="106"/>
      <c r="M252" s="104"/>
      <c r="N252" s="104"/>
      <c r="O252" s="104"/>
      <c r="P252" s="104"/>
      <c r="Q252" s="104"/>
      <c r="R252" s="106"/>
      <c r="S252" s="104"/>
      <c r="T252" s="104"/>
      <c r="U252" s="104"/>
      <c r="V252" s="104"/>
      <c r="W252" s="105"/>
      <c r="X252" s="104"/>
      <c r="Y252" s="104"/>
      <c r="Z252" s="104"/>
      <c r="AA252" s="104"/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104"/>
      <c r="AO252" s="104"/>
      <c r="AP252" s="104"/>
      <c r="AQ252" s="104"/>
      <c r="AR252" s="104"/>
      <c r="AS252" s="104"/>
      <c r="AT252" s="104"/>
      <c r="AU252" s="104"/>
      <c r="AV252" s="104"/>
      <c r="AW252" s="104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104"/>
      <c r="BK252" s="104"/>
      <c r="BL252" s="104"/>
      <c r="BM252" s="104"/>
      <c r="BN252" s="104"/>
    </row>
    <row r="253">
      <c r="A253" s="104"/>
      <c r="B253" s="104"/>
      <c r="C253" s="104"/>
      <c r="D253" s="104"/>
      <c r="E253" s="104"/>
      <c r="F253" s="104"/>
      <c r="G253" s="104"/>
      <c r="H253" s="104"/>
      <c r="I253" s="104"/>
      <c r="J253" s="104"/>
      <c r="K253" s="105"/>
      <c r="L253" s="106"/>
      <c r="M253" s="104"/>
      <c r="N253" s="104"/>
      <c r="O253" s="104"/>
      <c r="P253" s="104"/>
      <c r="Q253" s="104"/>
      <c r="R253" s="106"/>
      <c r="S253" s="104"/>
      <c r="T253" s="104"/>
      <c r="U253" s="104"/>
      <c r="V253" s="104"/>
      <c r="W253" s="105"/>
      <c r="X253" s="104"/>
      <c r="Y253" s="104"/>
      <c r="Z253" s="104"/>
      <c r="AA253" s="104"/>
      <c r="AB253" s="104"/>
      <c r="AC253" s="104"/>
      <c r="AD253" s="104"/>
      <c r="AE253" s="104"/>
      <c r="AF253" s="104"/>
      <c r="AG253" s="104"/>
      <c r="AH253" s="104"/>
      <c r="AI253" s="104"/>
      <c r="AJ253" s="104"/>
      <c r="AK253" s="104"/>
      <c r="AL253" s="104"/>
      <c r="AM253" s="104"/>
      <c r="AN253" s="104"/>
      <c r="AO253" s="104"/>
      <c r="AP253" s="104"/>
      <c r="AQ253" s="104"/>
      <c r="AR253" s="104"/>
      <c r="AS253" s="104"/>
      <c r="AT253" s="104"/>
      <c r="AU253" s="104"/>
      <c r="AV253" s="104"/>
      <c r="AW253" s="104"/>
      <c r="AX253" s="104"/>
      <c r="AY253" s="104"/>
      <c r="AZ253" s="104"/>
      <c r="BA253" s="104"/>
      <c r="BB253" s="104"/>
      <c r="BC253" s="104"/>
      <c r="BD253" s="104"/>
      <c r="BE253" s="104"/>
      <c r="BF253" s="104"/>
      <c r="BG253" s="104"/>
      <c r="BH253" s="104"/>
      <c r="BI253" s="104"/>
      <c r="BJ253" s="104"/>
      <c r="BK253" s="104"/>
      <c r="BL253" s="104"/>
      <c r="BM253" s="104"/>
      <c r="BN253" s="104"/>
    </row>
    <row r="254">
      <c r="A254" s="104"/>
      <c r="B254" s="104"/>
      <c r="C254" s="104"/>
      <c r="D254" s="104"/>
      <c r="E254" s="104"/>
      <c r="F254" s="104"/>
      <c r="G254" s="104"/>
      <c r="H254" s="104"/>
      <c r="I254" s="104"/>
      <c r="J254" s="104"/>
      <c r="K254" s="105"/>
      <c r="L254" s="106"/>
      <c r="M254" s="104"/>
      <c r="N254" s="104"/>
      <c r="O254" s="104"/>
      <c r="P254" s="104"/>
      <c r="Q254" s="104"/>
      <c r="R254" s="106"/>
      <c r="S254" s="104"/>
      <c r="T254" s="104"/>
      <c r="U254" s="104"/>
      <c r="V254" s="104"/>
      <c r="W254" s="105"/>
      <c r="X254" s="104"/>
      <c r="Y254" s="104"/>
      <c r="Z254" s="104"/>
      <c r="AA254" s="104"/>
      <c r="AB254" s="104"/>
      <c r="AC254" s="104"/>
      <c r="AD254" s="104"/>
      <c r="AE254" s="104"/>
      <c r="AF254" s="104"/>
      <c r="AG254" s="104"/>
      <c r="AH254" s="104"/>
      <c r="AI254" s="104"/>
      <c r="AJ254" s="104"/>
      <c r="AK254" s="104"/>
      <c r="AL254" s="104"/>
      <c r="AM254" s="104"/>
      <c r="AN254" s="104"/>
      <c r="AO254" s="104"/>
      <c r="AP254" s="104"/>
      <c r="AQ254" s="104"/>
      <c r="AR254" s="104"/>
      <c r="AS254" s="104"/>
      <c r="AT254" s="104"/>
      <c r="AU254" s="104"/>
      <c r="AV254" s="104"/>
      <c r="AW254" s="104"/>
      <c r="AX254" s="104"/>
      <c r="AY254" s="104"/>
      <c r="AZ254" s="104"/>
      <c r="BA254" s="104"/>
      <c r="BB254" s="104"/>
      <c r="BC254" s="104"/>
      <c r="BD254" s="104"/>
      <c r="BE254" s="104"/>
      <c r="BF254" s="104"/>
      <c r="BG254" s="104"/>
      <c r="BH254" s="104"/>
      <c r="BI254" s="104"/>
      <c r="BJ254" s="104"/>
      <c r="BK254" s="104"/>
      <c r="BL254" s="104"/>
      <c r="BM254" s="104"/>
      <c r="BN254" s="104"/>
    </row>
    <row r="255">
      <c r="A255" s="104"/>
      <c r="B255" s="104"/>
      <c r="C255" s="104"/>
      <c r="D255" s="104"/>
      <c r="E255" s="104"/>
      <c r="F255" s="104"/>
      <c r="G255" s="104"/>
      <c r="H255" s="104"/>
      <c r="I255" s="104"/>
      <c r="J255" s="104"/>
      <c r="K255" s="105"/>
      <c r="L255" s="106"/>
      <c r="M255" s="104"/>
      <c r="N255" s="104"/>
      <c r="O255" s="104"/>
      <c r="P255" s="104"/>
      <c r="Q255" s="104"/>
      <c r="R255" s="106"/>
      <c r="S255" s="104"/>
      <c r="T255" s="104"/>
      <c r="U255" s="104"/>
      <c r="V255" s="104"/>
      <c r="W255" s="105"/>
      <c r="X255" s="104"/>
      <c r="Y255" s="104"/>
      <c r="Z255" s="104"/>
      <c r="AA255" s="104"/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104"/>
      <c r="AV255" s="104"/>
      <c r="AW255" s="104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  <c r="BH255" s="104"/>
      <c r="BI255" s="104"/>
      <c r="BJ255" s="104"/>
      <c r="BK255" s="104"/>
      <c r="BL255" s="104"/>
      <c r="BM255" s="104"/>
      <c r="BN255" s="104"/>
    </row>
    <row r="256">
      <c r="A256" s="104"/>
      <c r="B256" s="104"/>
      <c r="C256" s="104"/>
      <c r="D256" s="104"/>
      <c r="E256" s="104"/>
      <c r="F256" s="104"/>
      <c r="G256" s="104"/>
      <c r="H256" s="104"/>
      <c r="I256" s="104"/>
      <c r="J256" s="104"/>
      <c r="K256" s="105"/>
      <c r="L256" s="106"/>
      <c r="M256" s="104"/>
      <c r="N256" s="104"/>
      <c r="O256" s="104"/>
      <c r="P256" s="104"/>
      <c r="Q256" s="104"/>
      <c r="R256" s="106"/>
      <c r="S256" s="104"/>
      <c r="T256" s="104"/>
      <c r="U256" s="104"/>
      <c r="V256" s="104"/>
      <c r="W256" s="105"/>
      <c r="X256" s="104"/>
      <c r="Y256" s="104"/>
      <c r="Z256" s="104"/>
      <c r="AA256" s="104"/>
      <c r="AB256" s="104"/>
      <c r="AC256" s="104"/>
      <c r="AD256" s="104"/>
      <c r="AE256" s="104"/>
      <c r="AF256" s="104"/>
      <c r="AG256" s="104"/>
      <c r="AH256" s="104"/>
      <c r="AI256" s="104"/>
      <c r="AJ256" s="104"/>
      <c r="AK256" s="104"/>
      <c r="AL256" s="104"/>
      <c r="AM256" s="104"/>
      <c r="AN256" s="104"/>
      <c r="AO256" s="104"/>
      <c r="AP256" s="104"/>
      <c r="AQ256" s="104"/>
      <c r="AR256" s="104"/>
      <c r="AS256" s="104"/>
      <c r="AT256" s="104"/>
      <c r="AU256" s="104"/>
      <c r="AV256" s="104"/>
      <c r="AW256" s="104"/>
      <c r="AX256" s="104"/>
      <c r="AY256" s="104"/>
      <c r="AZ256" s="104"/>
      <c r="BA256" s="104"/>
      <c r="BB256" s="104"/>
      <c r="BC256" s="104"/>
      <c r="BD256" s="104"/>
      <c r="BE256" s="104"/>
      <c r="BF256" s="104"/>
      <c r="BG256" s="104"/>
      <c r="BH256" s="104"/>
      <c r="BI256" s="104"/>
      <c r="BJ256" s="104"/>
      <c r="BK256" s="104"/>
      <c r="BL256" s="104"/>
      <c r="BM256" s="104"/>
      <c r="BN256" s="104"/>
    </row>
    <row r="257">
      <c r="A257" s="104"/>
      <c r="B257" s="104"/>
      <c r="C257" s="104"/>
      <c r="D257" s="104"/>
      <c r="E257" s="104"/>
      <c r="F257" s="104"/>
      <c r="G257" s="104"/>
      <c r="H257" s="104"/>
      <c r="I257" s="104"/>
      <c r="J257" s="104"/>
      <c r="K257" s="105"/>
      <c r="L257" s="106"/>
      <c r="M257" s="104"/>
      <c r="N257" s="104"/>
      <c r="O257" s="104"/>
      <c r="P257" s="104"/>
      <c r="Q257" s="104"/>
      <c r="R257" s="106"/>
      <c r="S257" s="104"/>
      <c r="T257" s="104"/>
      <c r="U257" s="104"/>
      <c r="V257" s="104"/>
      <c r="W257" s="105"/>
      <c r="X257" s="104"/>
      <c r="Y257" s="104"/>
      <c r="Z257" s="104"/>
      <c r="AA257" s="104"/>
      <c r="AB257" s="104"/>
      <c r="AC257" s="104"/>
      <c r="AD257" s="104"/>
      <c r="AE257" s="104"/>
      <c r="AF257" s="104"/>
      <c r="AG257" s="104"/>
      <c r="AH257" s="104"/>
      <c r="AI257" s="104"/>
      <c r="AJ257" s="104"/>
      <c r="AK257" s="104"/>
      <c r="AL257" s="104"/>
      <c r="AM257" s="104"/>
      <c r="AN257" s="104"/>
      <c r="AO257" s="104"/>
      <c r="AP257" s="104"/>
      <c r="AQ257" s="104"/>
      <c r="AR257" s="104"/>
      <c r="AS257" s="104"/>
      <c r="AT257" s="104"/>
      <c r="AU257" s="104"/>
      <c r="AV257" s="104"/>
      <c r="AW257" s="104"/>
      <c r="AX257" s="104"/>
      <c r="AY257" s="104"/>
      <c r="AZ257" s="104"/>
      <c r="BA257" s="104"/>
      <c r="BB257" s="104"/>
      <c r="BC257" s="104"/>
      <c r="BD257" s="104"/>
      <c r="BE257" s="104"/>
      <c r="BF257" s="104"/>
      <c r="BG257" s="104"/>
      <c r="BH257" s="104"/>
      <c r="BI257" s="104"/>
      <c r="BJ257" s="104"/>
      <c r="BK257" s="104"/>
      <c r="BL257" s="104"/>
      <c r="BM257" s="104"/>
      <c r="BN257" s="104"/>
    </row>
    <row r="258">
      <c r="A258" s="104"/>
      <c r="B258" s="104"/>
      <c r="C258" s="104"/>
      <c r="D258" s="104"/>
      <c r="E258" s="104"/>
      <c r="F258" s="104"/>
      <c r="G258" s="104"/>
      <c r="H258" s="104"/>
      <c r="I258" s="104"/>
      <c r="J258" s="104"/>
      <c r="K258" s="105"/>
      <c r="L258" s="106"/>
      <c r="M258" s="104"/>
      <c r="N258" s="104"/>
      <c r="O258" s="104"/>
      <c r="P258" s="104"/>
      <c r="Q258" s="104"/>
      <c r="R258" s="106"/>
      <c r="S258" s="104"/>
      <c r="T258" s="104"/>
      <c r="U258" s="104"/>
      <c r="V258" s="104"/>
      <c r="W258" s="105"/>
      <c r="X258" s="104"/>
      <c r="Y258" s="104"/>
      <c r="Z258" s="104"/>
      <c r="AA258" s="104"/>
      <c r="AB258" s="104"/>
      <c r="AC258" s="104"/>
      <c r="AD258" s="104"/>
      <c r="AE258" s="104"/>
      <c r="AF258" s="104"/>
      <c r="AG258" s="104"/>
      <c r="AH258" s="104"/>
      <c r="AI258" s="104"/>
      <c r="AJ258" s="104"/>
      <c r="AK258" s="104"/>
      <c r="AL258" s="104"/>
      <c r="AM258" s="104"/>
      <c r="AN258" s="104"/>
      <c r="AO258" s="104"/>
      <c r="AP258" s="104"/>
      <c r="AQ258" s="104"/>
      <c r="AR258" s="104"/>
      <c r="AS258" s="104"/>
      <c r="AT258" s="10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104"/>
      <c r="BG258" s="104"/>
      <c r="BH258" s="104"/>
      <c r="BI258" s="104"/>
      <c r="BJ258" s="104"/>
      <c r="BK258" s="104"/>
      <c r="BL258" s="104"/>
      <c r="BM258" s="104"/>
      <c r="BN258" s="104"/>
    </row>
    <row r="259">
      <c r="A259" s="104"/>
      <c r="B259" s="104"/>
      <c r="C259" s="104"/>
      <c r="D259" s="104"/>
      <c r="E259" s="104"/>
      <c r="F259" s="104"/>
      <c r="G259" s="104"/>
      <c r="H259" s="104"/>
      <c r="I259" s="104"/>
      <c r="J259" s="104"/>
      <c r="K259" s="105"/>
      <c r="L259" s="106"/>
      <c r="M259" s="104"/>
      <c r="N259" s="104"/>
      <c r="O259" s="104"/>
      <c r="P259" s="104"/>
      <c r="Q259" s="104"/>
      <c r="R259" s="106"/>
      <c r="S259" s="104"/>
      <c r="T259" s="104"/>
      <c r="U259" s="104"/>
      <c r="V259" s="104"/>
      <c r="W259" s="105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  <c r="AH259" s="104"/>
      <c r="AI259" s="104"/>
      <c r="AJ259" s="104"/>
      <c r="AK259" s="104"/>
      <c r="AL259" s="104"/>
      <c r="AM259" s="104"/>
      <c r="AN259" s="104"/>
      <c r="AO259" s="104"/>
      <c r="AP259" s="104"/>
      <c r="AQ259" s="104"/>
      <c r="AR259" s="104"/>
      <c r="AS259" s="104"/>
      <c r="AT259" s="104"/>
      <c r="AU259" s="104"/>
      <c r="AV259" s="104"/>
      <c r="AW259" s="104"/>
      <c r="AX259" s="104"/>
      <c r="AY259" s="104"/>
      <c r="AZ259" s="104"/>
      <c r="BA259" s="104"/>
      <c r="BB259" s="104"/>
      <c r="BC259" s="104"/>
      <c r="BD259" s="104"/>
      <c r="BE259" s="104"/>
      <c r="BF259" s="104"/>
      <c r="BG259" s="104"/>
      <c r="BH259" s="104"/>
      <c r="BI259" s="104"/>
      <c r="BJ259" s="104"/>
      <c r="BK259" s="104"/>
      <c r="BL259" s="104"/>
      <c r="BM259" s="104"/>
      <c r="BN259" s="104"/>
    </row>
    <row r="260">
      <c r="A260" s="104"/>
      <c r="B260" s="104"/>
      <c r="C260" s="104"/>
      <c r="D260" s="104"/>
      <c r="E260" s="104"/>
      <c r="F260" s="104"/>
      <c r="G260" s="104"/>
      <c r="H260" s="104"/>
      <c r="I260" s="104"/>
      <c r="J260" s="104"/>
      <c r="K260" s="105"/>
      <c r="L260" s="106"/>
      <c r="M260" s="104"/>
      <c r="N260" s="104"/>
      <c r="O260" s="104"/>
      <c r="P260" s="104"/>
      <c r="Q260" s="104"/>
      <c r="R260" s="106"/>
      <c r="S260" s="104"/>
      <c r="T260" s="104"/>
      <c r="U260" s="104"/>
      <c r="V260" s="104"/>
      <c r="W260" s="105"/>
      <c r="X260" s="104"/>
      <c r="Y260" s="104"/>
      <c r="Z260" s="104"/>
      <c r="AA260" s="104"/>
      <c r="AB260" s="104"/>
      <c r="AC260" s="104"/>
      <c r="AD260" s="104"/>
      <c r="AE260" s="104"/>
      <c r="AF260" s="104"/>
      <c r="AG260" s="104"/>
      <c r="AH260" s="104"/>
      <c r="AI260" s="104"/>
      <c r="AJ260" s="104"/>
      <c r="AK260" s="104"/>
      <c r="AL260" s="104"/>
      <c r="AM260" s="104"/>
      <c r="AN260" s="104"/>
      <c r="AO260" s="104"/>
      <c r="AP260" s="104"/>
      <c r="AQ260" s="104"/>
      <c r="AR260" s="104"/>
      <c r="AS260" s="104"/>
      <c r="AT260" s="104"/>
      <c r="AU260" s="104"/>
      <c r="AV260" s="104"/>
      <c r="AW260" s="104"/>
      <c r="AX260" s="104"/>
      <c r="AY260" s="104"/>
      <c r="AZ260" s="104"/>
      <c r="BA260" s="104"/>
      <c r="BB260" s="104"/>
      <c r="BC260" s="104"/>
      <c r="BD260" s="104"/>
      <c r="BE260" s="104"/>
      <c r="BF260" s="104"/>
      <c r="BG260" s="104"/>
      <c r="BH260" s="104"/>
      <c r="BI260" s="104"/>
      <c r="BJ260" s="104"/>
      <c r="BK260" s="104"/>
      <c r="BL260" s="104"/>
      <c r="BM260" s="104"/>
      <c r="BN260" s="104"/>
    </row>
    <row r="261">
      <c r="A261" s="104"/>
      <c r="B261" s="104"/>
      <c r="C261" s="104"/>
      <c r="D261" s="104"/>
      <c r="E261" s="104"/>
      <c r="F261" s="104"/>
      <c r="G261" s="104"/>
      <c r="H261" s="104"/>
      <c r="I261" s="104"/>
      <c r="J261" s="104"/>
      <c r="K261" s="105"/>
      <c r="L261" s="106"/>
      <c r="M261" s="104"/>
      <c r="N261" s="104"/>
      <c r="O261" s="104"/>
      <c r="P261" s="104"/>
      <c r="Q261" s="104"/>
      <c r="R261" s="106"/>
      <c r="S261" s="104"/>
      <c r="T261" s="104"/>
      <c r="U261" s="104"/>
      <c r="V261" s="104"/>
      <c r="W261" s="105"/>
      <c r="X261" s="104"/>
      <c r="Y261" s="104"/>
      <c r="Z261" s="104"/>
      <c r="AA261" s="104"/>
      <c r="AB261" s="104"/>
      <c r="AC261" s="104"/>
      <c r="AD261" s="104"/>
      <c r="AE261" s="104"/>
      <c r="AF261" s="104"/>
      <c r="AG261" s="104"/>
      <c r="AH261" s="104"/>
      <c r="AI261" s="104"/>
      <c r="AJ261" s="104"/>
      <c r="AK261" s="104"/>
      <c r="AL261" s="104"/>
      <c r="AM261" s="104"/>
      <c r="AN261" s="104"/>
      <c r="AO261" s="104"/>
      <c r="AP261" s="104"/>
      <c r="AQ261" s="104"/>
      <c r="AR261" s="104"/>
      <c r="AS261" s="104"/>
      <c r="AT261" s="104"/>
      <c r="AU261" s="104"/>
      <c r="AV261" s="104"/>
      <c r="AW261" s="104"/>
      <c r="AX261" s="104"/>
      <c r="AY261" s="104"/>
      <c r="AZ261" s="104"/>
      <c r="BA261" s="104"/>
      <c r="BB261" s="104"/>
      <c r="BC261" s="104"/>
      <c r="BD261" s="104"/>
      <c r="BE261" s="104"/>
      <c r="BF261" s="104"/>
      <c r="BG261" s="104"/>
      <c r="BH261" s="104"/>
      <c r="BI261" s="104"/>
      <c r="BJ261" s="104"/>
      <c r="BK261" s="104"/>
      <c r="BL261" s="104"/>
      <c r="BM261" s="104"/>
      <c r="BN261" s="104"/>
    </row>
    <row r="262">
      <c r="A262" s="104"/>
      <c r="B262" s="104"/>
      <c r="C262" s="104"/>
      <c r="D262" s="104"/>
      <c r="E262" s="104"/>
      <c r="F262" s="104"/>
      <c r="G262" s="104"/>
      <c r="H262" s="104"/>
      <c r="I262" s="104"/>
      <c r="J262" s="104"/>
      <c r="K262" s="105"/>
      <c r="L262" s="106"/>
      <c r="M262" s="104"/>
      <c r="N262" s="104"/>
      <c r="O262" s="104"/>
      <c r="P262" s="104"/>
      <c r="Q262" s="104"/>
      <c r="R262" s="106"/>
      <c r="S262" s="104"/>
      <c r="T262" s="104"/>
      <c r="U262" s="104"/>
      <c r="V262" s="104"/>
      <c r="W262" s="105"/>
      <c r="X262" s="104"/>
      <c r="Y262" s="104"/>
      <c r="Z262" s="104"/>
      <c r="AA262" s="104"/>
      <c r="AB262" s="104"/>
      <c r="AC262" s="104"/>
      <c r="AD262" s="104"/>
      <c r="AE262" s="104"/>
      <c r="AF262" s="104"/>
      <c r="AG262" s="104"/>
      <c r="AH262" s="104"/>
      <c r="AI262" s="104"/>
      <c r="AJ262" s="104"/>
      <c r="AK262" s="104"/>
      <c r="AL262" s="104"/>
      <c r="AM262" s="104"/>
      <c r="AN262" s="104"/>
      <c r="AO262" s="104"/>
      <c r="AP262" s="104"/>
      <c r="AQ262" s="104"/>
      <c r="AR262" s="104"/>
      <c r="AS262" s="104"/>
      <c r="AT262" s="104"/>
      <c r="AU262" s="104"/>
      <c r="AV262" s="104"/>
      <c r="AW262" s="104"/>
      <c r="AX262" s="104"/>
      <c r="AY262" s="104"/>
      <c r="AZ262" s="104"/>
      <c r="BA262" s="104"/>
      <c r="BB262" s="104"/>
      <c r="BC262" s="104"/>
      <c r="BD262" s="104"/>
      <c r="BE262" s="104"/>
      <c r="BF262" s="104"/>
      <c r="BG262" s="104"/>
      <c r="BH262" s="104"/>
      <c r="BI262" s="104"/>
      <c r="BJ262" s="104"/>
      <c r="BK262" s="104"/>
      <c r="BL262" s="104"/>
      <c r="BM262" s="104"/>
      <c r="BN262" s="104"/>
    </row>
    <row r="263">
      <c r="A263" s="104"/>
      <c r="B263" s="104"/>
      <c r="C263" s="104"/>
      <c r="D263" s="104"/>
      <c r="E263" s="104"/>
      <c r="F263" s="104"/>
      <c r="G263" s="104"/>
      <c r="H263" s="104"/>
      <c r="I263" s="104"/>
      <c r="J263" s="104"/>
      <c r="K263" s="105"/>
      <c r="L263" s="106"/>
      <c r="M263" s="104"/>
      <c r="N263" s="104"/>
      <c r="O263" s="104"/>
      <c r="P263" s="104"/>
      <c r="Q263" s="104"/>
      <c r="R263" s="106"/>
      <c r="S263" s="104"/>
      <c r="T263" s="104"/>
      <c r="U263" s="104"/>
      <c r="V263" s="104"/>
      <c r="W263" s="105"/>
      <c r="X263" s="104"/>
      <c r="Y263" s="104"/>
      <c r="Z263" s="104"/>
      <c r="AA263" s="104"/>
      <c r="AB263" s="104"/>
      <c r="AC263" s="104"/>
      <c r="AD263" s="104"/>
      <c r="AE263" s="104"/>
      <c r="AF263" s="104"/>
      <c r="AG263" s="104"/>
      <c r="AH263" s="104"/>
      <c r="AI263" s="104"/>
      <c r="AJ263" s="104"/>
      <c r="AK263" s="104"/>
      <c r="AL263" s="104"/>
      <c r="AM263" s="104"/>
      <c r="AN263" s="104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104"/>
      <c r="BG263" s="104"/>
      <c r="BH263" s="104"/>
      <c r="BI263" s="104"/>
      <c r="BJ263" s="104"/>
      <c r="BK263" s="104"/>
      <c r="BL263" s="104"/>
      <c r="BM263" s="104"/>
      <c r="BN263" s="104"/>
    </row>
    <row r="264">
      <c r="A264" s="104"/>
      <c r="B264" s="104"/>
      <c r="C264" s="104"/>
      <c r="D264" s="104"/>
      <c r="E264" s="104"/>
      <c r="F264" s="104"/>
      <c r="G264" s="104"/>
      <c r="H264" s="104"/>
      <c r="I264" s="104"/>
      <c r="J264" s="104"/>
      <c r="K264" s="105"/>
      <c r="L264" s="106"/>
      <c r="M264" s="104"/>
      <c r="N264" s="104"/>
      <c r="O264" s="104"/>
      <c r="P264" s="104"/>
      <c r="Q264" s="104"/>
      <c r="R264" s="106"/>
      <c r="S264" s="104"/>
      <c r="T264" s="104"/>
      <c r="U264" s="104"/>
      <c r="V264" s="104"/>
      <c r="W264" s="105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  <c r="AH264" s="104"/>
      <c r="AI264" s="104"/>
      <c r="AJ264" s="104"/>
      <c r="AK264" s="104"/>
      <c r="AL264" s="104"/>
      <c r="AM264" s="104"/>
      <c r="AN264" s="104"/>
      <c r="AO264" s="104"/>
      <c r="AP264" s="104"/>
      <c r="AQ264" s="104"/>
      <c r="AR264" s="104"/>
      <c r="AS264" s="104"/>
      <c r="AT264" s="104"/>
      <c r="AU264" s="104"/>
      <c r="AV264" s="104"/>
      <c r="AW264" s="104"/>
      <c r="AX264" s="104"/>
      <c r="AY264" s="104"/>
      <c r="AZ264" s="104"/>
      <c r="BA264" s="104"/>
      <c r="BB264" s="104"/>
      <c r="BC264" s="104"/>
      <c r="BD264" s="104"/>
      <c r="BE264" s="104"/>
      <c r="BF264" s="104"/>
      <c r="BG264" s="104"/>
      <c r="BH264" s="104"/>
      <c r="BI264" s="104"/>
      <c r="BJ264" s="104"/>
      <c r="BK264" s="104"/>
      <c r="BL264" s="104"/>
      <c r="BM264" s="104"/>
      <c r="BN264" s="104"/>
    </row>
    <row r="265">
      <c r="A265" s="104"/>
      <c r="B265" s="104"/>
      <c r="C265" s="104"/>
      <c r="D265" s="104"/>
      <c r="E265" s="104"/>
      <c r="F265" s="104"/>
      <c r="G265" s="104"/>
      <c r="H265" s="104"/>
      <c r="I265" s="104"/>
      <c r="J265" s="104"/>
      <c r="K265" s="105"/>
      <c r="L265" s="106"/>
      <c r="M265" s="104"/>
      <c r="N265" s="104"/>
      <c r="O265" s="104"/>
      <c r="P265" s="104"/>
      <c r="Q265" s="104"/>
      <c r="R265" s="106"/>
      <c r="S265" s="104"/>
      <c r="T265" s="104"/>
      <c r="U265" s="104"/>
      <c r="V265" s="104"/>
      <c r="W265" s="105"/>
      <c r="X265" s="104"/>
      <c r="Y265" s="104"/>
      <c r="Z265" s="104"/>
      <c r="AA265" s="104"/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104"/>
      <c r="AQ265" s="104"/>
      <c r="AR265" s="104"/>
      <c r="AS265" s="104"/>
      <c r="AT265" s="104"/>
      <c r="AU265" s="104"/>
      <c r="AV265" s="104"/>
      <c r="AW265" s="104"/>
      <c r="AX265" s="104"/>
      <c r="AY265" s="104"/>
      <c r="AZ265" s="104"/>
      <c r="BA265" s="104"/>
      <c r="BB265" s="104"/>
      <c r="BC265" s="104"/>
      <c r="BD265" s="104"/>
      <c r="BE265" s="104"/>
      <c r="BF265" s="104"/>
      <c r="BG265" s="104"/>
      <c r="BH265" s="104"/>
      <c r="BI265" s="104"/>
      <c r="BJ265" s="104"/>
      <c r="BK265" s="104"/>
      <c r="BL265" s="104"/>
      <c r="BM265" s="104"/>
      <c r="BN265" s="104"/>
    </row>
    <row r="266">
      <c r="A266" s="104"/>
      <c r="B266" s="104"/>
      <c r="C266" s="104"/>
      <c r="D266" s="104"/>
      <c r="E266" s="104"/>
      <c r="F266" s="104"/>
      <c r="G266" s="104"/>
      <c r="H266" s="104"/>
      <c r="I266" s="104"/>
      <c r="J266" s="104"/>
      <c r="K266" s="105"/>
      <c r="L266" s="106"/>
      <c r="M266" s="104"/>
      <c r="N266" s="104"/>
      <c r="O266" s="104"/>
      <c r="P266" s="104"/>
      <c r="Q266" s="104"/>
      <c r="R266" s="106"/>
      <c r="S266" s="104"/>
      <c r="T266" s="104"/>
      <c r="U266" s="104"/>
      <c r="V266" s="104"/>
      <c r="W266" s="105"/>
      <c r="X266" s="104"/>
      <c r="Y266" s="104"/>
      <c r="Z266" s="104"/>
      <c r="AA266" s="104"/>
      <c r="AB266" s="104"/>
      <c r="AC266" s="104"/>
      <c r="AD266" s="104"/>
      <c r="AE266" s="104"/>
      <c r="AF266" s="104"/>
      <c r="AG266" s="104"/>
      <c r="AH266" s="104"/>
      <c r="AI266" s="104"/>
      <c r="AJ266" s="104"/>
      <c r="AK266" s="104"/>
      <c r="AL266" s="104"/>
      <c r="AM266" s="104"/>
      <c r="AN266" s="104"/>
      <c r="AO266" s="104"/>
      <c r="AP266" s="104"/>
      <c r="AQ266" s="104"/>
      <c r="AR266" s="104"/>
      <c r="AS266" s="104"/>
      <c r="AT266" s="104"/>
      <c r="AU266" s="104"/>
      <c r="AV266" s="104"/>
      <c r="AW266" s="104"/>
      <c r="AX266" s="104"/>
      <c r="AY266" s="104"/>
      <c r="AZ266" s="104"/>
      <c r="BA266" s="104"/>
      <c r="BB266" s="104"/>
      <c r="BC266" s="104"/>
      <c r="BD266" s="104"/>
      <c r="BE266" s="104"/>
      <c r="BF266" s="104"/>
      <c r="BG266" s="104"/>
      <c r="BH266" s="104"/>
      <c r="BI266" s="104"/>
      <c r="BJ266" s="104"/>
      <c r="BK266" s="104"/>
      <c r="BL266" s="104"/>
      <c r="BM266" s="104"/>
      <c r="BN266" s="104"/>
    </row>
    <row r="267">
      <c r="A267" s="104"/>
      <c r="B267" s="104"/>
      <c r="C267" s="104"/>
      <c r="D267" s="104"/>
      <c r="E267" s="104"/>
      <c r="F267" s="104"/>
      <c r="G267" s="104"/>
      <c r="H267" s="104"/>
      <c r="I267" s="104"/>
      <c r="J267" s="104"/>
      <c r="K267" s="105"/>
      <c r="L267" s="106"/>
      <c r="M267" s="104"/>
      <c r="N267" s="104"/>
      <c r="O267" s="104"/>
      <c r="P267" s="104"/>
      <c r="Q267" s="104"/>
      <c r="R267" s="106"/>
      <c r="S267" s="104"/>
      <c r="T267" s="104"/>
      <c r="U267" s="104"/>
      <c r="V267" s="104"/>
      <c r="W267" s="105"/>
      <c r="X267" s="104"/>
      <c r="Y267" s="104"/>
      <c r="Z267" s="104"/>
      <c r="AA267" s="104"/>
      <c r="AB267" s="104"/>
      <c r="AC267" s="104"/>
      <c r="AD267" s="104"/>
      <c r="AE267" s="104"/>
      <c r="AF267" s="104"/>
      <c r="AG267" s="104"/>
      <c r="AH267" s="104"/>
      <c r="AI267" s="104"/>
      <c r="AJ267" s="104"/>
      <c r="AK267" s="104"/>
      <c r="AL267" s="104"/>
      <c r="AM267" s="104"/>
      <c r="AN267" s="104"/>
      <c r="AO267" s="104"/>
      <c r="AP267" s="104"/>
      <c r="AQ267" s="104"/>
      <c r="AR267" s="104"/>
      <c r="AS267" s="104"/>
      <c r="AT267" s="104"/>
      <c r="AU267" s="104"/>
      <c r="AV267" s="104"/>
      <c r="AW267" s="104"/>
      <c r="AX267" s="104"/>
      <c r="AY267" s="104"/>
      <c r="AZ267" s="104"/>
      <c r="BA267" s="104"/>
      <c r="BB267" s="104"/>
      <c r="BC267" s="104"/>
      <c r="BD267" s="104"/>
      <c r="BE267" s="104"/>
      <c r="BF267" s="104"/>
      <c r="BG267" s="104"/>
      <c r="BH267" s="104"/>
      <c r="BI267" s="104"/>
      <c r="BJ267" s="104"/>
      <c r="BK267" s="104"/>
      <c r="BL267" s="104"/>
      <c r="BM267" s="104"/>
      <c r="BN267" s="104"/>
    </row>
    <row r="268">
      <c r="A268" s="104"/>
      <c r="B268" s="104"/>
      <c r="C268" s="104"/>
      <c r="D268" s="104"/>
      <c r="E268" s="104"/>
      <c r="F268" s="104"/>
      <c r="G268" s="104"/>
      <c r="H268" s="104"/>
      <c r="I268" s="104"/>
      <c r="J268" s="104"/>
      <c r="K268" s="105"/>
      <c r="L268" s="106"/>
      <c r="M268" s="104"/>
      <c r="N268" s="104"/>
      <c r="O268" s="104"/>
      <c r="P268" s="104"/>
      <c r="Q268" s="104"/>
      <c r="R268" s="106"/>
      <c r="S268" s="104"/>
      <c r="T268" s="104"/>
      <c r="U268" s="104"/>
      <c r="V268" s="104"/>
      <c r="W268" s="105"/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04"/>
      <c r="AL268" s="104"/>
      <c r="AM268" s="104"/>
      <c r="AN268" s="104"/>
      <c r="AO268" s="104"/>
      <c r="AP268" s="104"/>
      <c r="AQ268" s="104"/>
      <c r="AR268" s="104"/>
      <c r="AS268" s="104"/>
      <c r="AT268" s="104"/>
      <c r="AU268" s="104"/>
      <c r="AV268" s="104"/>
      <c r="AW268" s="104"/>
      <c r="AX268" s="104"/>
      <c r="AY268" s="104"/>
      <c r="AZ268" s="104"/>
      <c r="BA268" s="104"/>
      <c r="BB268" s="104"/>
      <c r="BC268" s="104"/>
      <c r="BD268" s="104"/>
      <c r="BE268" s="104"/>
      <c r="BF268" s="104"/>
      <c r="BG268" s="104"/>
      <c r="BH268" s="104"/>
      <c r="BI268" s="104"/>
      <c r="BJ268" s="104"/>
      <c r="BK268" s="104"/>
      <c r="BL268" s="104"/>
      <c r="BM268" s="104"/>
      <c r="BN268" s="104"/>
    </row>
    <row r="269">
      <c r="A269" s="104"/>
      <c r="B269" s="104"/>
      <c r="C269" s="104"/>
      <c r="D269" s="104"/>
      <c r="E269" s="104"/>
      <c r="F269" s="104"/>
      <c r="G269" s="104"/>
      <c r="H269" s="104"/>
      <c r="I269" s="104"/>
      <c r="J269" s="104"/>
      <c r="K269" s="105"/>
      <c r="L269" s="106"/>
      <c r="M269" s="104"/>
      <c r="N269" s="104"/>
      <c r="O269" s="104"/>
      <c r="P269" s="104"/>
      <c r="Q269" s="104"/>
      <c r="R269" s="106"/>
      <c r="S269" s="104"/>
      <c r="T269" s="104"/>
      <c r="U269" s="104"/>
      <c r="V269" s="104"/>
      <c r="W269" s="105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  <c r="AH269" s="104"/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104"/>
      <c r="AV269" s="104"/>
      <c r="AW269" s="104"/>
      <c r="AX269" s="104"/>
      <c r="AY269" s="104"/>
      <c r="AZ269" s="104"/>
      <c r="BA269" s="104"/>
      <c r="BB269" s="104"/>
      <c r="BC269" s="104"/>
      <c r="BD269" s="104"/>
      <c r="BE269" s="104"/>
      <c r="BF269" s="104"/>
      <c r="BG269" s="104"/>
      <c r="BH269" s="104"/>
      <c r="BI269" s="104"/>
      <c r="BJ269" s="104"/>
      <c r="BK269" s="104"/>
      <c r="BL269" s="104"/>
      <c r="BM269" s="104"/>
      <c r="BN269" s="104"/>
    </row>
    <row r="270">
      <c r="A270" s="104"/>
      <c r="B270" s="104"/>
      <c r="C270" s="104"/>
      <c r="D270" s="104"/>
      <c r="E270" s="104"/>
      <c r="F270" s="104"/>
      <c r="G270" s="104"/>
      <c r="H270" s="104"/>
      <c r="I270" s="104"/>
      <c r="J270" s="104"/>
      <c r="K270" s="105"/>
      <c r="L270" s="106"/>
      <c r="M270" s="104"/>
      <c r="N270" s="104"/>
      <c r="O270" s="104"/>
      <c r="P270" s="104"/>
      <c r="Q270" s="104"/>
      <c r="R270" s="106"/>
      <c r="S270" s="104"/>
      <c r="T270" s="104"/>
      <c r="U270" s="104"/>
      <c r="V270" s="104"/>
      <c r="W270" s="105"/>
      <c r="X270" s="104"/>
      <c r="Y270" s="104"/>
      <c r="Z270" s="104"/>
      <c r="AA270" s="104"/>
      <c r="AB270" s="104"/>
      <c r="AC270" s="104"/>
      <c r="AD270" s="104"/>
      <c r="AE270" s="104"/>
      <c r="AF270" s="104"/>
      <c r="AG270" s="104"/>
      <c r="AH270" s="104"/>
      <c r="AI270" s="104"/>
      <c r="AJ270" s="104"/>
      <c r="AK270" s="104"/>
      <c r="AL270" s="104"/>
      <c r="AM270" s="104"/>
      <c r="AN270" s="104"/>
      <c r="AO270" s="104"/>
      <c r="AP270" s="104"/>
      <c r="AQ270" s="104"/>
      <c r="AR270" s="104"/>
      <c r="AS270" s="104"/>
      <c r="AT270" s="104"/>
      <c r="AU270" s="104"/>
      <c r="AV270" s="104"/>
      <c r="AW270" s="104"/>
      <c r="AX270" s="104"/>
      <c r="AY270" s="104"/>
      <c r="AZ270" s="104"/>
      <c r="BA270" s="104"/>
      <c r="BB270" s="104"/>
      <c r="BC270" s="104"/>
      <c r="BD270" s="104"/>
      <c r="BE270" s="104"/>
      <c r="BF270" s="104"/>
      <c r="BG270" s="104"/>
      <c r="BH270" s="104"/>
      <c r="BI270" s="104"/>
      <c r="BJ270" s="104"/>
      <c r="BK270" s="104"/>
      <c r="BL270" s="104"/>
      <c r="BM270" s="104"/>
      <c r="BN270" s="104"/>
    </row>
    <row r="271">
      <c r="A271" s="104"/>
      <c r="B271" s="104"/>
      <c r="C271" s="104"/>
      <c r="D271" s="104"/>
      <c r="E271" s="104"/>
      <c r="F271" s="104"/>
      <c r="G271" s="104"/>
      <c r="H271" s="104"/>
      <c r="I271" s="104"/>
      <c r="J271" s="104"/>
      <c r="K271" s="105"/>
      <c r="L271" s="106"/>
      <c r="M271" s="104"/>
      <c r="N271" s="104"/>
      <c r="O271" s="104"/>
      <c r="P271" s="104"/>
      <c r="Q271" s="104"/>
      <c r="R271" s="106"/>
      <c r="S271" s="104"/>
      <c r="T271" s="104"/>
      <c r="U271" s="104"/>
      <c r="V271" s="104"/>
      <c r="W271" s="105"/>
      <c r="X271" s="104"/>
      <c r="Y271" s="104"/>
      <c r="Z271" s="104"/>
      <c r="AA271" s="104"/>
      <c r="AB271" s="104"/>
      <c r="AC271" s="104"/>
      <c r="AD271" s="104"/>
      <c r="AE271" s="104"/>
      <c r="AF271" s="104"/>
      <c r="AG271" s="104"/>
      <c r="AH271" s="104"/>
      <c r="AI271" s="104"/>
      <c r="AJ271" s="104"/>
      <c r="AK271" s="104"/>
      <c r="AL271" s="104"/>
      <c r="AM271" s="104"/>
      <c r="AN271" s="104"/>
      <c r="AO271" s="104"/>
      <c r="AP271" s="104"/>
      <c r="AQ271" s="104"/>
      <c r="AR271" s="104"/>
      <c r="AS271" s="104"/>
      <c r="AT271" s="104"/>
      <c r="AU271" s="104"/>
      <c r="AV271" s="104"/>
      <c r="AW271" s="104"/>
      <c r="AX271" s="104"/>
      <c r="AY271" s="104"/>
      <c r="AZ271" s="104"/>
      <c r="BA271" s="104"/>
      <c r="BB271" s="104"/>
      <c r="BC271" s="104"/>
      <c r="BD271" s="104"/>
      <c r="BE271" s="104"/>
      <c r="BF271" s="104"/>
      <c r="BG271" s="104"/>
      <c r="BH271" s="104"/>
      <c r="BI271" s="104"/>
      <c r="BJ271" s="104"/>
      <c r="BK271" s="104"/>
      <c r="BL271" s="104"/>
      <c r="BM271" s="104"/>
      <c r="BN271" s="104"/>
    </row>
    <row r="272">
      <c r="A272" s="104"/>
      <c r="B272" s="104"/>
      <c r="C272" s="104"/>
      <c r="D272" s="104"/>
      <c r="E272" s="104"/>
      <c r="F272" s="104"/>
      <c r="G272" s="104"/>
      <c r="H272" s="104"/>
      <c r="I272" s="104"/>
      <c r="J272" s="104"/>
      <c r="K272" s="105"/>
      <c r="L272" s="106"/>
      <c r="M272" s="104"/>
      <c r="N272" s="104"/>
      <c r="O272" s="104"/>
      <c r="P272" s="104"/>
      <c r="Q272" s="104"/>
      <c r="R272" s="106"/>
      <c r="S272" s="104"/>
      <c r="T272" s="104"/>
      <c r="U272" s="104"/>
      <c r="V272" s="104"/>
      <c r="W272" s="105"/>
      <c r="X272" s="104"/>
      <c r="Y272" s="104"/>
      <c r="Z272" s="104"/>
      <c r="AA272" s="104"/>
      <c r="AB272" s="104"/>
      <c r="AC272" s="104"/>
      <c r="AD272" s="104"/>
      <c r="AE272" s="104"/>
      <c r="AF272" s="104"/>
      <c r="AG272" s="104"/>
      <c r="AH272" s="104"/>
      <c r="AI272" s="104"/>
      <c r="AJ272" s="104"/>
      <c r="AK272" s="104"/>
      <c r="AL272" s="104"/>
      <c r="AM272" s="104"/>
      <c r="AN272" s="104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/>
      <c r="BF272" s="104"/>
      <c r="BG272" s="104"/>
      <c r="BH272" s="104"/>
      <c r="BI272" s="104"/>
      <c r="BJ272" s="104"/>
      <c r="BK272" s="104"/>
      <c r="BL272" s="104"/>
      <c r="BM272" s="104"/>
      <c r="BN272" s="104"/>
    </row>
    <row r="273">
      <c r="A273" s="104"/>
      <c r="B273" s="104"/>
      <c r="C273" s="104"/>
      <c r="D273" s="104"/>
      <c r="E273" s="104"/>
      <c r="F273" s="104"/>
      <c r="G273" s="104"/>
      <c r="H273" s="104"/>
      <c r="I273" s="104"/>
      <c r="J273" s="104"/>
      <c r="K273" s="105"/>
      <c r="L273" s="106"/>
      <c r="M273" s="104"/>
      <c r="N273" s="104"/>
      <c r="O273" s="104"/>
      <c r="P273" s="104"/>
      <c r="Q273" s="104"/>
      <c r="R273" s="106"/>
      <c r="S273" s="104"/>
      <c r="T273" s="104"/>
      <c r="U273" s="104"/>
      <c r="V273" s="104"/>
      <c r="W273" s="105"/>
      <c r="X273" s="104"/>
      <c r="Y273" s="104"/>
      <c r="Z273" s="104"/>
      <c r="AA273" s="104"/>
      <c r="AB273" s="104"/>
      <c r="AC273" s="104"/>
      <c r="AD273" s="104"/>
      <c r="AE273" s="104"/>
      <c r="AF273" s="104"/>
      <c r="AG273" s="104"/>
      <c r="AH273" s="104"/>
      <c r="AI273" s="104"/>
      <c r="AJ273" s="104"/>
      <c r="AK273" s="104"/>
      <c r="AL273" s="104"/>
      <c r="AM273" s="104"/>
      <c r="AN273" s="104"/>
      <c r="AO273" s="104"/>
      <c r="AP273" s="104"/>
      <c r="AQ273" s="104"/>
      <c r="AR273" s="104"/>
      <c r="AS273" s="104"/>
      <c r="AT273" s="104"/>
      <c r="AU273" s="104"/>
      <c r="AV273" s="104"/>
      <c r="AW273" s="104"/>
      <c r="AX273" s="104"/>
      <c r="AY273" s="104"/>
      <c r="AZ273" s="104"/>
      <c r="BA273" s="104"/>
      <c r="BB273" s="104"/>
      <c r="BC273" s="104"/>
      <c r="BD273" s="104"/>
      <c r="BE273" s="104"/>
      <c r="BF273" s="104"/>
      <c r="BG273" s="104"/>
      <c r="BH273" s="104"/>
      <c r="BI273" s="104"/>
      <c r="BJ273" s="104"/>
      <c r="BK273" s="104"/>
      <c r="BL273" s="104"/>
      <c r="BM273" s="104"/>
      <c r="BN273" s="104"/>
    </row>
    <row r="274">
      <c r="A274" s="104"/>
      <c r="B274" s="104"/>
      <c r="C274" s="104"/>
      <c r="D274" s="104"/>
      <c r="E274" s="104"/>
      <c r="F274" s="104"/>
      <c r="G274" s="104"/>
      <c r="H274" s="104"/>
      <c r="I274" s="104"/>
      <c r="J274" s="104"/>
      <c r="K274" s="105"/>
      <c r="L274" s="106"/>
      <c r="M274" s="104"/>
      <c r="N274" s="104"/>
      <c r="O274" s="104"/>
      <c r="P274" s="104"/>
      <c r="Q274" s="104"/>
      <c r="R274" s="106"/>
      <c r="S274" s="104"/>
      <c r="T274" s="104"/>
      <c r="U274" s="104"/>
      <c r="V274" s="104"/>
      <c r="W274" s="105"/>
      <c r="X274" s="104"/>
      <c r="Y274" s="104"/>
      <c r="Z274" s="104"/>
      <c r="AA274" s="104"/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/>
      <c r="AM274" s="104"/>
      <c r="AN274" s="104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/>
      <c r="BD274" s="104"/>
      <c r="BE274" s="104"/>
      <c r="BF274" s="104"/>
      <c r="BG274" s="104"/>
      <c r="BH274" s="104"/>
      <c r="BI274" s="104"/>
      <c r="BJ274" s="104"/>
      <c r="BK274" s="104"/>
      <c r="BL274" s="104"/>
      <c r="BM274" s="104"/>
      <c r="BN274" s="104"/>
    </row>
    <row r="275">
      <c r="A275" s="104"/>
      <c r="B275" s="104"/>
      <c r="C275" s="104"/>
      <c r="D275" s="104"/>
      <c r="E275" s="104"/>
      <c r="F275" s="104"/>
      <c r="G275" s="104"/>
      <c r="H275" s="104"/>
      <c r="I275" s="104"/>
      <c r="J275" s="104"/>
      <c r="K275" s="105"/>
      <c r="L275" s="106"/>
      <c r="M275" s="104"/>
      <c r="N275" s="104"/>
      <c r="O275" s="104"/>
      <c r="P275" s="104"/>
      <c r="Q275" s="104"/>
      <c r="R275" s="106"/>
      <c r="S275" s="104"/>
      <c r="T275" s="104"/>
      <c r="U275" s="104"/>
      <c r="V275" s="104"/>
      <c r="W275" s="105"/>
      <c r="X275" s="104"/>
      <c r="Y275" s="104"/>
      <c r="Z275" s="104"/>
      <c r="AA275" s="104"/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/>
      <c r="AM275" s="104"/>
      <c r="AN275" s="104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/>
      <c r="BD275" s="104"/>
      <c r="BE275" s="104"/>
      <c r="BF275" s="104"/>
      <c r="BG275" s="104"/>
      <c r="BH275" s="104"/>
      <c r="BI275" s="104"/>
      <c r="BJ275" s="104"/>
      <c r="BK275" s="104"/>
      <c r="BL275" s="104"/>
      <c r="BM275" s="104"/>
      <c r="BN275" s="104"/>
    </row>
    <row r="276">
      <c r="A276" s="104"/>
      <c r="B276" s="104"/>
      <c r="C276" s="104"/>
      <c r="D276" s="104"/>
      <c r="E276" s="104"/>
      <c r="F276" s="104"/>
      <c r="G276" s="104"/>
      <c r="H276" s="104"/>
      <c r="I276" s="104"/>
      <c r="J276" s="104"/>
      <c r="K276" s="105"/>
      <c r="L276" s="106"/>
      <c r="M276" s="104"/>
      <c r="N276" s="104"/>
      <c r="O276" s="104"/>
      <c r="P276" s="104"/>
      <c r="Q276" s="104"/>
      <c r="R276" s="106"/>
      <c r="S276" s="104"/>
      <c r="T276" s="104"/>
      <c r="U276" s="104"/>
      <c r="V276" s="104"/>
      <c r="W276" s="105"/>
      <c r="X276" s="104"/>
      <c r="Y276" s="104"/>
      <c r="Z276" s="104"/>
      <c r="AA276" s="104"/>
      <c r="AB276" s="104"/>
      <c r="AC276" s="104"/>
      <c r="AD276" s="104"/>
      <c r="AE276" s="104"/>
      <c r="AF276" s="104"/>
      <c r="AG276" s="104"/>
      <c r="AH276" s="104"/>
      <c r="AI276" s="104"/>
      <c r="AJ276" s="104"/>
      <c r="AK276" s="104"/>
      <c r="AL276" s="104"/>
      <c r="AM276" s="104"/>
      <c r="AN276" s="104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/>
      <c r="BF276" s="104"/>
      <c r="BG276" s="104"/>
      <c r="BH276" s="104"/>
      <c r="BI276" s="104"/>
      <c r="BJ276" s="104"/>
      <c r="BK276" s="104"/>
      <c r="BL276" s="104"/>
      <c r="BM276" s="104"/>
      <c r="BN276" s="104"/>
    </row>
    <row r="277">
      <c r="A277" s="104"/>
      <c r="B277" s="104"/>
      <c r="C277" s="104"/>
      <c r="D277" s="104"/>
      <c r="E277" s="104"/>
      <c r="F277" s="104"/>
      <c r="G277" s="104"/>
      <c r="H277" s="104"/>
      <c r="I277" s="104"/>
      <c r="J277" s="104"/>
      <c r="K277" s="105"/>
      <c r="L277" s="106"/>
      <c r="M277" s="104"/>
      <c r="N277" s="104"/>
      <c r="O277" s="104"/>
      <c r="P277" s="104"/>
      <c r="Q277" s="104"/>
      <c r="R277" s="106"/>
      <c r="S277" s="104"/>
      <c r="T277" s="104"/>
      <c r="U277" s="104"/>
      <c r="V277" s="104"/>
      <c r="W277" s="105"/>
      <c r="X277" s="104"/>
      <c r="Y277" s="104"/>
      <c r="Z277" s="104"/>
      <c r="AA277" s="104"/>
      <c r="AB277" s="104"/>
      <c r="AC277" s="104"/>
      <c r="AD277" s="104"/>
      <c r="AE277" s="104"/>
      <c r="AF277" s="104"/>
      <c r="AG277" s="104"/>
      <c r="AH277" s="104"/>
      <c r="AI277" s="104"/>
      <c r="AJ277" s="104"/>
      <c r="AK277" s="104"/>
      <c r="AL277" s="104"/>
      <c r="AM277" s="104"/>
      <c r="AN277" s="104"/>
      <c r="AO277" s="104"/>
      <c r="AP277" s="104"/>
      <c r="AQ277" s="104"/>
      <c r="AR277" s="104"/>
      <c r="AS277" s="104"/>
      <c r="AT277" s="104"/>
      <c r="AU277" s="104"/>
      <c r="AV277" s="104"/>
      <c r="AW277" s="104"/>
      <c r="AX277" s="104"/>
      <c r="AY277" s="104"/>
      <c r="AZ277" s="104"/>
      <c r="BA277" s="104"/>
      <c r="BB277" s="104"/>
      <c r="BC277" s="104"/>
      <c r="BD277" s="104"/>
      <c r="BE277" s="104"/>
      <c r="BF277" s="104"/>
      <c r="BG277" s="104"/>
      <c r="BH277" s="104"/>
      <c r="BI277" s="104"/>
      <c r="BJ277" s="104"/>
      <c r="BK277" s="104"/>
      <c r="BL277" s="104"/>
      <c r="BM277" s="104"/>
      <c r="BN277" s="104"/>
    </row>
    <row r="278">
      <c r="A278" s="104"/>
      <c r="B278" s="104"/>
      <c r="C278" s="104"/>
      <c r="D278" s="104"/>
      <c r="E278" s="104"/>
      <c r="F278" s="104"/>
      <c r="G278" s="104"/>
      <c r="H278" s="104"/>
      <c r="I278" s="104"/>
      <c r="J278" s="104"/>
      <c r="K278" s="105"/>
      <c r="L278" s="106"/>
      <c r="M278" s="104"/>
      <c r="N278" s="104"/>
      <c r="O278" s="104"/>
      <c r="P278" s="104"/>
      <c r="Q278" s="104"/>
      <c r="R278" s="106"/>
      <c r="S278" s="104"/>
      <c r="T278" s="104"/>
      <c r="U278" s="104"/>
      <c r="V278" s="104"/>
      <c r="W278" s="105"/>
      <c r="X278" s="104"/>
      <c r="Y278" s="104"/>
      <c r="Z278" s="104"/>
      <c r="AA278" s="104"/>
      <c r="AB278" s="104"/>
      <c r="AC278" s="104"/>
      <c r="AD278" s="104"/>
      <c r="AE278" s="104"/>
      <c r="AF278" s="104"/>
      <c r="AG278" s="104"/>
      <c r="AH278" s="104"/>
      <c r="AI278" s="104"/>
      <c r="AJ278" s="104"/>
      <c r="AK278" s="104"/>
      <c r="AL278" s="104"/>
      <c r="AM278" s="104"/>
      <c r="AN278" s="104"/>
      <c r="AO278" s="104"/>
      <c r="AP278" s="104"/>
      <c r="AQ278" s="104"/>
      <c r="AR278" s="104"/>
      <c r="AS278" s="104"/>
      <c r="AT278" s="104"/>
      <c r="AU278" s="104"/>
      <c r="AV278" s="104"/>
      <c r="AW278" s="104"/>
      <c r="AX278" s="104"/>
      <c r="AY278" s="104"/>
      <c r="AZ278" s="104"/>
      <c r="BA278" s="104"/>
      <c r="BB278" s="104"/>
      <c r="BC278" s="104"/>
      <c r="BD278" s="104"/>
      <c r="BE278" s="104"/>
      <c r="BF278" s="104"/>
      <c r="BG278" s="104"/>
      <c r="BH278" s="104"/>
      <c r="BI278" s="104"/>
      <c r="BJ278" s="104"/>
      <c r="BK278" s="104"/>
      <c r="BL278" s="104"/>
      <c r="BM278" s="104"/>
      <c r="BN278" s="104"/>
    </row>
    <row r="279">
      <c r="A279" s="104"/>
      <c r="B279" s="104"/>
      <c r="C279" s="104"/>
      <c r="D279" s="104"/>
      <c r="E279" s="104"/>
      <c r="F279" s="104"/>
      <c r="G279" s="104"/>
      <c r="H279" s="104"/>
      <c r="I279" s="104"/>
      <c r="J279" s="104"/>
      <c r="K279" s="105"/>
      <c r="L279" s="106"/>
      <c r="M279" s="104"/>
      <c r="N279" s="104"/>
      <c r="O279" s="104"/>
      <c r="P279" s="104"/>
      <c r="Q279" s="104"/>
      <c r="R279" s="106"/>
      <c r="S279" s="104"/>
      <c r="T279" s="104"/>
      <c r="U279" s="104"/>
      <c r="V279" s="104"/>
      <c r="W279" s="105"/>
      <c r="X279" s="104"/>
      <c r="Y279" s="104"/>
      <c r="Z279" s="104"/>
      <c r="AA279" s="104"/>
      <c r="AB279" s="104"/>
      <c r="AC279" s="104"/>
      <c r="AD279" s="104"/>
      <c r="AE279" s="104"/>
      <c r="AF279" s="104"/>
      <c r="AG279" s="104"/>
      <c r="AH279" s="104"/>
      <c r="AI279" s="104"/>
      <c r="AJ279" s="104"/>
      <c r="AK279" s="104"/>
      <c r="AL279" s="104"/>
      <c r="AM279" s="104"/>
      <c r="AN279" s="104"/>
      <c r="AO279" s="104"/>
      <c r="AP279" s="104"/>
      <c r="AQ279" s="104"/>
      <c r="AR279" s="104"/>
      <c r="AS279" s="104"/>
      <c r="AT279" s="104"/>
      <c r="AU279" s="104"/>
      <c r="AV279" s="104"/>
      <c r="AW279" s="104"/>
      <c r="AX279" s="104"/>
      <c r="AY279" s="104"/>
      <c r="AZ279" s="104"/>
      <c r="BA279" s="104"/>
      <c r="BB279" s="104"/>
      <c r="BC279" s="104"/>
      <c r="BD279" s="104"/>
      <c r="BE279" s="104"/>
      <c r="BF279" s="104"/>
      <c r="BG279" s="104"/>
      <c r="BH279" s="104"/>
      <c r="BI279" s="104"/>
      <c r="BJ279" s="104"/>
      <c r="BK279" s="104"/>
      <c r="BL279" s="104"/>
      <c r="BM279" s="104"/>
      <c r="BN279" s="104"/>
    </row>
    <row r="280">
      <c r="A280" s="104"/>
      <c r="B280" s="104"/>
      <c r="C280" s="104"/>
      <c r="D280" s="104"/>
      <c r="E280" s="104"/>
      <c r="F280" s="104"/>
      <c r="G280" s="104"/>
      <c r="H280" s="104"/>
      <c r="I280" s="104"/>
      <c r="J280" s="104"/>
      <c r="K280" s="105"/>
      <c r="L280" s="106"/>
      <c r="M280" s="104"/>
      <c r="N280" s="104"/>
      <c r="O280" s="104"/>
      <c r="P280" s="104"/>
      <c r="Q280" s="104"/>
      <c r="R280" s="106"/>
      <c r="S280" s="104"/>
      <c r="T280" s="104"/>
      <c r="U280" s="104"/>
      <c r="V280" s="104"/>
      <c r="W280" s="105"/>
      <c r="X280" s="104"/>
      <c r="Y280" s="104"/>
      <c r="Z280" s="104"/>
      <c r="AA280" s="104"/>
      <c r="AB280" s="104"/>
      <c r="AC280" s="104"/>
      <c r="AD280" s="104"/>
      <c r="AE280" s="104"/>
      <c r="AF280" s="104"/>
      <c r="AG280" s="104"/>
      <c r="AH280" s="104"/>
      <c r="AI280" s="104"/>
      <c r="AJ280" s="104"/>
      <c r="AK280" s="104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  <c r="BH280" s="104"/>
      <c r="BI280" s="104"/>
      <c r="BJ280" s="104"/>
      <c r="BK280" s="104"/>
      <c r="BL280" s="104"/>
      <c r="BM280" s="104"/>
      <c r="BN280" s="104"/>
    </row>
    <row r="281">
      <c r="A281" s="104"/>
      <c r="B281" s="104"/>
      <c r="C281" s="104"/>
      <c r="D281" s="104"/>
      <c r="E281" s="104"/>
      <c r="F281" s="104"/>
      <c r="G281" s="104"/>
      <c r="H281" s="104"/>
      <c r="I281" s="104"/>
      <c r="J281" s="104"/>
      <c r="K281" s="105"/>
      <c r="L281" s="106"/>
      <c r="M281" s="104"/>
      <c r="N281" s="104"/>
      <c r="O281" s="104"/>
      <c r="P281" s="104"/>
      <c r="Q281" s="104"/>
      <c r="R281" s="106"/>
      <c r="S281" s="104"/>
      <c r="T281" s="104"/>
      <c r="U281" s="104"/>
      <c r="V281" s="104"/>
      <c r="W281" s="105"/>
      <c r="X281" s="104"/>
      <c r="Y281" s="104"/>
      <c r="Z281" s="104"/>
      <c r="AA281" s="104"/>
      <c r="AB281" s="104"/>
      <c r="AC281" s="104"/>
      <c r="AD281" s="104"/>
      <c r="AE281" s="104"/>
      <c r="AF281" s="104"/>
      <c r="AG281" s="104"/>
      <c r="AH281" s="104"/>
      <c r="AI281" s="104"/>
      <c r="AJ281" s="104"/>
      <c r="AK281" s="104"/>
      <c r="AL281" s="104"/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/>
      <c r="BI281" s="104"/>
      <c r="BJ281" s="104"/>
      <c r="BK281" s="104"/>
      <c r="BL281" s="104"/>
      <c r="BM281" s="104"/>
      <c r="BN281" s="104"/>
    </row>
    <row r="282">
      <c r="A282" s="104"/>
      <c r="B282" s="104"/>
      <c r="C282" s="104"/>
      <c r="D282" s="104"/>
      <c r="E282" s="104"/>
      <c r="F282" s="104"/>
      <c r="G282" s="104"/>
      <c r="H282" s="104"/>
      <c r="I282" s="104"/>
      <c r="J282" s="104"/>
      <c r="K282" s="105"/>
      <c r="L282" s="106"/>
      <c r="M282" s="104"/>
      <c r="N282" s="104"/>
      <c r="O282" s="104"/>
      <c r="P282" s="104"/>
      <c r="Q282" s="104"/>
      <c r="R282" s="106"/>
      <c r="S282" s="104"/>
      <c r="T282" s="104"/>
      <c r="U282" s="104"/>
      <c r="V282" s="104"/>
      <c r="W282" s="105"/>
      <c r="X282" s="104"/>
      <c r="Y282" s="104"/>
      <c r="Z282" s="104"/>
      <c r="AA282" s="104"/>
      <c r="AB282" s="104"/>
      <c r="AC282" s="104"/>
      <c r="AD282" s="104"/>
      <c r="AE282" s="104"/>
      <c r="AF282" s="104"/>
      <c r="AG282" s="104"/>
      <c r="AH282" s="104"/>
      <c r="AI282" s="104"/>
      <c r="AJ282" s="104"/>
      <c r="AK282" s="104"/>
      <c r="AL282" s="104"/>
      <c r="AM282" s="104"/>
      <c r="AN282" s="104"/>
      <c r="AO282" s="104"/>
      <c r="AP282" s="104"/>
      <c r="AQ282" s="104"/>
      <c r="AR282" s="104"/>
      <c r="AS282" s="104"/>
      <c r="AT282" s="104"/>
      <c r="AU282" s="104"/>
      <c r="AV282" s="104"/>
      <c r="AW282" s="104"/>
      <c r="AX282" s="104"/>
      <c r="AY282" s="104"/>
      <c r="AZ282" s="104"/>
      <c r="BA282" s="104"/>
      <c r="BB282" s="104"/>
      <c r="BC282" s="104"/>
      <c r="BD282" s="104"/>
      <c r="BE282" s="104"/>
      <c r="BF282" s="104"/>
      <c r="BG282" s="104"/>
      <c r="BH282" s="104"/>
      <c r="BI282" s="104"/>
      <c r="BJ282" s="104"/>
      <c r="BK282" s="104"/>
      <c r="BL282" s="104"/>
      <c r="BM282" s="104"/>
      <c r="BN282" s="104"/>
    </row>
    <row r="283">
      <c r="A283" s="104"/>
      <c r="B283" s="104"/>
      <c r="C283" s="104"/>
      <c r="D283" s="104"/>
      <c r="E283" s="104"/>
      <c r="F283" s="104"/>
      <c r="G283" s="104"/>
      <c r="H283" s="104"/>
      <c r="I283" s="104"/>
      <c r="J283" s="104"/>
      <c r="K283" s="105"/>
      <c r="L283" s="106"/>
      <c r="M283" s="104"/>
      <c r="N283" s="104"/>
      <c r="O283" s="104"/>
      <c r="P283" s="104"/>
      <c r="Q283" s="104"/>
      <c r="R283" s="106"/>
      <c r="S283" s="104"/>
      <c r="T283" s="104"/>
      <c r="U283" s="104"/>
      <c r="V283" s="104"/>
      <c r="W283" s="105"/>
      <c r="X283" s="104"/>
      <c r="Y283" s="104"/>
      <c r="Z283" s="104"/>
      <c r="AA283" s="104"/>
      <c r="AB283" s="104"/>
      <c r="AC283" s="104"/>
      <c r="AD283" s="104"/>
      <c r="AE283" s="104"/>
      <c r="AF283" s="104"/>
      <c r="AG283" s="104"/>
      <c r="AH283" s="104"/>
      <c r="AI283" s="104"/>
      <c r="AJ283" s="104"/>
      <c r="AK283" s="104"/>
      <c r="AL283" s="104"/>
      <c r="AM283" s="104"/>
      <c r="AN283" s="104"/>
      <c r="AO283" s="104"/>
      <c r="AP283" s="104"/>
      <c r="AQ283" s="104"/>
      <c r="AR283" s="104"/>
      <c r="AS283" s="104"/>
      <c r="AT283" s="104"/>
      <c r="AU283" s="104"/>
      <c r="AV283" s="104"/>
      <c r="AW283" s="104"/>
      <c r="AX283" s="104"/>
      <c r="AY283" s="104"/>
      <c r="AZ283" s="104"/>
      <c r="BA283" s="104"/>
      <c r="BB283" s="104"/>
      <c r="BC283" s="104"/>
      <c r="BD283" s="104"/>
      <c r="BE283" s="104"/>
      <c r="BF283" s="104"/>
      <c r="BG283" s="104"/>
      <c r="BH283" s="104"/>
      <c r="BI283" s="104"/>
      <c r="BJ283" s="104"/>
      <c r="BK283" s="104"/>
      <c r="BL283" s="104"/>
      <c r="BM283" s="104"/>
      <c r="BN283" s="104"/>
    </row>
    <row r="284">
      <c r="A284" s="104"/>
      <c r="B284" s="104"/>
      <c r="C284" s="104"/>
      <c r="D284" s="104"/>
      <c r="E284" s="104"/>
      <c r="F284" s="104"/>
      <c r="G284" s="104"/>
      <c r="H284" s="104"/>
      <c r="I284" s="104"/>
      <c r="J284" s="104"/>
      <c r="K284" s="105"/>
      <c r="L284" s="106"/>
      <c r="M284" s="104"/>
      <c r="N284" s="104"/>
      <c r="O284" s="104"/>
      <c r="P284" s="104"/>
      <c r="Q284" s="104"/>
      <c r="R284" s="106"/>
      <c r="S284" s="104"/>
      <c r="T284" s="104"/>
      <c r="U284" s="104"/>
      <c r="V284" s="104"/>
      <c r="W284" s="105"/>
      <c r="X284" s="104"/>
      <c r="Y284" s="104"/>
      <c r="Z284" s="104"/>
      <c r="AA284" s="104"/>
      <c r="AB284" s="104"/>
      <c r="AC284" s="104"/>
      <c r="AD284" s="104"/>
      <c r="AE284" s="104"/>
      <c r="AF284" s="104"/>
      <c r="AG284" s="104"/>
      <c r="AH284" s="104"/>
      <c r="AI284" s="104"/>
      <c r="AJ284" s="104"/>
      <c r="AK284" s="104"/>
      <c r="AL284" s="104"/>
      <c r="AM284" s="104"/>
      <c r="AN284" s="104"/>
      <c r="AO284" s="104"/>
      <c r="AP284" s="104"/>
      <c r="AQ284" s="104"/>
      <c r="AR284" s="104"/>
      <c r="AS284" s="104"/>
      <c r="AT284" s="104"/>
      <c r="AU284" s="104"/>
      <c r="AV284" s="104"/>
      <c r="AW284" s="104"/>
      <c r="AX284" s="104"/>
      <c r="AY284" s="104"/>
      <c r="AZ284" s="104"/>
      <c r="BA284" s="104"/>
      <c r="BB284" s="104"/>
      <c r="BC284" s="104"/>
      <c r="BD284" s="104"/>
      <c r="BE284" s="104"/>
      <c r="BF284" s="104"/>
      <c r="BG284" s="104"/>
      <c r="BH284" s="104"/>
      <c r="BI284" s="104"/>
      <c r="BJ284" s="104"/>
      <c r="BK284" s="104"/>
      <c r="BL284" s="104"/>
      <c r="BM284" s="104"/>
      <c r="BN284" s="104"/>
    </row>
    <row r="285">
      <c r="A285" s="104"/>
      <c r="B285" s="104"/>
      <c r="C285" s="104"/>
      <c r="D285" s="104"/>
      <c r="E285" s="104"/>
      <c r="F285" s="104"/>
      <c r="G285" s="104"/>
      <c r="H285" s="104"/>
      <c r="I285" s="104"/>
      <c r="J285" s="104"/>
      <c r="K285" s="105"/>
      <c r="L285" s="106"/>
      <c r="M285" s="104"/>
      <c r="N285" s="104"/>
      <c r="O285" s="104"/>
      <c r="P285" s="104"/>
      <c r="Q285" s="104"/>
      <c r="R285" s="106"/>
      <c r="S285" s="104"/>
      <c r="T285" s="104"/>
      <c r="U285" s="104"/>
      <c r="V285" s="104"/>
      <c r="W285" s="105"/>
      <c r="X285" s="104"/>
      <c r="Y285" s="104"/>
      <c r="Z285" s="104"/>
      <c r="AA285" s="104"/>
      <c r="AB285" s="104"/>
      <c r="AC285" s="104"/>
      <c r="AD285" s="104"/>
      <c r="AE285" s="104"/>
      <c r="AF285" s="104"/>
      <c r="AG285" s="104"/>
      <c r="AH285" s="104"/>
      <c r="AI285" s="104"/>
      <c r="AJ285" s="104"/>
      <c r="AK285" s="104"/>
      <c r="AL285" s="104"/>
      <c r="AM285" s="104"/>
      <c r="AN285" s="104"/>
      <c r="AO285" s="104"/>
      <c r="AP285" s="104"/>
      <c r="AQ285" s="104"/>
      <c r="AR285" s="104"/>
      <c r="AS285" s="104"/>
      <c r="AT285" s="104"/>
      <c r="AU285" s="104"/>
      <c r="AV285" s="104"/>
      <c r="AW285" s="104"/>
      <c r="AX285" s="104"/>
      <c r="AY285" s="104"/>
      <c r="AZ285" s="104"/>
      <c r="BA285" s="104"/>
      <c r="BB285" s="104"/>
      <c r="BC285" s="104"/>
      <c r="BD285" s="104"/>
      <c r="BE285" s="104"/>
      <c r="BF285" s="104"/>
      <c r="BG285" s="104"/>
      <c r="BH285" s="104"/>
      <c r="BI285" s="104"/>
      <c r="BJ285" s="104"/>
      <c r="BK285" s="104"/>
      <c r="BL285" s="104"/>
      <c r="BM285" s="104"/>
      <c r="BN285" s="104"/>
    </row>
    <row r="286">
      <c r="A286" s="104"/>
      <c r="B286" s="104"/>
      <c r="C286" s="104"/>
      <c r="D286" s="104"/>
      <c r="E286" s="104"/>
      <c r="F286" s="104"/>
      <c r="G286" s="104"/>
      <c r="H286" s="104"/>
      <c r="I286" s="104"/>
      <c r="J286" s="104"/>
      <c r="K286" s="105"/>
      <c r="L286" s="106"/>
      <c r="M286" s="104"/>
      <c r="N286" s="104"/>
      <c r="O286" s="104"/>
      <c r="P286" s="104"/>
      <c r="Q286" s="104"/>
      <c r="R286" s="106"/>
      <c r="S286" s="104"/>
      <c r="T286" s="104"/>
      <c r="U286" s="104"/>
      <c r="V286" s="104"/>
      <c r="W286" s="105"/>
      <c r="X286" s="104"/>
      <c r="Y286" s="104"/>
      <c r="Z286" s="104"/>
      <c r="AA286" s="104"/>
      <c r="AB286" s="104"/>
      <c r="AC286" s="104"/>
      <c r="AD286" s="104"/>
      <c r="AE286" s="104"/>
      <c r="AF286" s="104"/>
      <c r="AG286" s="104"/>
      <c r="AH286" s="104"/>
      <c r="AI286" s="104"/>
      <c r="AJ286" s="104"/>
      <c r="AK286" s="104"/>
      <c r="AL286" s="104"/>
      <c r="AM286" s="104"/>
      <c r="AN286" s="104"/>
      <c r="AO286" s="104"/>
      <c r="AP286" s="104"/>
      <c r="AQ286" s="104"/>
      <c r="AR286" s="104"/>
      <c r="AS286" s="104"/>
      <c r="AT286" s="104"/>
      <c r="AU286" s="104"/>
      <c r="AV286" s="104"/>
      <c r="AW286" s="104"/>
      <c r="AX286" s="104"/>
      <c r="AY286" s="104"/>
      <c r="AZ286" s="104"/>
      <c r="BA286" s="104"/>
      <c r="BB286" s="104"/>
      <c r="BC286" s="104"/>
      <c r="BD286" s="104"/>
      <c r="BE286" s="104"/>
      <c r="BF286" s="104"/>
      <c r="BG286" s="104"/>
      <c r="BH286" s="104"/>
      <c r="BI286" s="104"/>
      <c r="BJ286" s="104"/>
      <c r="BK286" s="104"/>
      <c r="BL286" s="104"/>
      <c r="BM286" s="104"/>
      <c r="BN286" s="104"/>
    </row>
    <row r="287">
      <c r="A287" s="104"/>
      <c r="B287" s="104"/>
      <c r="C287" s="104"/>
      <c r="D287" s="104"/>
      <c r="E287" s="104"/>
      <c r="F287" s="104"/>
      <c r="G287" s="104"/>
      <c r="H287" s="104"/>
      <c r="I287" s="104"/>
      <c r="J287" s="104"/>
      <c r="K287" s="105"/>
      <c r="L287" s="106"/>
      <c r="M287" s="104"/>
      <c r="N287" s="104"/>
      <c r="O287" s="104"/>
      <c r="P287" s="104"/>
      <c r="Q287" s="104"/>
      <c r="R287" s="106"/>
      <c r="S287" s="104"/>
      <c r="T287" s="104"/>
      <c r="U287" s="104"/>
      <c r="V287" s="104"/>
      <c r="W287" s="105"/>
      <c r="X287" s="104"/>
      <c r="Y287" s="104"/>
      <c r="Z287" s="104"/>
      <c r="AA287" s="104"/>
      <c r="AB287" s="104"/>
      <c r="AC287" s="104"/>
      <c r="AD287" s="104"/>
      <c r="AE287" s="104"/>
      <c r="AF287" s="104"/>
      <c r="AG287" s="104"/>
      <c r="AH287" s="104"/>
      <c r="AI287" s="104"/>
      <c r="AJ287" s="104"/>
      <c r="AK287" s="104"/>
      <c r="AL287" s="104"/>
      <c r="AM287" s="104"/>
      <c r="AN287" s="104"/>
      <c r="AO287" s="104"/>
      <c r="AP287" s="104"/>
      <c r="AQ287" s="104"/>
      <c r="AR287" s="104"/>
      <c r="AS287" s="104"/>
      <c r="AT287" s="104"/>
      <c r="AU287" s="104"/>
      <c r="AV287" s="104"/>
      <c r="AW287" s="104"/>
      <c r="AX287" s="104"/>
      <c r="AY287" s="104"/>
      <c r="AZ287" s="104"/>
      <c r="BA287" s="104"/>
      <c r="BB287" s="104"/>
      <c r="BC287" s="104"/>
      <c r="BD287" s="104"/>
      <c r="BE287" s="104"/>
      <c r="BF287" s="104"/>
      <c r="BG287" s="104"/>
      <c r="BH287" s="104"/>
      <c r="BI287" s="104"/>
      <c r="BJ287" s="104"/>
      <c r="BK287" s="104"/>
      <c r="BL287" s="104"/>
      <c r="BM287" s="104"/>
      <c r="BN287" s="104"/>
    </row>
    <row r="288">
      <c r="A288" s="104"/>
      <c r="B288" s="104"/>
      <c r="C288" s="104"/>
      <c r="D288" s="104"/>
      <c r="E288" s="104"/>
      <c r="F288" s="104"/>
      <c r="G288" s="104"/>
      <c r="H288" s="104"/>
      <c r="I288" s="104"/>
      <c r="J288" s="104"/>
      <c r="K288" s="105"/>
      <c r="L288" s="106"/>
      <c r="M288" s="104"/>
      <c r="N288" s="104"/>
      <c r="O288" s="104"/>
      <c r="P288" s="104"/>
      <c r="Q288" s="104"/>
      <c r="R288" s="106"/>
      <c r="S288" s="104"/>
      <c r="T288" s="104"/>
      <c r="U288" s="104"/>
      <c r="V288" s="104"/>
      <c r="W288" s="105"/>
      <c r="X288" s="104"/>
      <c r="Y288" s="104"/>
      <c r="Z288" s="104"/>
      <c r="AA288" s="104"/>
      <c r="AB288" s="104"/>
      <c r="AC288" s="104"/>
      <c r="AD288" s="104"/>
      <c r="AE288" s="104"/>
      <c r="AF288" s="104"/>
      <c r="AG288" s="104"/>
      <c r="AH288" s="104"/>
      <c r="AI288" s="104"/>
      <c r="AJ288" s="104"/>
      <c r="AK288" s="104"/>
      <c r="AL288" s="104"/>
      <c r="AM288" s="104"/>
      <c r="AN288" s="104"/>
      <c r="AO288" s="104"/>
      <c r="AP288" s="104"/>
      <c r="AQ288" s="104"/>
      <c r="AR288" s="104"/>
      <c r="AS288" s="104"/>
      <c r="AT288" s="104"/>
      <c r="AU288" s="104"/>
      <c r="AV288" s="104"/>
      <c r="AW288" s="104"/>
      <c r="AX288" s="104"/>
      <c r="AY288" s="104"/>
      <c r="AZ288" s="104"/>
      <c r="BA288" s="104"/>
      <c r="BB288" s="104"/>
      <c r="BC288" s="104"/>
      <c r="BD288" s="104"/>
      <c r="BE288" s="104"/>
      <c r="BF288" s="104"/>
      <c r="BG288" s="104"/>
      <c r="BH288" s="104"/>
      <c r="BI288" s="104"/>
      <c r="BJ288" s="104"/>
      <c r="BK288" s="104"/>
      <c r="BL288" s="104"/>
      <c r="BM288" s="104"/>
      <c r="BN288" s="104"/>
    </row>
    <row r="289">
      <c r="A289" s="104"/>
      <c r="B289" s="104"/>
      <c r="C289" s="104"/>
      <c r="D289" s="104"/>
      <c r="E289" s="104"/>
      <c r="F289" s="104"/>
      <c r="G289" s="104"/>
      <c r="H289" s="104"/>
      <c r="I289" s="104"/>
      <c r="J289" s="104"/>
      <c r="K289" s="105"/>
      <c r="L289" s="106"/>
      <c r="M289" s="104"/>
      <c r="N289" s="104"/>
      <c r="O289" s="104"/>
      <c r="P289" s="104"/>
      <c r="Q289" s="104"/>
      <c r="R289" s="106"/>
      <c r="S289" s="104"/>
      <c r="T289" s="104"/>
      <c r="U289" s="104"/>
      <c r="V289" s="104"/>
      <c r="W289" s="105"/>
      <c r="X289" s="104"/>
      <c r="Y289" s="104"/>
      <c r="Z289" s="104"/>
      <c r="AA289" s="104"/>
      <c r="AB289" s="104"/>
      <c r="AC289" s="104"/>
      <c r="AD289" s="104"/>
      <c r="AE289" s="104"/>
      <c r="AF289" s="104"/>
      <c r="AG289" s="104"/>
      <c r="AH289" s="104"/>
      <c r="AI289" s="104"/>
      <c r="AJ289" s="104"/>
      <c r="AK289" s="104"/>
      <c r="AL289" s="104"/>
      <c r="AM289" s="104"/>
      <c r="AN289" s="104"/>
      <c r="AO289" s="104"/>
      <c r="AP289" s="104"/>
      <c r="AQ289" s="104"/>
      <c r="AR289" s="104"/>
      <c r="AS289" s="104"/>
      <c r="AT289" s="104"/>
      <c r="AU289" s="104"/>
      <c r="AV289" s="104"/>
      <c r="AW289" s="104"/>
      <c r="AX289" s="104"/>
      <c r="AY289" s="104"/>
      <c r="AZ289" s="104"/>
      <c r="BA289" s="104"/>
      <c r="BB289" s="104"/>
      <c r="BC289" s="104"/>
      <c r="BD289" s="104"/>
      <c r="BE289" s="104"/>
      <c r="BF289" s="104"/>
      <c r="BG289" s="104"/>
      <c r="BH289" s="104"/>
      <c r="BI289" s="104"/>
      <c r="BJ289" s="104"/>
      <c r="BK289" s="104"/>
      <c r="BL289" s="104"/>
      <c r="BM289" s="104"/>
      <c r="BN289" s="104"/>
    </row>
    <row r="290">
      <c r="A290" s="104"/>
      <c r="B290" s="104"/>
      <c r="C290" s="104"/>
      <c r="D290" s="104"/>
      <c r="E290" s="104"/>
      <c r="F290" s="104"/>
      <c r="G290" s="104"/>
      <c r="H290" s="104"/>
      <c r="I290" s="104"/>
      <c r="J290" s="104"/>
      <c r="K290" s="105"/>
      <c r="L290" s="106"/>
      <c r="M290" s="104"/>
      <c r="N290" s="104"/>
      <c r="O290" s="104"/>
      <c r="P290" s="104"/>
      <c r="Q290" s="104"/>
      <c r="R290" s="106"/>
      <c r="S290" s="104"/>
      <c r="T290" s="104"/>
      <c r="U290" s="104"/>
      <c r="V290" s="104"/>
      <c r="W290" s="105"/>
      <c r="X290" s="104"/>
      <c r="Y290" s="104"/>
      <c r="Z290" s="104"/>
      <c r="AA290" s="104"/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  <c r="BH290" s="104"/>
      <c r="BI290" s="104"/>
      <c r="BJ290" s="104"/>
      <c r="BK290" s="104"/>
      <c r="BL290" s="104"/>
      <c r="BM290" s="104"/>
      <c r="BN290" s="104"/>
    </row>
    <row r="291">
      <c r="A291" s="104"/>
      <c r="B291" s="104"/>
      <c r="C291" s="104"/>
      <c r="D291" s="104"/>
      <c r="E291" s="104"/>
      <c r="F291" s="104"/>
      <c r="G291" s="104"/>
      <c r="H291" s="104"/>
      <c r="I291" s="104"/>
      <c r="J291" s="104"/>
      <c r="K291" s="105"/>
      <c r="L291" s="106"/>
      <c r="M291" s="104"/>
      <c r="N291" s="104"/>
      <c r="O291" s="104"/>
      <c r="P291" s="104"/>
      <c r="Q291" s="104"/>
      <c r="R291" s="106"/>
      <c r="S291" s="104"/>
      <c r="T291" s="104"/>
      <c r="U291" s="104"/>
      <c r="V291" s="104"/>
      <c r="W291" s="105"/>
      <c r="X291" s="104"/>
      <c r="Y291" s="104"/>
      <c r="Z291" s="104"/>
      <c r="AA291" s="104"/>
      <c r="AB291" s="104"/>
      <c r="AC291" s="104"/>
      <c r="AD291" s="104"/>
      <c r="AE291" s="104"/>
      <c r="AF291" s="104"/>
      <c r="AG291" s="104"/>
      <c r="AH291" s="104"/>
      <c r="AI291" s="104"/>
      <c r="AJ291" s="104"/>
      <c r="AK291" s="104"/>
      <c r="AL291" s="104"/>
      <c r="AM291" s="104"/>
      <c r="AN291" s="104"/>
      <c r="AO291" s="104"/>
      <c r="AP291" s="104"/>
      <c r="AQ291" s="104"/>
      <c r="AR291" s="104"/>
      <c r="AS291" s="104"/>
      <c r="AT291" s="104"/>
      <c r="AU291" s="104"/>
      <c r="AV291" s="104"/>
      <c r="AW291" s="104"/>
      <c r="AX291" s="104"/>
      <c r="AY291" s="104"/>
      <c r="AZ291" s="104"/>
      <c r="BA291" s="104"/>
      <c r="BB291" s="104"/>
      <c r="BC291" s="104"/>
      <c r="BD291" s="104"/>
      <c r="BE291" s="104"/>
      <c r="BF291" s="104"/>
      <c r="BG291" s="104"/>
      <c r="BH291" s="104"/>
      <c r="BI291" s="104"/>
      <c r="BJ291" s="104"/>
      <c r="BK291" s="104"/>
      <c r="BL291" s="104"/>
      <c r="BM291" s="104"/>
      <c r="BN291" s="104"/>
    </row>
    <row r="292">
      <c r="A292" s="104"/>
      <c r="B292" s="104"/>
      <c r="C292" s="104"/>
      <c r="D292" s="104"/>
      <c r="E292" s="104"/>
      <c r="F292" s="104"/>
      <c r="G292" s="104"/>
      <c r="H292" s="104"/>
      <c r="I292" s="104"/>
      <c r="J292" s="104"/>
      <c r="K292" s="105"/>
      <c r="L292" s="106"/>
      <c r="M292" s="104"/>
      <c r="N292" s="104"/>
      <c r="O292" s="104"/>
      <c r="P292" s="104"/>
      <c r="Q292" s="104"/>
      <c r="R292" s="106"/>
      <c r="S292" s="104"/>
      <c r="T292" s="104"/>
      <c r="U292" s="104"/>
      <c r="V292" s="104"/>
      <c r="W292" s="105"/>
      <c r="X292" s="104"/>
      <c r="Y292" s="104"/>
      <c r="Z292" s="104"/>
      <c r="AA292" s="104"/>
      <c r="AB292" s="104"/>
      <c r="AC292" s="104"/>
      <c r="AD292" s="104"/>
      <c r="AE292" s="104"/>
      <c r="AF292" s="104"/>
      <c r="AG292" s="104"/>
      <c r="AH292" s="104"/>
      <c r="AI292" s="104"/>
      <c r="AJ292" s="104"/>
      <c r="AK292" s="104"/>
      <c r="AL292" s="104"/>
      <c r="AM292" s="104"/>
      <c r="AN292" s="104"/>
      <c r="AO292" s="104"/>
      <c r="AP292" s="104"/>
      <c r="AQ292" s="104"/>
      <c r="AR292" s="104"/>
      <c r="AS292" s="104"/>
      <c r="AT292" s="104"/>
      <c r="AU292" s="104"/>
      <c r="AV292" s="104"/>
      <c r="AW292" s="104"/>
      <c r="AX292" s="104"/>
      <c r="AY292" s="104"/>
      <c r="AZ292" s="104"/>
      <c r="BA292" s="104"/>
      <c r="BB292" s="104"/>
      <c r="BC292" s="104"/>
      <c r="BD292" s="104"/>
      <c r="BE292" s="104"/>
      <c r="BF292" s="104"/>
      <c r="BG292" s="104"/>
      <c r="BH292" s="104"/>
      <c r="BI292" s="104"/>
      <c r="BJ292" s="104"/>
      <c r="BK292" s="104"/>
      <c r="BL292" s="104"/>
      <c r="BM292" s="104"/>
      <c r="BN292" s="104"/>
    </row>
    <row r="293">
      <c r="A293" s="104"/>
      <c r="B293" s="104"/>
      <c r="C293" s="104"/>
      <c r="D293" s="104"/>
      <c r="E293" s="104"/>
      <c r="F293" s="104"/>
      <c r="G293" s="104"/>
      <c r="H293" s="104"/>
      <c r="I293" s="104"/>
      <c r="J293" s="104"/>
      <c r="K293" s="105"/>
      <c r="L293" s="106"/>
      <c r="M293" s="104"/>
      <c r="N293" s="104"/>
      <c r="O293" s="104"/>
      <c r="P293" s="104"/>
      <c r="Q293" s="104"/>
      <c r="R293" s="106"/>
      <c r="S293" s="104"/>
      <c r="T293" s="104"/>
      <c r="U293" s="104"/>
      <c r="V293" s="104"/>
      <c r="W293" s="105"/>
      <c r="X293" s="104"/>
      <c r="Y293" s="104"/>
      <c r="Z293" s="104"/>
      <c r="AA293" s="104"/>
      <c r="AB293" s="104"/>
      <c r="AC293" s="104"/>
      <c r="AD293" s="104"/>
      <c r="AE293" s="104"/>
      <c r="AF293" s="104"/>
      <c r="AG293" s="104"/>
      <c r="AH293" s="104"/>
      <c r="AI293" s="104"/>
      <c r="AJ293" s="104"/>
      <c r="AK293" s="104"/>
      <c r="AL293" s="104"/>
      <c r="AM293" s="104"/>
      <c r="AN293" s="104"/>
      <c r="AO293" s="104"/>
      <c r="AP293" s="104"/>
      <c r="AQ293" s="104"/>
      <c r="AR293" s="104"/>
      <c r="AS293" s="104"/>
      <c r="AT293" s="104"/>
      <c r="AU293" s="104"/>
      <c r="AV293" s="104"/>
      <c r="AW293" s="104"/>
      <c r="AX293" s="104"/>
      <c r="AY293" s="104"/>
      <c r="AZ293" s="104"/>
      <c r="BA293" s="104"/>
      <c r="BB293" s="104"/>
      <c r="BC293" s="104"/>
      <c r="BD293" s="104"/>
      <c r="BE293" s="104"/>
      <c r="BF293" s="104"/>
      <c r="BG293" s="104"/>
      <c r="BH293" s="104"/>
      <c r="BI293" s="104"/>
      <c r="BJ293" s="104"/>
      <c r="BK293" s="104"/>
      <c r="BL293" s="104"/>
      <c r="BM293" s="104"/>
      <c r="BN293" s="104"/>
    </row>
    <row r="294">
      <c r="A294" s="104"/>
      <c r="B294" s="104"/>
      <c r="C294" s="104"/>
      <c r="D294" s="104"/>
      <c r="E294" s="104"/>
      <c r="F294" s="104"/>
      <c r="G294" s="104"/>
      <c r="H294" s="104"/>
      <c r="I294" s="104"/>
      <c r="J294" s="104"/>
      <c r="K294" s="105"/>
      <c r="L294" s="106"/>
      <c r="M294" s="104"/>
      <c r="N294" s="104"/>
      <c r="O294" s="104"/>
      <c r="P294" s="104"/>
      <c r="Q294" s="104"/>
      <c r="R294" s="106"/>
      <c r="S294" s="104"/>
      <c r="T294" s="104"/>
      <c r="U294" s="104"/>
      <c r="V294" s="104"/>
      <c r="W294" s="105"/>
      <c r="X294" s="104"/>
      <c r="Y294" s="104"/>
      <c r="Z294" s="104"/>
      <c r="AA294" s="104"/>
      <c r="AB294" s="104"/>
      <c r="AC294" s="104"/>
      <c r="AD294" s="104"/>
      <c r="AE294" s="104"/>
      <c r="AF294" s="104"/>
      <c r="AG294" s="104"/>
      <c r="AH294" s="104"/>
      <c r="AI294" s="104"/>
      <c r="AJ294" s="104"/>
      <c r="AK294" s="104"/>
      <c r="AL294" s="104"/>
      <c r="AM294" s="104"/>
      <c r="AN294" s="104"/>
      <c r="AO294" s="104"/>
      <c r="AP294" s="104"/>
      <c r="AQ294" s="104"/>
      <c r="AR294" s="104"/>
      <c r="AS294" s="104"/>
      <c r="AT294" s="104"/>
      <c r="AU294" s="104"/>
      <c r="AV294" s="104"/>
      <c r="AW294" s="104"/>
      <c r="AX294" s="104"/>
      <c r="AY294" s="104"/>
      <c r="AZ294" s="104"/>
      <c r="BA294" s="104"/>
      <c r="BB294" s="104"/>
      <c r="BC294" s="104"/>
      <c r="BD294" s="104"/>
      <c r="BE294" s="104"/>
      <c r="BF294" s="104"/>
      <c r="BG294" s="104"/>
      <c r="BH294" s="104"/>
      <c r="BI294" s="104"/>
      <c r="BJ294" s="104"/>
      <c r="BK294" s="104"/>
      <c r="BL294" s="104"/>
      <c r="BM294" s="104"/>
      <c r="BN294" s="104"/>
    </row>
    <row r="295">
      <c r="A295" s="104"/>
      <c r="B295" s="104"/>
      <c r="C295" s="104"/>
      <c r="D295" s="104"/>
      <c r="E295" s="104"/>
      <c r="F295" s="104"/>
      <c r="G295" s="104"/>
      <c r="H295" s="104"/>
      <c r="I295" s="104"/>
      <c r="J295" s="104"/>
      <c r="K295" s="105"/>
      <c r="L295" s="106"/>
      <c r="M295" s="104"/>
      <c r="N295" s="104"/>
      <c r="O295" s="104"/>
      <c r="P295" s="104"/>
      <c r="Q295" s="104"/>
      <c r="R295" s="106"/>
      <c r="S295" s="104"/>
      <c r="T295" s="104"/>
      <c r="U295" s="104"/>
      <c r="V295" s="104"/>
      <c r="W295" s="105"/>
      <c r="X295" s="104"/>
      <c r="Y295" s="104"/>
      <c r="Z295" s="104"/>
      <c r="AA295" s="104"/>
      <c r="AB295" s="104"/>
      <c r="AC295" s="104"/>
      <c r="AD295" s="104"/>
      <c r="AE295" s="104"/>
      <c r="AF295" s="104"/>
      <c r="AG295" s="104"/>
      <c r="AH295" s="104"/>
      <c r="AI295" s="104"/>
      <c r="AJ295" s="104"/>
      <c r="AK295" s="104"/>
      <c r="AL295" s="104"/>
      <c r="AM295" s="104"/>
      <c r="AN295" s="104"/>
      <c r="AO295" s="104"/>
      <c r="AP295" s="104"/>
      <c r="AQ295" s="104"/>
      <c r="AR295" s="104"/>
      <c r="AS295" s="104"/>
      <c r="AT295" s="104"/>
      <c r="AU295" s="104"/>
      <c r="AV295" s="104"/>
      <c r="AW295" s="104"/>
      <c r="AX295" s="104"/>
      <c r="AY295" s="104"/>
      <c r="AZ295" s="104"/>
      <c r="BA295" s="104"/>
      <c r="BB295" s="104"/>
      <c r="BC295" s="104"/>
      <c r="BD295" s="104"/>
      <c r="BE295" s="104"/>
      <c r="BF295" s="104"/>
      <c r="BG295" s="104"/>
      <c r="BH295" s="104"/>
      <c r="BI295" s="104"/>
      <c r="BJ295" s="104"/>
      <c r="BK295" s="104"/>
      <c r="BL295" s="104"/>
      <c r="BM295" s="104"/>
      <c r="BN295" s="104"/>
    </row>
    <row r="296">
      <c r="A296" s="104"/>
      <c r="B296" s="104"/>
      <c r="C296" s="104"/>
      <c r="D296" s="104"/>
      <c r="E296" s="104"/>
      <c r="F296" s="104"/>
      <c r="G296" s="104"/>
      <c r="H296" s="104"/>
      <c r="I296" s="104"/>
      <c r="J296" s="104"/>
      <c r="K296" s="105"/>
      <c r="L296" s="106"/>
      <c r="M296" s="104"/>
      <c r="N296" s="104"/>
      <c r="O296" s="104"/>
      <c r="P296" s="104"/>
      <c r="Q296" s="104"/>
      <c r="R296" s="106"/>
      <c r="S296" s="104"/>
      <c r="T296" s="104"/>
      <c r="U296" s="104"/>
      <c r="V296" s="104"/>
      <c r="W296" s="105"/>
      <c r="X296" s="104"/>
      <c r="Y296" s="104"/>
      <c r="Z296" s="104"/>
      <c r="AA296" s="104"/>
      <c r="AB296" s="104"/>
      <c r="AC296" s="104"/>
      <c r="AD296" s="104"/>
      <c r="AE296" s="104"/>
      <c r="AF296" s="104"/>
      <c r="AG296" s="104"/>
      <c r="AH296" s="104"/>
      <c r="AI296" s="104"/>
      <c r="AJ296" s="104"/>
      <c r="AK296" s="104"/>
      <c r="AL296" s="104"/>
      <c r="AM296" s="104"/>
      <c r="AN296" s="104"/>
      <c r="AO296" s="104"/>
      <c r="AP296" s="104"/>
      <c r="AQ296" s="104"/>
      <c r="AR296" s="104"/>
      <c r="AS296" s="104"/>
      <c r="AT296" s="104"/>
      <c r="AU296" s="104"/>
      <c r="AV296" s="104"/>
      <c r="AW296" s="104"/>
      <c r="AX296" s="104"/>
      <c r="AY296" s="104"/>
      <c r="AZ296" s="104"/>
      <c r="BA296" s="104"/>
      <c r="BB296" s="104"/>
      <c r="BC296" s="104"/>
      <c r="BD296" s="104"/>
      <c r="BE296" s="104"/>
      <c r="BF296" s="104"/>
      <c r="BG296" s="104"/>
      <c r="BH296" s="104"/>
      <c r="BI296" s="104"/>
      <c r="BJ296" s="104"/>
      <c r="BK296" s="104"/>
      <c r="BL296" s="104"/>
      <c r="BM296" s="104"/>
      <c r="BN296" s="104"/>
    </row>
    <row r="297">
      <c r="A297" s="104"/>
      <c r="B297" s="104"/>
      <c r="C297" s="104"/>
      <c r="D297" s="104"/>
      <c r="E297" s="104"/>
      <c r="F297" s="104"/>
      <c r="G297" s="104"/>
      <c r="H297" s="104"/>
      <c r="I297" s="104"/>
      <c r="J297" s="104"/>
      <c r="K297" s="105"/>
      <c r="L297" s="106"/>
      <c r="M297" s="104"/>
      <c r="N297" s="104"/>
      <c r="O297" s="104"/>
      <c r="P297" s="104"/>
      <c r="Q297" s="104"/>
      <c r="R297" s="106"/>
      <c r="S297" s="104"/>
      <c r="T297" s="104"/>
      <c r="U297" s="104"/>
      <c r="V297" s="104"/>
      <c r="W297" s="105"/>
      <c r="X297" s="104"/>
      <c r="Y297" s="104"/>
      <c r="Z297" s="104"/>
      <c r="AA297" s="104"/>
      <c r="AB297" s="104"/>
      <c r="AC297" s="104"/>
      <c r="AD297" s="104"/>
      <c r="AE297" s="104"/>
      <c r="AF297" s="104"/>
      <c r="AG297" s="104"/>
      <c r="AH297" s="104"/>
      <c r="AI297" s="104"/>
      <c r="AJ297" s="104"/>
      <c r="AK297" s="104"/>
      <c r="AL297" s="104"/>
      <c r="AM297" s="104"/>
      <c r="AN297" s="104"/>
      <c r="AO297" s="104"/>
      <c r="AP297" s="104"/>
      <c r="AQ297" s="104"/>
      <c r="AR297" s="104"/>
      <c r="AS297" s="104"/>
      <c r="AT297" s="104"/>
      <c r="AU297" s="104"/>
      <c r="AV297" s="104"/>
      <c r="AW297" s="104"/>
      <c r="AX297" s="104"/>
      <c r="AY297" s="104"/>
      <c r="AZ297" s="104"/>
      <c r="BA297" s="104"/>
      <c r="BB297" s="104"/>
      <c r="BC297" s="104"/>
      <c r="BD297" s="104"/>
      <c r="BE297" s="104"/>
      <c r="BF297" s="104"/>
      <c r="BG297" s="104"/>
      <c r="BH297" s="104"/>
      <c r="BI297" s="104"/>
      <c r="BJ297" s="104"/>
      <c r="BK297" s="104"/>
      <c r="BL297" s="104"/>
      <c r="BM297" s="104"/>
      <c r="BN297" s="104"/>
    </row>
    <row r="298">
      <c r="A298" s="104"/>
      <c r="B298" s="104"/>
      <c r="C298" s="104"/>
      <c r="D298" s="104"/>
      <c r="E298" s="104"/>
      <c r="F298" s="104"/>
      <c r="G298" s="104"/>
      <c r="H298" s="104"/>
      <c r="I298" s="104"/>
      <c r="J298" s="104"/>
      <c r="K298" s="105"/>
      <c r="L298" s="106"/>
      <c r="M298" s="104"/>
      <c r="N298" s="104"/>
      <c r="O298" s="104"/>
      <c r="P298" s="104"/>
      <c r="Q298" s="104"/>
      <c r="R298" s="106"/>
      <c r="S298" s="104"/>
      <c r="T298" s="104"/>
      <c r="U298" s="104"/>
      <c r="V298" s="104"/>
      <c r="W298" s="105"/>
      <c r="X298" s="104"/>
      <c r="Y298" s="104"/>
      <c r="Z298" s="104"/>
      <c r="AA298" s="104"/>
      <c r="AB298" s="104"/>
      <c r="AC298" s="104"/>
      <c r="AD298" s="104"/>
      <c r="AE298" s="104"/>
      <c r="AF298" s="104"/>
      <c r="AG298" s="104"/>
      <c r="AH298" s="104"/>
      <c r="AI298" s="104"/>
      <c r="AJ298" s="104"/>
      <c r="AK298" s="104"/>
      <c r="AL298" s="104"/>
      <c r="AM298" s="104"/>
      <c r="AN298" s="104"/>
      <c r="AO298" s="104"/>
      <c r="AP298" s="104"/>
      <c r="AQ298" s="104"/>
      <c r="AR298" s="104"/>
      <c r="AS298" s="104"/>
      <c r="AT298" s="104"/>
      <c r="AU298" s="104"/>
      <c r="AV298" s="104"/>
      <c r="AW298" s="104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104"/>
      <c r="BH298" s="104"/>
      <c r="BI298" s="104"/>
      <c r="BJ298" s="104"/>
      <c r="BK298" s="104"/>
      <c r="BL298" s="104"/>
      <c r="BM298" s="104"/>
      <c r="BN298" s="104"/>
    </row>
    <row r="299">
      <c r="A299" s="104"/>
      <c r="B299" s="104"/>
      <c r="C299" s="104"/>
      <c r="D299" s="104"/>
      <c r="E299" s="104"/>
      <c r="F299" s="104"/>
      <c r="G299" s="104"/>
      <c r="H299" s="104"/>
      <c r="I299" s="104"/>
      <c r="J299" s="104"/>
      <c r="K299" s="105"/>
      <c r="L299" s="106"/>
      <c r="M299" s="104"/>
      <c r="N299" s="104"/>
      <c r="O299" s="104"/>
      <c r="P299" s="104"/>
      <c r="Q299" s="104"/>
      <c r="R299" s="106"/>
      <c r="S299" s="104"/>
      <c r="T299" s="104"/>
      <c r="U299" s="104"/>
      <c r="V299" s="104"/>
      <c r="W299" s="105"/>
      <c r="X299" s="104"/>
      <c r="Y299" s="104"/>
      <c r="Z299" s="104"/>
      <c r="AA299" s="104"/>
      <c r="AB299" s="104"/>
      <c r="AC299" s="104"/>
      <c r="AD299" s="104"/>
      <c r="AE299" s="104"/>
      <c r="AF299" s="104"/>
      <c r="AG299" s="104"/>
      <c r="AH299" s="104"/>
      <c r="AI299" s="104"/>
      <c r="AJ299" s="104"/>
      <c r="AK299" s="104"/>
      <c r="AL299" s="104"/>
      <c r="AM299" s="104"/>
      <c r="AN299" s="104"/>
      <c r="AO299" s="104"/>
      <c r="AP299" s="104"/>
      <c r="AQ299" s="104"/>
      <c r="AR299" s="104"/>
      <c r="AS299" s="104"/>
      <c r="AT299" s="104"/>
      <c r="AU299" s="104"/>
      <c r="AV299" s="104"/>
      <c r="AW299" s="104"/>
      <c r="AX299" s="104"/>
      <c r="AY299" s="104"/>
      <c r="AZ299" s="104"/>
      <c r="BA299" s="104"/>
      <c r="BB299" s="104"/>
      <c r="BC299" s="104"/>
      <c r="BD299" s="104"/>
      <c r="BE299" s="104"/>
      <c r="BF299" s="104"/>
      <c r="BG299" s="104"/>
      <c r="BH299" s="104"/>
      <c r="BI299" s="104"/>
      <c r="BJ299" s="104"/>
      <c r="BK299" s="104"/>
      <c r="BL299" s="104"/>
      <c r="BM299" s="104"/>
      <c r="BN299" s="104"/>
    </row>
    <row r="300">
      <c r="A300" s="104"/>
      <c r="B300" s="104"/>
      <c r="C300" s="104"/>
      <c r="D300" s="104"/>
      <c r="E300" s="104"/>
      <c r="F300" s="104"/>
      <c r="G300" s="104"/>
      <c r="H300" s="104"/>
      <c r="I300" s="104"/>
      <c r="J300" s="104"/>
      <c r="K300" s="105"/>
      <c r="L300" s="106"/>
      <c r="M300" s="104"/>
      <c r="N300" s="104"/>
      <c r="O300" s="104"/>
      <c r="P300" s="104"/>
      <c r="Q300" s="104"/>
      <c r="R300" s="106"/>
      <c r="S300" s="104"/>
      <c r="T300" s="104"/>
      <c r="U300" s="104"/>
      <c r="V300" s="104"/>
      <c r="W300" s="105"/>
      <c r="X300" s="104"/>
      <c r="Y300" s="104"/>
      <c r="Z300" s="104"/>
      <c r="AA300" s="104"/>
      <c r="AB300" s="104"/>
      <c r="AC300" s="104"/>
      <c r="AD300" s="104"/>
      <c r="AE300" s="104"/>
      <c r="AF300" s="104"/>
      <c r="AG300" s="104"/>
      <c r="AH300" s="104"/>
      <c r="AI300" s="104"/>
      <c r="AJ300" s="104"/>
      <c r="AK300" s="104"/>
      <c r="AL300" s="104"/>
      <c r="AM300" s="104"/>
      <c r="AN300" s="104"/>
      <c r="AO300" s="104"/>
      <c r="AP300" s="104"/>
      <c r="AQ300" s="104"/>
      <c r="AR300" s="104"/>
      <c r="AS300" s="104"/>
      <c r="AT300" s="104"/>
      <c r="AU300" s="104"/>
      <c r="AV300" s="104"/>
      <c r="AW300" s="104"/>
      <c r="AX300" s="104"/>
      <c r="AY300" s="104"/>
      <c r="AZ300" s="104"/>
      <c r="BA300" s="104"/>
      <c r="BB300" s="104"/>
      <c r="BC300" s="104"/>
      <c r="BD300" s="104"/>
      <c r="BE300" s="104"/>
      <c r="BF300" s="104"/>
      <c r="BG300" s="104"/>
      <c r="BH300" s="104"/>
      <c r="BI300" s="104"/>
      <c r="BJ300" s="104"/>
      <c r="BK300" s="104"/>
      <c r="BL300" s="104"/>
      <c r="BM300" s="104"/>
      <c r="BN300" s="104"/>
    </row>
    <row r="301">
      <c r="A301" s="104"/>
      <c r="B301" s="104"/>
      <c r="C301" s="104"/>
      <c r="D301" s="104"/>
      <c r="E301" s="104"/>
      <c r="F301" s="104"/>
      <c r="G301" s="104"/>
      <c r="H301" s="104"/>
      <c r="I301" s="104"/>
      <c r="J301" s="104"/>
      <c r="K301" s="105"/>
      <c r="L301" s="106"/>
      <c r="M301" s="104"/>
      <c r="N301" s="104"/>
      <c r="O301" s="104"/>
      <c r="P301" s="104"/>
      <c r="Q301" s="104"/>
      <c r="R301" s="106"/>
      <c r="S301" s="104"/>
      <c r="T301" s="104"/>
      <c r="U301" s="104"/>
      <c r="V301" s="104"/>
      <c r="W301" s="105"/>
      <c r="X301" s="104"/>
      <c r="Y301" s="104"/>
      <c r="Z301" s="104"/>
      <c r="AA301" s="104"/>
      <c r="AB301" s="104"/>
      <c r="AC301" s="104"/>
      <c r="AD301" s="104"/>
      <c r="AE301" s="104"/>
      <c r="AF301" s="104"/>
      <c r="AG301" s="104"/>
      <c r="AH301" s="104"/>
      <c r="AI301" s="104"/>
      <c r="AJ301" s="104"/>
      <c r="AK301" s="104"/>
      <c r="AL301" s="104"/>
      <c r="AM301" s="104"/>
      <c r="AN301" s="104"/>
      <c r="AO301" s="104"/>
      <c r="AP301" s="104"/>
      <c r="AQ301" s="104"/>
      <c r="AR301" s="104"/>
      <c r="AS301" s="104"/>
      <c r="AT301" s="104"/>
      <c r="AU301" s="104"/>
      <c r="AV301" s="104"/>
      <c r="AW301" s="104"/>
      <c r="AX301" s="104"/>
      <c r="AY301" s="104"/>
      <c r="AZ301" s="104"/>
      <c r="BA301" s="104"/>
      <c r="BB301" s="104"/>
      <c r="BC301" s="104"/>
      <c r="BD301" s="104"/>
      <c r="BE301" s="104"/>
      <c r="BF301" s="104"/>
      <c r="BG301" s="104"/>
      <c r="BH301" s="104"/>
      <c r="BI301" s="104"/>
      <c r="BJ301" s="104"/>
      <c r="BK301" s="104"/>
      <c r="BL301" s="104"/>
      <c r="BM301" s="104"/>
      <c r="BN301" s="104"/>
    </row>
    <row r="302">
      <c r="A302" s="104"/>
      <c r="B302" s="104"/>
      <c r="C302" s="104"/>
      <c r="D302" s="104"/>
      <c r="E302" s="104"/>
      <c r="F302" s="104"/>
      <c r="G302" s="104"/>
      <c r="H302" s="104"/>
      <c r="I302" s="104"/>
      <c r="J302" s="104"/>
      <c r="K302" s="105"/>
      <c r="L302" s="106"/>
      <c r="M302" s="104"/>
      <c r="N302" s="104"/>
      <c r="O302" s="104"/>
      <c r="P302" s="104"/>
      <c r="Q302" s="104"/>
      <c r="R302" s="106"/>
      <c r="S302" s="104"/>
      <c r="T302" s="104"/>
      <c r="U302" s="104"/>
      <c r="V302" s="104"/>
      <c r="W302" s="105"/>
      <c r="X302" s="104"/>
      <c r="Y302" s="104"/>
      <c r="Z302" s="104"/>
      <c r="AA302" s="104"/>
      <c r="AB302" s="104"/>
      <c r="AC302" s="104"/>
      <c r="AD302" s="104"/>
      <c r="AE302" s="104"/>
      <c r="AF302" s="104"/>
      <c r="AG302" s="104"/>
      <c r="AH302" s="104"/>
      <c r="AI302" s="104"/>
      <c r="AJ302" s="104"/>
      <c r="AK302" s="104"/>
      <c r="AL302" s="104"/>
      <c r="AM302" s="104"/>
      <c r="AN302" s="104"/>
      <c r="AO302" s="104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104"/>
      <c r="BG302" s="104"/>
      <c r="BH302" s="104"/>
      <c r="BI302" s="104"/>
      <c r="BJ302" s="104"/>
      <c r="BK302" s="104"/>
      <c r="BL302" s="104"/>
      <c r="BM302" s="104"/>
      <c r="BN302" s="104"/>
    </row>
    <row r="303">
      <c r="A303" s="104"/>
      <c r="B303" s="104"/>
      <c r="C303" s="104"/>
      <c r="D303" s="104"/>
      <c r="E303" s="104"/>
      <c r="F303" s="104"/>
      <c r="G303" s="104"/>
      <c r="H303" s="104"/>
      <c r="I303" s="104"/>
      <c r="J303" s="104"/>
      <c r="K303" s="105"/>
      <c r="L303" s="106"/>
      <c r="M303" s="104"/>
      <c r="N303" s="104"/>
      <c r="O303" s="104"/>
      <c r="P303" s="104"/>
      <c r="Q303" s="104"/>
      <c r="R303" s="106"/>
      <c r="S303" s="104"/>
      <c r="T303" s="104"/>
      <c r="U303" s="104"/>
      <c r="V303" s="104"/>
      <c r="W303" s="105"/>
      <c r="X303" s="104"/>
      <c r="Y303" s="104"/>
      <c r="Z303" s="104"/>
      <c r="AA303" s="104"/>
      <c r="AB303" s="104"/>
      <c r="AC303" s="104"/>
      <c r="AD303" s="104"/>
      <c r="AE303" s="104"/>
      <c r="AF303" s="104"/>
      <c r="AG303" s="104"/>
      <c r="AH303" s="104"/>
      <c r="AI303" s="104"/>
      <c r="AJ303" s="104"/>
      <c r="AK303" s="104"/>
      <c r="AL303" s="104"/>
      <c r="AM303" s="104"/>
      <c r="AN303" s="104"/>
      <c r="AO303" s="104"/>
      <c r="AP303" s="104"/>
      <c r="AQ303" s="104"/>
      <c r="AR303" s="104"/>
      <c r="AS303" s="104"/>
      <c r="AT303" s="104"/>
      <c r="AU303" s="104"/>
      <c r="AV303" s="104"/>
      <c r="AW303" s="104"/>
      <c r="AX303" s="104"/>
      <c r="AY303" s="104"/>
      <c r="AZ303" s="104"/>
      <c r="BA303" s="104"/>
      <c r="BB303" s="104"/>
      <c r="BC303" s="104"/>
      <c r="BD303" s="104"/>
      <c r="BE303" s="104"/>
      <c r="BF303" s="104"/>
      <c r="BG303" s="104"/>
      <c r="BH303" s="104"/>
      <c r="BI303" s="104"/>
      <c r="BJ303" s="104"/>
      <c r="BK303" s="104"/>
      <c r="BL303" s="104"/>
      <c r="BM303" s="104"/>
      <c r="BN303" s="104"/>
    </row>
    <row r="304">
      <c r="A304" s="104"/>
      <c r="B304" s="104"/>
      <c r="C304" s="104"/>
      <c r="D304" s="104"/>
      <c r="E304" s="104"/>
      <c r="F304" s="104"/>
      <c r="G304" s="104"/>
      <c r="H304" s="104"/>
      <c r="I304" s="104"/>
      <c r="J304" s="104"/>
      <c r="K304" s="105"/>
      <c r="L304" s="106"/>
      <c r="M304" s="104"/>
      <c r="N304" s="104"/>
      <c r="O304" s="104"/>
      <c r="P304" s="104"/>
      <c r="Q304" s="104"/>
      <c r="R304" s="106"/>
      <c r="S304" s="104"/>
      <c r="T304" s="104"/>
      <c r="U304" s="104"/>
      <c r="V304" s="104"/>
      <c r="W304" s="105"/>
      <c r="X304" s="104"/>
      <c r="Y304" s="104"/>
      <c r="Z304" s="104"/>
      <c r="AA304" s="104"/>
      <c r="AB304" s="104"/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/>
      <c r="AM304" s="104"/>
      <c r="AN304" s="104"/>
      <c r="AO304" s="104"/>
      <c r="AP304" s="104"/>
      <c r="AQ304" s="104"/>
      <c r="AR304" s="104"/>
      <c r="AS304" s="104"/>
      <c r="AT304" s="104"/>
      <c r="AU304" s="104"/>
      <c r="AV304" s="104"/>
      <c r="AW304" s="104"/>
      <c r="AX304" s="104"/>
      <c r="AY304" s="104"/>
      <c r="AZ304" s="104"/>
      <c r="BA304" s="104"/>
      <c r="BB304" s="104"/>
      <c r="BC304" s="104"/>
      <c r="BD304" s="104"/>
      <c r="BE304" s="104"/>
      <c r="BF304" s="104"/>
      <c r="BG304" s="104"/>
      <c r="BH304" s="104"/>
      <c r="BI304" s="104"/>
      <c r="BJ304" s="104"/>
      <c r="BK304" s="104"/>
      <c r="BL304" s="104"/>
      <c r="BM304" s="104"/>
      <c r="BN304" s="104"/>
    </row>
    <row r="305">
      <c r="A305" s="104"/>
      <c r="B305" s="104"/>
      <c r="C305" s="104"/>
      <c r="D305" s="104"/>
      <c r="E305" s="104"/>
      <c r="F305" s="104"/>
      <c r="G305" s="104"/>
      <c r="H305" s="104"/>
      <c r="I305" s="104"/>
      <c r="J305" s="104"/>
      <c r="K305" s="105"/>
      <c r="L305" s="106"/>
      <c r="M305" s="104"/>
      <c r="N305" s="104"/>
      <c r="O305" s="104"/>
      <c r="P305" s="104"/>
      <c r="Q305" s="104"/>
      <c r="R305" s="106"/>
      <c r="S305" s="104"/>
      <c r="T305" s="104"/>
      <c r="U305" s="104"/>
      <c r="V305" s="104"/>
      <c r="W305" s="105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  <c r="AH305" s="104"/>
      <c r="AI305" s="104"/>
      <c r="AJ305" s="104"/>
      <c r="AK305" s="104"/>
      <c r="AL305" s="104"/>
      <c r="AM305" s="104"/>
      <c r="AN305" s="104"/>
      <c r="AO305" s="104"/>
      <c r="AP305" s="104"/>
      <c r="AQ305" s="104"/>
      <c r="AR305" s="104"/>
      <c r="AS305" s="104"/>
      <c r="AT305" s="104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104"/>
      <c r="BG305" s="104"/>
      <c r="BH305" s="104"/>
      <c r="BI305" s="104"/>
      <c r="BJ305" s="104"/>
      <c r="BK305" s="104"/>
      <c r="BL305" s="104"/>
      <c r="BM305" s="104"/>
      <c r="BN305" s="104"/>
    </row>
    <row r="306">
      <c r="A306" s="104"/>
      <c r="B306" s="104"/>
      <c r="C306" s="104"/>
      <c r="D306" s="104"/>
      <c r="E306" s="104"/>
      <c r="F306" s="104"/>
      <c r="G306" s="104"/>
      <c r="H306" s="104"/>
      <c r="I306" s="104"/>
      <c r="J306" s="104"/>
      <c r="K306" s="105"/>
      <c r="L306" s="106"/>
      <c r="M306" s="104"/>
      <c r="N306" s="104"/>
      <c r="O306" s="104"/>
      <c r="P306" s="104"/>
      <c r="Q306" s="104"/>
      <c r="R306" s="106"/>
      <c r="S306" s="104"/>
      <c r="T306" s="104"/>
      <c r="U306" s="104"/>
      <c r="V306" s="104"/>
      <c r="W306" s="105"/>
      <c r="X306" s="104"/>
      <c r="Y306" s="104"/>
      <c r="Z306" s="104"/>
      <c r="AA306" s="104"/>
      <c r="AB306" s="104"/>
      <c r="AC306" s="104"/>
      <c r="AD306" s="104"/>
      <c r="AE306" s="104"/>
      <c r="AF306" s="104"/>
      <c r="AG306" s="104"/>
      <c r="AH306" s="104"/>
      <c r="AI306" s="104"/>
      <c r="AJ306" s="104"/>
      <c r="AK306" s="104"/>
      <c r="AL306" s="104"/>
      <c r="AM306" s="104"/>
      <c r="AN306" s="104"/>
      <c r="AO306" s="104"/>
      <c r="AP306" s="104"/>
      <c r="AQ306" s="104"/>
      <c r="AR306" s="104"/>
      <c r="AS306" s="104"/>
      <c r="AT306" s="104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/>
      <c r="BF306" s="104"/>
      <c r="BG306" s="104"/>
      <c r="BH306" s="104"/>
      <c r="BI306" s="104"/>
      <c r="BJ306" s="104"/>
      <c r="BK306" s="104"/>
      <c r="BL306" s="104"/>
      <c r="BM306" s="104"/>
      <c r="BN306" s="104"/>
    </row>
    <row r="307">
      <c r="A307" s="104"/>
      <c r="B307" s="104"/>
      <c r="C307" s="104"/>
      <c r="D307" s="104"/>
      <c r="E307" s="104"/>
      <c r="F307" s="104"/>
      <c r="G307" s="104"/>
      <c r="H307" s="104"/>
      <c r="I307" s="104"/>
      <c r="J307" s="104"/>
      <c r="K307" s="105"/>
      <c r="L307" s="106"/>
      <c r="M307" s="104"/>
      <c r="N307" s="104"/>
      <c r="O307" s="104"/>
      <c r="P307" s="104"/>
      <c r="Q307" s="104"/>
      <c r="R307" s="106"/>
      <c r="S307" s="104"/>
      <c r="T307" s="104"/>
      <c r="U307" s="104"/>
      <c r="V307" s="104"/>
      <c r="W307" s="105"/>
      <c r="X307" s="104"/>
      <c r="Y307" s="104"/>
      <c r="Z307" s="104"/>
      <c r="AA307" s="104"/>
      <c r="AB307" s="104"/>
      <c r="AC307" s="104"/>
      <c r="AD307" s="104"/>
      <c r="AE307" s="104"/>
      <c r="AF307" s="104"/>
      <c r="AG307" s="104"/>
      <c r="AH307" s="104"/>
      <c r="AI307" s="104"/>
      <c r="AJ307" s="104"/>
      <c r="AK307" s="104"/>
      <c r="AL307" s="104"/>
      <c r="AM307" s="104"/>
      <c r="AN307" s="104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/>
      <c r="BD307" s="104"/>
      <c r="BE307" s="104"/>
      <c r="BF307" s="104"/>
      <c r="BG307" s="104"/>
      <c r="BH307" s="104"/>
      <c r="BI307" s="104"/>
      <c r="BJ307" s="104"/>
      <c r="BK307" s="104"/>
      <c r="BL307" s="104"/>
      <c r="BM307" s="104"/>
      <c r="BN307" s="104"/>
    </row>
    <row r="308">
      <c r="A308" s="104"/>
      <c r="B308" s="104"/>
      <c r="C308" s="104"/>
      <c r="D308" s="104"/>
      <c r="E308" s="104"/>
      <c r="F308" s="104"/>
      <c r="G308" s="104"/>
      <c r="H308" s="104"/>
      <c r="I308" s="104"/>
      <c r="J308" s="104"/>
      <c r="K308" s="105"/>
      <c r="L308" s="106"/>
      <c r="M308" s="104"/>
      <c r="N308" s="104"/>
      <c r="O308" s="104"/>
      <c r="P308" s="104"/>
      <c r="Q308" s="104"/>
      <c r="R308" s="106"/>
      <c r="S308" s="104"/>
      <c r="T308" s="104"/>
      <c r="U308" s="104"/>
      <c r="V308" s="104"/>
      <c r="W308" s="105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104"/>
      <c r="AV308" s="104"/>
      <c r="AW308" s="104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104"/>
      <c r="BH308" s="104"/>
      <c r="BI308" s="104"/>
      <c r="BJ308" s="104"/>
      <c r="BK308" s="104"/>
      <c r="BL308" s="104"/>
      <c r="BM308" s="104"/>
      <c r="BN308" s="104"/>
    </row>
    <row r="309">
      <c r="A309" s="104"/>
      <c r="B309" s="104"/>
      <c r="C309" s="104"/>
      <c r="D309" s="104"/>
      <c r="E309" s="104"/>
      <c r="F309" s="104"/>
      <c r="G309" s="104"/>
      <c r="H309" s="104"/>
      <c r="I309" s="104"/>
      <c r="J309" s="104"/>
      <c r="K309" s="105"/>
      <c r="L309" s="106"/>
      <c r="M309" s="104"/>
      <c r="N309" s="104"/>
      <c r="O309" s="104"/>
      <c r="P309" s="104"/>
      <c r="Q309" s="104"/>
      <c r="R309" s="106"/>
      <c r="S309" s="104"/>
      <c r="T309" s="104"/>
      <c r="U309" s="104"/>
      <c r="V309" s="104"/>
      <c r="W309" s="105"/>
      <c r="X309" s="104"/>
      <c r="Y309" s="104"/>
      <c r="Z309" s="104"/>
      <c r="AA309" s="104"/>
      <c r="AB309" s="104"/>
      <c r="AC309" s="104"/>
      <c r="AD309" s="104"/>
      <c r="AE309" s="104"/>
      <c r="AF309" s="104"/>
      <c r="AG309" s="104"/>
      <c r="AH309" s="104"/>
      <c r="AI309" s="104"/>
      <c r="AJ309" s="104"/>
      <c r="AK309" s="104"/>
      <c r="AL309" s="104"/>
      <c r="AM309" s="104"/>
      <c r="AN309" s="104"/>
      <c r="AO309" s="104"/>
      <c r="AP309" s="104"/>
      <c r="AQ309" s="104"/>
      <c r="AR309" s="104"/>
      <c r="AS309" s="104"/>
      <c r="AT309" s="104"/>
      <c r="AU309" s="104"/>
      <c r="AV309" s="104"/>
      <c r="AW309" s="104"/>
      <c r="AX309" s="104"/>
      <c r="AY309" s="104"/>
      <c r="AZ309" s="104"/>
      <c r="BA309" s="104"/>
      <c r="BB309" s="104"/>
      <c r="BC309" s="104"/>
      <c r="BD309" s="104"/>
      <c r="BE309" s="104"/>
      <c r="BF309" s="104"/>
      <c r="BG309" s="104"/>
      <c r="BH309" s="104"/>
      <c r="BI309" s="104"/>
      <c r="BJ309" s="104"/>
      <c r="BK309" s="104"/>
      <c r="BL309" s="104"/>
      <c r="BM309" s="104"/>
      <c r="BN309" s="104"/>
    </row>
    <row r="310">
      <c r="A310" s="104"/>
      <c r="B310" s="104"/>
      <c r="C310" s="104"/>
      <c r="D310" s="104"/>
      <c r="E310" s="104"/>
      <c r="F310" s="104"/>
      <c r="G310" s="104"/>
      <c r="H310" s="104"/>
      <c r="I310" s="104"/>
      <c r="J310" s="104"/>
      <c r="K310" s="105"/>
      <c r="L310" s="106"/>
      <c r="M310" s="104"/>
      <c r="N310" s="104"/>
      <c r="O310" s="104"/>
      <c r="P310" s="104"/>
      <c r="Q310" s="104"/>
      <c r="R310" s="106"/>
      <c r="S310" s="104"/>
      <c r="T310" s="104"/>
      <c r="U310" s="104"/>
      <c r="V310" s="104"/>
      <c r="W310" s="105"/>
      <c r="X310" s="104"/>
      <c r="Y310" s="104"/>
      <c r="Z310" s="104"/>
      <c r="AA310" s="104"/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104"/>
      <c r="AV310" s="104"/>
      <c r="AW310" s="104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104"/>
      <c r="BK310" s="104"/>
      <c r="BL310" s="104"/>
      <c r="BM310" s="104"/>
      <c r="BN310" s="104"/>
    </row>
    <row r="311">
      <c r="A311" s="104"/>
      <c r="B311" s="104"/>
      <c r="C311" s="104"/>
      <c r="D311" s="104"/>
      <c r="E311" s="104"/>
      <c r="F311" s="104"/>
      <c r="G311" s="104"/>
      <c r="H311" s="104"/>
      <c r="I311" s="104"/>
      <c r="J311" s="104"/>
      <c r="K311" s="105"/>
      <c r="L311" s="106"/>
      <c r="M311" s="104"/>
      <c r="N311" s="104"/>
      <c r="O311" s="104"/>
      <c r="P311" s="104"/>
      <c r="Q311" s="104"/>
      <c r="R311" s="106"/>
      <c r="S311" s="104"/>
      <c r="T311" s="104"/>
      <c r="U311" s="104"/>
      <c r="V311" s="104"/>
      <c r="W311" s="105"/>
      <c r="X311" s="104"/>
      <c r="Y311" s="104"/>
      <c r="Z311" s="104"/>
      <c r="AA311" s="104"/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104"/>
      <c r="AQ311" s="104"/>
      <c r="AR311" s="104"/>
      <c r="AS311" s="104"/>
      <c r="AT311" s="104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104"/>
      <c r="BG311" s="104"/>
      <c r="BH311" s="104"/>
      <c r="BI311" s="104"/>
      <c r="BJ311" s="104"/>
      <c r="BK311" s="104"/>
      <c r="BL311" s="104"/>
      <c r="BM311" s="104"/>
      <c r="BN311" s="104"/>
    </row>
    <row r="312">
      <c r="A312" s="104"/>
      <c r="B312" s="104"/>
      <c r="C312" s="104"/>
      <c r="D312" s="104"/>
      <c r="E312" s="104"/>
      <c r="F312" s="104"/>
      <c r="G312" s="104"/>
      <c r="H312" s="104"/>
      <c r="I312" s="104"/>
      <c r="J312" s="104"/>
      <c r="K312" s="105"/>
      <c r="L312" s="106"/>
      <c r="M312" s="104"/>
      <c r="N312" s="104"/>
      <c r="O312" s="104"/>
      <c r="P312" s="104"/>
      <c r="Q312" s="104"/>
      <c r="R312" s="106"/>
      <c r="S312" s="104"/>
      <c r="T312" s="104"/>
      <c r="U312" s="104"/>
      <c r="V312" s="104"/>
      <c r="W312" s="105"/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/>
      <c r="AH312" s="104"/>
      <c r="AI312" s="104"/>
      <c r="AJ312" s="104"/>
      <c r="AK312" s="104"/>
      <c r="AL312" s="104"/>
      <c r="AM312" s="104"/>
      <c r="AN312" s="104"/>
      <c r="AO312" s="104"/>
      <c r="AP312" s="104"/>
      <c r="AQ312" s="104"/>
      <c r="AR312" s="104"/>
      <c r="AS312" s="104"/>
      <c r="AT312" s="104"/>
      <c r="AU312" s="104"/>
      <c r="AV312" s="104"/>
      <c r="AW312" s="104"/>
      <c r="AX312" s="104"/>
      <c r="AY312" s="104"/>
      <c r="AZ312" s="104"/>
      <c r="BA312" s="104"/>
      <c r="BB312" s="104"/>
      <c r="BC312" s="104"/>
      <c r="BD312" s="104"/>
      <c r="BE312" s="104"/>
      <c r="BF312" s="104"/>
      <c r="BG312" s="104"/>
      <c r="BH312" s="104"/>
      <c r="BI312" s="104"/>
      <c r="BJ312" s="104"/>
      <c r="BK312" s="104"/>
      <c r="BL312" s="104"/>
      <c r="BM312" s="104"/>
      <c r="BN312" s="104"/>
    </row>
    <row r="313">
      <c r="A313" s="104"/>
      <c r="B313" s="104"/>
      <c r="C313" s="104"/>
      <c r="D313" s="104"/>
      <c r="E313" s="104"/>
      <c r="F313" s="104"/>
      <c r="G313" s="104"/>
      <c r="H313" s="104"/>
      <c r="I313" s="104"/>
      <c r="J313" s="104"/>
      <c r="K313" s="105"/>
      <c r="L313" s="106"/>
      <c r="M313" s="104"/>
      <c r="N313" s="104"/>
      <c r="O313" s="104"/>
      <c r="P313" s="104"/>
      <c r="Q313" s="104"/>
      <c r="R313" s="106"/>
      <c r="S313" s="104"/>
      <c r="T313" s="104"/>
      <c r="U313" s="104"/>
      <c r="V313" s="104"/>
      <c r="W313" s="105"/>
      <c r="X313" s="104"/>
      <c r="Y313" s="104"/>
      <c r="Z313" s="104"/>
      <c r="AA313" s="104"/>
      <c r="AB313" s="104"/>
      <c r="AC313" s="104"/>
      <c r="AD313" s="104"/>
      <c r="AE313" s="104"/>
      <c r="AF313" s="104"/>
      <c r="AG313" s="104"/>
      <c r="AH313" s="104"/>
      <c r="AI313" s="104"/>
      <c r="AJ313" s="104"/>
      <c r="AK313" s="104"/>
      <c r="AL313" s="104"/>
      <c r="AM313" s="104"/>
      <c r="AN313" s="104"/>
      <c r="AO313" s="104"/>
      <c r="AP313" s="104"/>
      <c r="AQ313" s="104"/>
      <c r="AR313" s="104"/>
      <c r="AS313" s="104"/>
      <c r="AT313" s="104"/>
      <c r="AU313" s="104"/>
      <c r="AV313" s="104"/>
      <c r="AW313" s="104"/>
      <c r="AX313" s="104"/>
      <c r="AY313" s="104"/>
      <c r="AZ313" s="104"/>
      <c r="BA313" s="104"/>
      <c r="BB313" s="104"/>
      <c r="BC313" s="104"/>
      <c r="BD313" s="104"/>
      <c r="BE313" s="104"/>
      <c r="BF313" s="104"/>
      <c r="BG313" s="104"/>
      <c r="BH313" s="104"/>
      <c r="BI313" s="104"/>
      <c r="BJ313" s="104"/>
      <c r="BK313" s="104"/>
      <c r="BL313" s="104"/>
      <c r="BM313" s="104"/>
      <c r="BN313" s="104"/>
    </row>
    <row r="314">
      <c r="A314" s="104"/>
      <c r="B314" s="104"/>
      <c r="C314" s="104"/>
      <c r="D314" s="104"/>
      <c r="E314" s="104"/>
      <c r="F314" s="104"/>
      <c r="G314" s="104"/>
      <c r="H314" s="104"/>
      <c r="I314" s="104"/>
      <c r="J314" s="104"/>
      <c r="K314" s="105"/>
      <c r="L314" s="106"/>
      <c r="M314" s="104"/>
      <c r="N314" s="104"/>
      <c r="O314" s="104"/>
      <c r="P314" s="104"/>
      <c r="Q314" s="104"/>
      <c r="R314" s="106"/>
      <c r="S314" s="104"/>
      <c r="T314" s="104"/>
      <c r="U314" s="104"/>
      <c r="V314" s="104"/>
      <c r="W314" s="105"/>
      <c r="X314" s="104"/>
      <c r="Y314" s="104"/>
      <c r="Z314" s="104"/>
      <c r="AA314" s="104"/>
      <c r="AB314" s="104"/>
      <c r="AC314" s="104"/>
      <c r="AD314" s="104"/>
      <c r="AE314" s="104"/>
      <c r="AF314" s="104"/>
      <c r="AG314" s="104"/>
      <c r="AH314" s="104"/>
      <c r="AI314" s="104"/>
      <c r="AJ314" s="104"/>
      <c r="AK314" s="104"/>
      <c r="AL314" s="104"/>
      <c r="AM314" s="104"/>
      <c r="AN314" s="104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104"/>
      <c r="BG314" s="104"/>
      <c r="BH314" s="104"/>
      <c r="BI314" s="104"/>
      <c r="BJ314" s="104"/>
      <c r="BK314" s="104"/>
      <c r="BL314" s="104"/>
      <c r="BM314" s="104"/>
      <c r="BN314" s="104"/>
    </row>
    <row r="315">
      <c r="A315" s="104"/>
      <c r="B315" s="104"/>
      <c r="C315" s="104"/>
      <c r="D315" s="104"/>
      <c r="E315" s="104"/>
      <c r="F315" s="104"/>
      <c r="G315" s="104"/>
      <c r="H315" s="104"/>
      <c r="I315" s="104"/>
      <c r="J315" s="104"/>
      <c r="K315" s="105"/>
      <c r="L315" s="106"/>
      <c r="M315" s="104"/>
      <c r="N315" s="104"/>
      <c r="O315" s="104"/>
      <c r="P315" s="104"/>
      <c r="Q315" s="104"/>
      <c r="R315" s="106"/>
      <c r="S315" s="104"/>
      <c r="T315" s="104"/>
      <c r="U315" s="104"/>
      <c r="V315" s="104"/>
      <c r="W315" s="105"/>
      <c r="X315" s="104"/>
      <c r="Y315" s="104"/>
      <c r="Z315" s="104"/>
      <c r="AA315" s="104"/>
      <c r="AB315" s="104"/>
      <c r="AC315" s="104"/>
      <c r="AD315" s="104"/>
      <c r="AE315" s="104"/>
      <c r="AF315" s="104"/>
      <c r="AG315" s="104"/>
      <c r="AH315" s="104"/>
      <c r="AI315" s="104"/>
      <c r="AJ315" s="104"/>
      <c r="AK315" s="104"/>
      <c r="AL315" s="104"/>
      <c r="AM315" s="104"/>
      <c r="AN315" s="104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104"/>
      <c r="BG315" s="104"/>
      <c r="BH315" s="104"/>
      <c r="BI315" s="104"/>
      <c r="BJ315" s="104"/>
      <c r="BK315" s="104"/>
      <c r="BL315" s="104"/>
      <c r="BM315" s="104"/>
      <c r="BN315" s="104"/>
    </row>
    <row r="316">
      <c r="A316" s="104"/>
      <c r="B316" s="104"/>
      <c r="C316" s="104"/>
      <c r="D316" s="104"/>
      <c r="E316" s="104"/>
      <c r="F316" s="104"/>
      <c r="G316" s="104"/>
      <c r="H316" s="104"/>
      <c r="I316" s="104"/>
      <c r="J316" s="104"/>
      <c r="K316" s="105"/>
      <c r="L316" s="106"/>
      <c r="M316" s="104"/>
      <c r="N316" s="104"/>
      <c r="O316" s="104"/>
      <c r="P316" s="104"/>
      <c r="Q316" s="104"/>
      <c r="R316" s="106"/>
      <c r="S316" s="104"/>
      <c r="T316" s="104"/>
      <c r="U316" s="104"/>
      <c r="V316" s="104"/>
      <c r="W316" s="105"/>
      <c r="X316" s="104"/>
      <c r="Y316" s="104"/>
      <c r="Z316" s="104"/>
      <c r="AA316" s="104"/>
      <c r="AB316" s="104"/>
      <c r="AC316" s="104"/>
      <c r="AD316" s="104"/>
      <c r="AE316" s="104"/>
      <c r="AF316" s="104"/>
      <c r="AG316" s="104"/>
      <c r="AH316" s="104"/>
      <c r="AI316" s="104"/>
      <c r="AJ316" s="104"/>
      <c r="AK316" s="104"/>
      <c r="AL316" s="104"/>
      <c r="AM316" s="104"/>
      <c r="AN316" s="104"/>
      <c r="AO316" s="104"/>
      <c r="AP316" s="104"/>
      <c r="AQ316" s="104"/>
      <c r="AR316" s="104"/>
      <c r="AS316" s="104"/>
      <c r="AT316" s="104"/>
      <c r="AU316" s="104"/>
      <c r="AV316" s="104"/>
      <c r="AW316" s="104"/>
      <c r="AX316" s="104"/>
      <c r="AY316" s="104"/>
      <c r="AZ316" s="104"/>
      <c r="BA316" s="104"/>
      <c r="BB316" s="104"/>
      <c r="BC316" s="104"/>
      <c r="BD316" s="104"/>
      <c r="BE316" s="104"/>
      <c r="BF316" s="104"/>
      <c r="BG316" s="104"/>
      <c r="BH316" s="104"/>
      <c r="BI316" s="104"/>
      <c r="BJ316" s="104"/>
      <c r="BK316" s="104"/>
      <c r="BL316" s="104"/>
      <c r="BM316" s="104"/>
      <c r="BN316" s="104"/>
    </row>
    <row r="317">
      <c r="A317" s="104"/>
      <c r="B317" s="104"/>
      <c r="C317" s="104"/>
      <c r="D317" s="104"/>
      <c r="E317" s="104"/>
      <c r="F317" s="104"/>
      <c r="G317" s="104"/>
      <c r="H317" s="104"/>
      <c r="I317" s="104"/>
      <c r="J317" s="104"/>
      <c r="K317" s="105"/>
      <c r="L317" s="106"/>
      <c r="M317" s="104"/>
      <c r="N317" s="104"/>
      <c r="O317" s="104"/>
      <c r="P317" s="104"/>
      <c r="Q317" s="104"/>
      <c r="R317" s="106"/>
      <c r="S317" s="104"/>
      <c r="T317" s="104"/>
      <c r="U317" s="104"/>
      <c r="V317" s="104"/>
      <c r="W317" s="105"/>
      <c r="X317" s="104"/>
      <c r="Y317" s="104"/>
      <c r="Z317" s="104"/>
      <c r="AA317" s="104"/>
      <c r="AB317" s="104"/>
      <c r="AC317" s="104"/>
      <c r="AD317" s="104"/>
      <c r="AE317" s="104"/>
      <c r="AF317" s="104"/>
      <c r="AG317" s="104"/>
      <c r="AH317" s="104"/>
      <c r="AI317" s="104"/>
      <c r="AJ317" s="104"/>
      <c r="AK317" s="104"/>
      <c r="AL317" s="104"/>
      <c r="AM317" s="104"/>
      <c r="AN317" s="104"/>
      <c r="AO317" s="104"/>
      <c r="AP317" s="104"/>
      <c r="AQ317" s="104"/>
      <c r="AR317" s="104"/>
      <c r="AS317" s="104"/>
      <c r="AT317" s="104"/>
      <c r="AU317" s="104"/>
      <c r="AV317" s="104"/>
      <c r="AW317" s="104"/>
      <c r="AX317" s="104"/>
      <c r="AY317" s="104"/>
      <c r="AZ317" s="104"/>
      <c r="BA317" s="104"/>
      <c r="BB317" s="104"/>
      <c r="BC317" s="104"/>
      <c r="BD317" s="104"/>
      <c r="BE317" s="104"/>
      <c r="BF317" s="104"/>
      <c r="BG317" s="104"/>
      <c r="BH317" s="104"/>
      <c r="BI317" s="104"/>
      <c r="BJ317" s="104"/>
      <c r="BK317" s="104"/>
      <c r="BL317" s="104"/>
      <c r="BM317" s="104"/>
      <c r="BN317" s="104"/>
    </row>
    <row r="318">
      <c r="A318" s="104"/>
      <c r="B318" s="104"/>
      <c r="C318" s="104"/>
      <c r="D318" s="104"/>
      <c r="E318" s="104"/>
      <c r="F318" s="104"/>
      <c r="G318" s="104"/>
      <c r="H318" s="104"/>
      <c r="I318" s="104"/>
      <c r="J318" s="104"/>
      <c r="K318" s="105"/>
      <c r="L318" s="106"/>
      <c r="M318" s="104"/>
      <c r="N318" s="104"/>
      <c r="O318" s="104"/>
      <c r="P318" s="104"/>
      <c r="Q318" s="104"/>
      <c r="R318" s="106"/>
      <c r="S318" s="104"/>
      <c r="T318" s="104"/>
      <c r="U318" s="104"/>
      <c r="V318" s="104"/>
      <c r="W318" s="105"/>
      <c r="X318" s="104"/>
      <c r="Y318" s="104"/>
      <c r="Z318" s="104"/>
      <c r="AA318" s="104"/>
      <c r="AB318" s="104"/>
      <c r="AC318" s="104"/>
      <c r="AD318" s="104"/>
      <c r="AE318" s="104"/>
      <c r="AF318" s="104"/>
      <c r="AG318" s="104"/>
      <c r="AH318" s="104"/>
      <c r="AI318" s="104"/>
      <c r="AJ318" s="104"/>
      <c r="AK318" s="104"/>
      <c r="AL318" s="104"/>
      <c r="AM318" s="104"/>
      <c r="AN318" s="104"/>
      <c r="AO318" s="104"/>
      <c r="AP318" s="104"/>
      <c r="AQ318" s="104"/>
      <c r="AR318" s="104"/>
      <c r="AS318" s="104"/>
      <c r="AT318" s="104"/>
      <c r="AU318" s="104"/>
      <c r="AV318" s="104"/>
      <c r="AW318" s="104"/>
      <c r="AX318" s="104"/>
      <c r="AY318" s="104"/>
      <c r="AZ318" s="104"/>
      <c r="BA318" s="104"/>
      <c r="BB318" s="104"/>
      <c r="BC318" s="104"/>
      <c r="BD318" s="104"/>
      <c r="BE318" s="104"/>
      <c r="BF318" s="104"/>
      <c r="BG318" s="104"/>
      <c r="BH318" s="104"/>
      <c r="BI318" s="104"/>
      <c r="BJ318" s="104"/>
      <c r="BK318" s="104"/>
      <c r="BL318" s="104"/>
      <c r="BM318" s="104"/>
      <c r="BN318" s="104"/>
    </row>
    <row r="319">
      <c r="A319" s="104"/>
      <c r="B319" s="104"/>
      <c r="C319" s="104"/>
      <c r="D319" s="104"/>
      <c r="E319" s="104"/>
      <c r="F319" s="104"/>
      <c r="G319" s="104"/>
      <c r="H319" s="104"/>
      <c r="I319" s="104"/>
      <c r="J319" s="104"/>
      <c r="K319" s="105"/>
      <c r="L319" s="106"/>
      <c r="M319" s="104"/>
      <c r="N319" s="104"/>
      <c r="O319" s="104"/>
      <c r="P319" s="104"/>
      <c r="Q319" s="104"/>
      <c r="R319" s="106"/>
      <c r="S319" s="104"/>
      <c r="T319" s="104"/>
      <c r="U319" s="104"/>
      <c r="V319" s="104"/>
      <c r="W319" s="105"/>
      <c r="X319" s="104"/>
      <c r="Y319" s="104"/>
      <c r="Z319" s="104"/>
      <c r="AA319" s="104"/>
      <c r="AB319" s="104"/>
      <c r="AC319" s="104"/>
      <c r="AD319" s="104"/>
      <c r="AE319" s="104"/>
      <c r="AF319" s="104"/>
      <c r="AG319" s="104"/>
      <c r="AH319" s="104"/>
      <c r="AI319" s="104"/>
      <c r="AJ319" s="104"/>
      <c r="AK319" s="104"/>
      <c r="AL319" s="104"/>
      <c r="AM319" s="104"/>
      <c r="AN319" s="104"/>
      <c r="AO319" s="104"/>
      <c r="AP319" s="104"/>
      <c r="AQ319" s="104"/>
      <c r="AR319" s="104"/>
      <c r="AS319" s="104"/>
      <c r="AT319" s="104"/>
      <c r="AU319" s="104"/>
      <c r="AV319" s="104"/>
      <c r="AW319" s="104"/>
      <c r="AX319" s="104"/>
      <c r="AY319" s="104"/>
      <c r="AZ319" s="104"/>
      <c r="BA319" s="104"/>
      <c r="BB319" s="104"/>
      <c r="BC319" s="104"/>
      <c r="BD319" s="104"/>
      <c r="BE319" s="104"/>
      <c r="BF319" s="104"/>
      <c r="BG319" s="104"/>
      <c r="BH319" s="104"/>
      <c r="BI319" s="104"/>
      <c r="BJ319" s="104"/>
      <c r="BK319" s="104"/>
      <c r="BL319" s="104"/>
      <c r="BM319" s="104"/>
      <c r="BN319" s="104"/>
    </row>
    <row r="320">
      <c r="A320" s="104"/>
      <c r="B320" s="104"/>
      <c r="C320" s="104"/>
      <c r="D320" s="104"/>
      <c r="E320" s="104"/>
      <c r="F320" s="104"/>
      <c r="G320" s="104"/>
      <c r="H320" s="104"/>
      <c r="I320" s="104"/>
      <c r="J320" s="104"/>
      <c r="K320" s="105"/>
      <c r="L320" s="106"/>
      <c r="M320" s="104"/>
      <c r="N320" s="104"/>
      <c r="O320" s="104"/>
      <c r="P320" s="104"/>
      <c r="Q320" s="104"/>
      <c r="R320" s="106"/>
      <c r="S320" s="104"/>
      <c r="T320" s="104"/>
      <c r="U320" s="104"/>
      <c r="V320" s="104"/>
      <c r="W320" s="105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104"/>
      <c r="AH320" s="104"/>
      <c r="AI320" s="104"/>
      <c r="AJ320" s="104"/>
      <c r="AK320" s="104"/>
      <c r="AL320" s="104"/>
      <c r="AM320" s="104"/>
      <c r="AN320" s="104"/>
      <c r="AO320" s="104"/>
      <c r="AP320" s="104"/>
      <c r="AQ320" s="104"/>
      <c r="AR320" s="104"/>
      <c r="AS320" s="104"/>
      <c r="AT320" s="104"/>
      <c r="AU320" s="104"/>
      <c r="AV320" s="104"/>
      <c r="AW320" s="104"/>
      <c r="AX320" s="104"/>
      <c r="AY320" s="104"/>
      <c r="AZ320" s="104"/>
      <c r="BA320" s="104"/>
      <c r="BB320" s="104"/>
      <c r="BC320" s="104"/>
      <c r="BD320" s="104"/>
      <c r="BE320" s="104"/>
      <c r="BF320" s="104"/>
      <c r="BG320" s="104"/>
      <c r="BH320" s="104"/>
      <c r="BI320" s="104"/>
      <c r="BJ320" s="104"/>
      <c r="BK320" s="104"/>
      <c r="BL320" s="104"/>
      <c r="BM320" s="104"/>
      <c r="BN320" s="104"/>
    </row>
    <row r="321">
      <c r="A321" s="104"/>
      <c r="B321" s="104"/>
      <c r="C321" s="104"/>
      <c r="D321" s="104"/>
      <c r="E321" s="104"/>
      <c r="F321" s="104"/>
      <c r="G321" s="104"/>
      <c r="H321" s="104"/>
      <c r="I321" s="104"/>
      <c r="J321" s="104"/>
      <c r="K321" s="105"/>
      <c r="L321" s="106"/>
      <c r="M321" s="104"/>
      <c r="N321" s="104"/>
      <c r="O321" s="104"/>
      <c r="P321" s="104"/>
      <c r="Q321" s="104"/>
      <c r="R321" s="106"/>
      <c r="S321" s="104"/>
      <c r="T321" s="104"/>
      <c r="U321" s="104"/>
      <c r="V321" s="104"/>
      <c r="W321" s="105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/>
      <c r="AR321" s="104"/>
      <c r="AS321" s="104"/>
      <c r="AT321" s="104"/>
      <c r="AU321" s="104"/>
      <c r="AV321" s="104"/>
      <c r="AW321" s="104"/>
      <c r="AX321" s="104"/>
      <c r="AY321" s="104"/>
      <c r="AZ321" s="104"/>
      <c r="BA321" s="104"/>
      <c r="BB321" s="104"/>
      <c r="BC321" s="104"/>
      <c r="BD321" s="104"/>
      <c r="BE321" s="104"/>
      <c r="BF321" s="104"/>
      <c r="BG321" s="104"/>
      <c r="BH321" s="104"/>
      <c r="BI321" s="104"/>
      <c r="BJ321" s="104"/>
      <c r="BK321" s="104"/>
      <c r="BL321" s="104"/>
      <c r="BM321" s="104"/>
      <c r="BN321" s="104"/>
    </row>
    <row r="322">
      <c r="A322" s="104"/>
      <c r="B322" s="104"/>
      <c r="C322" s="104"/>
      <c r="D322" s="104"/>
      <c r="E322" s="104"/>
      <c r="F322" s="104"/>
      <c r="G322" s="104"/>
      <c r="H322" s="104"/>
      <c r="I322" s="104"/>
      <c r="J322" s="104"/>
      <c r="K322" s="105"/>
      <c r="L322" s="106"/>
      <c r="M322" s="104"/>
      <c r="N322" s="104"/>
      <c r="O322" s="104"/>
      <c r="P322" s="104"/>
      <c r="Q322" s="104"/>
      <c r="R322" s="106"/>
      <c r="S322" s="104"/>
      <c r="T322" s="104"/>
      <c r="U322" s="104"/>
      <c r="V322" s="104"/>
      <c r="W322" s="105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104"/>
      <c r="AH322" s="104"/>
      <c r="AI322" s="104"/>
      <c r="AJ322" s="104"/>
      <c r="AK322" s="104"/>
      <c r="AL322" s="104"/>
      <c r="AM322" s="104"/>
      <c r="AN322" s="104"/>
      <c r="AO322" s="104"/>
      <c r="AP322" s="104"/>
      <c r="AQ322" s="104"/>
      <c r="AR322" s="104"/>
      <c r="AS322" s="104"/>
      <c r="AT322" s="104"/>
      <c r="AU322" s="104"/>
      <c r="AV322" s="104"/>
      <c r="AW322" s="104"/>
      <c r="AX322" s="104"/>
      <c r="AY322" s="104"/>
      <c r="AZ322" s="104"/>
      <c r="BA322" s="104"/>
      <c r="BB322" s="104"/>
      <c r="BC322" s="104"/>
      <c r="BD322" s="104"/>
      <c r="BE322" s="104"/>
      <c r="BF322" s="104"/>
      <c r="BG322" s="104"/>
      <c r="BH322" s="104"/>
      <c r="BI322" s="104"/>
      <c r="BJ322" s="104"/>
      <c r="BK322" s="104"/>
      <c r="BL322" s="104"/>
      <c r="BM322" s="104"/>
      <c r="BN322" s="104"/>
    </row>
    <row r="323">
      <c r="A323" s="104"/>
      <c r="B323" s="104"/>
      <c r="C323" s="104"/>
      <c r="D323" s="104"/>
      <c r="E323" s="104"/>
      <c r="F323" s="104"/>
      <c r="G323" s="104"/>
      <c r="H323" s="104"/>
      <c r="I323" s="104"/>
      <c r="J323" s="104"/>
      <c r="K323" s="105"/>
      <c r="L323" s="106"/>
      <c r="M323" s="104"/>
      <c r="N323" s="104"/>
      <c r="O323" s="104"/>
      <c r="P323" s="104"/>
      <c r="Q323" s="104"/>
      <c r="R323" s="106"/>
      <c r="S323" s="104"/>
      <c r="T323" s="104"/>
      <c r="U323" s="104"/>
      <c r="V323" s="104"/>
      <c r="W323" s="105"/>
      <c r="X323" s="104"/>
      <c r="Y323" s="104"/>
      <c r="Z323" s="104"/>
      <c r="AA323" s="104"/>
      <c r="AB323" s="104"/>
      <c r="AC323" s="104"/>
      <c r="AD323" s="104"/>
      <c r="AE323" s="104"/>
      <c r="AF323" s="104"/>
      <c r="AG323" s="104"/>
      <c r="AH323" s="104"/>
      <c r="AI323" s="104"/>
      <c r="AJ323" s="104"/>
      <c r="AK323" s="104"/>
      <c r="AL323" s="104"/>
      <c r="AM323" s="104"/>
      <c r="AN323" s="104"/>
      <c r="AO323" s="104"/>
      <c r="AP323" s="104"/>
      <c r="AQ323" s="104"/>
      <c r="AR323" s="104"/>
      <c r="AS323" s="104"/>
      <c r="AT323" s="104"/>
      <c r="AU323" s="104"/>
      <c r="AV323" s="104"/>
      <c r="AW323" s="104"/>
      <c r="AX323" s="104"/>
      <c r="AY323" s="104"/>
      <c r="AZ323" s="104"/>
      <c r="BA323" s="104"/>
      <c r="BB323" s="104"/>
      <c r="BC323" s="104"/>
      <c r="BD323" s="104"/>
      <c r="BE323" s="104"/>
      <c r="BF323" s="104"/>
      <c r="BG323" s="104"/>
      <c r="BH323" s="104"/>
      <c r="BI323" s="104"/>
      <c r="BJ323" s="104"/>
      <c r="BK323" s="104"/>
      <c r="BL323" s="104"/>
      <c r="BM323" s="104"/>
      <c r="BN323" s="104"/>
    </row>
    <row r="324">
      <c r="A324" s="104"/>
      <c r="B324" s="104"/>
      <c r="C324" s="104"/>
      <c r="D324" s="104"/>
      <c r="E324" s="104"/>
      <c r="F324" s="104"/>
      <c r="G324" s="104"/>
      <c r="H324" s="104"/>
      <c r="I324" s="104"/>
      <c r="J324" s="104"/>
      <c r="K324" s="105"/>
      <c r="L324" s="106"/>
      <c r="M324" s="104"/>
      <c r="N324" s="104"/>
      <c r="O324" s="104"/>
      <c r="P324" s="104"/>
      <c r="Q324" s="104"/>
      <c r="R324" s="106"/>
      <c r="S324" s="104"/>
      <c r="T324" s="104"/>
      <c r="U324" s="104"/>
      <c r="V324" s="104"/>
      <c r="W324" s="105"/>
      <c r="X324" s="104"/>
      <c r="Y324" s="104"/>
      <c r="Z324" s="104"/>
      <c r="AA324" s="104"/>
      <c r="AB324" s="104"/>
      <c r="AC324" s="104"/>
      <c r="AD324" s="104"/>
      <c r="AE324" s="104"/>
      <c r="AF324" s="104"/>
      <c r="AG324" s="104"/>
      <c r="AH324" s="104"/>
      <c r="AI324" s="104"/>
      <c r="AJ324" s="104"/>
      <c r="AK324" s="104"/>
      <c r="AL324" s="104"/>
      <c r="AM324" s="104"/>
      <c r="AN324" s="104"/>
      <c r="AO324" s="104"/>
      <c r="AP324" s="104"/>
      <c r="AQ324" s="104"/>
      <c r="AR324" s="104"/>
      <c r="AS324" s="104"/>
      <c r="AT324" s="104"/>
      <c r="AU324" s="104"/>
      <c r="AV324" s="104"/>
      <c r="AW324" s="104"/>
      <c r="AX324" s="104"/>
      <c r="AY324" s="104"/>
      <c r="AZ324" s="104"/>
      <c r="BA324" s="104"/>
      <c r="BB324" s="104"/>
      <c r="BC324" s="104"/>
      <c r="BD324" s="104"/>
      <c r="BE324" s="104"/>
      <c r="BF324" s="104"/>
      <c r="BG324" s="104"/>
      <c r="BH324" s="104"/>
      <c r="BI324" s="104"/>
      <c r="BJ324" s="104"/>
      <c r="BK324" s="104"/>
      <c r="BL324" s="104"/>
      <c r="BM324" s="104"/>
      <c r="BN324" s="104"/>
    </row>
    <row r="325">
      <c r="A325" s="104"/>
      <c r="B325" s="104"/>
      <c r="C325" s="104"/>
      <c r="D325" s="104"/>
      <c r="E325" s="104"/>
      <c r="F325" s="104"/>
      <c r="G325" s="104"/>
      <c r="H325" s="104"/>
      <c r="I325" s="104"/>
      <c r="J325" s="104"/>
      <c r="K325" s="105"/>
      <c r="L325" s="106"/>
      <c r="M325" s="104"/>
      <c r="N325" s="104"/>
      <c r="O325" s="104"/>
      <c r="P325" s="104"/>
      <c r="Q325" s="104"/>
      <c r="R325" s="106"/>
      <c r="S325" s="104"/>
      <c r="T325" s="104"/>
      <c r="U325" s="104"/>
      <c r="V325" s="104"/>
      <c r="W325" s="105"/>
      <c r="X325" s="104"/>
      <c r="Y325" s="104"/>
      <c r="Z325" s="104"/>
      <c r="AA325" s="104"/>
      <c r="AB325" s="104"/>
      <c r="AC325" s="104"/>
      <c r="AD325" s="104"/>
      <c r="AE325" s="104"/>
      <c r="AF325" s="104"/>
      <c r="AG325" s="104"/>
      <c r="AH325" s="104"/>
      <c r="AI325" s="104"/>
      <c r="AJ325" s="104"/>
      <c r="AK325" s="104"/>
      <c r="AL325" s="104"/>
      <c r="AM325" s="104"/>
      <c r="AN325" s="104"/>
      <c r="AO325" s="104"/>
      <c r="AP325" s="104"/>
      <c r="AQ325" s="104"/>
      <c r="AR325" s="104"/>
      <c r="AS325" s="104"/>
      <c r="AT325" s="104"/>
      <c r="AU325" s="104"/>
      <c r="AV325" s="104"/>
      <c r="AW325" s="104"/>
      <c r="AX325" s="104"/>
      <c r="AY325" s="104"/>
      <c r="AZ325" s="104"/>
      <c r="BA325" s="104"/>
      <c r="BB325" s="104"/>
      <c r="BC325" s="104"/>
      <c r="BD325" s="104"/>
      <c r="BE325" s="104"/>
      <c r="BF325" s="104"/>
      <c r="BG325" s="104"/>
      <c r="BH325" s="104"/>
      <c r="BI325" s="104"/>
      <c r="BJ325" s="104"/>
      <c r="BK325" s="104"/>
      <c r="BL325" s="104"/>
      <c r="BM325" s="104"/>
      <c r="BN325" s="104"/>
    </row>
    <row r="326">
      <c r="A326" s="104"/>
      <c r="B326" s="104"/>
      <c r="C326" s="104"/>
      <c r="D326" s="104"/>
      <c r="E326" s="104"/>
      <c r="F326" s="104"/>
      <c r="G326" s="104"/>
      <c r="H326" s="104"/>
      <c r="I326" s="104"/>
      <c r="J326" s="104"/>
      <c r="K326" s="105"/>
      <c r="L326" s="106"/>
      <c r="M326" s="104"/>
      <c r="N326" s="104"/>
      <c r="O326" s="104"/>
      <c r="P326" s="104"/>
      <c r="Q326" s="104"/>
      <c r="R326" s="106"/>
      <c r="S326" s="104"/>
      <c r="T326" s="104"/>
      <c r="U326" s="104"/>
      <c r="V326" s="104"/>
      <c r="W326" s="105"/>
      <c r="X326" s="104"/>
      <c r="Y326" s="104"/>
      <c r="Z326" s="104"/>
      <c r="AA326" s="104"/>
      <c r="AB326" s="104"/>
      <c r="AC326" s="104"/>
      <c r="AD326" s="104"/>
      <c r="AE326" s="104"/>
      <c r="AF326" s="104"/>
      <c r="AG326" s="104"/>
      <c r="AH326" s="104"/>
      <c r="AI326" s="104"/>
      <c r="AJ326" s="104"/>
      <c r="AK326" s="104"/>
      <c r="AL326" s="104"/>
      <c r="AM326" s="104"/>
      <c r="AN326" s="104"/>
      <c r="AO326" s="104"/>
      <c r="AP326" s="104"/>
      <c r="AQ326" s="104"/>
      <c r="AR326" s="104"/>
      <c r="AS326" s="104"/>
      <c r="AT326" s="104"/>
      <c r="AU326" s="104"/>
      <c r="AV326" s="104"/>
      <c r="AW326" s="104"/>
      <c r="AX326" s="104"/>
      <c r="AY326" s="104"/>
      <c r="AZ326" s="104"/>
      <c r="BA326" s="104"/>
      <c r="BB326" s="104"/>
      <c r="BC326" s="104"/>
      <c r="BD326" s="104"/>
      <c r="BE326" s="104"/>
      <c r="BF326" s="104"/>
      <c r="BG326" s="104"/>
      <c r="BH326" s="104"/>
      <c r="BI326" s="104"/>
      <c r="BJ326" s="104"/>
      <c r="BK326" s="104"/>
      <c r="BL326" s="104"/>
      <c r="BM326" s="104"/>
      <c r="BN326" s="104"/>
    </row>
    <row r="327">
      <c r="A327" s="104"/>
      <c r="B327" s="104"/>
      <c r="C327" s="104"/>
      <c r="D327" s="104"/>
      <c r="E327" s="104"/>
      <c r="F327" s="104"/>
      <c r="G327" s="104"/>
      <c r="H327" s="104"/>
      <c r="I327" s="104"/>
      <c r="J327" s="104"/>
      <c r="K327" s="105"/>
      <c r="L327" s="106"/>
      <c r="M327" s="104"/>
      <c r="N327" s="104"/>
      <c r="O327" s="104"/>
      <c r="P327" s="104"/>
      <c r="Q327" s="104"/>
      <c r="R327" s="106"/>
      <c r="S327" s="104"/>
      <c r="T327" s="104"/>
      <c r="U327" s="104"/>
      <c r="V327" s="104"/>
      <c r="W327" s="105"/>
      <c r="X327" s="104"/>
      <c r="Y327" s="104"/>
      <c r="Z327" s="104"/>
      <c r="AA327" s="104"/>
      <c r="AB327" s="104"/>
      <c r="AC327" s="104"/>
      <c r="AD327" s="104"/>
      <c r="AE327" s="104"/>
      <c r="AF327" s="104"/>
      <c r="AG327" s="104"/>
      <c r="AH327" s="104"/>
      <c r="AI327" s="104"/>
      <c r="AJ327" s="104"/>
      <c r="AK327" s="104"/>
      <c r="AL327" s="104"/>
      <c r="AM327" s="104"/>
      <c r="AN327" s="104"/>
      <c r="AO327" s="104"/>
      <c r="AP327" s="104"/>
      <c r="AQ327" s="104"/>
      <c r="AR327" s="104"/>
      <c r="AS327" s="104"/>
      <c r="AT327" s="104"/>
      <c r="AU327" s="104"/>
      <c r="AV327" s="104"/>
      <c r="AW327" s="104"/>
      <c r="AX327" s="104"/>
      <c r="AY327" s="104"/>
      <c r="AZ327" s="104"/>
      <c r="BA327" s="104"/>
      <c r="BB327" s="104"/>
      <c r="BC327" s="104"/>
      <c r="BD327" s="104"/>
      <c r="BE327" s="104"/>
      <c r="BF327" s="104"/>
      <c r="BG327" s="104"/>
      <c r="BH327" s="104"/>
      <c r="BI327" s="104"/>
      <c r="BJ327" s="104"/>
      <c r="BK327" s="104"/>
      <c r="BL327" s="104"/>
      <c r="BM327" s="104"/>
      <c r="BN327" s="104"/>
    </row>
    <row r="328">
      <c r="A328" s="104"/>
      <c r="B328" s="104"/>
      <c r="C328" s="104"/>
      <c r="D328" s="104"/>
      <c r="E328" s="104"/>
      <c r="F328" s="104"/>
      <c r="G328" s="104"/>
      <c r="H328" s="104"/>
      <c r="I328" s="104"/>
      <c r="J328" s="104"/>
      <c r="K328" s="105"/>
      <c r="L328" s="106"/>
      <c r="M328" s="104"/>
      <c r="N328" s="104"/>
      <c r="O328" s="104"/>
      <c r="P328" s="104"/>
      <c r="Q328" s="104"/>
      <c r="R328" s="106"/>
      <c r="S328" s="104"/>
      <c r="T328" s="104"/>
      <c r="U328" s="104"/>
      <c r="V328" s="104"/>
      <c r="W328" s="105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  <c r="AL328" s="104"/>
      <c r="AM328" s="104"/>
      <c r="AN328" s="104"/>
      <c r="AO328" s="104"/>
      <c r="AP328" s="104"/>
      <c r="AQ328" s="104"/>
      <c r="AR328" s="104"/>
      <c r="AS328" s="104"/>
      <c r="AT328" s="104"/>
      <c r="AU328" s="104"/>
      <c r="AV328" s="104"/>
      <c r="AW328" s="104"/>
      <c r="AX328" s="104"/>
      <c r="AY328" s="104"/>
      <c r="AZ328" s="104"/>
      <c r="BA328" s="104"/>
      <c r="BB328" s="104"/>
      <c r="BC328" s="104"/>
      <c r="BD328" s="104"/>
      <c r="BE328" s="104"/>
      <c r="BF328" s="104"/>
      <c r="BG328" s="104"/>
      <c r="BH328" s="104"/>
      <c r="BI328" s="104"/>
      <c r="BJ328" s="104"/>
      <c r="BK328" s="104"/>
      <c r="BL328" s="104"/>
      <c r="BM328" s="104"/>
      <c r="BN328" s="104"/>
    </row>
    <row r="329">
      <c r="A329" s="104"/>
      <c r="B329" s="104"/>
      <c r="C329" s="104"/>
      <c r="D329" s="104"/>
      <c r="E329" s="104"/>
      <c r="F329" s="104"/>
      <c r="G329" s="104"/>
      <c r="H329" s="104"/>
      <c r="I329" s="104"/>
      <c r="J329" s="104"/>
      <c r="K329" s="105"/>
      <c r="L329" s="106"/>
      <c r="M329" s="104"/>
      <c r="N329" s="104"/>
      <c r="O329" s="104"/>
      <c r="P329" s="104"/>
      <c r="Q329" s="104"/>
      <c r="R329" s="106"/>
      <c r="S329" s="104"/>
      <c r="T329" s="104"/>
      <c r="U329" s="104"/>
      <c r="V329" s="104"/>
      <c r="W329" s="105"/>
      <c r="X329" s="104"/>
      <c r="Y329" s="104"/>
      <c r="Z329" s="104"/>
      <c r="AA329" s="104"/>
      <c r="AB329" s="104"/>
      <c r="AC329" s="104"/>
      <c r="AD329" s="104"/>
      <c r="AE329" s="104"/>
      <c r="AF329" s="104"/>
      <c r="AG329" s="104"/>
      <c r="AH329" s="104"/>
      <c r="AI329" s="104"/>
      <c r="AJ329" s="104"/>
      <c r="AK329" s="104"/>
      <c r="AL329" s="104"/>
      <c r="AM329" s="104"/>
      <c r="AN329" s="104"/>
      <c r="AO329" s="104"/>
      <c r="AP329" s="104"/>
      <c r="AQ329" s="104"/>
      <c r="AR329" s="104"/>
      <c r="AS329" s="104"/>
      <c r="AT329" s="104"/>
      <c r="AU329" s="104"/>
      <c r="AV329" s="104"/>
      <c r="AW329" s="104"/>
      <c r="AX329" s="104"/>
      <c r="AY329" s="104"/>
      <c r="AZ329" s="104"/>
      <c r="BA329" s="104"/>
      <c r="BB329" s="104"/>
      <c r="BC329" s="104"/>
      <c r="BD329" s="104"/>
      <c r="BE329" s="104"/>
      <c r="BF329" s="104"/>
      <c r="BG329" s="104"/>
      <c r="BH329" s="104"/>
      <c r="BI329" s="104"/>
      <c r="BJ329" s="104"/>
      <c r="BK329" s="104"/>
      <c r="BL329" s="104"/>
      <c r="BM329" s="104"/>
      <c r="BN329" s="104"/>
    </row>
    <row r="330">
      <c r="A330" s="104"/>
      <c r="B330" s="104"/>
      <c r="C330" s="104"/>
      <c r="D330" s="104"/>
      <c r="E330" s="104"/>
      <c r="F330" s="104"/>
      <c r="G330" s="104"/>
      <c r="H330" s="104"/>
      <c r="I330" s="104"/>
      <c r="J330" s="104"/>
      <c r="K330" s="105"/>
      <c r="L330" s="106"/>
      <c r="M330" s="104"/>
      <c r="N330" s="104"/>
      <c r="O330" s="104"/>
      <c r="P330" s="104"/>
      <c r="Q330" s="104"/>
      <c r="R330" s="106"/>
      <c r="S330" s="104"/>
      <c r="T330" s="104"/>
      <c r="U330" s="104"/>
      <c r="V330" s="104"/>
      <c r="W330" s="105"/>
      <c r="X330" s="104"/>
      <c r="Y330" s="104"/>
      <c r="Z330" s="104"/>
      <c r="AA330" s="104"/>
      <c r="AB330" s="104"/>
      <c r="AC330" s="104"/>
      <c r="AD330" s="104"/>
      <c r="AE330" s="104"/>
      <c r="AF330" s="104"/>
      <c r="AG330" s="104"/>
      <c r="AH330" s="104"/>
      <c r="AI330" s="104"/>
      <c r="AJ330" s="104"/>
      <c r="AK330" s="104"/>
      <c r="AL330" s="104"/>
      <c r="AM330" s="104"/>
      <c r="AN330" s="104"/>
      <c r="AO330" s="104"/>
      <c r="AP330" s="104"/>
      <c r="AQ330" s="104"/>
      <c r="AR330" s="104"/>
      <c r="AS330" s="104"/>
      <c r="AT330" s="104"/>
      <c r="AU330" s="104"/>
      <c r="AV330" s="104"/>
      <c r="AW330" s="104"/>
      <c r="AX330" s="104"/>
      <c r="AY330" s="104"/>
      <c r="AZ330" s="104"/>
      <c r="BA330" s="104"/>
      <c r="BB330" s="104"/>
      <c r="BC330" s="104"/>
      <c r="BD330" s="104"/>
      <c r="BE330" s="104"/>
      <c r="BF330" s="104"/>
      <c r="BG330" s="104"/>
      <c r="BH330" s="104"/>
      <c r="BI330" s="104"/>
      <c r="BJ330" s="104"/>
      <c r="BK330" s="104"/>
      <c r="BL330" s="104"/>
      <c r="BM330" s="104"/>
      <c r="BN330" s="104"/>
    </row>
    <row r="331">
      <c r="A331" s="104"/>
      <c r="B331" s="104"/>
      <c r="C331" s="104"/>
      <c r="D331" s="104"/>
      <c r="E331" s="104"/>
      <c r="F331" s="104"/>
      <c r="G331" s="104"/>
      <c r="H331" s="104"/>
      <c r="I331" s="104"/>
      <c r="J331" s="104"/>
      <c r="K331" s="105"/>
      <c r="L331" s="106"/>
      <c r="M331" s="104"/>
      <c r="N331" s="104"/>
      <c r="O331" s="104"/>
      <c r="P331" s="104"/>
      <c r="Q331" s="104"/>
      <c r="R331" s="106"/>
      <c r="S331" s="104"/>
      <c r="T331" s="104"/>
      <c r="U331" s="104"/>
      <c r="V331" s="104"/>
      <c r="W331" s="105"/>
      <c r="X331" s="104"/>
      <c r="Y331" s="104"/>
      <c r="Z331" s="104"/>
      <c r="AA331" s="104"/>
      <c r="AB331" s="104"/>
      <c r="AC331" s="104"/>
      <c r="AD331" s="104"/>
      <c r="AE331" s="104"/>
      <c r="AF331" s="104"/>
      <c r="AG331" s="104"/>
      <c r="AH331" s="104"/>
      <c r="AI331" s="104"/>
      <c r="AJ331" s="104"/>
      <c r="AK331" s="104"/>
      <c r="AL331" s="104"/>
      <c r="AM331" s="104"/>
      <c r="AN331" s="104"/>
      <c r="AO331" s="104"/>
      <c r="AP331" s="104"/>
      <c r="AQ331" s="104"/>
      <c r="AR331" s="104"/>
      <c r="AS331" s="104"/>
      <c r="AT331" s="104"/>
      <c r="AU331" s="104"/>
      <c r="AV331" s="104"/>
      <c r="AW331" s="104"/>
      <c r="AX331" s="104"/>
      <c r="AY331" s="104"/>
      <c r="AZ331" s="104"/>
      <c r="BA331" s="104"/>
      <c r="BB331" s="104"/>
      <c r="BC331" s="104"/>
      <c r="BD331" s="104"/>
      <c r="BE331" s="104"/>
      <c r="BF331" s="104"/>
      <c r="BG331" s="104"/>
      <c r="BH331" s="104"/>
      <c r="BI331" s="104"/>
      <c r="BJ331" s="104"/>
      <c r="BK331" s="104"/>
      <c r="BL331" s="104"/>
      <c r="BM331" s="104"/>
      <c r="BN331" s="104"/>
    </row>
    <row r="332">
      <c r="A332" s="104"/>
      <c r="B332" s="104"/>
      <c r="C332" s="104"/>
      <c r="D332" s="104"/>
      <c r="E332" s="104"/>
      <c r="F332" s="104"/>
      <c r="G332" s="104"/>
      <c r="H332" s="104"/>
      <c r="I332" s="104"/>
      <c r="J332" s="104"/>
      <c r="K332" s="105"/>
      <c r="L332" s="106"/>
      <c r="M332" s="104"/>
      <c r="N332" s="104"/>
      <c r="O332" s="104"/>
      <c r="P332" s="104"/>
      <c r="Q332" s="104"/>
      <c r="R332" s="106"/>
      <c r="S332" s="104"/>
      <c r="T332" s="104"/>
      <c r="U332" s="104"/>
      <c r="V332" s="104"/>
      <c r="W332" s="105"/>
      <c r="X332" s="104"/>
      <c r="Y332" s="104"/>
      <c r="Z332" s="104"/>
      <c r="AA332" s="104"/>
      <c r="AB332" s="104"/>
      <c r="AC332" s="104"/>
      <c r="AD332" s="104"/>
      <c r="AE332" s="104"/>
      <c r="AF332" s="104"/>
      <c r="AG332" s="104"/>
      <c r="AH332" s="104"/>
      <c r="AI332" s="104"/>
      <c r="AJ332" s="104"/>
      <c r="AK332" s="104"/>
      <c r="AL332" s="104"/>
      <c r="AM332" s="104"/>
      <c r="AN332" s="104"/>
      <c r="AO332" s="104"/>
      <c r="AP332" s="104"/>
      <c r="AQ332" s="104"/>
      <c r="AR332" s="104"/>
      <c r="AS332" s="104"/>
      <c r="AT332" s="104"/>
      <c r="AU332" s="104"/>
      <c r="AV332" s="104"/>
      <c r="AW332" s="104"/>
      <c r="AX332" s="104"/>
      <c r="AY332" s="104"/>
      <c r="AZ332" s="104"/>
      <c r="BA332" s="104"/>
      <c r="BB332" s="104"/>
      <c r="BC332" s="104"/>
      <c r="BD332" s="104"/>
      <c r="BE332" s="104"/>
      <c r="BF332" s="104"/>
      <c r="BG332" s="104"/>
      <c r="BH332" s="104"/>
      <c r="BI332" s="104"/>
      <c r="BJ332" s="104"/>
      <c r="BK332" s="104"/>
      <c r="BL332" s="104"/>
      <c r="BM332" s="104"/>
      <c r="BN332" s="104"/>
    </row>
    <row r="333">
      <c r="A333" s="104"/>
      <c r="B333" s="104"/>
      <c r="C333" s="104"/>
      <c r="D333" s="104"/>
      <c r="E333" s="104"/>
      <c r="F333" s="104"/>
      <c r="G333" s="104"/>
      <c r="H333" s="104"/>
      <c r="I333" s="104"/>
      <c r="J333" s="104"/>
      <c r="K333" s="105"/>
      <c r="L333" s="106"/>
      <c r="M333" s="104"/>
      <c r="N333" s="104"/>
      <c r="O333" s="104"/>
      <c r="P333" s="104"/>
      <c r="Q333" s="104"/>
      <c r="R333" s="106"/>
      <c r="S333" s="104"/>
      <c r="T333" s="104"/>
      <c r="U333" s="104"/>
      <c r="V333" s="104"/>
      <c r="W333" s="105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4"/>
      <c r="AL333" s="104"/>
      <c r="AM333" s="104"/>
      <c r="AN333" s="104"/>
      <c r="AO333" s="104"/>
      <c r="AP333" s="104"/>
      <c r="AQ333" s="104"/>
      <c r="AR333" s="104"/>
      <c r="AS333" s="104"/>
      <c r="AT333" s="104"/>
      <c r="AU333" s="104"/>
      <c r="AV333" s="104"/>
      <c r="AW333" s="104"/>
      <c r="AX333" s="104"/>
      <c r="AY333" s="104"/>
      <c r="AZ333" s="104"/>
      <c r="BA333" s="104"/>
      <c r="BB333" s="104"/>
      <c r="BC333" s="104"/>
      <c r="BD333" s="104"/>
      <c r="BE333" s="104"/>
      <c r="BF333" s="104"/>
      <c r="BG333" s="104"/>
      <c r="BH333" s="104"/>
      <c r="BI333" s="104"/>
      <c r="BJ333" s="104"/>
      <c r="BK333" s="104"/>
      <c r="BL333" s="104"/>
      <c r="BM333" s="104"/>
      <c r="BN333" s="104"/>
    </row>
    <row r="334">
      <c r="A334" s="104"/>
      <c r="B334" s="104"/>
      <c r="C334" s="104"/>
      <c r="D334" s="104"/>
      <c r="E334" s="104"/>
      <c r="F334" s="104"/>
      <c r="G334" s="104"/>
      <c r="H334" s="104"/>
      <c r="I334" s="104"/>
      <c r="J334" s="104"/>
      <c r="K334" s="105"/>
      <c r="L334" s="106"/>
      <c r="M334" s="104"/>
      <c r="N334" s="104"/>
      <c r="O334" s="104"/>
      <c r="P334" s="104"/>
      <c r="Q334" s="104"/>
      <c r="R334" s="106"/>
      <c r="S334" s="104"/>
      <c r="T334" s="104"/>
      <c r="U334" s="104"/>
      <c r="V334" s="104"/>
      <c r="W334" s="105"/>
      <c r="X334" s="104"/>
      <c r="Y334" s="104"/>
      <c r="Z334" s="104"/>
      <c r="AA334" s="104"/>
      <c r="AB334" s="104"/>
      <c r="AC334" s="104"/>
      <c r="AD334" s="104"/>
      <c r="AE334" s="104"/>
      <c r="AF334" s="104"/>
      <c r="AG334" s="104"/>
      <c r="AH334" s="104"/>
      <c r="AI334" s="104"/>
      <c r="AJ334" s="104"/>
      <c r="AK334" s="104"/>
      <c r="AL334" s="104"/>
      <c r="AM334" s="104"/>
      <c r="AN334" s="104"/>
      <c r="AO334" s="104"/>
      <c r="AP334" s="104"/>
      <c r="AQ334" s="104"/>
      <c r="AR334" s="104"/>
      <c r="AS334" s="104"/>
      <c r="AT334" s="104"/>
      <c r="AU334" s="104"/>
      <c r="AV334" s="104"/>
      <c r="AW334" s="104"/>
      <c r="AX334" s="104"/>
      <c r="AY334" s="104"/>
      <c r="AZ334" s="104"/>
      <c r="BA334" s="104"/>
      <c r="BB334" s="104"/>
      <c r="BC334" s="104"/>
      <c r="BD334" s="104"/>
      <c r="BE334" s="104"/>
      <c r="BF334" s="104"/>
      <c r="BG334" s="104"/>
      <c r="BH334" s="104"/>
      <c r="BI334" s="104"/>
      <c r="BJ334" s="104"/>
      <c r="BK334" s="104"/>
      <c r="BL334" s="104"/>
      <c r="BM334" s="104"/>
      <c r="BN334" s="104"/>
    </row>
    <row r="335">
      <c r="A335" s="104"/>
      <c r="B335" s="104"/>
      <c r="C335" s="104"/>
      <c r="D335" s="104"/>
      <c r="E335" s="104"/>
      <c r="F335" s="104"/>
      <c r="G335" s="104"/>
      <c r="H335" s="104"/>
      <c r="I335" s="104"/>
      <c r="J335" s="104"/>
      <c r="K335" s="105"/>
      <c r="L335" s="106"/>
      <c r="M335" s="104"/>
      <c r="N335" s="104"/>
      <c r="O335" s="104"/>
      <c r="P335" s="104"/>
      <c r="Q335" s="104"/>
      <c r="R335" s="106"/>
      <c r="S335" s="104"/>
      <c r="T335" s="104"/>
      <c r="U335" s="104"/>
      <c r="V335" s="104"/>
      <c r="W335" s="105"/>
      <c r="X335" s="104"/>
      <c r="Y335" s="104"/>
      <c r="Z335" s="104"/>
      <c r="AA335" s="104"/>
      <c r="AB335" s="104"/>
      <c r="AC335" s="104"/>
      <c r="AD335" s="104"/>
      <c r="AE335" s="104"/>
      <c r="AF335" s="104"/>
      <c r="AG335" s="104"/>
      <c r="AH335" s="104"/>
      <c r="AI335" s="104"/>
      <c r="AJ335" s="104"/>
      <c r="AK335" s="104"/>
      <c r="AL335" s="104"/>
      <c r="AM335" s="104"/>
      <c r="AN335" s="104"/>
      <c r="AO335" s="104"/>
      <c r="AP335" s="104"/>
      <c r="AQ335" s="104"/>
      <c r="AR335" s="104"/>
      <c r="AS335" s="104"/>
      <c r="AT335" s="104"/>
      <c r="AU335" s="104"/>
      <c r="AV335" s="104"/>
      <c r="AW335" s="104"/>
      <c r="AX335" s="104"/>
      <c r="AY335" s="104"/>
      <c r="AZ335" s="104"/>
      <c r="BA335" s="104"/>
      <c r="BB335" s="104"/>
      <c r="BC335" s="104"/>
      <c r="BD335" s="104"/>
      <c r="BE335" s="104"/>
      <c r="BF335" s="104"/>
      <c r="BG335" s="104"/>
      <c r="BH335" s="104"/>
      <c r="BI335" s="104"/>
      <c r="BJ335" s="104"/>
      <c r="BK335" s="104"/>
      <c r="BL335" s="104"/>
      <c r="BM335" s="104"/>
      <c r="BN335" s="104"/>
    </row>
    <row r="336">
      <c r="A336" s="104"/>
      <c r="B336" s="104"/>
      <c r="C336" s="104"/>
      <c r="D336" s="104"/>
      <c r="E336" s="104"/>
      <c r="F336" s="104"/>
      <c r="G336" s="104"/>
      <c r="H336" s="104"/>
      <c r="I336" s="104"/>
      <c r="J336" s="104"/>
      <c r="K336" s="105"/>
      <c r="L336" s="106"/>
      <c r="M336" s="104"/>
      <c r="N336" s="104"/>
      <c r="O336" s="104"/>
      <c r="P336" s="104"/>
      <c r="Q336" s="104"/>
      <c r="R336" s="106"/>
      <c r="S336" s="104"/>
      <c r="T336" s="104"/>
      <c r="U336" s="104"/>
      <c r="V336" s="104"/>
      <c r="W336" s="105"/>
      <c r="X336" s="104"/>
      <c r="Y336" s="104"/>
      <c r="Z336" s="104"/>
      <c r="AA336" s="104"/>
      <c r="AB336" s="104"/>
      <c r="AC336" s="104"/>
      <c r="AD336" s="104"/>
      <c r="AE336" s="104"/>
      <c r="AF336" s="104"/>
      <c r="AG336" s="104"/>
      <c r="AH336" s="104"/>
      <c r="AI336" s="104"/>
      <c r="AJ336" s="104"/>
      <c r="AK336" s="104"/>
      <c r="AL336" s="104"/>
      <c r="AM336" s="104"/>
      <c r="AN336" s="104"/>
      <c r="AO336" s="104"/>
      <c r="AP336" s="104"/>
      <c r="AQ336" s="104"/>
      <c r="AR336" s="104"/>
      <c r="AS336" s="104"/>
      <c r="AT336" s="104"/>
      <c r="AU336" s="104"/>
      <c r="AV336" s="104"/>
      <c r="AW336" s="104"/>
      <c r="AX336" s="104"/>
      <c r="AY336" s="104"/>
      <c r="AZ336" s="104"/>
      <c r="BA336" s="104"/>
      <c r="BB336" s="104"/>
      <c r="BC336" s="104"/>
      <c r="BD336" s="104"/>
      <c r="BE336" s="104"/>
      <c r="BF336" s="104"/>
      <c r="BG336" s="104"/>
      <c r="BH336" s="104"/>
      <c r="BI336" s="104"/>
      <c r="BJ336" s="104"/>
      <c r="BK336" s="104"/>
      <c r="BL336" s="104"/>
      <c r="BM336" s="104"/>
      <c r="BN336" s="104"/>
    </row>
    <row r="337">
      <c r="A337" s="104"/>
      <c r="B337" s="104"/>
      <c r="C337" s="104"/>
      <c r="D337" s="104"/>
      <c r="E337" s="104"/>
      <c r="F337" s="104"/>
      <c r="G337" s="104"/>
      <c r="H337" s="104"/>
      <c r="I337" s="104"/>
      <c r="J337" s="104"/>
      <c r="K337" s="105"/>
      <c r="L337" s="106"/>
      <c r="M337" s="104"/>
      <c r="N337" s="104"/>
      <c r="O337" s="104"/>
      <c r="P337" s="104"/>
      <c r="Q337" s="104"/>
      <c r="R337" s="106"/>
      <c r="S337" s="104"/>
      <c r="T337" s="104"/>
      <c r="U337" s="104"/>
      <c r="V337" s="104"/>
      <c r="W337" s="105"/>
      <c r="X337" s="104"/>
      <c r="Y337" s="104"/>
      <c r="Z337" s="104"/>
      <c r="AA337" s="104"/>
      <c r="AB337" s="104"/>
      <c r="AC337" s="104"/>
      <c r="AD337" s="104"/>
      <c r="AE337" s="104"/>
      <c r="AF337" s="104"/>
      <c r="AG337" s="104"/>
      <c r="AH337" s="104"/>
      <c r="AI337" s="104"/>
      <c r="AJ337" s="104"/>
      <c r="AK337" s="104"/>
      <c r="AL337" s="104"/>
      <c r="AM337" s="104"/>
      <c r="AN337" s="104"/>
      <c r="AO337" s="104"/>
      <c r="AP337" s="104"/>
      <c r="AQ337" s="104"/>
      <c r="AR337" s="104"/>
      <c r="AS337" s="104"/>
      <c r="AT337" s="104"/>
      <c r="AU337" s="104"/>
      <c r="AV337" s="104"/>
      <c r="AW337" s="104"/>
      <c r="AX337" s="104"/>
      <c r="AY337" s="104"/>
      <c r="AZ337" s="104"/>
      <c r="BA337" s="104"/>
      <c r="BB337" s="104"/>
      <c r="BC337" s="104"/>
      <c r="BD337" s="104"/>
      <c r="BE337" s="104"/>
      <c r="BF337" s="104"/>
      <c r="BG337" s="104"/>
      <c r="BH337" s="104"/>
      <c r="BI337" s="104"/>
      <c r="BJ337" s="104"/>
      <c r="BK337" s="104"/>
      <c r="BL337" s="104"/>
      <c r="BM337" s="104"/>
      <c r="BN337" s="104"/>
    </row>
    <row r="338">
      <c r="A338" s="104"/>
      <c r="B338" s="104"/>
      <c r="C338" s="104"/>
      <c r="D338" s="104"/>
      <c r="E338" s="104"/>
      <c r="F338" s="104"/>
      <c r="G338" s="104"/>
      <c r="H338" s="104"/>
      <c r="I338" s="104"/>
      <c r="J338" s="104"/>
      <c r="K338" s="105"/>
      <c r="L338" s="106"/>
      <c r="M338" s="104"/>
      <c r="N338" s="104"/>
      <c r="O338" s="104"/>
      <c r="P338" s="104"/>
      <c r="Q338" s="104"/>
      <c r="R338" s="106"/>
      <c r="S338" s="104"/>
      <c r="T338" s="104"/>
      <c r="U338" s="104"/>
      <c r="V338" s="104"/>
      <c r="W338" s="105"/>
      <c r="X338" s="104"/>
      <c r="Y338" s="104"/>
      <c r="Z338" s="104"/>
      <c r="AA338" s="104"/>
      <c r="AB338" s="104"/>
      <c r="AC338" s="104"/>
      <c r="AD338" s="104"/>
      <c r="AE338" s="104"/>
      <c r="AF338" s="104"/>
      <c r="AG338" s="104"/>
      <c r="AH338" s="104"/>
      <c r="AI338" s="104"/>
      <c r="AJ338" s="104"/>
      <c r="AK338" s="104"/>
      <c r="AL338" s="104"/>
      <c r="AM338" s="104"/>
      <c r="AN338" s="104"/>
      <c r="AO338" s="104"/>
      <c r="AP338" s="104"/>
      <c r="AQ338" s="104"/>
      <c r="AR338" s="104"/>
      <c r="AS338" s="104"/>
      <c r="AT338" s="104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104"/>
      <c r="BG338" s="104"/>
      <c r="BH338" s="104"/>
      <c r="BI338" s="104"/>
      <c r="BJ338" s="104"/>
      <c r="BK338" s="104"/>
      <c r="BL338" s="104"/>
      <c r="BM338" s="104"/>
      <c r="BN338" s="104"/>
    </row>
    <row r="339">
      <c r="A339" s="104"/>
      <c r="B339" s="104"/>
      <c r="C339" s="104"/>
      <c r="D339" s="104"/>
      <c r="E339" s="104"/>
      <c r="F339" s="104"/>
      <c r="G339" s="104"/>
      <c r="H339" s="104"/>
      <c r="I339" s="104"/>
      <c r="J339" s="104"/>
      <c r="K339" s="105"/>
      <c r="L339" s="106"/>
      <c r="M339" s="104"/>
      <c r="N339" s="104"/>
      <c r="O339" s="104"/>
      <c r="P339" s="104"/>
      <c r="Q339" s="104"/>
      <c r="R339" s="106"/>
      <c r="S339" s="104"/>
      <c r="T339" s="104"/>
      <c r="U339" s="104"/>
      <c r="V339" s="104"/>
      <c r="W339" s="105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  <c r="AH339" s="104"/>
      <c r="AI339" s="104"/>
      <c r="AJ339" s="104"/>
      <c r="AK339" s="104"/>
      <c r="AL339" s="104"/>
      <c r="AM339" s="104"/>
      <c r="AN339" s="104"/>
      <c r="AO339" s="104"/>
      <c r="AP339" s="104"/>
      <c r="AQ339" s="104"/>
      <c r="AR339" s="104"/>
      <c r="AS339" s="104"/>
      <c r="AT339" s="10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/>
      <c r="BE339" s="104"/>
      <c r="BF339" s="104"/>
      <c r="BG339" s="104"/>
      <c r="BH339" s="104"/>
      <c r="BI339" s="104"/>
      <c r="BJ339" s="104"/>
      <c r="BK339" s="104"/>
      <c r="BL339" s="104"/>
      <c r="BM339" s="104"/>
      <c r="BN339" s="104"/>
    </row>
    <row r="340">
      <c r="A340" s="104"/>
      <c r="B340" s="104"/>
      <c r="C340" s="104"/>
      <c r="D340" s="104"/>
      <c r="E340" s="104"/>
      <c r="F340" s="104"/>
      <c r="G340" s="104"/>
      <c r="H340" s="104"/>
      <c r="I340" s="104"/>
      <c r="J340" s="104"/>
      <c r="K340" s="105"/>
      <c r="L340" s="106"/>
      <c r="M340" s="104"/>
      <c r="N340" s="104"/>
      <c r="O340" s="104"/>
      <c r="P340" s="104"/>
      <c r="Q340" s="104"/>
      <c r="R340" s="106"/>
      <c r="S340" s="104"/>
      <c r="T340" s="104"/>
      <c r="U340" s="104"/>
      <c r="V340" s="104"/>
      <c r="W340" s="105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H340" s="104"/>
      <c r="AI340" s="104"/>
      <c r="AJ340" s="104"/>
      <c r="AK340" s="104"/>
      <c r="AL340" s="104"/>
      <c r="AM340" s="104"/>
      <c r="AN340" s="104"/>
      <c r="AO340" s="104"/>
      <c r="AP340" s="104"/>
      <c r="AQ340" s="104"/>
      <c r="AR340" s="104"/>
      <c r="AS340" s="104"/>
      <c r="AT340" s="10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104"/>
      <c r="BG340" s="104"/>
      <c r="BH340" s="104"/>
      <c r="BI340" s="104"/>
      <c r="BJ340" s="104"/>
      <c r="BK340" s="104"/>
      <c r="BL340" s="104"/>
      <c r="BM340" s="104"/>
      <c r="BN340" s="104"/>
    </row>
    <row r="341">
      <c r="A341" s="104"/>
      <c r="B341" s="104"/>
      <c r="C341" s="104"/>
      <c r="D341" s="104"/>
      <c r="E341" s="104"/>
      <c r="F341" s="104"/>
      <c r="G341" s="104"/>
      <c r="H341" s="104"/>
      <c r="I341" s="104"/>
      <c r="J341" s="104"/>
      <c r="K341" s="105"/>
      <c r="L341" s="106"/>
      <c r="M341" s="104"/>
      <c r="N341" s="104"/>
      <c r="O341" s="104"/>
      <c r="P341" s="104"/>
      <c r="Q341" s="104"/>
      <c r="R341" s="106"/>
      <c r="S341" s="104"/>
      <c r="T341" s="104"/>
      <c r="U341" s="104"/>
      <c r="V341" s="104"/>
      <c r="W341" s="105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  <c r="AH341" s="104"/>
      <c r="AI341" s="104"/>
      <c r="AJ341" s="104"/>
      <c r="AK341" s="104"/>
      <c r="AL341" s="104"/>
      <c r="AM341" s="104"/>
      <c r="AN341" s="104"/>
      <c r="AO341" s="104"/>
      <c r="AP341" s="104"/>
      <c r="AQ341" s="104"/>
      <c r="AR341" s="104"/>
      <c r="AS341" s="104"/>
      <c r="AT341" s="104"/>
      <c r="AU341" s="104"/>
      <c r="AV341" s="104"/>
      <c r="AW341" s="104"/>
      <c r="AX341" s="104"/>
      <c r="AY341" s="104"/>
      <c r="AZ341" s="104"/>
      <c r="BA341" s="104"/>
      <c r="BB341" s="104"/>
      <c r="BC341" s="104"/>
      <c r="BD341" s="104"/>
      <c r="BE341" s="104"/>
      <c r="BF341" s="104"/>
      <c r="BG341" s="104"/>
      <c r="BH341" s="104"/>
      <c r="BI341" s="104"/>
      <c r="BJ341" s="104"/>
      <c r="BK341" s="104"/>
      <c r="BL341" s="104"/>
      <c r="BM341" s="104"/>
      <c r="BN341" s="104"/>
    </row>
    <row r="342">
      <c r="A342" s="104"/>
      <c r="B342" s="104"/>
      <c r="C342" s="104"/>
      <c r="D342" s="104"/>
      <c r="E342" s="104"/>
      <c r="F342" s="104"/>
      <c r="G342" s="104"/>
      <c r="H342" s="104"/>
      <c r="I342" s="104"/>
      <c r="J342" s="104"/>
      <c r="K342" s="105"/>
      <c r="L342" s="106"/>
      <c r="M342" s="104"/>
      <c r="N342" s="104"/>
      <c r="O342" s="104"/>
      <c r="P342" s="104"/>
      <c r="Q342" s="104"/>
      <c r="R342" s="106"/>
      <c r="S342" s="104"/>
      <c r="T342" s="104"/>
      <c r="U342" s="104"/>
      <c r="V342" s="104"/>
      <c r="W342" s="105"/>
      <c r="X342" s="104"/>
      <c r="Y342" s="104"/>
      <c r="Z342" s="104"/>
      <c r="AA342" s="104"/>
      <c r="AB342" s="104"/>
      <c r="AC342" s="104"/>
      <c r="AD342" s="104"/>
      <c r="AE342" s="104"/>
      <c r="AF342" s="104"/>
      <c r="AG342" s="104"/>
      <c r="AH342" s="104"/>
      <c r="AI342" s="104"/>
      <c r="AJ342" s="104"/>
      <c r="AK342" s="104"/>
      <c r="AL342" s="104"/>
      <c r="AM342" s="104"/>
      <c r="AN342" s="104"/>
      <c r="AO342" s="104"/>
      <c r="AP342" s="104"/>
      <c r="AQ342" s="104"/>
      <c r="AR342" s="104"/>
      <c r="AS342" s="104"/>
      <c r="AT342" s="104"/>
      <c r="AU342" s="104"/>
      <c r="AV342" s="104"/>
      <c r="AW342" s="104"/>
      <c r="AX342" s="104"/>
      <c r="AY342" s="104"/>
      <c r="AZ342" s="104"/>
      <c r="BA342" s="104"/>
      <c r="BB342" s="104"/>
      <c r="BC342" s="104"/>
      <c r="BD342" s="104"/>
      <c r="BE342" s="104"/>
      <c r="BF342" s="104"/>
      <c r="BG342" s="104"/>
      <c r="BH342" s="104"/>
      <c r="BI342" s="104"/>
      <c r="BJ342" s="104"/>
      <c r="BK342" s="104"/>
      <c r="BL342" s="104"/>
      <c r="BM342" s="104"/>
      <c r="BN342" s="104"/>
    </row>
    <row r="343">
      <c r="A343" s="104"/>
      <c r="B343" s="104"/>
      <c r="C343" s="104"/>
      <c r="D343" s="104"/>
      <c r="E343" s="104"/>
      <c r="F343" s="104"/>
      <c r="G343" s="104"/>
      <c r="H343" s="104"/>
      <c r="I343" s="104"/>
      <c r="J343" s="104"/>
      <c r="K343" s="105"/>
      <c r="L343" s="106"/>
      <c r="M343" s="104"/>
      <c r="N343" s="104"/>
      <c r="O343" s="104"/>
      <c r="P343" s="104"/>
      <c r="Q343" s="104"/>
      <c r="R343" s="106"/>
      <c r="S343" s="104"/>
      <c r="T343" s="104"/>
      <c r="U343" s="104"/>
      <c r="V343" s="104"/>
      <c r="W343" s="105"/>
      <c r="X343" s="104"/>
      <c r="Y343" s="104"/>
      <c r="Z343" s="104"/>
      <c r="AA343" s="104"/>
      <c r="AB343" s="104"/>
      <c r="AC343" s="104"/>
      <c r="AD343" s="104"/>
      <c r="AE343" s="104"/>
      <c r="AF343" s="104"/>
      <c r="AG343" s="104"/>
      <c r="AH343" s="104"/>
      <c r="AI343" s="104"/>
      <c r="AJ343" s="104"/>
      <c r="AK343" s="104"/>
      <c r="AL343" s="104"/>
      <c r="AM343" s="104"/>
      <c r="AN343" s="104"/>
      <c r="AO343" s="104"/>
      <c r="AP343" s="104"/>
      <c r="AQ343" s="104"/>
      <c r="AR343" s="104"/>
      <c r="AS343" s="104"/>
      <c r="AT343" s="104"/>
      <c r="AU343" s="104"/>
      <c r="AV343" s="104"/>
      <c r="AW343" s="104"/>
      <c r="AX343" s="104"/>
      <c r="AY343" s="104"/>
      <c r="AZ343" s="104"/>
      <c r="BA343" s="104"/>
      <c r="BB343" s="104"/>
      <c r="BC343" s="104"/>
      <c r="BD343" s="104"/>
      <c r="BE343" s="104"/>
      <c r="BF343" s="104"/>
      <c r="BG343" s="104"/>
      <c r="BH343" s="104"/>
      <c r="BI343" s="104"/>
      <c r="BJ343" s="104"/>
      <c r="BK343" s="104"/>
      <c r="BL343" s="104"/>
      <c r="BM343" s="104"/>
      <c r="BN343" s="104"/>
    </row>
    <row r="344">
      <c r="A344" s="104"/>
      <c r="B344" s="104"/>
      <c r="C344" s="104"/>
      <c r="D344" s="104"/>
      <c r="E344" s="104"/>
      <c r="F344" s="104"/>
      <c r="G344" s="104"/>
      <c r="H344" s="104"/>
      <c r="I344" s="104"/>
      <c r="J344" s="104"/>
      <c r="K344" s="105"/>
      <c r="L344" s="106"/>
      <c r="M344" s="104"/>
      <c r="N344" s="104"/>
      <c r="O344" s="104"/>
      <c r="P344" s="104"/>
      <c r="Q344" s="104"/>
      <c r="R344" s="106"/>
      <c r="S344" s="104"/>
      <c r="T344" s="104"/>
      <c r="U344" s="104"/>
      <c r="V344" s="104"/>
      <c r="W344" s="105"/>
      <c r="X344" s="104"/>
      <c r="Y344" s="104"/>
      <c r="Z344" s="104"/>
      <c r="AA344" s="104"/>
      <c r="AB344" s="104"/>
      <c r="AC344" s="104"/>
      <c r="AD344" s="104"/>
      <c r="AE344" s="104"/>
      <c r="AF344" s="104"/>
      <c r="AG344" s="104"/>
      <c r="AH344" s="104"/>
      <c r="AI344" s="104"/>
      <c r="AJ344" s="104"/>
      <c r="AK344" s="104"/>
      <c r="AL344" s="104"/>
      <c r="AM344" s="104"/>
      <c r="AN344" s="104"/>
      <c r="AO344" s="104"/>
      <c r="AP344" s="104"/>
      <c r="AQ344" s="104"/>
      <c r="AR344" s="104"/>
      <c r="AS344" s="104"/>
      <c r="AT344" s="104"/>
      <c r="AU344" s="104"/>
      <c r="AV344" s="104"/>
      <c r="AW344" s="104"/>
      <c r="AX344" s="104"/>
      <c r="AY344" s="104"/>
      <c r="AZ344" s="104"/>
      <c r="BA344" s="104"/>
      <c r="BB344" s="104"/>
      <c r="BC344" s="104"/>
      <c r="BD344" s="104"/>
      <c r="BE344" s="104"/>
      <c r="BF344" s="104"/>
      <c r="BG344" s="104"/>
      <c r="BH344" s="104"/>
      <c r="BI344" s="104"/>
      <c r="BJ344" s="104"/>
      <c r="BK344" s="104"/>
      <c r="BL344" s="104"/>
      <c r="BM344" s="104"/>
      <c r="BN344" s="104"/>
    </row>
    <row r="345">
      <c r="A345" s="104"/>
      <c r="B345" s="104"/>
      <c r="C345" s="104"/>
      <c r="D345" s="104"/>
      <c r="E345" s="104"/>
      <c r="F345" s="104"/>
      <c r="G345" s="104"/>
      <c r="H345" s="104"/>
      <c r="I345" s="104"/>
      <c r="J345" s="104"/>
      <c r="K345" s="105"/>
      <c r="L345" s="106"/>
      <c r="M345" s="104"/>
      <c r="N345" s="104"/>
      <c r="O345" s="104"/>
      <c r="P345" s="104"/>
      <c r="Q345" s="104"/>
      <c r="R345" s="106"/>
      <c r="S345" s="104"/>
      <c r="T345" s="104"/>
      <c r="U345" s="104"/>
      <c r="V345" s="104"/>
      <c r="W345" s="105"/>
      <c r="X345" s="104"/>
      <c r="Y345" s="104"/>
      <c r="Z345" s="104"/>
      <c r="AA345" s="104"/>
      <c r="AB345" s="104"/>
      <c r="AC345" s="104"/>
      <c r="AD345" s="104"/>
      <c r="AE345" s="104"/>
      <c r="AF345" s="104"/>
      <c r="AG345" s="104"/>
      <c r="AH345" s="104"/>
      <c r="AI345" s="104"/>
      <c r="AJ345" s="104"/>
      <c r="AK345" s="104"/>
      <c r="AL345" s="104"/>
      <c r="AM345" s="104"/>
      <c r="AN345" s="104"/>
      <c r="AO345" s="104"/>
      <c r="AP345" s="104"/>
      <c r="AQ345" s="104"/>
      <c r="AR345" s="104"/>
      <c r="AS345" s="104"/>
      <c r="AT345" s="104"/>
      <c r="AU345" s="104"/>
      <c r="AV345" s="104"/>
      <c r="AW345" s="104"/>
      <c r="AX345" s="104"/>
      <c r="AY345" s="104"/>
      <c r="AZ345" s="104"/>
      <c r="BA345" s="104"/>
      <c r="BB345" s="104"/>
      <c r="BC345" s="104"/>
      <c r="BD345" s="104"/>
      <c r="BE345" s="104"/>
      <c r="BF345" s="104"/>
      <c r="BG345" s="104"/>
      <c r="BH345" s="104"/>
      <c r="BI345" s="104"/>
      <c r="BJ345" s="104"/>
      <c r="BK345" s="104"/>
      <c r="BL345" s="104"/>
      <c r="BM345" s="104"/>
      <c r="BN345" s="104"/>
    </row>
    <row r="346">
      <c r="A346" s="104"/>
      <c r="B346" s="104"/>
      <c r="C346" s="104"/>
      <c r="D346" s="104"/>
      <c r="E346" s="104"/>
      <c r="F346" s="104"/>
      <c r="G346" s="104"/>
      <c r="H346" s="104"/>
      <c r="I346" s="104"/>
      <c r="J346" s="104"/>
      <c r="K346" s="105"/>
      <c r="L346" s="106"/>
      <c r="M346" s="104"/>
      <c r="N346" s="104"/>
      <c r="O346" s="104"/>
      <c r="P346" s="104"/>
      <c r="Q346" s="104"/>
      <c r="R346" s="106"/>
      <c r="S346" s="104"/>
      <c r="T346" s="104"/>
      <c r="U346" s="104"/>
      <c r="V346" s="104"/>
      <c r="W346" s="105"/>
      <c r="X346" s="104"/>
      <c r="Y346" s="104"/>
      <c r="Z346" s="104"/>
      <c r="AA346" s="104"/>
      <c r="AB346" s="104"/>
      <c r="AC346" s="104"/>
      <c r="AD346" s="104"/>
      <c r="AE346" s="104"/>
      <c r="AF346" s="104"/>
      <c r="AG346" s="104"/>
      <c r="AH346" s="104"/>
      <c r="AI346" s="104"/>
      <c r="AJ346" s="104"/>
      <c r="AK346" s="104"/>
      <c r="AL346" s="104"/>
      <c r="AM346" s="104"/>
      <c r="AN346" s="104"/>
      <c r="AO346" s="104"/>
      <c r="AP346" s="104"/>
      <c r="AQ346" s="104"/>
      <c r="AR346" s="104"/>
      <c r="AS346" s="104"/>
      <c r="AT346" s="104"/>
      <c r="AU346" s="104"/>
      <c r="AV346" s="104"/>
      <c r="AW346" s="104"/>
      <c r="AX346" s="104"/>
      <c r="AY346" s="104"/>
      <c r="AZ346" s="104"/>
      <c r="BA346" s="104"/>
      <c r="BB346" s="104"/>
      <c r="BC346" s="104"/>
      <c r="BD346" s="104"/>
      <c r="BE346" s="104"/>
      <c r="BF346" s="104"/>
      <c r="BG346" s="104"/>
      <c r="BH346" s="104"/>
      <c r="BI346" s="104"/>
      <c r="BJ346" s="104"/>
      <c r="BK346" s="104"/>
      <c r="BL346" s="104"/>
      <c r="BM346" s="104"/>
      <c r="BN346" s="104"/>
    </row>
    <row r="347">
      <c r="A347" s="104"/>
      <c r="B347" s="104"/>
      <c r="C347" s="104"/>
      <c r="D347" s="104"/>
      <c r="E347" s="104"/>
      <c r="F347" s="104"/>
      <c r="G347" s="104"/>
      <c r="H347" s="104"/>
      <c r="I347" s="104"/>
      <c r="J347" s="104"/>
      <c r="K347" s="105"/>
      <c r="L347" s="106"/>
      <c r="M347" s="104"/>
      <c r="N347" s="104"/>
      <c r="O347" s="104"/>
      <c r="P347" s="104"/>
      <c r="Q347" s="104"/>
      <c r="R347" s="106"/>
      <c r="S347" s="104"/>
      <c r="T347" s="104"/>
      <c r="U347" s="104"/>
      <c r="V347" s="104"/>
      <c r="W347" s="105"/>
      <c r="X347" s="104"/>
      <c r="Y347" s="104"/>
      <c r="Z347" s="104"/>
      <c r="AA347" s="104"/>
      <c r="AB347" s="104"/>
      <c r="AC347" s="104"/>
      <c r="AD347" s="104"/>
      <c r="AE347" s="104"/>
      <c r="AF347" s="104"/>
      <c r="AG347" s="104"/>
      <c r="AH347" s="104"/>
      <c r="AI347" s="104"/>
      <c r="AJ347" s="104"/>
      <c r="AK347" s="104"/>
      <c r="AL347" s="104"/>
      <c r="AM347" s="104"/>
      <c r="AN347" s="104"/>
      <c r="AO347" s="104"/>
      <c r="AP347" s="104"/>
      <c r="AQ347" s="104"/>
      <c r="AR347" s="104"/>
      <c r="AS347" s="104"/>
      <c r="AT347" s="104"/>
      <c r="AU347" s="104"/>
      <c r="AV347" s="104"/>
      <c r="AW347" s="104"/>
      <c r="AX347" s="104"/>
      <c r="AY347" s="104"/>
      <c r="AZ347" s="104"/>
      <c r="BA347" s="104"/>
      <c r="BB347" s="104"/>
      <c r="BC347" s="104"/>
      <c r="BD347" s="104"/>
      <c r="BE347" s="104"/>
      <c r="BF347" s="104"/>
      <c r="BG347" s="104"/>
      <c r="BH347" s="104"/>
      <c r="BI347" s="104"/>
      <c r="BJ347" s="104"/>
      <c r="BK347" s="104"/>
      <c r="BL347" s="104"/>
      <c r="BM347" s="104"/>
      <c r="BN347" s="104"/>
    </row>
    <row r="348">
      <c r="A348" s="104"/>
      <c r="B348" s="104"/>
      <c r="C348" s="104"/>
      <c r="D348" s="104"/>
      <c r="E348" s="104"/>
      <c r="F348" s="104"/>
      <c r="G348" s="104"/>
      <c r="H348" s="104"/>
      <c r="I348" s="104"/>
      <c r="J348" s="104"/>
      <c r="K348" s="105"/>
      <c r="L348" s="106"/>
      <c r="M348" s="104"/>
      <c r="N348" s="104"/>
      <c r="O348" s="104"/>
      <c r="P348" s="104"/>
      <c r="Q348" s="104"/>
      <c r="R348" s="106"/>
      <c r="S348" s="104"/>
      <c r="T348" s="104"/>
      <c r="U348" s="104"/>
      <c r="V348" s="104"/>
      <c r="W348" s="105"/>
      <c r="X348" s="104"/>
      <c r="Y348" s="104"/>
      <c r="Z348" s="104"/>
      <c r="AA348" s="104"/>
      <c r="AB348" s="104"/>
      <c r="AC348" s="104"/>
      <c r="AD348" s="104"/>
      <c r="AE348" s="104"/>
      <c r="AF348" s="104"/>
      <c r="AG348" s="104"/>
      <c r="AH348" s="104"/>
      <c r="AI348" s="104"/>
      <c r="AJ348" s="104"/>
      <c r="AK348" s="104"/>
      <c r="AL348" s="104"/>
      <c r="AM348" s="104"/>
      <c r="AN348" s="104"/>
      <c r="AO348" s="104"/>
      <c r="AP348" s="104"/>
      <c r="AQ348" s="104"/>
      <c r="AR348" s="104"/>
      <c r="AS348" s="104"/>
      <c r="AT348" s="104"/>
      <c r="AU348" s="104"/>
      <c r="AV348" s="104"/>
      <c r="AW348" s="104"/>
      <c r="AX348" s="104"/>
      <c r="AY348" s="104"/>
      <c r="AZ348" s="104"/>
      <c r="BA348" s="104"/>
      <c r="BB348" s="104"/>
      <c r="BC348" s="104"/>
      <c r="BD348" s="104"/>
      <c r="BE348" s="104"/>
      <c r="BF348" s="104"/>
      <c r="BG348" s="104"/>
      <c r="BH348" s="104"/>
      <c r="BI348" s="104"/>
      <c r="BJ348" s="104"/>
      <c r="BK348" s="104"/>
      <c r="BL348" s="104"/>
      <c r="BM348" s="104"/>
      <c r="BN348" s="104"/>
    </row>
    <row r="349">
      <c r="A349" s="104"/>
      <c r="B349" s="104"/>
      <c r="C349" s="104"/>
      <c r="D349" s="104"/>
      <c r="E349" s="104"/>
      <c r="F349" s="104"/>
      <c r="G349" s="104"/>
      <c r="H349" s="104"/>
      <c r="I349" s="104"/>
      <c r="J349" s="104"/>
      <c r="K349" s="105"/>
      <c r="L349" s="106"/>
      <c r="M349" s="104"/>
      <c r="N349" s="104"/>
      <c r="O349" s="104"/>
      <c r="P349" s="104"/>
      <c r="Q349" s="104"/>
      <c r="R349" s="106"/>
      <c r="S349" s="104"/>
      <c r="T349" s="104"/>
      <c r="U349" s="104"/>
      <c r="V349" s="104"/>
      <c r="W349" s="105"/>
      <c r="X349" s="104"/>
      <c r="Y349" s="104"/>
      <c r="Z349" s="104"/>
      <c r="AA349" s="104"/>
      <c r="AB349" s="104"/>
      <c r="AC349" s="104"/>
      <c r="AD349" s="104"/>
      <c r="AE349" s="104"/>
      <c r="AF349" s="104"/>
      <c r="AG349" s="104"/>
      <c r="AH349" s="104"/>
      <c r="AI349" s="104"/>
      <c r="AJ349" s="104"/>
      <c r="AK349" s="104"/>
      <c r="AL349" s="104"/>
      <c r="AM349" s="104"/>
      <c r="AN349" s="104"/>
      <c r="AO349" s="104"/>
      <c r="AP349" s="104"/>
      <c r="AQ349" s="104"/>
      <c r="AR349" s="104"/>
      <c r="AS349" s="104"/>
      <c r="AT349" s="104"/>
      <c r="AU349" s="104"/>
      <c r="AV349" s="104"/>
      <c r="AW349" s="104"/>
      <c r="AX349" s="104"/>
      <c r="AY349" s="104"/>
      <c r="AZ349" s="104"/>
      <c r="BA349" s="104"/>
      <c r="BB349" s="104"/>
      <c r="BC349" s="104"/>
      <c r="BD349" s="104"/>
      <c r="BE349" s="104"/>
      <c r="BF349" s="104"/>
      <c r="BG349" s="104"/>
      <c r="BH349" s="104"/>
      <c r="BI349" s="104"/>
      <c r="BJ349" s="104"/>
      <c r="BK349" s="104"/>
      <c r="BL349" s="104"/>
      <c r="BM349" s="104"/>
      <c r="BN349" s="104"/>
    </row>
    <row r="350">
      <c r="A350" s="104"/>
      <c r="B350" s="104"/>
      <c r="C350" s="104"/>
      <c r="D350" s="104"/>
      <c r="E350" s="104"/>
      <c r="F350" s="104"/>
      <c r="G350" s="104"/>
      <c r="H350" s="104"/>
      <c r="I350" s="104"/>
      <c r="J350" s="104"/>
      <c r="K350" s="105"/>
      <c r="L350" s="106"/>
      <c r="M350" s="104"/>
      <c r="N350" s="104"/>
      <c r="O350" s="104"/>
      <c r="P350" s="104"/>
      <c r="Q350" s="104"/>
      <c r="R350" s="106"/>
      <c r="S350" s="104"/>
      <c r="T350" s="104"/>
      <c r="U350" s="104"/>
      <c r="V350" s="104"/>
      <c r="W350" s="105"/>
      <c r="X350" s="104"/>
      <c r="Y350" s="104"/>
      <c r="Z350" s="104"/>
      <c r="AA350" s="104"/>
      <c r="AB350" s="104"/>
      <c r="AC350" s="104"/>
      <c r="AD350" s="104"/>
      <c r="AE350" s="104"/>
      <c r="AF350" s="104"/>
      <c r="AG350" s="104"/>
      <c r="AH350" s="104"/>
      <c r="AI350" s="104"/>
      <c r="AJ350" s="104"/>
      <c r="AK350" s="104"/>
      <c r="AL350" s="104"/>
      <c r="AM350" s="104"/>
      <c r="AN350" s="104"/>
      <c r="AO350" s="104"/>
      <c r="AP350" s="104"/>
      <c r="AQ350" s="104"/>
      <c r="AR350" s="104"/>
      <c r="AS350" s="104"/>
      <c r="AT350" s="104"/>
      <c r="AU350" s="104"/>
      <c r="AV350" s="104"/>
      <c r="AW350" s="104"/>
      <c r="AX350" s="104"/>
      <c r="AY350" s="104"/>
      <c r="AZ350" s="104"/>
      <c r="BA350" s="104"/>
      <c r="BB350" s="104"/>
      <c r="BC350" s="104"/>
      <c r="BD350" s="104"/>
      <c r="BE350" s="104"/>
      <c r="BF350" s="104"/>
      <c r="BG350" s="104"/>
      <c r="BH350" s="104"/>
      <c r="BI350" s="104"/>
      <c r="BJ350" s="104"/>
      <c r="BK350" s="104"/>
      <c r="BL350" s="104"/>
      <c r="BM350" s="104"/>
      <c r="BN350" s="104"/>
    </row>
    <row r="351">
      <c r="A351" s="104"/>
      <c r="B351" s="104"/>
      <c r="C351" s="104"/>
      <c r="D351" s="104"/>
      <c r="E351" s="104"/>
      <c r="F351" s="104"/>
      <c r="G351" s="104"/>
      <c r="H351" s="104"/>
      <c r="I351" s="104"/>
      <c r="J351" s="104"/>
      <c r="K351" s="105"/>
      <c r="L351" s="106"/>
      <c r="M351" s="104"/>
      <c r="N351" s="104"/>
      <c r="O351" s="104"/>
      <c r="P351" s="104"/>
      <c r="Q351" s="104"/>
      <c r="R351" s="106"/>
      <c r="S351" s="104"/>
      <c r="T351" s="104"/>
      <c r="U351" s="104"/>
      <c r="V351" s="104"/>
      <c r="W351" s="105"/>
      <c r="X351" s="104"/>
      <c r="Y351" s="104"/>
      <c r="Z351" s="104"/>
      <c r="AA351" s="104"/>
      <c r="AB351" s="104"/>
      <c r="AC351" s="104"/>
      <c r="AD351" s="104"/>
      <c r="AE351" s="104"/>
      <c r="AF351" s="104"/>
      <c r="AG351" s="104"/>
      <c r="AH351" s="104"/>
      <c r="AI351" s="104"/>
      <c r="AJ351" s="104"/>
      <c r="AK351" s="104"/>
      <c r="AL351" s="104"/>
      <c r="AM351" s="104"/>
      <c r="AN351" s="104"/>
      <c r="AO351" s="104"/>
      <c r="AP351" s="104"/>
      <c r="AQ351" s="104"/>
      <c r="AR351" s="104"/>
      <c r="AS351" s="104"/>
      <c r="AT351" s="104"/>
      <c r="AU351" s="104"/>
      <c r="AV351" s="104"/>
      <c r="AW351" s="104"/>
      <c r="AX351" s="104"/>
      <c r="AY351" s="104"/>
      <c r="AZ351" s="104"/>
      <c r="BA351" s="104"/>
      <c r="BB351" s="104"/>
      <c r="BC351" s="104"/>
      <c r="BD351" s="104"/>
      <c r="BE351" s="104"/>
      <c r="BF351" s="104"/>
      <c r="BG351" s="104"/>
      <c r="BH351" s="104"/>
      <c r="BI351" s="104"/>
      <c r="BJ351" s="104"/>
      <c r="BK351" s="104"/>
      <c r="BL351" s="104"/>
      <c r="BM351" s="104"/>
      <c r="BN351" s="104"/>
    </row>
    <row r="352">
      <c r="A352" s="104"/>
      <c r="B352" s="104"/>
      <c r="C352" s="104"/>
      <c r="D352" s="104"/>
      <c r="E352" s="104"/>
      <c r="F352" s="104"/>
      <c r="G352" s="104"/>
      <c r="H352" s="104"/>
      <c r="I352" s="104"/>
      <c r="J352" s="104"/>
      <c r="K352" s="105"/>
      <c r="L352" s="106"/>
      <c r="M352" s="104"/>
      <c r="N352" s="104"/>
      <c r="O352" s="104"/>
      <c r="P352" s="104"/>
      <c r="Q352" s="104"/>
      <c r="R352" s="106"/>
      <c r="S352" s="104"/>
      <c r="T352" s="104"/>
      <c r="U352" s="104"/>
      <c r="V352" s="104"/>
      <c r="W352" s="105"/>
      <c r="X352" s="104"/>
      <c r="Y352" s="104"/>
      <c r="Z352" s="104"/>
      <c r="AA352" s="104"/>
      <c r="AB352" s="104"/>
      <c r="AC352" s="104"/>
      <c r="AD352" s="104"/>
      <c r="AE352" s="104"/>
      <c r="AF352" s="104"/>
      <c r="AG352" s="104"/>
      <c r="AH352" s="104"/>
      <c r="AI352" s="104"/>
      <c r="AJ352" s="104"/>
      <c r="AK352" s="104"/>
      <c r="AL352" s="104"/>
      <c r="AM352" s="104"/>
      <c r="AN352" s="104"/>
      <c r="AO352" s="104"/>
      <c r="AP352" s="104"/>
      <c r="AQ352" s="104"/>
      <c r="AR352" s="104"/>
      <c r="AS352" s="104"/>
      <c r="AT352" s="104"/>
      <c r="AU352" s="104"/>
      <c r="AV352" s="104"/>
      <c r="AW352" s="104"/>
      <c r="AX352" s="104"/>
      <c r="AY352" s="104"/>
      <c r="AZ352" s="104"/>
      <c r="BA352" s="104"/>
      <c r="BB352" s="104"/>
      <c r="BC352" s="104"/>
      <c r="BD352" s="104"/>
      <c r="BE352" s="104"/>
      <c r="BF352" s="104"/>
      <c r="BG352" s="104"/>
      <c r="BH352" s="104"/>
      <c r="BI352" s="104"/>
      <c r="BJ352" s="104"/>
      <c r="BK352" s="104"/>
      <c r="BL352" s="104"/>
      <c r="BM352" s="104"/>
      <c r="BN352" s="104"/>
    </row>
    <row r="353">
      <c r="A353" s="104"/>
      <c r="B353" s="104"/>
      <c r="C353" s="104"/>
      <c r="D353" s="104"/>
      <c r="E353" s="104"/>
      <c r="F353" s="104"/>
      <c r="G353" s="104"/>
      <c r="H353" s="104"/>
      <c r="I353" s="104"/>
      <c r="J353" s="104"/>
      <c r="K353" s="105"/>
      <c r="L353" s="106"/>
      <c r="M353" s="104"/>
      <c r="N353" s="104"/>
      <c r="O353" s="104"/>
      <c r="P353" s="104"/>
      <c r="Q353" s="104"/>
      <c r="R353" s="106"/>
      <c r="S353" s="104"/>
      <c r="T353" s="104"/>
      <c r="U353" s="104"/>
      <c r="V353" s="104"/>
      <c r="W353" s="105"/>
      <c r="X353" s="104"/>
      <c r="Y353" s="104"/>
      <c r="Z353" s="104"/>
      <c r="AA353" s="104"/>
      <c r="AB353" s="104"/>
      <c r="AC353" s="104"/>
      <c r="AD353" s="104"/>
      <c r="AE353" s="104"/>
      <c r="AF353" s="104"/>
      <c r="AG353" s="104"/>
      <c r="AH353" s="104"/>
      <c r="AI353" s="104"/>
      <c r="AJ353" s="104"/>
      <c r="AK353" s="104"/>
      <c r="AL353" s="104"/>
      <c r="AM353" s="104"/>
      <c r="AN353" s="104"/>
      <c r="AO353" s="104"/>
      <c r="AP353" s="104"/>
      <c r="AQ353" s="104"/>
      <c r="AR353" s="104"/>
      <c r="AS353" s="104"/>
      <c r="AT353" s="104"/>
      <c r="AU353" s="104"/>
      <c r="AV353" s="104"/>
      <c r="AW353" s="104"/>
      <c r="AX353" s="104"/>
      <c r="AY353" s="104"/>
      <c r="AZ353" s="104"/>
      <c r="BA353" s="104"/>
      <c r="BB353" s="104"/>
      <c r="BC353" s="104"/>
      <c r="BD353" s="104"/>
      <c r="BE353" s="104"/>
      <c r="BF353" s="104"/>
      <c r="BG353" s="104"/>
      <c r="BH353" s="104"/>
      <c r="BI353" s="104"/>
      <c r="BJ353" s="104"/>
      <c r="BK353" s="104"/>
      <c r="BL353" s="104"/>
      <c r="BM353" s="104"/>
      <c r="BN353" s="104"/>
    </row>
    <row r="354">
      <c r="A354" s="104"/>
      <c r="B354" s="104"/>
      <c r="C354" s="104"/>
      <c r="D354" s="104"/>
      <c r="E354" s="104"/>
      <c r="F354" s="104"/>
      <c r="G354" s="104"/>
      <c r="H354" s="104"/>
      <c r="I354" s="104"/>
      <c r="J354" s="104"/>
      <c r="K354" s="105"/>
      <c r="L354" s="106"/>
      <c r="M354" s="104"/>
      <c r="N354" s="104"/>
      <c r="O354" s="104"/>
      <c r="P354" s="104"/>
      <c r="Q354" s="104"/>
      <c r="R354" s="106"/>
      <c r="S354" s="104"/>
      <c r="T354" s="104"/>
      <c r="U354" s="104"/>
      <c r="V354" s="104"/>
      <c r="W354" s="105"/>
      <c r="X354" s="104"/>
      <c r="Y354" s="104"/>
      <c r="Z354" s="104"/>
      <c r="AA354" s="104"/>
      <c r="AB354" s="104"/>
      <c r="AC354" s="104"/>
      <c r="AD354" s="104"/>
      <c r="AE354" s="104"/>
      <c r="AF354" s="104"/>
      <c r="AG354" s="104"/>
      <c r="AH354" s="104"/>
      <c r="AI354" s="104"/>
      <c r="AJ354" s="104"/>
      <c r="AK354" s="104"/>
      <c r="AL354" s="104"/>
      <c r="AM354" s="104"/>
      <c r="AN354" s="104"/>
      <c r="AO354" s="104"/>
      <c r="AP354" s="104"/>
      <c r="AQ354" s="104"/>
      <c r="AR354" s="104"/>
      <c r="AS354" s="104"/>
      <c r="AT354" s="104"/>
      <c r="AU354" s="104"/>
      <c r="AV354" s="104"/>
      <c r="AW354" s="104"/>
      <c r="AX354" s="104"/>
      <c r="AY354" s="104"/>
      <c r="AZ354" s="104"/>
      <c r="BA354" s="104"/>
      <c r="BB354" s="104"/>
      <c r="BC354" s="104"/>
      <c r="BD354" s="104"/>
      <c r="BE354" s="104"/>
      <c r="BF354" s="104"/>
      <c r="BG354" s="104"/>
      <c r="BH354" s="104"/>
      <c r="BI354" s="104"/>
      <c r="BJ354" s="104"/>
      <c r="BK354" s="104"/>
      <c r="BL354" s="104"/>
      <c r="BM354" s="104"/>
      <c r="BN354" s="104"/>
    </row>
    <row r="355">
      <c r="A355" s="104"/>
      <c r="B355" s="104"/>
      <c r="C355" s="104"/>
      <c r="D355" s="104"/>
      <c r="E355" s="104"/>
      <c r="F355" s="104"/>
      <c r="G355" s="104"/>
      <c r="H355" s="104"/>
      <c r="I355" s="104"/>
      <c r="J355" s="104"/>
      <c r="K355" s="105"/>
      <c r="L355" s="106"/>
      <c r="M355" s="104"/>
      <c r="N355" s="104"/>
      <c r="O355" s="104"/>
      <c r="P355" s="104"/>
      <c r="Q355" s="104"/>
      <c r="R355" s="106"/>
      <c r="S355" s="104"/>
      <c r="T355" s="104"/>
      <c r="U355" s="104"/>
      <c r="V355" s="104"/>
      <c r="W355" s="105"/>
      <c r="X355" s="104"/>
      <c r="Y355" s="104"/>
      <c r="Z355" s="104"/>
      <c r="AA355" s="104"/>
      <c r="AB355" s="104"/>
      <c r="AC355" s="104"/>
      <c r="AD355" s="104"/>
      <c r="AE355" s="104"/>
      <c r="AF355" s="104"/>
      <c r="AG355" s="104"/>
      <c r="AH355" s="104"/>
      <c r="AI355" s="104"/>
      <c r="AJ355" s="104"/>
      <c r="AK355" s="104"/>
      <c r="AL355" s="104"/>
      <c r="AM355" s="104"/>
      <c r="AN355" s="104"/>
      <c r="AO355" s="104"/>
      <c r="AP355" s="104"/>
      <c r="AQ355" s="104"/>
      <c r="AR355" s="104"/>
      <c r="AS355" s="104"/>
      <c r="AT355" s="104"/>
      <c r="AU355" s="104"/>
      <c r="AV355" s="104"/>
      <c r="AW355" s="104"/>
      <c r="AX355" s="104"/>
      <c r="AY355" s="104"/>
      <c r="AZ355" s="104"/>
      <c r="BA355" s="104"/>
      <c r="BB355" s="104"/>
      <c r="BC355" s="104"/>
      <c r="BD355" s="104"/>
      <c r="BE355" s="104"/>
      <c r="BF355" s="104"/>
      <c r="BG355" s="104"/>
      <c r="BH355" s="104"/>
      <c r="BI355" s="104"/>
      <c r="BJ355" s="104"/>
      <c r="BK355" s="104"/>
      <c r="BL355" s="104"/>
      <c r="BM355" s="104"/>
      <c r="BN355" s="104"/>
    </row>
    <row r="356">
      <c r="A356" s="104"/>
      <c r="B356" s="104"/>
      <c r="C356" s="104"/>
      <c r="D356" s="104"/>
      <c r="E356" s="104"/>
      <c r="F356" s="104"/>
      <c r="G356" s="104"/>
      <c r="H356" s="104"/>
      <c r="I356" s="104"/>
      <c r="J356" s="104"/>
      <c r="K356" s="105"/>
      <c r="L356" s="106"/>
      <c r="M356" s="104"/>
      <c r="N356" s="104"/>
      <c r="O356" s="104"/>
      <c r="P356" s="104"/>
      <c r="Q356" s="104"/>
      <c r="R356" s="106"/>
      <c r="S356" s="104"/>
      <c r="T356" s="104"/>
      <c r="U356" s="104"/>
      <c r="V356" s="104"/>
      <c r="W356" s="105"/>
      <c r="X356" s="104"/>
      <c r="Y356" s="104"/>
      <c r="Z356" s="104"/>
      <c r="AA356" s="104"/>
      <c r="AB356" s="104"/>
      <c r="AC356" s="104"/>
      <c r="AD356" s="104"/>
      <c r="AE356" s="104"/>
      <c r="AF356" s="104"/>
      <c r="AG356" s="104"/>
      <c r="AH356" s="104"/>
      <c r="AI356" s="104"/>
      <c r="AJ356" s="104"/>
      <c r="AK356" s="104"/>
      <c r="AL356" s="104"/>
      <c r="AM356" s="104"/>
      <c r="AN356" s="104"/>
      <c r="AO356" s="104"/>
      <c r="AP356" s="104"/>
      <c r="AQ356" s="104"/>
      <c r="AR356" s="104"/>
      <c r="AS356" s="104"/>
      <c r="AT356" s="104"/>
      <c r="AU356" s="104"/>
      <c r="AV356" s="104"/>
      <c r="AW356" s="104"/>
      <c r="AX356" s="104"/>
      <c r="AY356" s="104"/>
      <c r="AZ356" s="104"/>
      <c r="BA356" s="104"/>
      <c r="BB356" s="104"/>
      <c r="BC356" s="104"/>
      <c r="BD356" s="104"/>
      <c r="BE356" s="104"/>
      <c r="BF356" s="104"/>
      <c r="BG356" s="104"/>
      <c r="BH356" s="104"/>
      <c r="BI356" s="104"/>
      <c r="BJ356" s="104"/>
      <c r="BK356" s="104"/>
      <c r="BL356" s="104"/>
      <c r="BM356" s="104"/>
      <c r="BN356" s="104"/>
    </row>
    <row r="357">
      <c r="A357" s="104"/>
      <c r="B357" s="104"/>
      <c r="C357" s="104"/>
      <c r="D357" s="104"/>
      <c r="E357" s="104"/>
      <c r="F357" s="104"/>
      <c r="G357" s="104"/>
      <c r="H357" s="104"/>
      <c r="I357" s="104"/>
      <c r="J357" s="104"/>
      <c r="K357" s="105"/>
      <c r="L357" s="106"/>
      <c r="M357" s="104"/>
      <c r="N357" s="104"/>
      <c r="O357" s="104"/>
      <c r="P357" s="104"/>
      <c r="Q357" s="104"/>
      <c r="R357" s="106"/>
      <c r="S357" s="104"/>
      <c r="T357" s="104"/>
      <c r="U357" s="104"/>
      <c r="V357" s="104"/>
      <c r="W357" s="105"/>
      <c r="X357" s="104"/>
      <c r="Y357" s="104"/>
      <c r="Z357" s="104"/>
      <c r="AA357" s="104"/>
      <c r="AB357" s="104"/>
      <c r="AC357" s="104"/>
      <c r="AD357" s="104"/>
      <c r="AE357" s="104"/>
      <c r="AF357" s="104"/>
      <c r="AG357" s="104"/>
      <c r="AH357" s="104"/>
      <c r="AI357" s="104"/>
      <c r="AJ357" s="104"/>
      <c r="AK357" s="104"/>
      <c r="AL357" s="104"/>
      <c r="AM357" s="104"/>
      <c r="AN357" s="104"/>
      <c r="AO357" s="104"/>
      <c r="AP357" s="104"/>
      <c r="AQ357" s="104"/>
      <c r="AR357" s="104"/>
      <c r="AS357" s="104"/>
      <c r="AT357" s="104"/>
      <c r="AU357" s="104"/>
      <c r="AV357" s="104"/>
      <c r="AW357" s="104"/>
      <c r="AX357" s="104"/>
      <c r="AY357" s="104"/>
      <c r="AZ357" s="104"/>
      <c r="BA357" s="104"/>
      <c r="BB357" s="104"/>
      <c r="BC357" s="104"/>
      <c r="BD357" s="104"/>
      <c r="BE357" s="104"/>
      <c r="BF357" s="104"/>
      <c r="BG357" s="104"/>
      <c r="BH357" s="104"/>
      <c r="BI357" s="104"/>
      <c r="BJ357" s="104"/>
      <c r="BK357" s="104"/>
      <c r="BL357" s="104"/>
      <c r="BM357" s="104"/>
      <c r="BN357" s="104"/>
    </row>
    <row r="358">
      <c r="A358" s="104"/>
      <c r="B358" s="104"/>
      <c r="C358" s="104"/>
      <c r="D358" s="104"/>
      <c r="E358" s="104"/>
      <c r="F358" s="104"/>
      <c r="G358" s="104"/>
      <c r="H358" s="104"/>
      <c r="I358" s="104"/>
      <c r="J358" s="104"/>
      <c r="K358" s="105"/>
      <c r="L358" s="106"/>
      <c r="M358" s="104"/>
      <c r="N358" s="104"/>
      <c r="O358" s="104"/>
      <c r="P358" s="104"/>
      <c r="Q358" s="104"/>
      <c r="R358" s="106"/>
      <c r="S358" s="104"/>
      <c r="T358" s="104"/>
      <c r="U358" s="104"/>
      <c r="V358" s="104"/>
      <c r="W358" s="105"/>
      <c r="X358" s="104"/>
      <c r="Y358" s="104"/>
      <c r="Z358" s="104"/>
      <c r="AA358" s="104"/>
      <c r="AB358" s="104"/>
      <c r="AC358" s="104"/>
      <c r="AD358" s="104"/>
      <c r="AE358" s="104"/>
      <c r="AF358" s="104"/>
      <c r="AG358" s="104"/>
      <c r="AH358" s="104"/>
      <c r="AI358" s="104"/>
      <c r="AJ358" s="104"/>
      <c r="AK358" s="104"/>
      <c r="AL358" s="104"/>
      <c r="AM358" s="104"/>
      <c r="AN358" s="104"/>
      <c r="AO358" s="104"/>
      <c r="AP358" s="104"/>
      <c r="AQ358" s="104"/>
      <c r="AR358" s="104"/>
      <c r="AS358" s="104"/>
      <c r="AT358" s="104"/>
      <c r="AU358" s="104"/>
      <c r="AV358" s="104"/>
      <c r="AW358" s="104"/>
      <c r="AX358" s="104"/>
      <c r="AY358" s="104"/>
      <c r="AZ358" s="104"/>
      <c r="BA358" s="104"/>
      <c r="BB358" s="104"/>
      <c r="BC358" s="104"/>
      <c r="BD358" s="104"/>
      <c r="BE358" s="104"/>
      <c r="BF358" s="104"/>
      <c r="BG358" s="104"/>
      <c r="BH358" s="104"/>
      <c r="BI358" s="104"/>
      <c r="BJ358" s="104"/>
      <c r="BK358" s="104"/>
      <c r="BL358" s="104"/>
      <c r="BM358" s="104"/>
      <c r="BN358" s="104"/>
    </row>
    <row r="359">
      <c r="A359" s="104"/>
      <c r="B359" s="104"/>
      <c r="C359" s="104"/>
      <c r="D359" s="104"/>
      <c r="E359" s="104"/>
      <c r="F359" s="104"/>
      <c r="G359" s="104"/>
      <c r="H359" s="104"/>
      <c r="I359" s="104"/>
      <c r="J359" s="104"/>
      <c r="K359" s="105"/>
      <c r="L359" s="106"/>
      <c r="M359" s="104"/>
      <c r="N359" s="104"/>
      <c r="O359" s="104"/>
      <c r="P359" s="104"/>
      <c r="Q359" s="104"/>
      <c r="R359" s="106"/>
      <c r="S359" s="104"/>
      <c r="T359" s="104"/>
      <c r="U359" s="104"/>
      <c r="V359" s="104"/>
      <c r="W359" s="105"/>
      <c r="X359" s="104"/>
      <c r="Y359" s="104"/>
      <c r="Z359" s="104"/>
      <c r="AA359" s="104"/>
      <c r="AB359" s="104"/>
      <c r="AC359" s="104"/>
      <c r="AD359" s="104"/>
      <c r="AE359" s="104"/>
      <c r="AF359" s="104"/>
      <c r="AG359" s="104"/>
      <c r="AH359" s="104"/>
      <c r="AI359" s="104"/>
      <c r="AJ359" s="104"/>
      <c r="AK359" s="104"/>
      <c r="AL359" s="104"/>
      <c r="AM359" s="104"/>
      <c r="AN359" s="104"/>
      <c r="AO359" s="104"/>
      <c r="AP359" s="104"/>
      <c r="AQ359" s="104"/>
      <c r="AR359" s="104"/>
      <c r="AS359" s="104"/>
      <c r="AT359" s="104"/>
      <c r="AU359" s="104"/>
      <c r="AV359" s="104"/>
      <c r="AW359" s="104"/>
      <c r="AX359" s="104"/>
      <c r="AY359" s="104"/>
      <c r="AZ359" s="104"/>
      <c r="BA359" s="104"/>
      <c r="BB359" s="104"/>
      <c r="BC359" s="104"/>
      <c r="BD359" s="104"/>
      <c r="BE359" s="104"/>
      <c r="BF359" s="104"/>
      <c r="BG359" s="104"/>
      <c r="BH359" s="104"/>
      <c r="BI359" s="104"/>
      <c r="BJ359" s="104"/>
      <c r="BK359" s="104"/>
      <c r="BL359" s="104"/>
      <c r="BM359" s="104"/>
      <c r="BN359" s="104"/>
    </row>
    <row r="360">
      <c r="A360" s="104"/>
      <c r="B360" s="104"/>
      <c r="C360" s="104"/>
      <c r="D360" s="104"/>
      <c r="E360" s="104"/>
      <c r="F360" s="104"/>
      <c r="G360" s="104"/>
      <c r="H360" s="104"/>
      <c r="I360" s="104"/>
      <c r="J360" s="104"/>
      <c r="K360" s="105"/>
      <c r="L360" s="106"/>
      <c r="M360" s="104"/>
      <c r="N360" s="104"/>
      <c r="O360" s="104"/>
      <c r="P360" s="104"/>
      <c r="Q360" s="104"/>
      <c r="R360" s="106"/>
      <c r="S360" s="104"/>
      <c r="T360" s="104"/>
      <c r="U360" s="104"/>
      <c r="V360" s="104"/>
      <c r="W360" s="105"/>
      <c r="X360" s="104"/>
      <c r="Y360" s="104"/>
      <c r="Z360" s="104"/>
      <c r="AA360" s="104"/>
      <c r="AB360" s="104"/>
      <c r="AC360" s="104"/>
      <c r="AD360" s="104"/>
      <c r="AE360" s="104"/>
      <c r="AF360" s="104"/>
      <c r="AG360" s="104"/>
      <c r="AH360" s="104"/>
      <c r="AI360" s="104"/>
      <c r="AJ360" s="104"/>
      <c r="AK360" s="104"/>
      <c r="AL360" s="104"/>
      <c r="AM360" s="104"/>
      <c r="AN360" s="104"/>
      <c r="AO360" s="104"/>
      <c r="AP360" s="104"/>
      <c r="AQ360" s="104"/>
      <c r="AR360" s="104"/>
      <c r="AS360" s="104"/>
      <c r="AT360" s="104"/>
      <c r="AU360" s="104"/>
      <c r="AV360" s="104"/>
      <c r="AW360" s="104"/>
      <c r="AX360" s="104"/>
      <c r="AY360" s="104"/>
      <c r="AZ360" s="104"/>
      <c r="BA360" s="104"/>
      <c r="BB360" s="104"/>
      <c r="BC360" s="104"/>
      <c r="BD360" s="104"/>
      <c r="BE360" s="104"/>
      <c r="BF360" s="104"/>
      <c r="BG360" s="104"/>
      <c r="BH360" s="104"/>
      <c r="BI360" s="104"/>
      <c r="BJ360" s="104"/>
      <c r="BK360" s="104"/>
      <c r="BL360" s="104"/>
      <c r="BM360" s="104"/>
      <c r="BN360" s="104"/>
    </row>
    <row r="361">
      <c r="A361" s="104"/>
      <c r="B361" s="104"/>
      <c r="C361" s="104"/>
      <c r="D361" s="104"/>
      <c r="E361" s="104"/>
      <c r="F361" s="104"/>
      <c r="G361" s="104"/>
      <c r="H361" s="104"/>
      <c r="I361" s="104"/>
      <c r="J361" s="104"/>
      <c r="K361" s="105"/>
      <c r="L361" s="106"/>
      <c r="M361" s="104"/>
      <c r="N361" s="104"/>
      <c r="O361" s="104"/>
      <c r="P361" s="104"/>
      <c r="Q361" s="104"/>
      <c r="R361" s="106"/>
      <c r="S361" s="104"/>
      <c r="T361" s="104"/>
      <c r="U361" s="104"/>
      <c r="V361" s="104"/>
      <c r="W361" s="105"/>
      <c r="X361" s="104"/>
      <c r="Y361" s="104"/>
      <c r="Z361" s="104"/>
      <c r="AA361" s="104"/>
      <c r="AB361" s="104"/>
      <c r="AC361" s="104"/>
      <c r="AD361" s="104"/>
      <c r="AE361" s="104"/>
      <c r="AF361" s="104"/>
      <c r="AG361" s="104"/>
      <c r="AH361" s="104"/>
      <c r="AI361" s="104"/>
      <c r="AJ361" s="104"/>
      <c r="AK361" s="104"/>
      <c r="AL361" s="104"/>
      <c r="AM361" s="104"/>
      <c r="AN361" s="104"/>
      <c r="AO361" s="104"/>
      <c r="AP361" s="104"/>
      <c r="AQ361" s="104"/>
      <c r="AR361" s="104"/>
      <c r="AS361" s="104"/>
      <c r="AT361" s="104"/>
      <c r="AU361" s="104"/>
      <c r="AV361" s="104"/>
      <c r="AW361" s="104"/>
      <c r="AX361" s="104"/>
      <c r="AY361" s="104"/>
      <c r="AZ361" s="104"/>
      <c r="BA361" s="104"/>
      <c r="BB361" s="104"/>
      <c r="BC361" s="104"/>
      <c r="BD361" s="104"/>
      <c r="BE361" s="104"/>
      <c r="BF361" s="104"/>
      <c r="BG361" s="104"/>
      <c r="BH361" s="104"/>
      <c r="BI361" s="104"/>
      <c r="BJ361" s="104"/>
      <c r="BK361" s="104"/>
      <c r="BL361" s="104"/>
      <c r="BM361" s="104"/>
      <c r="BN361" s="104"/>
    </row>
    <row r="362">
      <c r="A362" s="104"/>
      <c r="B362" s="104"/>
      <c r="C362" s="104"/>
      <c r="D362" s="104"/>
      <c r="E362" s="104"/>
      <c r="F362" s="104"/>
      <c r="G362" s="104"/>
      <c r="H362" s="104"/>
      <c r="I362" s="104"/>
      <c r="J362" s="104"/>
      <c r="K362" s="105"/>
      <c r="L362" s="106"/>
      <c r="M362" s="104"/>
      <c r="N362" s="104"/>
      <c r="O362" s="104"/>
      <c r="P362" s="104"/>
      <c r="Q362" s="104"/>
      <c r="R362" s="106"/>
      <c r="S362" s="104"/>
      <c r="T362" s="104"/>
      <c r="U362" s="104"/>
      <c r="V362" s="104"/>
      <c r="W362" s="105"/>
      <c r="X362" s="104"/>
      <c r="Y362" s="104"/>
      <c r="Z362" s="104"/>
      <c r="AA362" s="104"/>
      <c r="AB362" s="104"/>
      <c r="AC362" s="104"/>
      <c r="AD362" s="104"/>
      <c r="AE362" s="104"/>
      <c r="AF362" s="104"/>
      <c r="AG362" s="104"/>
      <c r="AH362" s="104"/>
      <c r="AI362" s="104"/>
      <c r="AJ362" s="104"/>
      <c r="AK362" s="104"/>
      <c r="AL362" s="104"/>
      <c r="AM362" s="104"/>
      <c r="AN362" s="104"/>
      <c r="AO362" s="104"/>
      <c r="AP362" s="104"/>
      <c r="AQ362" s="104"/>
      <c r="AR362" s="104"/>
      <c r="AS362" s="104"/>
      <c r="AT362" s="104"/>
      <c r="AU362" s="104"/>
      <c r="AV362" s="104"/>
      <c r="AW362" s="104"/>
      <c r="AX362" s="104"/>
      <c r="AY362" s="104"/>
      <c r="AZ362" s="104"/>
      <c r="BA362" s="104"/>
      <c r="BB362" s="104"/>
      <c r="BC362" s="104"/>
      <c r="BD362" s="104"/>
      <c r="BE362" s="104"/>
      <c r="BF362" s="104"/>
      <c r="BG362" s="104"/>
      <c r="BH362" s="104"/>
      <c r="BI362" s="104"/>
      <c r="BJ362" s="104"/>
      <c r="BK362" s="104"/>
      <c r="BL362" s="104"/>
      <c r="BM362" s="104"/>
      <c r="BN362" s="104"/>
    </row>
    <row r="363">
      <c r="A363" s="104"/>
      <c r="B363" s="104"/>
      <c r="C363" s="104"/>
      <c r="D363" s="104"/>
      <c r="E363" s="104"/>
      <c r="F363" s="104"/>
      <c r="G363" s="104"/>
      <c r="H363" s="104"/>
      <c r="I363" s="104"/>
      <c r="J363" s="104"/>
      <c r="K363" s="105"/>
      <c r="L363" s="106"/>
      <c r="M363" s="104"/>
      <c r="N363" s="104"/>
      <c r="O363" s="104"/>
      <c r="P363" s="104"/>
      <c r="Q363" s="104"/>
      <c r="R363" s="106"/>
      <c r="S363" s="104"/>
      <c r="T363" s="104"/>
      <c r="U363" s="104"/>
      <c r="V363" s="104"/>
      <c r="W363" s="105"/>
      <c r="X363" s="104"/>
      <c r="Y363" s="104"/>
      <c r="Z363" s="104"/>
      <c r="AA363" s="104"/>
      <c r="AB363" s="104"/>
      <c r="AC363" s="104"/>
      <c r="AD363" s="104"/>
      <c r="AE363" s="104"/>
      <c r="AF363" s="104"/>
      <c r="AG363" s="104"/>
      <c r="AH363" s="104"/>
      <c r="AI363" s="104"/>
      <c r="AJ363" s="104"/>
      <c r="AK363" s="104"/>
      <c r="AL363" s="104"/>
      <c r="AM363" s="104"/>
      <c r="AN363" s="104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104"/>
      <c r="BG363" s="104"/>
      <c r="BH363" s="104"/>
      <c r="BI363" s="104"/>
      <c r="BJ363" s="104"/>
      <c r="BK363" s="104"/>
      <c r="BL363" s="104"/>
      <c r="BM363" s="104"/>
      <c r="BN363" s="104"/>
    </row>
    <row r="364">
      <c r="A364" s="104"/>
      <c r="B364" s="104"/>
      <c r="C364" s="104"/>
      <c r="D364" s="104"/>
      <c r="E364" s="104"/>
      <c r="F364" s="104"/>
      <c r="G364" s="104"/>
      <c r="H364" s="104"/>
      <c r="I364" s="104"/>
      <c r="J364" s="104"/>
      <c r="K364" s="105"/>
      <c r="L364" s="106"/>
      <c r="M364" s="104"/>
      <c r="N364" s="104"/>
      <c r="O364" s="104"/>
      <c r="P364" s="104"/>
      <c r="Q364" s="104"/>
      <c r="R364" s="106"/>
      <c r="S364" s="104"/>
      <c r="T364" s="104"/>
      <c r="U364" s="104"/>
      <c r="V364" s="104"/>
      <c r="W364" s="105"/>
      <c r="X364" s="104"/>
      <c r="Y364" s="104"/>
      <c r="Z364" s="104"/>
      <c r="AA364" s="104"/>
      <c r="AB364" s="104"/>
      <c r="AC364" s="104"/>
      <c r="AD364" s="104"/>
      <c r="AE364" s="104"/>
      <c r="AF364" s="104"/>
      <c r="AG364" s="104"/>
      <c r="AH364" s="104"/>
      <c r="AI364" s="104"/>
      <c r="AJ364" s="104"/>
      <c r="AK364" s="104"/>
      <c r="AL364" s="104"/>
      <c r="AM364" s="104"/>
      <c r="AN364" s="104"/>
      <c r="AO364" s="104"/>
      <c r="AP364" s="104"/>
      <c r="AQ364" s="104"/>
      <c r="AR364" s="104"/>
      <c r="AS364" s="104"/>
      <c r="AT364" s="104"/>
      <c r="AU364" s="104"/>
      <c r="AV364" s="104"/>
      <c r="AW364" s="104"/>
      <c r="AX364" s="104"/>
      <c r="AY364" s="104"/>
      <c r="AZ364" s="104"/>
      <c r="BA364" s="104"/>
      <c r="BB364" s="104"/>
      <c r="BC364" s="104"/>
      <c r="BD364" s="104"/>
      <c r="BE364" s="104"/>
      <c r="BF364" s="104"/>
      <c r="BG364" s="104"/>
      <c r="BH364" s="104"/>
      <c r="BI364" s="104"/>
      <c r="BJ364" s="104"/>
      <c r="BK364" s="104"/>
      <c r="BL364" s="104"/>
      <c r="BM364" s="104"/>
      <c r="BN364" s="104"/>
    </row>
    <row r="365">
      <c r="A365" s="104"/>
      <c r="B365" s="104"/>
      <c r="C365" s="104"/>
      <c r="D365" s="104"/>
      <c r="E365" s="104"/>
      <c r="F365" s="104"/>
      <c r="G365" s="104"/>
      <c r="H365" s="104"/>
      <c r="I365" s="104"/>
      <c r="J365" s="104"/>
      <c r="K365" s="105"/>
      <c r="L365" s="106"/>
      <c r="M365" s="104"/>
      <c r="N365" s="104"/>
      <c r="O365" s="104"/>
      <c r="P365" s="104"/>
      <c r="Q365" s="104"/>
      <c r="R365" s="106"/>
      <c r="S365" s="104"/>
      <c r="T365" s="104"/>
      <c r="U365" s="104"/>
      <c r="V365" s="104"/>
      <c r="W365" s="105"/>
      <c r="X365" s="104"/>
      <c r="Y365" s="104"/>
      <c r="Z365" s="104"/>
      <c r="AA365" s="104"/>
      <c r="AB365" s="104"/>
      <c r="AC365" s="104"/>
      <c r="AD365" s="104"/>
      <c r="AE365" s="104"/>
      <c r="AF365" s="104"/>
      <c r="AG365" s="104"/>
      <c r="AH365" s="104"/>
      <c r="AI365" s="104"/>
      <c r="AJ365" s="104"/>
      <c r="AK365" s="104"/>
      <c r="AL365" s="104"/>
      <c r="AM365" s="104"/>
      <c r="AN365" s="104"/>
      <c r="AO365" s="104"/>
      <c r="AP365" s="104"/>
      <c r="AQ365" s="104"/>
      <c r="AR365" s="104"/>
      <c r="AS365" s="104"/>
      <c r="AT365" s="104"/>
      <c r="AU365" s="104"/>
      <c r="AV365" s="104"/>
      <c r="AW365" s="104"/>
      <c r="AX365" s="104"/>
      <c r="AY365" s="104"/>
      <c r="AZ365" s="104"/>
      <c r="BA365" s="104"/>
      <c r="BB365" s="104"/>
      <c r="BC365" s="104"/>
      <c r="BD365" s="104"/>
      <c r="BE365" s="104"/>
      <c r="BF365" s="104"/>
      <c r="BG365" s="104"/>
      <c r="BH365" s="104"/>
      <c r="BI365" s="104"/>
      <c r="BJ365" s="104"/>
      <c r="BK365" s="104"/>
      <c r="BL365" s="104"/>
      <c r="BM365" s="104"/>
      <c r="BN365" s="104"/>
    </row>
    <row r="366">
      <c r="A366" s="104"/>
      <c r="B366" s="104"/>
      <c r="C366" s="104"/>
      <c r="D366" s="104"/>
      <c r="E366" s="104"/>
      <c r="F366" s="104"/>
      <c r="G366" s="104"/>
      <c r="H366" s="104"/>
      <c r="I366" s="104"/>
      <c r="J366" s="104"/>
      <c r="K366" s="105"/>
      <c r="L366" s="106"/>
      <c r="M366" s="104"/>
      <c r="N366" s="104"/>
      <c r="O366" s="104"/>
      <c r="P366" s="104"/>
      <c r="Q366" s="104"/>
      <c r="R366" s="106"/>
      <c r="S366" s="104"/>
      <c r="T366" s="104"/>
      <c r="U366" s="104"/>
      <c r="V366" s="104"/>
      <c r="W366" s="105"/>
      <c r="X366" s="104"/>
      <c r="Y366" s="104"/>
      <c r="Z366" s="104"/>
      <c r="AA366" s="104"/>
      <c r="AB366" s="104"/>
      <c r="AC366" s="104"/>
      <c r="AD366" s="104"/>
      <c r="AE366" s="104"/>
      <c r="AF366" s="104"/>
      <c r="AG366" s="104"/>
      <c r="AH366" s="104"/>
      <c r="AI366" s="104"/>
      <c r="AJ366" s="104"/>
      <c r="AK366" s="104"/>
      <c r="AL366" s="104"/>
      <c r="AM366" s="104"/>
      <c r="AN366" s="104"/>
      <c r="AO366" s="104"/>
      <c r="AP366" s="104"/>
      <c r="AQ366" s="104"/>
      <c r="AR366" s="104"/>
      <c r="AS366" s="104"/>
      <c r="AT366" s="104"/>
      <c r="AU366" s="104"/>
      <c r="AV366" s="104"/>
      <c r="AW366" s="104"/>
      <c r="AX366" s="104"/>
      <c r="AY366" s="104"/>
      <c r="AZ366" s="104"/>
      <c r="BA366" s="104"/>
      <c r="BB366" s="104"/>
      <c r="BC366" s="104"/>
      <c r="BD366" s="104"/>
      <c r="BE366" s="104"/>
      <c r="BF366" s="104"/>
      <c r="BG366" s="104"/>
      <c r="BH366" s="104"/>
      <c r="BI366" s="104"/>
      <c r="BJ366" s="104"/>
      <c r="BK366" s="104"/>
      <c r="BL366" s="104"/>
      <c r="BM366" s="104"/>
      <c r="BN366" s="104"/>
    </row>
    <row r="367">
      <c r="A367" s="104"/>
      <c r="B367" s="104"/>
      <c r="C367" s="104"/>
      <c r="D367" s="104"/>
      <c r="E367" s="104"/>
      <c r="F367" s="104"/>
      <c r="G367" s="104"/>
      <c r="H367" s="104"/>
      <c r="I367" s="104"/>
      <c r="J367" s="104"/>
      <c r="K367" s="105"/>
      <c r="L367" s="106"/>
      <c r="M367" s="104"/>
      <c r="N367" s="104"/>
      <c r="O367" s="104"/>
      <c r="P367" s="104"/>
      <c r="Q367" s="104"/>
      <c r="R367" s="106"/>
      <c r="S367" s="104"/>
      <c r="T367" s="104"/>
      <c r="U367" s="104"/>
      <c r="V367" s="104"/>
      <c r="W367" s="105"/>
      <c r="X367" s="104"/>
      <c r="Y367" s="104"/>
      <c r="Z367" s="104"/>
      <c r="AA367" s="104"/>
      <c r="AB367" s="104"/>
      <c r="AC367" s="104"/>
      <c r="AD367" s="104"/>
      <c r="AE367" s="104"/>
      <c r="AF367" s="104"/>
      <c r="AG367" s="104"/>
      <c r="AH367" s="104"/>
      <c r="AI367" s="104"/>
      <c r="AJ367" s="104"/>
      <c r="AK367" s="104"/>
      <c r="AL367" s="104"/>
      <c r="AM367" s="104"/>
      <c r="AN367" s="104"/>
      <c r="AO367" s="104"/>
      <c r="AP367" s="104"/>
      <c r="AQ367" s="104"/>
      <c r="AR367" s="104"/>
      <c r="AS367" s="104"/>
      <c r="AT367" s="104"/>
      <c r="AU367" s="104"/>
      <c r="AV367" s="104"/>
      <c r="AW367" s="104"/>
      <c r="AX367" s="104"/>
      <c r="AY367" s="104"/>
      <c r="AZ367" s="104"/>
      <c r="BA367" s="104"/>
      <c r="BB367" s="104"/>
      <c r="BC367" s="104"/>
      <c r="BD367" s="104"/>
      <c r="BE367" s="104"/>
      <c r="BF367" s="104"/>
      <c r="BG367" s="104"/>
      <c r="BH367" s="104"/>
      <c r="BI367" s="104"/>
      <c r="BJ367" s="104"/>
      <c r="BK367" s="104"/>
      <c r="BL367" s="104"/>
      <c r="BM367" s="104"/>
      <c r="BN367" s="104"/>
    </row>
    <row r="368">
      <c r="A368" s="104"/>
      <c r="B368" s="104"/>
      <c r="C368" s="104"/>
      <c r="D368" s="104"/>
      <c r="E368" s="104"/>
      <c r="F368" s="104"/>
      <c r="G368" s="104"/>
      <c r="H368" s="104"/>
      <c r="I368" s="104"/>
      <c r="J368" s="104"/>
      <c r="K368" s="105"/>
      <c r="L368" s="106"/>
      <c r="M368" s="104"/>
      <c r="N368" s="104"/>
      <c r="O368" s="104"/>
      <c r="P368" s="104"/>
      <c r="Q368" s="104"/>
      <c r="R368" s="106"/>
      <c r="S368" s="104"/>
      <c r="T368" s="104"/>
      <c r="U368" s="104"/>
      <c r="V368" s="104"/>
      <c r="W368" s="105"/>
      <c r="X368" s="104"/>
      <c r="Y368" s="104"/>
      <c r="Z368" s="104"/>
      <c r="AA368" s="104"/>
      <c r="AB368" s="104"/>
      <c r="AC368" s="104"/>
      <c r="AD368" s="104"/>
      <c r="AE368" s="104"/>
      <c r="AF368" s="104"/>
      <c r="AG368" s="104"/>
      <c r="AH368" s="104"/>
      <c r="AI368" s="104"/>
      <c r="AJ368" s="104"/>
      <c r="AK368" s="104"/>
      <c r="AL368" s="104"/>
      <c r="AM368" s="104"/>
      <c r="AN368" s="104"/>
      <c r="AO368" s="104"/>
      <c r="AP368" s="104"/>
      <c r="AQ368" s="104"/>
      <c r="AR368" s="104"/>
      <c r="AS368" s="104"/>
      <c r="AT368" s="104"/>
      <c r="AU368" s="104"/>
      <c r="AV368" s="104"/>
      <c r="AW368" s="104"/>
      <c r="AX368" s="104"/>
      <c r="AY368" s="104"/>
      <c r="AZ368" s="104"/>
      <c r="BA368" s="104"/>
      <c r="BB368" s="104"/>
      <c r="BC368" s="104"/>
      <c r="BD368" s="104"/>
      <c r="BE368" s="104"/>
      <c r="BF368" s="104"/>
      <c r="BG368" s="104"/>
      <c r="BH368" s="104"/>
      <c r="BI368" s="104"/>
      <c r="BJ368" s="104"/>
      <c r="BK368" s="104"/>
      <c r="BL368" s="104"/>
      <c r="BM368" s="104"/>
      <c r="BN368" s="104"/>
    </row>
    <row r="369">
      <c r="A369" s="104"/>
      <c r="B369" s="104"/>
      <c r="C369" s="104"/>
      <c r="D369" s="104"/>
      <c r="E369" s="104"/>
      <c r="F369" s="104"/>
      <c r="G369" s="104"/>
      <c r="H369" s="104"/>
      <c r="I369" s="104"/>
      <c r="J369" s="104"/>
      <c r="K369" s="105"/>
      <c r="L369" s="106"/>
      <c r="M369" s="104"/>
      <c r="N369" s="104"/>
      <c r="O369" s="104"/>
      <c r="P369" s="104"/>
      <c r="Q369" s="104"/>
      <c r="R369" s="106"/>
      <c r="S369" s="104"/>
      <c r="T369" s="104"/>
      <c r="U369" s="104"/>
      <c r="V369" s="104"/>
      <c r="W369" s="105"/>
      <c r="X369" s="104"/>
      <c r="Y369" s="104"/>
      <c r="Z369" s="104"/>
      <c r="AA369" s="104"/>
      <c r="AB369" s="104"/>
      <c r="AC369" s="104"/>
      <c r="AD369" s="104"/>
      <c r="AE369" s="104"/>
      <c r="AF369" s="104"/>
      <c r="AG369" s="104"/>
      <c r="AH369" s="104"/>
      <c r="AI369" s="104"/>
      <c r="AJ369" s="104"/>
      <c r="AK369" s="104"/>
      <c r="AL369" s="104"/>
      <c r="AM369" s="104"/>
      <c r="AN369" s="104"/>
      <c r="AO369" s="104"/>
      <c r="AP369" s="104"/>
      <c r="AQ369" s="104"/>
      <c r="AR369" s="104"/>
      <c r="AS369" s="104"/>
      <c r="AT369" s="104"/>
      <c r="AU369" s="104"/>
      <c r="AV369" s="104"/>
      <c r="AW369" s="104"/>
      <c r="AX369" s="104"/>
      <c r="AY369" s="104"/>
      <c r="AZ369" s="104"/>
      <c r="BA369" s="104"/>
      <c r="BB369" s="104"/>
      <c r="BC369" s="104"/>
      <c r="BD369" s="104"/>
      <c r="BE369" s="104"/>
      <c r="BF369" s="104"/>
      <c r="BG369" s="104"/>
      <c r="BH369" s="104"/>
      <c r="BI369" s="104"/>
      <c r="BJ369" s="104"/>
      <c r="BK369" s="104"/>
      <c r="BL369" s="104"/>
      <c r="BM369" s="104"/>
      <c r="BN369" s="104"/>
    </row>
    <row r="370">
      <c r="A370" s="104"/>
      <c r="B370" s="104"/>
      <c r="C370" s="104"/>
      <c r="D370" s="104"/>
      <c r="E370" s="104"/>
      <c r="F370" s="104"/>
      <c r="G370" s="104"/>
      <c r="H370" s="104"/>
      <c r="I370" s="104"/>
      <c r="J370" s="104"/>
      <c r="K370" s="105"/>
      <c r="L370" s="106"/>
      <c r="M370" s="104"/>
      <c r="N370" s="104"/>
      <c r="O370" s="104"/>
      <c r="P370" s="104"/>
      <c r="Q370" s="104"/>
      <c r="R370" s="106"/>
      <c r="S370" s="104"/>
      <c r="T370" s="104"/>
      <c r="U370" s="104"/>
      <c r="V370" s="104"/>
      <c r="W370" s="105"/>
      <c r="X370" s="104"/>
      <c r="Y370" s="104"/>
      <c r="Z370" s="104"/>
      <c r="AA370" s="104"/>
      <c r="AB370" s="104"/>
      <c r="AC370" s="104"/>
      <c r="AD370" s="104"/>
      <c r="AE370" s="104"/>
      <c r="AF370" s="104"/>
      <c r="AG370" s="104"/>
      <c r="AH370" s="104"/>
      <c r="AI370" s="104"/>
      <c r="AJ370" s="104"/>
      <c r="AK370" s="104"/>
      <c r="AL370" s="104"/>
      <c r="AM370" s="104"/>
      <c r="AN370" s="104"/>
      <c r="AO370" s="104"/>
      <c r="AP370" s="104"/>
      <c r="AQ370" s="104"/>
      <c r="AR370" s="104"/>
      <c r="AS370" s="104"/>
      <c r="AT370" s="104"/>
      <c r="AU370" s="104"/>
      <c r="AV370" s="104"/>
      <c r="AW370" s="104"/>
      <c r="AX370" s="104"/>
      <c r="AY370" s="104"/>
      <c r="AZ370" s="104"/>
      <c r="BA370" s="104"/>
      <c r="BB370" s="104"/>
      <c r="BC370" s="104"/>
      <c r="BD370" s="104"/>
      <c r="BE370" s="104"/>
      <c r="BF370" s="104"/>
      <c r="BG370" s="104"/>
      <c r="BH370" s="104"/>
      <c r="BI370" s="104"/>
      <c r="BJ370" s="104"/>
      <c r="BK370" s="104"/>
      <c r="BL370" s="104"/>
      <c r="BM370" s="104"/>
      <c r="BN370" s="104"/>
    </row>
    <row r="371">
      <c r="A371" s="104"/>
      <c r="B371" s="104"/>
      <c r="C371" s="104"/>
      <c r="D371" s="104"/>
      <c r="E371" s="104"/>
      <c r="F371" s="104"/>
      <c r="G371" s="104"/>
      <c r="H371" s="104"/>
      <c r="I371" s="104"/>
      <c r="J371" s="104"/>
      <c r="K371" s="105"/>
      <c r="L371" s="106"/>
      <c r="M371" s="104"/>
      <c r="N371" s="104"/>
      <c r="O371" s="104"/>
      <c r="P371" s="104"/>
      <c r="Q371" s="104"/>
      <c r="R371" s="106"/>
      <c r="S371" s="104"/>
      <c r="T371" s="104"/>
      <c r="U371" s="104"/>
      <c r="V371" s="104"/>
      <c r="W371" s="105"/>
      <c r="X371" s="104"/>
      <c r="Y371" s="104"/>
      <c r="Z371" s="104"/>
      <c r="AA371" s="104"/>
      <c r="AB371" s="104"/>
      <c r="AC371" s="104"/>
      <c r="AD371" s="104"/>
      <c r="AE371" s="104"/>
      <c r="AF371" s="104"/>
      <c r="AG371" s="104"/>
      <c r="AH371" s="104"/>
      <c r="AI371" s="104"/>
      <c r="AJ371" s="104"/>
      <c r="AK371" s="104"/>
      <c r="AL371" s="104"/>
      <c r="AM371" s="104"/>
      <c r="AN371" s="104"/>
      <c r="AO371" s="104"/>
      <c r="AP371" s="104"/>
      <c r="AQ371" s="104"/>
      <c r="AR371" s="104"/>
      <c r="AS371" s="104"/>
      <c r="AT371" s="104"/>
      <c r="AU371" s="104"/>
      <c r="AV371" s="104"/>
      <c r="AW371" s="104"/>
      <c r="AX371" s="104"/>
      <c r="AY371" s="104"/>
      <c r="AZ371" s="104"/>
      <c r="BA371" s="104"/>
      <c r="BB371" s="104"/>
      <c r="BC371" s="104"/>
      <c r="BD371" s="104"/>
      <c r="BE371" s="104"/>
      <c r="BF371" s="104"/>
      <c r="BG371" s="104"/>
      <c r="BH371" s="104"/>
      <c r="BI371" s="104"/>
      <c r="BJ371" s="104"/>
      <c r="BK371" s="104"/>
      <c r="BL371" s="104"/>
      <c r="BM371" s="104"/>
      <c r="BN371" s="104"/>
    </row>
    <row r="372">
      <c r="A372" s="104"/>
      <c r="B372" s="104"/>
      <c r="C372" s="104"/>
      <c r="D372" s="104"/>
      <c r="E372" s="104"/>
      <c r="F372" s="104"/>
      <c r="G372" s="104"/>
      <c r="H372" s="104"/>
      <c r="I372" s="104"/>
      <c r="J372" s="104"/>
      <c r="K372" s="105"/>
      <c r="L372" s="106"/>
      <c r="M372" s="104"/>
      <c r="N372" s="104"/>
      <c r="O372" s="104"/>
      <c r="P372" s="104"/>
      <c r="Q372" s="104"/>
      <c r="R372" s="106"/>
      <c r="S372" s="104"/>
      <c r="T372" s="104"/>
      <c r="U372" s="104"/>
      <c r="V372" s="104"/>
      <c r="W372" s="105"/>
      <c r="X372" s="104"/>
      <c r="Y372" s="104"/>
      <c r="Z372" s="104"/>
      <c r="AA372" s="104"/>
      <c r="AB372" s="104"/>
      <c r="AC372" s="104"/>
      <c r="AD372" s="104"/>
      <c r="AE372" s="104"/>
      <c r="AF372" s="104"/>
      <c r="AG372" s="104"/>
      <c r="AH372" s="104"/>
      <c r="AI372" s="104"/>
      <c r="AJ372" s="104"/>
      <c r="AK372" s="104"/>
      <c r="AL372" s="104"/>
      <c r="AM372" s="104"/>
      <c r="AN372" s="104"/>
      <c r="AO372" s="104"/>
      <c r="AP372" s="104"/>
      <c r="AQ372" s="104"/>
      <c r="AR372" s="104"/>
      <c r="AS372" s="104"/>
      <c r="AT372" s="104"/>
      <c r="AU372" s="104"/>
      <c r="AV372" s="104"/>
      <c r="AW372" s="104"/>
      <c r="AX372" s="104"/>
      <c r="AY372" s="104"/>
      <c r="AZ372" s="104"/>
      <c r="BA372" s="104"/>
      <c r="BB372" s="104"/>
      <c r="BC372" s="104"/>
      <c r="BD372" s="104"/>
      <c r="BE372" s="104"/>
      <c r="BF372" s="104"/>
      <c r="BG372" s="104"/>
      <c r="BH372" s="104"/>
      <c r="BI372" s="104"/>
      <c r="BJ372" s="104"/>
      <c r="BK372" s="104"/>
      <c r="BL372" s="104"/>
      <c r="BM372" s="104"/>
      <c r="BN372" s="104"/>
    </row>
    <row r="373">
      <c r="A373" s="104"/>
      <c r="B373" s="104"/>
      <c r="C373" s="104"/>
      <c r="D373" s="104"/>
      <c r="E373" s="104"/>
      <c r="F373" s="104"/>
      <c r="G373" s="104"/>
      <c r="H373" s="104"/>
      <c r="I373" s="104"/>
      <c r="J373" s="104"/>
      <c r="K373" s="105"/>
      <c r="L373" s="106"/>
      <c r="M373" s="104"/>
      <c r="N373" s="104"/>
      <c r="O373" s="104"/>
      <c r="P373" s="104"/>
      <c r="Q373" s="104"/>
      <c r="R373" s="106"/>
      <c r="S373" s="104"/>
      <c r="T373" s="104"/>
      <c r="U373" s="104"/>
      <c r="V373" s="104"/>
      <c r="W373" s="105"/>
      <c r="X373" s="104"/>
      <c r="Y373" s="104"/>
      <c r="Z373" s="104"/>
      <c r="AA373" s="104"/>
      <c r="AB373" s="104"/>
      <c r="AC373" s="104"/>
      <c r="AD373" s="104"/>
      <c r="AE373" s="104"/>
      <c r="AF373" s="104"/>
      <c r="AG373" s="104"/>
      <c r="AH373" s="104"/>
      <c r="AI373" s="104"/>
      <c r="AJ373" s="104"/>
      <c r="AK373" s="104"/>
      <c r="AL373" s="104"/>
      <c r="AM373" s="104"/>
      <c r="AN373" s="104"/>
      <c r="AO373" s="104"/>
      <c r="AP373" s="104"/>
      <c r="AQ373" s="104"/>
      <c r="AR373" s="104"/>
      <c r="AS373" s="104"/>
      <c r="AT373" s="104"/>
      <c r="AU373" s="104"/>
      <c r="AV373" s="104"/>
      <c r="AW373" s="104"/>
      <c r="AX373" s="104"/>
      <c r="AY373" s="104"/>
      <c r="AZ373" s="104"/>
      <c r="BA373" s="104"/>
      <c r="BB373" s="104"/>
      <c r="BC373" s="104"/>
      <c r="BD373" s="104"/>
      <c r="BE373" s="104"/>
      <c r="BF373" s="104"/>
      <c r="BG373" s="104"/>
      <c r="BH373" s="104"/>
      <c r="BI373" s="104"/>
      <c r="BJ373" s="104"/>
      <c r="BK373" s="104"/>
      <c r="BL373" s="104"/>
      <c r="BM373" s="104"/>
      <c r="BN373" s="104"/>
    </row>
    <row r="374">
      <c r="A374" s="104"/>
      <c r="B374" s="104"/>
      <c r="C374" s="104"/>
      <c r="D374" s="104"/>
      <c r="E374" s="104"/>
      <c r="F374" s="104"/>
      <c r="G374" s="104"/>
      <c r="H374" s="104"/>
      <c r="I374" s="104"/>
      <c r="J374" s="104"/>
      <c r="K374" s="105"/>
      <c r="L374" s="106"/>
      <c r="M374" s="104"/>
      <c r="N374" s="104"/>
      <c r="O374" s="104"/>
      <c r="P374" s="104"/>
      <c r="Q374" s="104"/>
      <c r="R374" s="106"/>
      <c r="S374" s="104"/>
      <c r="T374" s="104"/>
      <c r="U374" s="104"/>
      <c r="V374" s="104"/>
      <c r="W374" s="105"/>
      <c r="X374" s="104"/>
      <c r="Y374" s="104"/>
      <c r="Z374" s="104"/>
      <c r="AA374" s="104"/>
      <c r="AB374" s="104"/>
      <c r="AC374" s="104"/>
      <c r="AD374" s="104"/>
      <c r="AE374" s="104"/>
      <c r="AF374" s="104"/>
      <c r="AG374" s="104"/>
      <c r="AH374" s="104"/>
      <c r="AI374" s="104"/>
      <c r="AJ374" s="104"/>
      <c r="AK374" s="104"/>
      <c r="AL374" s="104"/>
      <c r="AM374" s="104"/>
      <c r="AN374" s="104"/>
      <c r="AO374" s="104"/>
      <c r="AP374" s="104"/>
      <c r="AQ374" s="104"/>
      <c r="AR374" s="104"/>
      <c r="AS374" s="104"/>
      <c r="AT374" s="104"/>
      <c r="AU374" s="104"/>
      <c r="AV374" s="104"/>
      <c r="AW374" s="104"/>
      <c r="AX374" s="104"/>
      <c r="AY374" s="104"/>
      <c r="AZ374" s="104"/>
      <c r="BA374" s="104"/>
      <c r="BB374" s="104"/>
      <c r="BC374" s="104"/>
      <c r="BD374" s="104"/>
      <c r="BE374" s="104"/>
      <c r="BF374" s="104"/>
      <c r="BG374" s="104"/>
      <c r="BH374" s="104"/>
      <c r="BI374" s="104"/>
      <c r="BJ374" s="104"/>
      <c r="BK374" s="104"/>
      <c r="BL374" s="104"/>
      <c r="BM374" s="104"/>
      <c r="BN374" s="104"/>
    </row>
    <row r="375">
      <c r="A375" s="104"/>
      <c r="B375" s="104"/>
      <c r="C375" s="104"/>
      <c r="D375" s="104"/>
      <c r="E375" s="104"/>
      <c r="F375" s="104"/>
      <c r="G375" s="104"/>
      <c r="H375" s="104"/>
      <c r="I375" s="104"/>
      <c r="J375" s="104"/>
      <c r="K375" s="105"/>
      <c r="L375" s="106"/>
      <c r="M375" s="104"/>
      <c r="N375" s="104"/>
      <c r="O375" s="104"/>
      <c r="P375" s="104"/>
      <c r="Q375" s="104"/>
      <c r="R375" s="106"/>
      <c r="S375" s="104"/>
      <c r="T375" s="104"/>
      <c r="U375" s="104"/>
      <c r="V375" s="104"/>
      <c r="W375" s="105"/>
      <c r="X375" s="104"/>
      <c r="Y375" s="104"/>
      <c r="Z375" s="104"/>
      <c r="AA375" s="104"/>
      <c r="AB375" s="104"/>
      <c r="AC375" s="104"/>
      <c r="AD375" s="104"/>
      <c r="AE375" s="104"/>
      <c r="AF375" s="104"/>
      <c r="AG375" s="104"/>
      <c r="AH375" s="104"/>
      <c r="AI375" s="104"/>
      <c r="AJ375" s="104"/>
      <c r="AK375" s="104"/>
      <c r="AL375" s="104"/>
      <c r="AM375" s="104"/>
      <c r="AN375" s="104"/>
      <c r="AO375" s="104"/>
      <c r="AP375" s="104"/>
      <c r="AQ375" s="104"/>
      <c r="AR375" s="104"/>
      <c r="AS375" s="104"/>
      <c r="AT375" s="104"/>
      <c r="AU375" s="104"/>
      <c r="AV375" s="104"/>
      <c r="AW375" s="104"/>
      <c r="AX375" s="104"/>
      <c r="AY375" s="104"/>
      <c r="AZ375" s="104"/>
      <c r="BA375" s="104"/>
      <c r="BB375" s="104"/>
      <c r="BC375" s="104"/>
      <c r="BD375" s="104"/>
      <c r="BE375" s="104"/>
      <c r="BF375" s="104"/>
      <c r="BG375" s="104"/>
      <c r="BH375" s="104"/>
      <c r="BI375" s="104"/>
      <c r="BJ375" s="104"/>
      <c r="BK375" s="104"/>
      <c r="BL375" s="104"/>
      <c r="BM375" s="104"/>
      <c r="BN375" s="104"/>
    </row>
    <row r="376">
      <c r="A376" s="104"/>
      <c r="B376" s="104"/>
      <c r="C376" s="104"/>
      <c r="D376" s="104"/>
      <c r="E376" s="104"/>
      <c r="F376" s="104"/>
      <c r="G376" s="104"/>
      <c r="H376" s="104"/>
      <c r="I376" s="104"/>
      <c r="J376" s="104"/>
      <c r="K376" s="105"/>
      <c r="L376" s="106"/>
      <c r="M376" s="104"/>
      <c r="N376" s="104"/>
      <c r="O376" s="104"/>
      <c r="P376" s="104"/>
      <c r="Q376" s="104"/>
      <c r="R376" s="106"/>
      <c r="S376" s="104"/>
      <c r="T376" s="104"/>
      <c r="U376" s="104"/>
      <c r="V376" s="104"/>
      <c r="W376" s="105"/>
      <c r="X376" s="104"/>
      <c r="Y376" s="104"/>
      <c r="Z376" s="104"/>
      <c r="AA376" s="104"/>
      <c r="AB376" s="104"/>
      <c r="AC376" s="104"/>
      <c r="AD376" s="104"/>
      <c r="AE376" s="104"/>
      <c r="AF376" s="104"/>
      <c r="AG376" s="104"/>
      <c r="AH376" s="104"/>
      <c r="AI376" s="104"/>
      <c r="AJ376" s="104"/>
      <c r="AK376" s="104"/>
      <c r="AL376" s="104"/>
      <c r="AM376" s="104"/>
      <c r="AN376" s="104"/>
      <c r="AO376" s="104"/>
      <c r="AP376" s="104"/>
      <c r="AQ376" s="104"/>
      <c r="AR376" s="104"/>
      <c r="AS376" s="104"/>
      <c r="AT376" s="104"/>
      <c r="AU376" s="104"/>
      <c r="AV376" s="104"/>
      <c r="AW376" s="104"/>
      <c r="AX376" s="104"/>
      <c r="AY376" s="104"/>
      <c r="AZ376" s="104"/>
      <c r="BA376" s="104"/>
      <c r="BB376" s="104"/>
      <c r="BC376" s="104"/>
      <c r="BD376" s="104"/>
      <c r="BE376" s="104"/>
      <c r="BF376" s="104"/>
      <c r="BG376" s="104"/>
      <c r="BH376" s="104"/>
      <c r="BI376" s="104"/>
      <c r="BJ376" s="104"/>
      <c r="BK376" s="104"/>
      <c r="BL376" s="104"/>
      <c r="BM376" s="104"/>
      <c r="BN376" s="104"/>
    </row>
    <row r="377">
      <c r="A377" s="104"/>
      <c r="B377" s="104"/>
      <c r="C377" s="104"/>
      <c r="D377" s="104"/>
      <c r="E377" s="104"/>
      <c r="F377" s="104"/>
      <c r="G377" s="104"/>
      <c r="H377" s="104"/>
      <c r="I377" s="104"/>
      <c r="J377" s="104"/>
      <c r="K377" s="105"/>
      <c r="L377" s="106"/>
      <c r="M377" s="104"/>
      <c r="N377" s="104"/>
      <c r="O377" s="104"/>
      <c r="P377" s="104"/>
      <c r="Q377" s="104"/>
      <c r="R377" s="106"/>
      <c r="S377" s="104"/>
      <c r="T377" s="104"/>
      <c r="U377" s="104"/>
      <c r="V377" s="104"/>
      <c r="W377" s="105"/>
      <c r="X377" s="104"/>
      <c r="Y377" s="104"/>
      <c r="Z377" s="104"/>
      <c r="AA377" s="104"/>
      <c r="AB377" s="104"/>
      <c r="AC377" s="104"/>
      <c r="AD377" s="104"/>
      <c r="AE377" s="104"/>
      <c r="AF377" s="104"/>
      <c r="AG377" s="104"/>
      <c r="AH377" s="104"/>
      <c r="AI377" s="104"/>
      <c r="AJ377" s="104"/>
      <c r="AK377" s="104"/>
      <c r="AL377" s="104"/>
      <c r="AM377" s="104"/>
      <c r="AN377" s="104"/>
      <c r="AO377" s="104"/>
      <c r="AP377" s="104"/>
      <c r="AQ377" s="104"/>
      <c r="AR377" s="104"/>
      <c r="AS377" s="104"/>
      <c r="AT377" s="104"/>
      <c r="AU377" s="104"/>
      <c r="AV377" s="104"/>
      <c r="AW377" s="104"/>
      <c r="AX377" s="104"/>
      <c r="AY377" s="104"/>
      <c r="AZ377" s="104"/>
      <c r="BA377" s="104"/>
      <c r="BB377" s="104"/>
      <c r="BC377" s="104"/>
      <c r="BD377" s="104"/>
      <c r="BE377" s="104"/>
      <c r="BF377" s="104"/>
      <c r="BG377" s="104"/>
      <c r="BH377" s="104"/>
      <c r="BI377" s="104"/>
      <c r="BJ377" s="104"/>
      <c r="BK377" s="104"/>
      <c r="BL377" s="104"/>
      <c r="BM377" s="104"/>
      <c r="BN377" s="104"/>
    </row>
    <row r="378">
      <c r="A378" s="104"/>
      <c r="B378" s="104"/>
      <c r="C378" s="104"/>
      <c r="D378" s="104"/>
      <c r="E378" s="104"/>
      <c r="F378" s="104"/>
      <c r="G378" s="104"/>
      <c r="H378" s="104"/>
      <c r="I378" s="104"/>
      <c r="J378" s="104"/>
      <c r="K378" s="105"/>
      <c r="L378" s="106"/>
      <c r="M378" s="104"/>
      <c r="N378" s="104"/>
      <c r="O378" s="104"/>
      <c r="P378" s="104"/>
      <c r="Q378" s="104"/>
      <c r="R378" s="106"/>
      <c r="S378" s="104"/>
      <c r="T378" s="104"/>
      <c r="U378" s="104"/>
      <c r="V378" s="104"/>
      <c r="W378" s="105"/>
      <c r="X378" s="104"/>
      <c r="Y378" s="104"/>
      <c r="Z378" s="104"/>
      <c r="AA378" s="104"/>
      <c r="AB378" s="104"/>
      <c r="AC378" s="104"/>
      <c r="AD378" s="104"/>
      <c r="AE378" s="104"/>
      <c r="AF378" s="104"/>
      <c r="AG378" s="104"/>
      <c r="AH378" s="104"/>
      <c r="AI378" s="104"/>
      <c r="AJ378" s="104"/>
      <c r="AK378" s="104"/>
      <c r="AL378" s="104"/>
      <c r="AM378" s="104"/>
      <c r="AN378" s="104"/>
      <c r="AO378" s="104"/>
      <c r="AP378" s="104"/>
      <c r="AQ378" s="104"/>
      <c r="AR378" s="104"/>
      <c r="AS378" s="104"/>
      <c r="AT378" s="104"/>
      <c r="AU378" s="104"/>
      <c r="AV378" s="104"/>
      <c r="AW378" s="104"/>
      <c r="AX378" s="104"/>
      <c r="AY378" s="104"/>
      <c r="AZ378" s="104"/>
      <c r="BA378" s="104"/>
      <c r="BB378" s="104"/>
      <c r="BC378" s="104"/>
      <c r="BD378" s="104"/>
      <c r="BE378" s="104"/>
      <c r="BF378" s="104"/>
      <c r="BG378" s="104"/>
      <c r="BH378" s="104"/>
      <c r="BI378" s="104"/>
      <c r="BJ378" s="104"/>
      <c r="BK378" s="104"/>
      <c r="BL378" s="104"/>
      <c r="BM378" s="104"/>
      <c r="BN378" s="104"/>
    </row>
    <row r="379">
      <c r="A379" s="104"/>
      <c r="B379" s="104"/>
      <c r="C379" s="104"/>
      <c r="D379" s="104"/>
      <c r="E379" s="104"/>
      <c r="F379" s="104"/>
      <c r="G379" s="104"/>
      <c r="H379" s="104"/>
      <c r="I379" s="104"/>
      <c r="J379" s="104"/>
      <c r="K379" s="105"/>
      <c r="L379" s="106"/>
      <c r="M379" s="104"/>
      <c r="N379" s="104"/>
      <c r="O379" s="104"/>
      <c r="P379" s="104"/>
      <c r="Q379" s="104"/>
      <c r="R379" s="106"/>
      <c r="S379" s="104"/>
      <c r="T379" s="104"/>
      <c r="U379" s="104"/>
      <c r="V379" s="104"/>
      <c r="W379" s="105"/>
      <c r="X379" s="104"/>
      <c r="Y379" s="104"/>
      <c r="Z379" s="104"/>
      <c r="AA379" s="104"/>
      <c r="AB379" s="104"/>
      <c r="AC379" s="104"/>
      <c r="AD379" s="104"/>
      <c r="AE379" s="104"/>
      <c r="AF379" s="104"/>
      <c r="AG379" s="104"/>
      <c r="AH379" s="104"/>
      <c r="AI379" s="104"/>
      <c r="AJ379" s="104"/>
      <c r="AK379" s="104"/>
      <c r="AL379" s="104"/>
      <c r="AM379" s="104"/>
      <c r="AN379" s="104"/>
      <c r="AO379" s="104"/>
      <c r="AP379" s="104"/>
      <c r="AQ379" s="104"/>
      <c r="AR379" s="104"/>
      <c r="AS379" s="104"/>
      <c r="AT379" s="104"/>
      <c r="AU379" s="104"/>
      <c r="AV379" s="104"/>
      <c r="AW379" s="104"/>
      <c r="AX379" s="104"/>
      <c r="AY379" s="104"/>
      <c r="AZ379" s="104"/>
      <c r="BA379" s="104"/>
      <c r="BB379" s="104"/>
      <c r="BC379" s="104"/>
      <c r="BD379" s="104"/>
      <c r="BE379" s="104"/>
      <c r="BF379" s="104"/>
      <c r="BG379" s="104"/>
      <c r="BH379" s="104"/>
      <c r="BI379" s="104"/>
      <c r="BJ379" s="104"/>
      <c r="BK379" s="104"/>
      <c r="BL379" s="104"/>
      <c r="BM379" s="104"/>
      <c r="BN379" s="104"/>
    </row>
    <row r="380">
      <c r="A380" s="104"/>
      <c r="B380" s="104"/>
      <c r="C380" s="104"/>
      <c r="D380" s="104"/>
      <c r="E380" s="104"/>
      <c r="F380" s="104"/>
      <c r="G380" s="104"/>
      <c r="H380" s="104"/>
      <c r="I380" s="104"/>
      <c r="J380" s="104"/>
      <c r="K380" s="105"/>
      <c r="L380" s="106"/>
      <c r="M380" s="104"/>
      <c r="N380" s="104"/>
      <c r="O380" s="104"/>
      <c r="P380" s="104"/>
      <c r="Q380" s="104"/>
      <c r="R380" s="106"/>
      <c r="S380" s="104"/>
      <c r="T380" s="104"/>
      <c r="U380" s="104"/>
      <c r="V380" s="104"/>
      <c r="W380" s="105"/>
      <c r="X380" s="104"/>
      <c r="Y380" s="104"/>
      <c r="Z380" s="104"/>
      <c r="AA380" s="104"/>
      <c r="AB380" s="104"/>
      <c r="AC380" s="104"/>
      <c r="AD380" s="104"/>
      <c r="AE380" s="104"/>
      <c r="AF380" s="104"/>
      <c r="AG380" s="104"/>
      <c r="AH380" s="104"/>
      <c r="AI380" s="104"/>
      <c r="AJ380" s="104"/>
      <c r="AK380" s="104"/>
      <c r="AL380" s="104"/>
      <c r="AM380" s="104"/>
      <c r="AN380" s="104"/>
      <c r="AO380" s="104"/>
      <c r="AP380" s="104"/>
      <c r="AQ380" s="104"/>
      <c r="AR380" s="104"/>
      <c r="AS380" s="104"/>
      <c r="AT380" s="104"/>
      <c r="AU380" s="104"/>
      <c r="AV380" s="104"/>
      <c r="AW380" s="104"/>
      <c r="AX380" s="104"/>
      <c r="AY380" s="104"/>
      <c r="AZ380" s="104"/>
      <c r="BA380" s="104"/>
      <c r="BB380" s="104"/>
      <c r="BC380" s="104"/>
      <c r="BD380" s="104"/>
      <c r="BE380" s="104"/>
      <c r="BF380" s="104"/>
      <c r="BG380" s="104"/>
      <c r="BH380" s="104"/>
      <c r="BI380" s="104"/>
      <c r="BJ380" s="104"/>
      <c r="BK380" s="104"/>
      <c r="BL380" s="104"/>
      <c r="BM380" s="104"/>
      <c r="BN380" s="104"/>
    </row>
    <row r="381">
      <c r="A381" s="104"/>
      <c r="B381" s="104"/>
      <c r="C381" s="104"/>
      <c r="D381" s="104"/>
      <c r="E381" s="104"/>
      <c r="F381" s="104"/>
      <c r="G381" s="104"/>
      <c r="H381" s="104"/>
      <c r="I381" s="104"/>
      <c r="J381" s="104"/>
      <c r="K381" s="105"/>
      <c r="L381" s="106"/>
      <c r="M381" s="104"/>
      <c r="N381" s="104"/>
      <c r="O381" s="104"/>
      <c r="P381" s="104"/>
      <c r="Q381" s="104"/>
      <c r="R381" s="106"/>
      <c r="S381" s="104"/>
      <c r="T381" s="104"/>
      <c r="U381" s="104"/>
      <c r="V381" s="104"/>
      <c r="W381" s="105"/>
      <c r="X381" s="104"/>
      <c r="Y381" s="104"/>
      <c r="Z381" s="104"/>
      <c r="AA381" s="104"/>
      <c r="AB381" s="104"/>
      <c r="AC381" s="104"/>
      <c r="AD381" s="104"/>
      <c r="AE381" s="104"/>
      <c r="AF381" s="104"/>
      <c r="AG381" s="104"/>
      <c r="AH381" s="104"/>
      <c r="AI381" s="104"/>
      <c r="AJ381" s="104"/>
      <c r="AK381" s="104"/>
      <c r="AL381" s="104"/>
      <c r="AM381" s="104"/>
      <c r="AN381" s="104"/>
      <c r="AO381" s="104"/>
      <c r="AP381" s="104"/>
      <c r="AQ381" s="104"/>
      <c r="AR381" s="104"/>
      <c r="AS381" s="104"/>
      <c r="AT381" s="104"/>
      <c r="AU381" s="104"/>
      <c r="AV381" s="104"/>
      <c r="AW381" s="104"/>
      <c r="AX381" s="104"/>
      <c r="AY381" s="104"/>
      <c r="AZ381" s="104"/>
      <c r="BA381" s="104"/>
      <c r="BB381" s="104"/>
      <c r="BC381" s="104"/>
      <c r="BD381" s="104"/>
      <c r="BE381" s="104"/>
      <c r="BF381" s="104"/>
      <c r="BG381" s="104"/>
      <c r="BH381" s="104"/>
      <c r="BI381" s="104"/>
      <c r="BJ381" s="104"/>
      <c r="BK381" s="104"/>
      <c r="BL381" s="104"/>
      <c r="BM381" s="104"/>
      <c r="BN381" s="104"/>
    </row>
    <row r="382">
      <c r="A382" s="104"/>
      <c r="B382" s="104"/>
      <c r="C382" s="104"/>
      <c r="D382" s="104"/>
      <c r="E382" s="104"/>
      <c r="F382" s="104"/>
      <c r="G382" s="104"/>
      <c r="H382" s="104"/>
      <c r="I382" s="104"/>
      <c r="J382" s="104"/>
      <c r="K382" s="105"/>
      <c r="L382" s="106"/>
      <c r="M382" s="104"/>
      <c r="N382" s="104"/>
      <c r="O382" s="104"/>
      <c r="P382" s="104"/>
      <c r="Q382" s="104"/>
      <c r="R382" s="106"/>
      <c r="S382" s="104"/>
      <c r="T382" s="104"/>
      <c r="U382" s="104"/>
      <c r="V382" s="104"/>
      <c r="W382" s="105"/>
      <c r="X382" s="104"/>
      <c r="Y382" s="104"/>
      <c r="Z382" s="104"/>
      <c r="AA382" s="104"/>
      <c r="AB382" s="104"/>
      <c r="AC382" s="104"/>
      <c r="AD382" s="104"/>
      <c r="AE382" s="104"/>
      <c r="AF382" s="104"/>
      <c r="AG382" s="104"/>
      <c r="AH382" s="104"/>
      <c r="AI382" s="104"/>
      <c r="AJ382" s="104"/>
      <c r="AK382" s="104"/>
      <c r="AL382" s="104"/>
      <c r="AM382" s="104"/>
      <c r="AN382" s="104"/>
      <c r="AO382" s="104"/>
      <c r="AP382" s="104"/>
      <c r="AQ382" s="104"/>
      <c r="AR382" s="104"/>
      <c r="AS382" s="104"/>
      <c r="AT382" s="104"/>
      <c r="AU382" s="104"/>
      <c r="AV382" s="104"/>
      <c r="AW382" s="104"/>
      <c r="AX382" s="104"/>
      <c r="AY382" s="104"/>
      <c r="AZ382" s="104"/>
      <c r="BA382" s="104"/>
      <c r="BB382" s="104"/>
      <c r="BC382" s="104"/>
      <c r="BD382" s="104"/>
      <c r="BE382" s="104"/>
      <c r="BF382" s="104"/>
      <c r="BG382" s="104"/>
      <c r="BH382" s="104"/>
      <c r="BI382" s="104"/>
      <c r="BJ382" s="104"/>
      <c r="BK382" s="104"/>
      <c r="BL382" s="104"/>
      <c r="BM382" s="104"/>
      <c r="BN382" s="104"/>
    </row>
    <row r="383">
      <c r="A383" s="104"/>
      <c r="B383" s="104"/>
      <c r="C383" s="104"/>
      <c r="D383" s="104"/>
      <c r="E383" s="104"/>
      <c r="F383" s="104"/>
      <c r="G383" s="104"/>
      <c r="H383" s="104"/>
      <c r="I383" s="104"/>
      <c r="J383" s="104"/>
      <c r="K383" s="105"/>
      <c r="L383" s="106"/>
      <c r="M383" s="104"/>
      <c r="N383" s="104"/>
      <c r="O383" s="104"/>
      <c r="P383" s="104"/>
      <c r="Q383" s="104"/>
      <c r="R383" s="106"/>
      <c r="S383" s="104"/>
      <c r="T383" s="104"/>
      <c r="U383" s="104"/>
      <c r="V383" s="104"/>
      <c r="W383" s="105"/>
      <c r="X383" s="104"/>
      <c r="Y383" s="104"/>
      <c r="Z383" s="104"/>
      <c r="AA383" s="104"/>
      <c r="AB383" s="104"/>
      <c r="AC383" s="104"/>
      <c r="AD383" s="104"/>
      <c r="AE383" s="104"/>
      <c r="AF383" s="104"/>
      <c r="AG383" s="104"/>
      <c r="AH383" s="104"/>
      <c r="AI383" s="104"/>
      <c r="AJ383" s="104"/>
      <c r="AK383" s="104"/>
      <c r="AL383" s="104"/>
      <c r="AM383" s="104"/>
      <c r="AN383" s="104"/>
      <c r="AO383" s="104"/>
      <c r="AP383" s="104"/>
      <c r="AQ383" s="104"/>
      <c r="AR383" s="104"/>
      <c r="AS383" s="104"/>
      <c r="AT383" s="104"/>
      <c r="AU383" s="104"/>
      <c r="AV383" s="104"/>
      <c r="AW383" s="104"/>
      <c r="AX383" s="104"/>
      <c r="AY383" s="104"/>
      <c r="AZ383" s="104"/>
      <c r="BA383" s="104"/>
      <c r="BB383" s="104"/>
      <c r="BC383" s="104"/>
      <c r="BD383" s="104"/>
      <c r="BE383" s="104"/>
      <c r="BF383" s="104"/>
      <c r="BG383" s="104"/>
      <c r="BH383" s="104"/>
      <c r="BI383" s="104"/>
      <c r="BJ383" s="104"/>
      <c r="BK383" s="104"/>
      <c r="BL383" s="104"/>
      <c r="BM383" s="104"/>
      <c r="BN383" s="104"/>
    </row>
    <row r="384">
      <c r="A384" s="104"/>
      <c r="B384" s="104"/>
      <c r="C384" s="104"/>
      <c r="D384" s="104"/>
      <c r="E384" s="104"/>
      <c r="F384" s="104"/>
      <c r="G384" s="104"/>
      <c r="H384" s="104"/>
      <c r="I384" s="104"/>
      <c r="J384" s="104"/>
      <c r="K384" s="105"/>
      <c r="L384" s="106"/>
      <c r="M384" s="104"/>
      <c r="N384" s="104"/>
      <c r="O384" s="104"/>
      <c r="P384" s="104"/>
      <c r="Q384" s="104"/>
      <c r="R384" s="106"/>
      <c r="S384" s="104"/>
      <c r="T384" s="104"/>
      <c r="U384" s="104"/>
      <c r="V384" s="104"/>
      <c r="W384" s="105"/>
      <c r="X384" s="104"/>
      <c r="Y384" s="104"/>
      <c r="Z384" s="104"/>
      <c r="AA384" s="104"/>
      <c r="AB384" s="104"/>
      <c r="AC384" s="104"/>
      <c r="AD384" s="104"/>
      <c r="AE384" s="104"/>
      <c r="AF384" s="104"/>
      <c r="AG384" s="104"/>
      <c r="AH384" s="104"/>
      <c r="AI384" s="104"/>
      <c r="AJ384" s="104"/>
      <c r="AK384" s="104"/>
      <c r="AL384" s="104"/>
      <c r="AM384" s="104"/>
      <c r="AN384" s="104"/>
      <c r="AO384" s="104"/>
      <c r="AP384" s="104"/>
      <c r="AQ384" s="104"/>
      <c r="AR384" s="104"/>
      <c r="AS384" s="104"/>
      <c r="AT384" s="104"/>
      <c r="AU384" s="104"/>
      <c r="AV384" s="104"/>
      <c r="AW384" s="104"/>
      <c r="AX384" s="104"/>
      <c r="AY384" s="104"/>
      <c r="AZ384" s="104"/>
      <c r="BA384" s="104"/>
      <c r="BB384" s="104"/>
      <c r="BC384" s="104"/>
      <c r="BD384" s="104"/>
      <c r="BE384" s="104"/>
      <c r="BF384" s="104"/>
      <c r="BG384" s="104"/>
      <c r="BH384" s="104"/>
      <c r="BI384" s="104"/>
      <c r="BJ384" s="104"/>
      <c r="BK384" s="104"/>
      <c r="BL384" s="104"/>
      <c r="BM384" s="104"/>
      <c r="BN384" s="104"/>
    </row>
    <row r="385">
      <c r="A385" s="104"/>
      <c r="B385" s="104"/>
      <c r="C385" s="104"/>
      <c r="D385" s="104"/>
      <c r="E385" s="104"/>
      <c r="F385" s="104"/>
      <c r="G385" s="104"/>
      <c r="H385" s="104"/>
      <c r="I385" s="104"/>
      <c r="J385" s="104"/>
      <c r="K385" s="105"/>
      <c r="L385" s="106"/>
      <c r="M385" s="104"/>
      <c r="N385" s="104"/>
      <c r="O385" s="104"/>
      <c r="P385" s="104"/>
      <c r="Q385" s="104"/>
      <c r="R385" s="106"/>
      <c r="S385" s="104"/>
      <c r="T385" s="104"/>
      <c r="U385" s="104"/>
      <c r="V385" s="104"/>
      <c r="W385" s="105"/>
      <c r="X385" s="104"/>
      <c r="Y385" s="104"/>
      <c r="Z385" s="104"/>
      <c r="AA385" s="104"/>
      <c r="AB385" s="104"/>
      <c r="AC385" s="104"/>
      <c r="AD385" s="104"/>
      <c r="AE385" s="104"/>
      <c r="AF385" s="104"/>
      <c r="AG385" s="104"/>
      <c r="AH385" s="104"/>
      <c r="AI385" s="104"/>
      <c r="AJ385" s="104"/>
      <c r="AK385" s="104"/>
      <c r="AL385" s="104"/>
      <c r="AM385" s="104"/>
      <c r="AN385" s="104"/>
      <c r="AO385" s="104"/>
      <c r="AP385" s="104"/>
      <c r="AQ385" s="104"/>
      <c r="AR385" s="104"/>
      <c r="AS385" s="104"/>
      <c r="AT385" s="104"/>
      <c r="AU385" s="104"/>
      <c r="AV385" s="104"/>
      <c r="AW385" s="104"/>
      <c r="AX385" s="104"/>
      <c r="AY385" s="104"/>
      <c r="AZ385" s="104"/>
      <c r="BA385" s="104"/>
      <c r="BB385" s="104"/>
      <c r="BC385" s="104"/>
      <c r="BD385" s="104"/>
      <c r="BE385" s="104"/>
      <c r="BF385" s="104"/>
      <c r="BG385" s="104"/>
      <c r="BH385" s="104"/>
      <c r="BI385" s="104"/>
      <c r="BJ385" s="104"/>
      <c r="BK385" s="104"/>
      <c r="BL385" s="104"/>
      <c r="BM385" s="104"/>
      <c r="BN385" s="104"/>
    </row>
    <row r="386">
      <c r="A386" s="104"/>
      <c r="B386" s="104"/>
      <c r="C386" s="104"/>
      <c r="D386" s="104"/>
      <c r="E386" s="104"/>
      <c r="F386" s="104"/>
      <c r="G386" s="104"/>
      <c r="H386" s="104"/>
      <c r="I386" s="104"/>
      <c r="J386" s="104"/>
      <c r="K386" s="105"/>
      <c r="L386" s="106"/>
      <c r="M386" s="104"/>
      <c r="N386" s="104"/>
      <c r="O386" s="104"/>
      <c r="P386" s="104"/>
      <c r="Q386" s="104"/>
      <c r="R386" s="106"/>
      <c r="S386" s="104"/>
      <c r="T386" s="104"/>
      <c r="U386" s="104"/>
      <c r="V386" s="104"/>
      <c r="W386" s="105"/>
      <c r="X386" s="104"/>
      <c r="Y386" s="104"/>
      <c r="Z386" s="104"/>
      <c r="AA386" s="104"/>
      <c r="AB386" s="104"/>
      <c r="AC386" s="104"/>
      <c r="AD386" s="104"/>
      <c r="AE386" s="104"/>
      <c r="AF386" s="104"/>
      <c r="AG386" s="104"/>
      <c r="AH386" s="104"/>
      <c r="AI386" s="104"/>
      <c r="AJ386" s="104"/>
      <c r="AK386" s="104"/>
      <c r="AL386" s="104"/>
      <c r="AM386" s="104"/>
      <c r="AN386" s="104"/>
      <c r="AO386" s="104"/>
      <c r="AP386" s="104"/>
      <c r="AQ386" s="104"/>
      <c r="AR386" s="104"/>
      <c r="AS386" s="104"/>
      <c r="AT386" s="104"/>
      <c r="AU386" s="104"/>
      <c r="AV386" s="104"/>
      <c r="AW386" s="104"/>
      <c r="AX386" s="104"/>
      <c r="AY386" s="104"/>
      <c r="AZ386" s="104"/>
      <c r="BA386" s="104"/>
      <c r="BB386" s="104"/>
      <c r="BC386" s="104"/>
      <c r="BD386" s="104"/>
      <c r="BE386" s="104"/>
      <c r="BF386" s="104"/>
      <c r="BG386" s="104"/>
      <c r="BH386" s="104"/>
      <c r="BI386" s="104"/>
      <c r="BJ386" s="104"/>
      <c r="BK386" s="104"/>
      <c r="BL386" s="104"/>
      <c r="BM386" s="104"/>
      <c r="BN386" s="104"/>
    </row>
    <row r="387">
      <c r="A387" s="104"/>
      <c r="B387" s="104"/>
      <c r="C387" s="104"/>
      <c r="D387" s="104"/>
      <c r="E387" s="104"/>
      <c r="F387" s="104"/>
      <c r="G387" s="104"/>
      <c r="H387" s="104"/>
      <c r="I387" s="104"/>
      <c r="J387" s="104"/>
      <c r="K387" s="105"/>
      <c r="L387" s="106"/>
      <c r="M387" s="104"/>
      <c r="N387" s="104"/>
      <c r="O387" s="104"/>
      <c r="P387" s="104"/>
      <c r="Q387" s="104"/>
      <c r="R387" s="106"/>
      <c r="S387" s="104"/>
      <c r="T387" s="104"/>
      <c r="U387" s="104"/>
      <c r="V387" s="104"/>
      <c r="W387" s="105"/>
      <c r="X387" s="104"/>
      <c r="Y387" s="104"/>
      <c r="Z387" s="104"/>
      <c r="AA387" s="104"/>
      <c r="AB387" s="104"/>
      <c r="AC387" s="104"/>
      <c r="AD387" s="104"/>
      <c r="AE387" s="104"/>
      <c r="AF387" s="104"/>
      <c r="AG387" s="104"/>
      <c r="AH387" s="104"/>
      <c r="AI387" s="104"/>
      <c r="AJ387" s="104"/>
      <c r="AK387" s="104"/>
      <c r="AL387" s="104"/>
      <c r="AM387" s="104"/>
      <c r="AN387" s="104"/>
      <c r="AO387" s="104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/>
      <c r="BA387" s="104"/>
      <c r="BB387" s="104"/>
      <c r="BC387" s="104"/>
      <c r="BD387" s="104"/>
      <c r="BE387" s="104"/>
      <c r="BF387" s="104"/>
      <c r="BG387" s="104"/>
      <c r="BH387" s="104"/>
      <c r="BI387" s="104"/>
      <c r="BJ387" s="104"/>
      <c r="BK387" s="104"/>
      <c r="BL387" s="104"/>
      <c r="BM387" s="104"/>
      <c r="BN387" s="104"/>
    </row>
    <row r="388">
      <c r="A388" s="104"/>
      <c r="B388" s="104"/>
      <c r="C388" s="104"/>
      <c r="D388" s="104"/>
      <c r="E388" s="104"/>
      <c r="F388" s="104"/>
      <c r="G388" s="104"/>
      <c r="H388" s="104"/>
      <c r="I388" s="104"/>
      <c r="J388" s="104"/>
      <c r="K388" s="105"/>
      <c r="L388" s="106"/>
      <c r="M388" s="104"/>
      <c r="N388" s="104"/>
      <c r="O388" s="104"/>
      <c r="P388" s="104"/>
      <c r="Q388" s="104"/>
      <c r="R388" s="106"/>
      <c r="S388" s="104"/>
      <c r="T388" s="104"/>
      <c r="U388" s="104"/>
      <c r="V388" s="104"/>
      <c r="W388" s="105"/>
      <c r="X388" s="104"/>
      <c r="Y388" s="104"/>
      <c r="Z388" s="104"/>
      <c r="AA388" s="104"/>
      <c r="AB388" s="104"/>
      <c r="AC388" s="104"/>
      <c r="AD388" s="104"/>
      <c r="AE388" s="104"/>
      <c r="AF388" s="104"/>
      <c r="AG388" s="104"/>
      <c r="AH388" s="104"/>
      <c r="AI388" s="104"/>
      <c r="AJ388" s="104"/>
      <c r="AK388" s="104"/>
      <c r="AL388" s="104"/>
      <c r="AM388" s="104"/>
      <c r="AN388" s="104"/>
      <c r="AO388" s="104"/>
      <c r="AP388" s="104"/>
      <c r="AQ388" s="104"/>
      <c r="AR388" s="104"/>
      <c r="AS388" s="104"/>
      <c r="AT388" s="104"/>
      <c r="AU388" s="104"/>
      <c r="AV388" s="104"/>
      <c r="AW388" s="104"/>
      <c r="AX388" s="104"/>
      <c r="AY388" s="104"/>
      <c r="AZ388" s="104"/>
      <c r="BA388" s="104"/>
      <c r="BB388" s="104"/>
      <c r="BC388" s="104"/>
      <c r="BD388" s="104"/>
      <c r="BE388" s="104"/>
      <c r="BF388" s="104"/>
      <c r="BG388" s="104"/>
      <c r="BH388" s="104"/>
      <c r="BI388" s="104"/>
      <c r="BJ388" s="104"/>
      <c r="BK388" s="104"/>
      <c r="BL388" s="104"/>
      <c r="BM388" s="104"/>
      <c r="BN388" s="104"/>
    </row>
    <row r="389">
      <c r="A389" s="104"/>
      <c r="B389" s="104"/>
      <c r="C389" s="104"/>
      <c r="D389" s="104"/>
      <c r="E389" s="104"/>
      <c r="F389" s="104"/>
      <c r="G389" s="104"/>
      <c r="H389" s="104"/>
      <c r="I389" s="104"/>
      <c r="J389" s="104"/>
      <c r="K389" s="105"/>
      <c r="L389" s="106"/>
      <c r="M389" s="104"/>
      <c r="N389" s="104"/>
      <c r="O389" s="104"/>
      <c r="P389" s="104"/>
      <c r="Q389" s="104"/>
      <c r="R389" s="106"/>
      <c r="S389" s="104"/>
      <c r="T389" s="104"/>
      <c r="U389" s="104"/>
      <c r="V389" s="104"/>
      <c r="W389" s="105"/>
      <c r="X389" s="104"/>
      <c r="Y389" s="104"/>
      <c r="Z389" s="104"/>
      <c r="AA389" s="104"/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104"/>
      <c r="AQ389" s="104"/>
      <c r="AR389" s="104"/>
      <c r="AS389" s="104"/>
      <c r="AT389" s="104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104"/>
      <c r="BG389" s="104"/>
      <c r="BH389" s="104"/>
      <c r="BI389" s="104"/>
      <c r="BJ389" s="104"/>
      <c r="BK389" s="104"/>
      <c r="BL389" s="104"/>
      <c r="BM389" s="104"/>
      <c r="BN389" s="104"/>
    </row>
    <row r="390">
      <c r="A390" s="104"/>
      <c r="B390" s="104"/>
      <c r="C390" s="104"/>
      <c r="D390" s="104"/>
      <c r="E390" s="104"/>
      <c r="F390" s="104"/>
      <c r="G390" s="104"/>
      <c r="H390" s="104"/>
      <c r="I390" s="104"/>
      <c r="J390" s="104"/>
      <c r="K390" s="105"/>
      <c r="L390" s="106"/>
      <c r="M390" s="104"/>
      <c r="N390" s="104"/>
      <c r="O390" s="104"/>
      <c r="P390" s="104"/>
      <c r="Q390" s="104"/>
      <c r="R390" s="106"/>
      <c r="S390" s="104"/>
      <c r="T390" s="104"/>
      <c r="U390" s="104"/>
      <c r="V390" s="104"/>
      <c r="W390" s="105"/>
      <c r="X390" s="104"/>
      <c r="Y390" s="104"/>
      <c r="Z390" s="104"/>
      <c r="AA390" s="104"/>
      <c r="AB390" s="104"/>
      <c r="AC390" s="104"/>
      <c r="AD390" s="104"/>
      <c r="AE390" s="104"/>
      <c r="AF390" s="104"/>
      <c r="AG390" s="104"/>
      <c r="AH390" s="104"/>
      <c r="AI390" s="104"/>
      <c r="AJ390" s="104"/>
      <c r="AK390" s="104"/>
      <c r="AL390" s="104"/>
      <c r="AM390" s="104"/>
      <c r="AN390" s="104"/>
      <c r="AO390" s="104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/>
      <c r="BC390" s="104"/>
      <c r="BD390" s="104"/>
      <c r="BE390" s="104"/>
      <c r="BF390" s="104"/>
      <c r="BG390" s="104"/>
      <c r="BH390" s="104"/>
      <c r="BI390" s="104"/>
      <c r="BJ390" s="104"/>
      <c r="BK390" s="104"/>
      <c r="BL390" s="104"/>
      <c r="BM390" s="104"/>
      <c r="BN390" s="104"/>
    </row>
    <row r="391">
      <c r="A391" s="104"/>
      <c r="B391" s="104"/>
      <c r="C391" s="104"/>
      <c r="D391" s="104"/>
      <c r="E391" s="104"/>
      <c r="F391" s="104"/>
      <c r="G391" s="104"/>
      <c r="H391" s="104"/>
      <c r="I391" s="104"/>
      <c r="J391" s="104"/>
      <c r="K391" s="105"/>
      <c r="L391" s="106"/>
      <c r="M391" s="104"/>
      <c r="N391" s="104"/>
      <c r="O391" s="104"/>
      <c r="P391" s="104"/>
      <c r="Q391" s="104"/>
      <c r="R391" s="106"/>
      <c r="S391" s="104"/>
      <c r="T391" s="104"/>
      <c r="U391" s="104"/>
      <c r="V391" s="104"/>
      <c r="W391" s="105"/>
      <c r="X391" s="104"/>
      <c r="Y391" s="104"/>
      <c r="Z391" s="104"/>
      <c r="AA391" s="104"/>
      <c r="AB391" s="104"/>
      <c r="AC391" s="104"/>
      <c r="AD391" s="104"/>
      <c r="AE391" s="104"/>
      <c r="AF391" s="104"/>
      <c r="AG391" s="104"/>
      <c r="AH391" s="104"/>
      <c r="AI391" s="104"/>
      <c r="AJ391" s="104"/>
      <c r="AK391" s="104"/>
      <c r="AL391" s="104"/>
      <c r="AM391" s="104"/>
      <c r="AN391" s="104"/>
      <c r="AO391" s="104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/>
      <c r="BA391" s="104"/>
      <c r="BB391" s="104"/>
      <c r="BC391" s="104"/>
      <c r="BD391" s="104"/>
      <c r="BE391" s="104"/>
      <c r="BF391" s="104"/>
      <c r="BG391" s="104"/>
      <c r="BH391" s="104"/>
      <c r="BI391" s="104"/>
      <c r="BJ391" s="104"/>
      <c r="BK391" s="104"/>
      <c r="BL391" s="104"/>
      <c r="BM391" s="104"/>
      <c r="BN391" s="104"/>
    </row>
    <row r="392">
      <c r="A392" s="104"/>
      <c r="B392" s="104"/>
      <c r="C392" s="104"/>
      <c r="D392" s="104"/>
      <c r="E392" s="104"/>
      <c r="F392" s="104"/>
      <c r="G392" s="104"/>
      <c r="H392" s="104"/>
      <c r="I392" s="104"/>
      <c r="J392" s="104"/>
      <c r="K392" s="105"/>
      <c r="L392" s="106"/>
      <c r="M392" s="104"/>
      <c r="N392" s="104"/>
      <c r="O392" s="104"/>
      <c r="P392" s="104"/>
      <c r="Q392" s="104"/>
      <c r="R392" s="106"/>
      <c r="S392" s="104"/>
      <c r="T392" s="104"/>
      <c r="U392" s="104"/>
      <c r="V392" s="104"/>
      <c r="W392" s="105"/>
      <c r="X392" s="104"/>
      <c r="Y392" s="104"/>
      <c r="Z392" s="104"/>
      <c r="AA392" s="104"/>
      <c r="AB392" s="104"/>
      <c r="AC392" s="104"/>
      <c r="AD392" s="104"/>
      <c r="AE392" s="104"/>
      <c r="AF392" s="104"/>
      <c r="AG392" s="104"/>
      <c r="AH392" s="104"/>
      <c r="AI392" s="104"/>
      <c r="AJ392" s="104"/>
      <c r="AK392" s="104"/>
      <c r="AL392" s="104"/>
      <c r="AM392" s="104"/>
      <c r="AN392" s="104"/>
      <c r="AO392" s="104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104"/>
      <c r="BG392" s="104"/>
      <c r="BH392" s="104"/>
      <c r="BI392" s="104"/>
      <c r="BJ392" s="104"/>
      <c r="BK392" s="104"/>
      <c r="BL392" s="104"/>
      <c r="BM392" s="104"/>
      <c r="BN392" s="104"/>
    </row>
    <row r="393">
      <c r="A393" s="104"/>
      <c r="B393" s="104"/>
      <c r="C393" s="104"/>
      <c r="D393" s="104"/>
      <c r="E393" s="104"/>
      <c r="F393" s="104"/>
      <c r="G393" s="104"/>
      <c r="H393" s="104"/>
      <c r="I393" s="104"/>
      <c r="J393" s="104"/>
      <c r="K393" s="105"/>
      <c r="L393" s="106"/>
      <c r="M393" s="104"/>
      <c r="N393" s="104"/>
      <c r="O393" s="104"/>
      <c r="P393" s="104"/>
      <c r="Q393" s="104"/>
      <c r="R393" s="106"/>
      <c r="S393" s="104"/>
      <c r="T393" s="104"/>
      <c r="U393" s="104"/>
      <c r="V393" s="104"/>
      <c r="W393" s="105"/>
      <c r="X393" s="104"/>
      <c r="Y393" s="104"/>
      <c r="Z393" s="104"/>
      <c r="AA393" s="104"/>
      <c r="AB393" s="104"/>
      <c r="AC393" s="104"/>
      <c r="AD393" s="104"/>
      <c r="AE393" s="104"/>
      <c r="AF393" s="104"/>
      <c r="AG393" s="104"/>
      <c r="AH393" s="104"/>
      <c r="AI393" s="104"/>
      <c r="AJ393" s="104"/>
      <c r="AK393" s="104"/>
      <c r="AL393" s="104"/>
      <c r="AM393" s="104"/>
      <c r="AN393" s="104"/>
      <c r="AO393" s="104"/>
      <c r="AP393" s="104"/>
      <c r="AQ393" s="104"/>
      <c r="AR393" s="104"/>
      <c r="AS393" s="104"/>
      <c r="AT393" s="104"/>
      <c r="AU393" s="104"/>
      <c r="AV393" s="104"/>
      <c r="AW393" s="104"/>
      <c r="AX393" s="104"/>
      <c r="AY393" s="104"/>
      <c r="AZ393" s="104"/>
      <c r="BA393" s="104"/>
      <c r="BB393" s="104"/>
      <c r="BC393" s="104"/>
      <c r="BD393" s="104"/>
      <c r="BE393" s="104"/>
      <c r="BF393" s="104"/>
      <c r="BG393" s="104"/>
      <c r="BH393" s="104"/>
      <c r="BI393" s="104"/>
      <c r="BJ393" s="104"/>
      <c r="BK393" s="104"/>
      <c r="BL393" s="104"/>
      <c r="BM393" s="104"/>
      <c r="BN393" s="104"/>
    </row>
    <row r="394">
      <c r="A394" s="104"/>
      <c r="B394" s="104"/>
      <c r="C394" s="104"/>
      <c r="D394" s="104"/>
      <c r="E394" s="104"/>
      <c r="F394" s="104"/>
      <c r="G394" s="104"/>
      <c r="H394" s="104"/>
      <c r="I394" s="104"/>
      <c r="J394" s="104"/>
      <c r="K394" s="105"/>
      <c r="L394" s="106"/>
      <c r="M394" s="104"/>
      <c r="N394" s="104"/>
      <c r="O394" s="104"/>
      <c r="P394" s="104"/>
      <c r="Q394" s="104"/>
      <c r="R394" s="106"/>
      <c r="S394" s="104"/>
      <c r="T394" s="104"/>
      <c r="U394" s="104"/>
      <c r="V394" s="104"/>
      <c r="W394" s="105"/>
      <c r="X394" s="104"/>
      <c r="Y394" s="104"/>
      <c r="Z394" s="104"/>
      <c r="AA394" s="104"/>
      <c r="AB394" s="104"/>
      <c r="AC394" s="104"/>
      <c r="AD394" s="104"/>
      <c r="AE394" s="104"/>
      <c r="AF394" s="104"/>
      <c r="AG394" s="104"/>
      <c r="AH394" s="104"/>
      <c r="AI394" s="104"/>
      <c r="AJ394" s="104"/>
      <c r="AK394" s="104"/>
      <c r="AL394" s="104"/>
      <c r="AM394" s="104"/>
      <c r="AN394" s="104"/>
      <c r="AO394" s="104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/>
      <c r="BE394" s="104"/>
      <c r="BF394" s="104"/>
      <c r="BG394" s="104"/>
      <c r="BH394" s="104"/>
      <c r="BI394" s="104"/>
      <c r="BJ394" s="104"/>
      <c r="BK394" s="104"/>
      <c r="BL394" s="104"/>
      <c r="BM394" s="104"/>
      <c r="BN394" s="104"/>
    </row>
    <row r="395">
      <c r="A395" s="104"/>
      <c r="B395" s="104"/>
      <c r="C395" s="104"/>
      <c r="D395" s="104"/>
      <c r="E395" s="104"/>
      <c r="F395" s="104"/>
      <c r="G395" s="104"/>
      <c r="H395" s="104"/>
      <c r="I395" s="104"/>
      <c r="J395" s="104"/>
      <c r="K395" s="105"/>
      <c r="L395" s="106"/>
      <c r="M395" s="104"/>
      <c r="N395" s="104"/>
      <c r="O395" s="104"/>
      <c r="P395" s="104"/>
      <c r="Q395" s="104"/>
      <c r="R395" s="106"/>
      <c r="S395" s="104"/>
      <c r="T395" s="104"/>
      <c r="U395" s="104"/>
      <c r="V395" s="104"/>
      <c r="W395" s="105"/>
      <c r="X395" s="104"/>
      <c r="Y395" s="104"/>
      <c r="Z395" s="104"/>
      <c r="AA395" s="104"/>
      <c r="AB395" s="104"/>
      <c r="AC395" s="104"/>
      <c r="AD395" s="104"/>
      <c r="AE395" s="104"/>
      <c r="AF395" s="104"/>
      <c r="AG395" s="104"/>
      <c r="AH395" s="104"/>
      <c r="AI395" s="104"/>
      <c r="AJ395" s="104"/>
      <c r="AK395" s="104"/>
      <c r="AL395" s="104"/>
      <c r="AM395" s="104"/>
      <c r="AN395" s="104"/>
      <c r="AO395" s="104"/>
      <c r="AP395" s="104"/>
      <c r="AQ395" s="104"/>
      <c r="AR395" s="104"/>
      <c r="AS395" s="104"/>
      <c r="AT395" s="104"/>
      <c r="AU395" s="104"/>
      <c r="AV395" s="104"/>
      <c r="AW395" s="104"/>
      <c r="AX395" s="104"/>
      <c r="AY395" s="104"/>
      <c r="AZ395" s="104"/>
      <c r="BA395" s="104"/>
      <c r="BB395" s="104"/>
      <c r="BC395" s="104"/>
      <c r="BD395" s="104"/>
      <c r="BE395" s="104"/>
      <c r="BF395" s="104"/>
      <c r="BG395" s="104"/>
      <c r="BH395" s="104"/>
      <c r="BI395" s="104"/>
      <c r="BJ395" s="104"/>
      <c r="BK395" s="104"/>
      <c r="BL395" s="104"/>
      <c r="BM395" s="104"/>
      <c r="BN395" s="104"/>
    </row>
    <row r="396">
      <c r="A396" s="104"/>
      <c r="B396" s="104"/>
      <c r="C396" s="104"/>
      <c r="D396" s="104"/>
      <c r="E396" s="104"/>
      <c r="F396" s="104"/>
      <c r="G396" s="104"/>
      <c r="H396" s="104"/>
      <c r="I396" s="104"/>
      <c r="J396" s="104"/>
      <c r="K396" s="105"/>
      <c r="L396" s="106"/>
      <c r="M396" s="104"/>
      <c r="N396" s="104"/>
      <c r="O396" s="104"/>
      <c r="P396" s="104"/>
      <c r="Q396" s="104"/>
      <c r="R396" s="106"/>
      <c r="S396" s="104"/>
      <c r="T396" s="104"/>
      <c r="U396" s="104"/>
      <c r="V396" s="104"/>
      <c r="W396" s="105"/>
      <c r="X396" s="104"/>
      <c r="Y396" s="104"/>
      <c r="Z396" s="104"/>
      <c r="AA396" s="104"/>
      <c r="AB396" s="104"/>
      <c r="AC396" s="104"/>
      <c r="AD396" s="104"/>
      <c r="AE396" s="104"/>
      <c r="AF396" s="104"/>
      <c r="AG396" s="104"/>
      <c r="AH396" s="104"/>
      <c r="AI396" s="104"/>
      <c r="AJ396" s="104"/>
      <c r="AK396" s="104"/>
      <c r="AL396" s="104"/>
      <c r="AM396" s="104"/>
      <c r="AN396" s="104"/>
      <c r="AO396" s="104"/>
      <c r="AP396" s="104"/>
      <c r="AQ396" s="104"/>
      <c r="AR396" s="104"/>
      <c r="AS396" s="104"/>
      <c r="AT396" s="104"/>
      <c r="AU396" s="104"/>
      <c r="AV396" s="104"/>
      <c r="AW396" s="104"/>
      <c r="AX396" s="104"/>
      <c r="AY396" s="104"/>
      <c r="AZ396" s="104"/>
      <c r="BA396" s="104"/>
      <c r="BB396" s="104"/>
      <c r="BC396" s="104"/>
      <c r="BD396" s="104"/>
      <c r="BE396" s="104"/>
      <c r="BF396" s="104"/>
      <c r="BG396" s="104"/>
      <c r="BH396" s="104"/>
      <c r="BI396" s="104"/>
      <c r="BJ396" s="104"/>
      <c r="BK396" s="104"/>
      <c r="BL396" s="104"/>
      <c r="BM396" s="104"/>
      <c r="BN396" s="104"/>
    </row>
    <row r="397">
      <c r="A397" s="104"/>
      <c r="B397" s="104"/>
      <c r="C397" s="104"/>
      <c r="D397" s="104"/>
      <c r="E397" s="104"/>
      <c r="F397" s="104"/>
      <c r="G397" s="104"/>
      <c r="H397" s="104"/>
      <c r="I397" s="104"/>
      <c r="J397" s="104"/>
      <c r="K397" s="105"/>
      <c r="L397" s="106"/>
      <c r="M397" s="104"/>
      <c r="N397" s="104"/>
      <c r="O397" s="104"/>
      <c r="P397" s="104"/>
      <c r="Q397" s="104"/>
      <c r="R397" s="106"/>
      <c r="S397" s="104"/>
      <c r="T397" s="104"/>
      <c r="U397" s="104"/>
      <c r="V397" s="104"/>
      <c r="W397" s="105"/>
      <c r="X397" s="104"/>
      <c r="Y397" s="104"/>
      <c r="Z397" s="104"/>
      <c r="AA397" s="104"/>
      <c r="AB397" s="104"/>
      <c r="AC397" s="104"/>
      <c r="AD397" s="104"/>
      <c r="AE397" s="104"/>
      <c r="AF397" s="104"/>
      <c r="AG397" s="104"/>
      <c r="AH397" s="104"/>
      <c r="AI397" s="104"/>
      <c r="AJ397" s="104"/>
      <c r="AK397" s="104"/>
      <c r="AL397" s="104"/>
      <c r="AM397" s="104"/>
      <c r="AN397" s="104"/>
      <c r="AO397" s="104"/>
      <c r="AP397" s="104"/>
      <c r="AQ397" s="104"/>
      <c r="AR397" s="104"/>
      <c r="AS397" s="104"/>
      <c r="AT397" s="104"/>
      <c r="AU397" s="104"/>
      <c r="AV397" s="104"/>
      <c r="AW397" s="104"/>
      <c r="AX397" s="104"/>
      <c r="AY397" s="104"/>
      <c r="AZ397" s="104"/>
      <c r="BA397" s="104"/>
      <c r="BB397" s="104"/>
      <c r="BC397" s="104"/>
      <c r="BD397" s="104"/>
      <c r="BE397" s="104"/>
      <c r="BF397" s="104"/>
      <c r="BG397" s="104"/>
      <c r="BH397" s="104"/>
      <c r="BI397" s="104"/>
      <c r="BJ397" s="104"/>
      <c r="BK397" s="104"/>
      <c r="BL397" s="104"/>
      <c r="BM397" s="104"/>
      <c r="BN397" s="104"/>
    </row>
    <row r="398">
      <c r="A398" s="104"/>
      <c r="B398" s="104"/>
      <c r="C398" s="104"/>
      <c r="D398" s="104"/>
      <c r="E398" s="104"/>
      <c r="F398" s="104"/>
      <c r="G398" s="104"/>
      <c r="H398" s="104"/>
      <c r="I398" s="104"/>
      <c r="J398" s="104"/>
      <c r="K398" s="105"/>
      <c r="L398" s="106"/>
      <c r="M398" s="104"/>
      <c r="N398" s="104"/>
      <c r="O398" s="104"/>
      <c r="P398" s="104"/>
      <c r="Q398" s="104"/>
      <c r="R398" s="106"/>
      <c r="S398" s="104"/>
      <c r="T398" s="104"/>
      <c r="U398" s="104"/>
      <c r="V398" s="104"/>
      <c r="W398" s="105"/>
      <c r="X398" s="104"/>
      <c r="Y398" s="104"/>
      <c r="Z398" s="104"/>
      <c r="AA398" s="104"/>
      <c r="AB398" s="104"/>
      <c r="AC398" s="104"/>
      <c r="AD398" s="104"/>
      <c r="AE398" s="104"/>
      <c r="AF398" s="104"/>
      <c r="AG398" s="104"/>
      <c r="AH398" s="104"/>
      <c r="AI398" s="104"/>
      <c r="AJ398" s="104"/>
      <c r="AK398" s="104"/>
      <c r="AL398" s="104"/>
      <c r="AM398" s="104"/>
      <c r="AN398" s="104"/>
      <c r="AO398" s="104"/>
      <c r="AP398" s="104"/>
      <c r="AQ398" s="104"/>
      <c r="AR398" s="104"/>
      <c r="AS398" s="104"/>
      <c r="AT398" s="104"/>
      <c r="AU398" s="104"/>
      <c r="AV398" s="104"/>
      <c r="AW398" s="104"/>
      <c r="AX398" s="104"/>
      <c r="AY398" s="104"/>
      <c r="AZ398" s="104"/>
      <c r="BA398" s="104"/>
      <c r="BB398" s="104"/>
      <c r="BC398" s="104"/>
      <c r="BD398" s="104"/>
      <c r="BE398" s="104"/>
      <c r="BF398" s="104"/>
      <c r="BG398" s="104"/>
      <c r="BH398" s="104"/>
      <c r="BI398" s="104"/>
      <c r="BJ398" s="104"/>
      <c r="BK398" s="104"/>
      <c r="BL398" s="104"/>
      <c r="BM398" s="104"/>
      <c r="BN398" s="104"/>
    </row>
    <row r="399">
      <c r="A399" s="104"/>
      <c r="B399" s="104"/>
      <c r="C399" s="104"/>
      <c r="D399" s="104"/>
      <c r="E399" s="104"/>
      <c r="F399" s="104"/>
      <c r="G399" s="104"/>
      <c r="H399" s="104"/>
      <c r="I399" s="104"/>
      <c r="J399" s="104"/>
      <c r="K399" s="105"/>
      <c r="L399" s="106"/>
      <c r="M399" s="104"/>
      <c r="N399" s="104"/>
      <c r="O399" s="104"/>
      <c r="P399" s="104"/>
      <c r="Q399" s="104"/>
      <c r="R399" s="106"/>
      <c r="S399" s="104"/>
      <c r="T399" s="104"/>
      <c r="U399" s="104"/>
      <c r="V399" s="104"/>
      <c r="W399" s="105"/>
      <c r="X399" s="104"/>
      <c r="Y399" s="104"/>
      <c r="Z399" s="104"/>
      <c r="AA399" s="104"/>
      <c r="AB399" s="104"/>
      <c r="AC399" s="104"/>
      <c r="AD399" s="104"/>
      <c r="AE399" s="104"/>
      <c r="AF399" s="104"/>
      <c r="AG399" s="104"/>
      <c r="AH399" s="104"/>
      <c r="AI399" s="104"/>
      <c r="AJ399" s="104"/>
      <c r="AK399" s="104"/>
      <c r="AL399" s="104"/>
      <c r="AM399" s="104"/>
      <c r="AN399" s="104"/>
      <c r="AO399" s="104"/>
      <c r="AP399" s="104"/>
      <c r="AQ399" s="104"/>
      <c r="AR399" s="104"/>
      <c r="AS399" s="104"/>
      <c r="AT399" s="104"/>
      <c r="AU399" s="104"/>
      <c r="AV399" s="104"/>
      <c r="AW399" s="104"/>
      <c r="AX399" s="104"/>
      <c r="AY399" s="104"/>
      <c r="AZ399" s="104"/>
      <c r="BA399" s="104"/>
      <c r="BB399" s="104"/>
      <c r="BC399" s="104"/>
      <c r="BD399" s="104"/>
      <c r="BE399" s="104"/>
      <c r="BF399" s="104"/>
      <c r="BG399" s="104"/>
      <c r="BH399" s="104"/>
      <c r="BI399" s="104"/>
      <c r="BJ399" s="104"/>
      <c r="BK399" s="104"/>
      <c r="BL399" s="104"/>
      <c r="BM399" s="104"/>
      <c r="BN399" s="104"/>
    </row>
    <row r="400">
      <c r="A400" s="104"/>
      <c r="B400" s="104"/>
      <c r="C400" s="104"/>
      <c r="D400" s="104"/>
      <c r="E400" s="104"/>
      <c r="F400" s="104"/>
      <c r="G400" s="104"/>
      <c r="H400" s="104"/>
      <c r="I400" s="104"/>
      <c r="J400" s="104"/>
      <c r="K400" s="105"/>
      <c r="L400" s="106"/>
      <c r="M400" s="104"/>
      <c r="N400" s="104"/>
      <c r="O400" s="104"/>
      <c r="P400" s="104"/>
      <c r="Q400" s="104"/>
      <c r="R400" s="106"/>
      <c r="S400" s="104"/>
      <c r="T400" s="104"/>
      <c r="U400" s="104"/>
      <c r="V400" s="104"/>
      <c r="W400" s="105"/>
      <c r="X400" s="104"/>
      <c r="Y400" s="104"/>
      <c r="Z400" s="104"/>
      <c r="AA400" s="104"/>
      <c r="AB400" s="104"/>
      <c r="AC400" s="104"/>
      <c r="AD400" s="104"/>
      <c r="AE400" s="104"/>
      <c r="AF400" s="104"/>
      <c r="AG400" s="104"/>
      <c r="AH400" s="104"/>
      <c r="AI400" s="104"/>
      <c r="AJ400" s="104"/>
      <c r="AK400" s="104"/>
      <c r="AL400" s="104"/>
      <c r="AM400" s="104"/>
      <c r="AN400" s="104"/>
      <c r="AO400" s="104"/>
      <c r="AP400" s="104"/>
      <c r="AQ400" s="104"/>
      <c r="AR400" s="104"/>
      <c r="AS400" s="104"/>
      <c r="AT400" s="104"/>
      <c r="AU400" s="104"/>
      <c r="AV400" s="104"/>
      <c r="AW400" s="104"/>
      <c r="AX400" s="104"/>
      <c r="AY400" s="104"/>
      <c r="AZ400" s="104"/>
      <c r="BA400" s="104"/>
      <c r="BB400" s="104"/>
      <c r="BC400" s="104"/>
      <c r="BD400" s="104"/>
      <c r="BE400" s="104"/>
      <c r="BF400" s="104"/>
      <c r="BG400" s="104"/>
      <c r="BH400" s="104"/>
      <c r="BI400" s="104"/>
      <c r="BJ400" s="104"/>
      <c r="BK400" s="104"/>
      <c r="BL400" s="104"/>
      <c r="BM400" s="104"/>
      <c r="BN400" s="104"/>
    </row>
    <row r="401">
      <c r="A401" s="104"/>
      <c r="B401" s="104"/>
      <c r="C401" s="104"/>
      <c r="D401" s="104"/>
      <c r="E401" s="104"/>
      <c r="F401" s="104"/>
      <c r="G401" s="104"/>
      <c r="H401" s="104"/>
      <c r="I401" s="104"/>
      <c r="J401" s="104"/>
      <c r="K401" s="105"/>
      <c r="L401" s="106"/>
      <c r="M401" s="104"/>
      <c r="N401" s="104"/>
      <c r="O401" s="104"/>
      <c r="P401" s="104"/>
      <c r="Q401" s="104"/>
      <c r="R401" s="106"/>
      <c r="S401" s="104"/>
      <c r="T401" s="104"/>
      <c r="U401" s="104"/>
      <c r="V401" s="104"/>
      <c r="W401" s="105"/>
      <c r="X401" s="104"/>
      <c r="Y401" s="104"/>
      <c r="Z401" s="104"/>
      <c r="AA401" s="104"/>
      <c r="AB401" s="104"/>
      <c r="AC401" s="104"/>
      <c r="AD401" s="104"/>
      <c r="AE401" s="104"/>
      <c r="AF401" s="104"/>
      <c r="AG401" s="104"/>
      <c r="AH401" s="104"/>
      <c r="AI401" s="104"/>
      <c r="AJ401" s="104"/>
      <c r="AK401" s="104"/>
      <c r="AL401" s="104"/>
      <c r="AM401" s="104"/>
      <c r="AN401" s="104"/>
      <c r="AO401" s="104"/>
      <c r="AP401" s="104"/>
      <c r="AQ401" s="104"/>
      <c r="AR401" s="104"/>
      <c r="AS401" s="104"/>
      <c r="AT401" s="104"/>
      <c r="AU401" s="104"/>
      <c r="AV401" s="104"/>
      <c r="AW401" s="104"/>
      <c r="AX401" s="104"/>
      <c r="AY401" s="104"/>
      <c r="AZ401" s="104"/>
      <c r="BA401" s="104"/>
      <c r="BB401" s="104"/>
      <c r="BC401" s="104"/>
      <c r="BD401" s="104"/>
      <c r="BE401" s="104"/>
      <c r="BF401" s="104"/>
      <c r="BG401" s="104"/>
      <c r="BH401" s="104"/>
      <c r="BI401" s="104"/>
      <c r="BJ401" s="104"/>
      <c r="BK401" s="104"/>
      <c r="BL401" s="104"/>
      <c r="BM401" s="104"/>
      <c r="BN401" s="104"/>
    </row>
    <row r="402">
      <c r="A402" s="104"/>
      <c r="B402" s="104"/>
      <c r="C402" s="104"/>
      <c r="D402" s="104"/>
      <c r="E402" s="104"/>
      <c r="F402" s="104"/>
      <c r="G402" s="104"/>
      <c r="H402" s="104"/>
      <c r="I402" s="104"/>
      <c r="J402" s="104"/>
      <c r="K402" s="105"/>
      <c r="L402" s="106"/>
      <c r="M402" s="104"/>
      <c r="N402" s="104"/>
      <c r="O402" s="104"/>
      <c r="P402" s="104"/>
      <c r="Q402" s="104"/>
      <c r="R402" s="106"/>
      <c r="S402" s="104"/>
      <c r="T402" s="104"/>
      <c r="U402" s="104"/>
      <c r="V402" s="104"/>
      <c r="W402" s="105"/>
      <c r="X402" s="104"/>
      <c r="Y402" s="104"/>
      <c r="Z402" s="104"/>
      <c r="AA402" s="104"/>
      <c r="AB402" s="104"/>
      <c r="AC402" s="104"/>
      <c r="AD402" s="104"/>
      <c r="AE402" s="104"/>
      <c r="AF402" s="104"/>
      <c r="AG402" s="104"/>
      <c r="AH402" s="104"/>
      <c r="AI402" s="104"/>
      <c r="AJ402" s="104"/>
      <c r="AK402" s="104"/>
      <c r="AL402" s="104"/>
      <c r="AM402" s="104"/>
      <c r="AN402" s="104"/>
      <c r="AO402" s="104"/>
      <c r="AP402" s="104"/>
      <c r="AQ402" s="104"/>
      <c r="AR402" s="104"/>
      <c r="AS402" s="104"/>
      <c r="AT402" s="104"/>
      <c r="AU402" s="104"/>
      <c r="AV402" s="104"/>
      <c r="AW402" s="104"/>
      <c r="AX402" s="104"/>
      <c r="AY402" s="104"/>
      <c r="AZ402" s="104"/>
      <c r="BA402" s="104"/>
      <c r="BB402" s="104"/>
      <c r="BC402" s="104"/>
      <c r="BD402" s="104"/>
      <c r="BE402" s="104"/>
      <c r="BF402" s="104"/>
      <c r="BG402" s="104"/>
      <c r="BH402" s="104"/>
      <c r="BI402" s="104"/>
      <c r="BJ402" s="104"/>
      <c r="BK402" s="104"/>
      <c r="BL402" s="104"/>
      <c r="BM402" s="104"/>
      <c r="BN402" s="104"/>
    </row>
    <row r="403">
      <c r="A403" s="104"/>
      <c r="B403" s="104"/>
      <c r="C403" s="104"/>
      <c r="D403" s="104"/>
      <c r="E403" s="104"/>
      <c r="F403" s="104"/>
      <c r="G403" s="104"/>
      <c r="H403" s="104"/>
      <c r="I403" s="104"/>
      <c r="J403" s="104"/>
      <c r="K403" s="105"/>
      <c r="L403" s="106"/>
      <c r="M403" s="104"/>
      <c r="N403" s="104"/>
      <c r="O403" s="104"/>
      <c r="P403" s="104"/>
      <c r="Q403" s="104"/>
      <c r="R403" s="106"/>
      <c r="S403" s="104"/>
      <c r="T403" s="104"/>
      <c r="U403" s="104"/>
      <c r="V403" s="104"/>
      <c r="W403" s="105"/>
      <c r="X403" s="104"/>
      <c r="Y403" s="104"/>
      <c r="Z403" s="104"/>
      <c r="AA403" s="104"/>
      <c r="AB403" s="104"/>
      <c r="AC403" s="104"/>
      <c r="AD403" s="104"/>
      <c r="AE403" s="104"/>
      <c r="AF403" s="104"/>
      <c r="AG403" s="104"/>
      <c r="AH403" s="104"/>
      <c r="AI403" s="104"/>
      <c r="AJ403" s="104"/>
      <c r="AK403" s="104"/>
      <c r="AL403" s="104"/>
      <c r="AM403" s="104"/>
      <c r="AN403" s="104"/>
      <c r="AO403" s="104"/>
      <c r="AP403" s="104"/>
      <c r="AQ403" s="104"/>
      <c r="AR403" s="104"/>
      <c r="AS403" s="104"/>
      <c r="AT403" s="104"/>
      <c r="AU403" s="104"/>
      <c r="AV403" s="104"/>
      <c r="AW403" s="104"/>
      <c r="AX403" s="104"/>
      <c r="AY403" s="104"/>
      <c r="AZ403" s="104"/>
      <c r="BA403" s="104"/>
      <c r="BB403" s="104"/>
      <c r="BC403" s="104"/>
      <c r="BD403" s="104"/>
      <c r="BE403" s="104"/>
      <c r="BF403" s="104"/>
      <c r="BG403" s="104"/>
      <c r="BH403" s="104"/>
      <c r="BI403" s="104"/>
      <c r="BJ403" s="104"/>
      <c r="BK403" s="104"/>
      <c r="BL403" s="104"/>
      <c r="BM403" s="104"/>
      <c r="BN403" s="104"/>
    </row>
    <row r="404">
      <c r="A404" s="104"/>
      <c r="B404" s="104"/>
      <c r="C404" s="104"/>
      <c r="D404" s="104"/>
      <c r="E404" s="104"/>
      <c r="F404" s="104"/>
      <c r="G404" s="104"/>
      <c r="H404" s="104"/>
      <c r="I404" s="104"/>
      <c r="J404" s="104"/>
      <c r="K404" s="105"/>
      <c r="L404" s="106"/>
      <c r="M404" s="104"/>
      <c r="N404" s="104"/>
      <c r="O404" s="104"/>
      <c r="P404" s="104"/>
      <c r="Q404" s="104"/>
      <c r="R404" s="106"/>
      <c r="S404" s="104"/>
      <c r="T404" s="104"/>
      <c r="U404" s="104"/>
      <c r="V404" s="104"/>
      <c r="W404" s="105"/>
      <c r="X404" s="104"/>
      <c r="Y404" s="104"/>
      <c r="Z404" s="104"/>
      <c r="AA404" s="104"/>
      <c r="AB404" s="104"/>
      <c r="AC404" s="104"/>
      <c r="AD404" s="104"/>
      <c r="AE404" s="104"/>
      <c r="AF404" s="104"/>
      <c r="AG404" s="104"/>
      <c r="AH404" s="104"/>
      <c r="AI404" s="104"/>
      <c r="AJ404" s="104"/>
      <c r="AK404" s="104"/>
      <c r="AL404" s="104"/>
      <c r="AM404" s="104"/>
      <c r="AN404" s="104"/>
      <c r="AO404" s="104"/>
      <c r="AP404" s="104"/>
      <c r="AQ404" s="104"/>
      <c r="AR404" s="104"/>
      <c r="AS404" s="104"/>
      <c r="AT404" s="104"/>
      <c r="AU404" s="104"/>
      <c r="AV404" s="104"/>
      <c r="AW404" s="104"/>
      <c r="AX404" s="104"/>
      <c r="AY404" s="104"/>
      <c r="AZ404" s="104"/>
      <c r="BA404" s="104"/>
      <c r="BB404" s="104"/>
      <c r="BC404" s="104"/>
      <c r="BD404" s="104"/>
      <c r="BE404" s="104"/>
      <c r="BF404" s="104"/>
      <c r="BG404" s="104"/>
      <c r="BH404" s="104"/>
      <c r="BI404" s="104"/>
      <c r="BJ404" s="104"/>
      <c r="BK404" s="104"/>
      <c r="BL404" s="104"/>
      <c r="BM404" s="104"/>
      <c r="BN404" s="104"/>
    </row>
    <row r="405">
      <c r="A405" s="104"/>
      <c r="B405" s="104"/>
      <c r="C405" s="104"/>
      <c r="D405" s="104"/>
      <c r="E405" s="104"/>
      <c r="F405" s="104"/>
      <c r="G405" s="104"/>
      <c r="H405" s="104"/>
      <c r="I405" s="104"/>
      <c r="J405" s="104"/>
      <c r="K405" s="105"/>
      <c r="L405" s="106"/>
      <c r="M405" s="104"/>
      <c r="N405" s="104"/>
      <c r="O405" s="104"/>
      <c r="P405" s="104"/>
      <c r="Q405" s="104"/>
      <c r="R405" s="106"/>
      <c r="S405" s="104"/>
      <c r="T405" s="104"/>
      <c r="U405" s="104"/>
      <c r="V405" s="104"/>
      <c r="W405" s="105"/>
      <c r="X405" s="104"/>
      <c r="Y405" s="104"/>
      <c r="Z405" s="104"/>
      <c r="AA405" s="104"/>
      <c r="AB405" s="104"/>
      <c r="AC405" s="104"/>
      <c r="AD405" s="104"/>
      <c r="AE405" s="104"/>
      <c r="AF405" s="104"/>
      <c r="AG405" s="104"/>
      <c r="AH405" s="104"/>
      <c r="AI405" s="104"/>
      <c r="AJ405" s="104"/>
      <c r="AK405" s="104"/>
      <c r="AL405" s="104"/>
      <c r="AM405" s="104"/>
      <c r="AN405" s="104"/>
      <c r="AO405" s="104"/>
      <c r="AP405" s="104"/>
      <c r="AQ405" s="104"/>
      <c r="AR405" s="104"/>
      <c r="AS405" s="104"/>
      <c r="AT405" s="104"/>
      <c r="AU405" s="104"/>
      <c r="AV405" s="104"/>
      <c r="AW405" s="104"/>
      <c r="AX405" s="104"/>
      <c r="AY405" s="104"/>
      <c r="AZ405" s="104"/>
      <c r="BA405" s="104"/>
      <c r="BB405" s="104"/>
      <c r="BC405" s="104"/>
      <c r="BD405" s="104"/>
      <c r="BE405" s="104"/>
      <c r="BF405" s="104"/>
      <c r="BG405" s="104"/>
      <c r="BH405" s="104"/>
      <c r="BI405" s="104"/>
      <c r="BJ405" s="104"/>
      <c r="BK405" s="104"/>
      <c r="BL405" s="104"/>
      <c r="BM405" s="104"/>
      <c r="BN405" s="104"/>
    </row>
    <row r="406">
      <c r="A406" s="104"/>
      <c r="B406" s="104"/>
      <c r="C406" s="104"/>
      <c r="D406" s="104"/>
      <c r="E406" s="104"/>
      <c r="F406" s="104"/>
      <c r="G406" s="104"/>
      <c r="H406" s="104"/>
      <c r="I406" s="104"/>
      <c r="J406" s="104"/>
      <c r="K406" s="105"/>
      <c r="L406" s="106"/>
      <c r="M406" s="104"/>
      <c r="N406" s="104"/>
      <c r="O406" s="104"/>
      <c r="P406" s="104"/>
      <c r="Q406" s="104"/>
      <c r="R406" s="106"/>
      <c r="S406" s="104"/>
      <c r="T406" s="104"/>
      <c r="U406" s="104"/>
      <c r="V406" s="104"/>
      <c r="W406" s="105"/>
      <c r="X406" s="104"/>
      <c r="Y406" s="104"/>
      <c r="Z406" s="104"/>
      <c r="AA406" s="104"/>
      <c r="AB406" s="104"/>
      <c r="AC406" s="104"/>
      <c r="AD406" s="104"/>
      <c r="AE406" s="104"/>
      <c r="AF406" s="104"/>
      <c r="AG406" s="104"/>
      <c r="AH406" s="104"/>
      <c r="AI406" s="104"/>
      <c r="AJ406" s="104"/>
      <c r="AK406" s="104"/>
      <c r="AL406" s="104"/>
      <c r="AM406" s="104"/>
      <c r="AN406" s="104"/>
      <c r="AO406" s="104"/>
      <c r="AP406" s="104"/>
      <c r="AQ406" s="104"/>
      <c r="AR406" s="104"/>
      <c r="AS406" s="104"/>
      <c r="AT406" s="104"/>
      <c r="AU406" s="104"/>
      <c r="AV406" s="104"/>
      <c r="AW406" s="104"/>
      <c r="AX406" s="104"/>
      <c r="AY406" s="104"/>
      <c r="AZ406" s="104"/>
      <c r="BA406" s="104"/>
      <c r="BB406" s="104"/>
      <c r="BC406" s="104"/>
      <c r="BD406" s="104"/>
      <c r="BE406" s="104"/>
      <c r="BF406" s="104"/>
      <c r="BG406" s="104"/>
      <c r="BH406" s="104"/>
      <c r="BI406" s="104"/>
      <c r="BJ406" s="104"/>
      <c r="BK406" s="104"/>
      <c r="BL406" s="104"/>
      <c r="BM406" s="104"/>
      <c r="BN406" s="104"/>
    </row>
    <row r="407">
      <c r="A407" s="104"/>
      <c r="B407" s="104"/>
      <c r="C407" s="104"/>
      <c r="D407" s="104"/>
      <c r="E407" s="104"/>
      <c r="F407" s="104"/>
      <c r="G407" s="104"/>
      <c r="H407" s="104"/>
      <c r="I407" s="104"/>
      <c r="J407" s="104"/>
      <c r="K407" s="105"/>
      <c r="L407" s="106"/>
      <c r="M407" s="104"/>
      <c r="N407" s="104"/>
      <c r="O407" s="104"/>
      <c r="P407" s="104"/>
      <c r="Q407" s="104"/>
      <c r="R407" s="106"/>
      <c r="S407" s="104"/>
      <c r="T407" s="104"/>
      <c r="U407" s="104"/>
      <c r="V407" s="104"/>
      <c r="W407" s="105"/>
      <c r="X407" s="104"/>
      <c r="Y407" s="104"/>
      <c r="Z407" s="104"/>
      <c r="AA407" s="104"/>
      <c r="AB407" s="104"/>
      <c r="AC407" s="104"/>
      <c r="AD407" s="104"/>
      <c r="AE407" s="104"/>
      <c r="AF407" s="104"/>
      <c r="AG407" s="104"/>
      <c r="AH407" s="104"/>
      <c r="AI407" s="104"/>
      <c r="AJ407" s="104"/>
      <c r="AK407" s="104"/>
      <c r="AL407" s="104"/>
      <c r="AM407" s="104"/>
      <c r="AN407" s="104"/>
      <c r="AO407" s="104"/>
      <c r="AP407" s="104"/>
      <c r="AQ407" s="104"/>
      <c r="AR407" s="104"/>
      <c r="AS407" s="104"/>
      <c r="AT407" s="104"/>
      <c r="AU407" s="104"/>
      <c r="AV407" s="104"/>
      <c r="AW407" s="104"/>
      <c r="AX407" s="104"/>
      <c r="AY407" s="104"/>
      <c r="AZ407" s="104"/>
      <c r="BA407" s="104"/>
      <c r="BB407" s="104"/>
      <c r="BC407" s="104"/>
      <c r="BD407" s="104"/>
      <c r="BE407" s="104"/>
      <c r="BF407" s="104"/>
      <c r="BG407" s="104"/>
      <c r="BH407" s="104"/>
      <c r="BI407" s="104"/>
      <c r="BJ407" s="104"/>
      <c r="BK407" s="104"/>
      <c r="BL407" s="104"/>
      <c r="BM407" s="104"/>
      <c r="BN407" s="104"/>
    </row>
    <row r="408">
      <c r="A408" s="104"/>
      <c r="B408" s="104"/>
      <c r="C408" s="104"/>
      <c r="D408" s="104"/>
      <c r="E408" s="104"/>
      <c r="F408" s="104"/>
      <c r="G408" s="104"/>
      <c r="H408" s="104"/>
      <c r="I408" s="104"/>
      <c r="J408" s="104"/>
      <c r="K408" s="105"/>
      <c r="L408" s="106"/>
      <c r="M408" s="104"/>
      <c r="N408" s="104"/>
      <c r="O408" s="104"/>
      <c r="P408" s="104"/>
      <c r="Q408" s="104"/>
      <c r="R408" s="106"/>
      <c r="S408" s="104"/>
      <c r="T408" s="104"/>
      <c r="U408" s="104"/>
      <c r="V408" s="104"/>
      <c r="W408" s="105"/>
      <c r="X408" s="104"/>
      <c r="Y408" s="104"/>
      <c r="Z408" s="104"/>
      <c r="AA408" s="104"/>
      <c r="AB408" s="104"/>
      <c r="AC408" s="104"/>
      <c r="AD408" s="104"/>
      <c r="AE408" s="104"/>
      <c r="AF408" s="104"/>
      <c r="AG408" s="104"/>
      <c r="AH408" s="104"/>
      <c r="AI408" s="104"/>
      <c r="AJ408" s="104"/>
      <c r="AK408" s="104"/>
      <c r="AL408" s="104"/>
      <c r="AM408" s="104"/>
      <c r="AN408" s="104"/>
      <c r="AO408" s="104"/>
      <c r="AP408" s="104"/>
      <c r="AQ408" s="104"/>
      <c r="AR408" s="104"/>
      <c r="AS408" s="104"/>
      <c r="AT408" s="104"/>
      <c r="AU408" s="104"/>
      <c r="AV408" s="104"/>
      <c r="AW408" s="104"/>
      <c r="AX408" s="104"/>
      <c r="AY408" s="104"/>
      <c r="AZ408" s="104"/>
      <c r="BA408" s="104"/>
      <c r="BB408" s="104"/>
      <c r="BC408" s="104"/>
      <c r="BD408" s="104"/>
      <c r="BE408" s="104"/>
      <c r="BF408" s="104"/>
      <c r="BG408" s="104"/>
      <c r="BH408" s="104"/>
      <c r="BI408" s="104"/>
      <c r="BJ408" s="104"/>
      <c r="BK408" s="104"/>
      <c r="BL408" s="104"/>
      <c r="BM408" s="104"/>
      <c r="BN408" s="104"/>
    </row>
    <row r="409">
      <c r="A409" s="104"/>
      <c r="B409" s="104"/>
      <c r="C409" s="104"/>
      <c r="D409" s="104"/>
      <c r="E409" s="104"/>
      <c r="F409" s="104"/>
      <c r="G409" s="104"/>
      <c r="H409" s="104"/>
      <c r="I409" s="104"/>
      <c r="J409" s="104"/>
      <c r="K409" s="105"/>
      <c r="L409" s="106"/>
      <c r="M409" s="104"/>
      <c r="N409" s="104"/>
      <c r="O409" s="104"/>
      <c r="P409" s="104"/>
      <c r="Q409" s="104"/>
      <c r="R409" s="106"/>
      <c r="S409" s="104"/>
      <c r="T409" s="104"/>
      <c r="U409" s="104"/>
      <c r="V409" s="104"/>
      <c r="W409" s="105"/>
      <c r="X409" s="104"/>
      <c r="Y409" s="104"/>
      <c r="Z409" s="104"/>
      <c r="AA409" s="104"/>
      <c r="AB409" s="104"/>
      <c r="AC409" s="104"/>
      <c r="AD409" s="104"/>
      <c r="AE409" s="104"/>
      <c r="AF409" s="104"/>
      <c r="AG409" s="104"/>
      <c r="AH409" s="104"/>
      <c r="AI409" s="104"/>
      <c r="AJ409" s="104"/>
      <c r="AK409" s="104"/>
      <c r="AL409" s="104"/>
      <c r="AM409" s="104"/>
      <c r="AN409" s="104"/>
      <c r="AO409" s="104"/>
      <c r="AP409" s="104"/>
      <c r="AQ409" s="104"/>
      <c r="AR409" s="104"/>
      <c r="AS409" s="104"/>
      <c r="AT409" s="104"/>
      <c r="AU409" s="104"/>
      <c r="AV409" s="104"/>
      <c r="AW409" s="104"/>
      <c r="AX409" s="104"/>
      <c r="AY409" s="104"/>
      <c r="AZ409" s="104"/>
      <c r="BA409" s="104"/>
      <c r="BB409" s="104"/>
      <c r="BC409" s="104"/>
      <c r="BD409" s="104"/>
      <c r="BE409" s="104"/>
      <c r="BF409" s="104"/>
      <c r="BG409" s="104"/>
      <c r="BH409" s="104"/>
      <c r="BI409" s="104"/>
      <c r="BJ409" s="104"/>
      <c r="BK409" s="104"/>
      <c r="BL409" s="104"/>
      <c r="BM409" s="104"/>
      <c r="BN409" s="104"/>
    </row>
    <row r="410">
      <c r="A410" s="104"/>
      <c r="B410" s="104"/>
      <c r="C410" s="104"/>
      <c r="D410" s="104"/>
      <c r="E410" s="104"/>
      <c r="F410" s="104"/>
      <c r="G410" s="104"/>
      <c r="H410" s="104"/>
      <c r="I410" s="104"/>
      <c r="J410" s="104"/>
      <c r="K410" s="105"/>
      <c r="L410" s="106"/>
      <c r="M410" s="104"/>
      <c r="N410" s="104"/>
      <c r="O410" s="104"/>
      <c r="P410" s="104"/>
      <c r="Q410" s="104"/>
      <c r="R410" s="106"/>
      <c r="S410" s="104"/>
      <c r="T410" s="104"/>
      <c r="U410" s="104"/>
      <c r="V410" s="104"/>
      <c r="W410" s="105"/>
      <c r="X410" s="104"/>
      <c r="Y410" s="104"/>
      <c r="Z410" s="104"/>
      <c r="AA410" s="104"/>
      <c r="AB410" s="104"/>
      <c r="AC410" s="104"/>
      <c r="AD410" s="104"/>
      <c r="AE410" s="104"/>
      <c r="AF410" s="104"/>
      <c r="AG410" s="104"/>
      <c r="AH410" s="104"/>
      <c r="AI410" s="104"/>
      <c r="AJ410" s="104"/>
      <c r="AK410" s="104"/>
      <c r="AL410" s="104"/>
      <c r="AM410" s="104"/>
      <c r="AN410" s="104"/>
      <c r="AO410" s="104"/>
      <c r="AP410" s="104"/>
      <c r="AQ410" s="104"/>
      <c r="AR410" s="104"/>
      <c r="AS410" s="104"/>
      <c r="AT410" s="104"/>
      <c r="AU410" s="104"/>
      <c r="AV410" s="104"/>
      <c r="AW410" s="104"/>
      <c r="AX410" s="104"/>
      <c r="AY410" s="104"/>
      <c r="AZ410" s="104"/>
      <c r="BA410" s="104"/>
      <c r="BB410" s="104"/>
      <c r="BC410" s="104"/>
      <c r="BD410" s="104"/>
      <c r="BE410" s="104"/>
      <c r="BF410" s="104"/>
      <c r="BG410" s="104"/>
      <c r="BH410" s="104"/>
      <c r="BI410" s="104"/>
      <c r="BJ410" s="104"/>
      <c r="BK410" s="104"/>
      <c r="BL410" s="104"/>
      <c r="BM410" s="104"/>
      <c r="BN410" s="104"/>
    </row>
    <row r="411">
      <c r="A411" s="104"/>
      <c r="B411" s="104"/>
      <c r="C411" s="104"/>
      <c r="D411" s="104"/>
      <c r="E411" s="104"/>
      <c r="F411" s="104"/>
      <c r="G411" s="104"/>
      <c r="H411" s="104"/>
      <c r="I411" s="104"/>
      <c r="J411" s="104"/>
      <c r="K411" s="105"/>
      <c r="L411" s="106"/>
      <c r="M411" s="104"/>
      <c r="N411" s="104"/>
      <c r="O411" s="104"/>
      <c r="P411" s="104"/>
      <c r="Q411" s="104"/>
      <c r="R411" s="106"/>
      <c r="S411" s="104"/>
      <c r="T411" s="104"/>
      <c r="U411" s="104"/>
      <c r="V411" s="104"/>
      <c r="W411" s="105"/>
      <c r="X411" s="104"/>
      <c r="Y411" s="104"/>
      <c r="Z411" s="104"/>
      <c r="AA411" s="104"/>
      <c r="AB411" s="104"/>
      <c r="AC411" s="104"/>
      <c r="AD411" s="104"/>
      <c r="AE411" s="104"/>
      <c r="AF411" s="104"/>
      <c r="AG411" s="104"/>
      <c r="AH411" s="104"/>
      <c r="AI411" s="104"/>
      <c r="AJ411" s="104"/>
      <c r="AK411" s="104"/>
      <c r="AL411" s="104"/>
      <c r="AM411" s="104"/>
      <c r="AN411" s="104"/>
      <c r="AO411" s="104"/>
      <c r="AP411" s="104"/>
      <c r="AQ411" s="104"/>
      <c r="AR411" s="104"/>
      <c r="AS411" s="104"/>
      <c r="AT411" s="104"/>
      <c r="AU411" s="104"/>
      <c r="AV411" s="104"/>
      <c r="AW411" s="104"/>
      <c r="AX411" s="104"/>
      <c r="AY411" s="104"/>
      <c r="AZ411" s="104"/>
      <c r="BA411" s="104"/>
      <c r="BB411" s="104"/>
      <c r="BC411" s="104"/>
      <c r="BD411" s="104"/>
      <c r="BE411" s="104"/>
      <c r="BF411" s="104"/>
      <c r="BG411" s="104"/>
      <c r="BH411" s="104"/>
      <c r="BI411" s="104"/>
      <c r="BJ411" s="104"/>
      <c r="BK411" s="104"/>
      <c r="BL411" s="104"/>
      <c r="BM411" s="104"/>
      <c r="BN411" s="104"/>
    </row>
    <row r="412">
      <c r="A412" s="104"/>
      <c r="B412" s="104"/>
      <c r="C412" s="104"/>
      <c r="D412" s="104"/>
      <c r="E412" s="104"/>
      <c r="F412" s="104"/>
      <c r="G412" s="104"/>
      <c r="H412" s="104"/>
      <c r="I412" s="104"/>
      <c r="J412" s="104"/>
      <c r="K412" s="105"/>
      <c r="L412" s="106"/>
      <c r="M412" s="104"/>
      <c r="N412" s="104"/>
      <c r="O412" s="104"/>
      <c r="P412" s="104"/>
      <c r="Q412" s="104"/>
      <c r="R412" s="106"/>
      <c r="S412" s="104"/>
      <c r="T412" s="104"/>
      <c r="U412" s="104"/>
      <c r="V412" s="104"/>
      <c r="W412" s="105"/>
      <c r="X412" s="104"/>
      <c r="Y412" s="104"/>
      <c r="Z412" s="104"/>
      <c r="AA412" s="104"/>
      <c r="AB412" s="104"/>
      <c r="AC412" s="104"/>
      <c r="AD412" s="104"/>
      <c r="AE412" s="104"/>
      <c r="AF412" s="104"/>
      <c r="AG412" s="104"/>
      <c r="AH412" s="104"/>
      <c r="AI412" s="104"/>
      <c r="AJ412" s="104"/>
      <c r="AK412" s="104"/>
      <c r="AL412" s="104"/>
      <c r="AM412" s="104"/>
      <c r="AN412" s="104"/>
      <c r="AO412" s="104"/>
      <c r="AP412" s="104"/>
      <c r="AQ412" s="104"/>
      <c r="AR412" s="104"/>
      <c r="AS412" s="104"/>
      <c r="AT412" s="104"/>
      <c r="AU412" s="104"/>
      <c r="AV412" s="104"/>
      <c r="AW412" s="104"/>
      <c r="AX412" s="104"/>
      <c r="AY412" s="104"/>
      <c r="AZ412" s="104"/>
      <c r="BA412" s="104"/>
      <c r="BB412" s="104"/>
      <c r="BC412" s="104"/>
      <c r="BD412" s="104"/>
      <c r="BE412" s="104"/>
      <c r="BF412" s="104"/>
      <c r="BG412" s="104"/>
      <c r="BH412" s="104"/>
      <c r="BI412" s="104"/>
      <c r="BJ412" s="104"/>
      <c r="BK412" s="104"/>
      <c r="BL412" s="104"/>
      <c r="BM412" s="104"/>
      <c r="BN412" s="104"/>
    </row>
    <row r="413">
      <c r="A413" s="104"/>
      <c r="B413" s="104"/>
      <c r="C413" s="104"/>
      <c r="D413" s="104"/>
      <c r="E413" s="104"/>
      <c r="F413" s="104"/>
      <c r="G413" s="104"/>
      <c r="H413" s="104"/>
      <c r="I413" s="104"/>
      <c r="J413" s="104"/>
      <c r="K413" s="105"/>
      <c r="L413" s="106"/>
      <c r="M413" s="104"/>
      <c r="N413" s="104"/>
      <c r="O413" s="104"/>
      <c r="P413" s="104"/>
      <c r="Q413" s="104"/>
      <c r="R413" s="106"/>
      <c r="S413" s="104"/>
      <c r="T413" s="104"/>
      <c r="U413" s="104"/>
      <c r="V413" s="104"/>
      <c r="W413" s="105"/>
      <c r="X413" s="104"/>
      <c r="Y413" s="104"/>
      <c r="Z413" s="104"/>
      <c r="AA413" s="104"/>
      <c r="AB413" s="104"/>
      <c r="AC413" s="104"/>
      <c r="AD413" s="104"/>
      <c r="AE413" s="104"/>
      <c r="AF413" s="104"/>
      <c r="AG413" s="104"/>
      <c r="AH413" s="104"/>
      <c r="AI413" s="104"/>
      <c r="AJ413" s="104"/>
      <c r="AK413" s="104"/>
      <c r="AL413" s="104"/>
      <c r="AM413" s="104"/>
      <c r="AN413" s="104"/>
      <c r="AO413" s="104"/>
      <c r="AP413" s="104"/>
      <c r="AQ413" s="104"/>
      <c r="AR413" s="104"/>
      <c r="AS413" s="104"/>
      <c r="AT413" s="104"/>
      <c r="AU413" s="104"/>
      <c r="AV413" s="104"/>
      <c r="AW413" s="104"/>
      <c r="AX413" s="104"/>
      <c r="AY413" s="104"/>
      <c r="AZ413" s="104"/>
      <c r="BA413" s="104"/>
      <c r="BB413" s="104"/>
      <c r="BC413" s="104"/>
      <c r="BD413" s="104"/>
      <c r="BE413" s="104"/>
      <c r="BF413" s="104"/>
      <c r="BG413" s="104"/>
      <c r="BH413" s="104"/>
      <c r="BI413" s="104"/>
      <c r="BJ413" s="104"/>
      <c r="BK413" s="104"/>
      <c r="BL413" s="104"/>
      <c r="BM413" s="104"/>
      <c r="BN413" s="104"/>
    </row>
    <row r="414">
      <c r="A414" s="104"/>
      <c r="B414" s="104"/>
      <c r="C414" s="104"/>
      <c r="D414" s="104"/>
      <c r="E414" s="104"/>
      <c r="F414" s="104"/>
      <c r="G414" s="104"/>
      <c r="H414" s="104"/>
      <c r="I414" s="104"/>
      <c r="J414" s="104"/>
      <c r="K414" s="105"/>
      <c r="L414" s="106"/>
      <c r="M414" s="104"/>
      <c r="N414" s="104"/>
      <c r="O414" s="104"/>
      <c r="P414" s="104"/>
      <c r="Q414" s="104"/>
      <c r="R414" s="106"/>
      <c r="S414" s="104"/>
      <c r="T414" s="104"/>
      <c r="U414" s="104"/>
      <c r="V414" s="104"/>
      <c r="W414" s="105"/>
      <c r="X414" s="104"/>
      <c r="Y414" s="104"/>
      <c r="Z414" s="104"/>
      <c r="AA414" s="104"/>
      <c r="AB414" s="104"/>
      <c r="AC414" s="104"/>
      <c r="AD414" s="104"/>
      <c r="AE414" s="104"/>
      <c r="AF414" s="104"/>
      <c r="AG414" s="104"/>
      <c r="AH414" s="104"/>
      <c r="AI414" s="104"/>
      <c r="AJ414" s="104"/>
      <c r="AK414" s="104"/>
      <c r="AL414" s="104"/>
      <c r="AM414" s="104"/>
      <c r="AN414" s="104"/>
      <c r="AO414" s="104"/>
      <c r="AP414" s="104"/>
      <c r="AQ414" s="104"/>
      <c r="AR414" s="104"/>
      <c r="AS414" s="104"/>
      <c r="AT414" s="104"/>
      <c r="AU414" s="104"/>
      <c r="AV414" s="104"/>
      <c r="AW414" s="104"/>
      <c r="AX414" s="104"/>
      <c r="AY414" s="104"/>
      <c r="AZ414" s="104"/>
      <c r="BA414" s="104"/>
      <c r="BB414" s="104"/>
      <c r="BC414" s="104"/>
      <c r="BD414" s="104"/>
      <c r="BE414" s="104"/>
      <c r="BF414" s="104"/>
      <c r="BG414" s="104"/>
      <c r="BH414" s="104"/>
      <c r="BI414" s="104"/>
      <c r="BJ414" s="104"/>
      <c r="BK414" s="104"/>
      <c r="BL414" s="104"/>
      <c r="BM414" s="104"/>
      <c r="BN414" s="104"/>
    </row>
    <row r="415">
      <c r="A415" s="104"/>
      <c r="B415" s="104"/>
      <c r="C415" s="104"/>
      <c r="D415" s="104"/>
      <c r="E415" s="104"/>
      <c r="F415" s="104"/>
      <c r="G415" s="104"/>
      <c r="H415" s="104"/>
      <c r="I415" s="104"/>
      <c r="J415" s="104"/>
      <c r="K415" s="105"/>
      <c r="L415" s="106"/>
      <c r="M415" s="104"/>
      <c r="N415" s="104"/>
      <c r="O415" s="104"/>
      <c r="P415" s="104"/>
      <c r="Q415" s="104"/>
      <c r="R415" s="106"/>
      <c r="S415" s="104"/>
      <c r="T415" s="104"/>
      <c r="U415" s="104"/>
      <c r="V415" s="104"/>
      <c r="W415" s="105"/>
      <c r="X415" s="104"/>
      <c r="Y415" s="104"/>
      <c r="Z415" s="104"/>
      <c r="AA415" s="104"/>
      <c r="AB415" s="104"/>
      <c r="AC415" s="104"/>
      <c r="AD415" s="104"/>
      <c r="AE415" s="104"/>
      <c r="AF415" s="104"/>
      <c r="AG415" s="104"/>
      <c r="AH415" s="104"/>
      <c r="AI415" s="104"/>
      <c r="AJ415" s="104"/>
      <c r="AK415" s="104"/>
      <c r="AL415" s="104"/>
      <c r="AM415" s="104"/>
      <c r="AN415" s="104"/>
      <c r="AO415" s="104"/>
      <c r="AP415" s="104"/>
      <c r="AQ415" s="104"/>
      <c r="AR415" s="104"/>
      <c r="AS415" s="104"/>
      <c r="AT415" s="104"/>
      <c r="AU415" s="104"/>
      <c r="AV415" s="104"/>
      <c r="AW415" s="104"/>
      <c r="AX415" s="104"/>
      <c r="AY415" s="104"/>
      <c r="AZ415" s="104"/>
      <c r="BA415" s="104"/>
      <c r="BB415" s="104"/>
      <c r="BC415" s="104"/>
      <c r="BD415" s="104"/>
      <c r="BE415" s="104"/>
      <c r="BF415" s="104"/>
      <c r="BG415" s="104"/>
      <c r="BH415" s="104"/>
      <c r="BI415" s="104"/>
      <c r="BJ415" s="104"/>
      <c r="BK415" s="104"/>
      <c r="BL415" s="104"/>
      <c r="BM415" s="104"/>
      <c r="BN415" s="104"/>
    </row>
    <row r="416">
      <c r="A416" s="104"/>
      <c r="B416" s="104"/>
      <c r="C416" s="104"/>
      <c r="D416" s="104"/>
      <c r="E416" s="104"/>
      <c r="F416" s="104"/>
      <c r="G416" s="104"/>
      <c r="H416" s="104"/>
      <c r="I416" s="104"/>
      <c r="J416" s="104"/>
      <c r="K416" s="105"/>
      <c r="L416" s="106"/>
      <c r="M416" s="104"/>
      <c r="N416" s="104"/>
      <c r="O416" s="104"/>
      <c r="P416" s="104"/>
      <c r="Q416" s="104"/>
      <c r="R416" s="106"/>
      <c r="S416" s="104"/>
      <c r="T416" s="104"/>
      <c r="U416" s="104"/>
      <c r="V416" s="104"/>
      <c r="W416" s="105"/>
      <c r="X416" s="104"/>
      <c r="Y416" s="104"/>
      <c r="Z416" s="104"/>
      <c r="AA416" s="104"/>
      <c r="AB416" s="104"/>
      <c r="AC416" s="104"/>
      <c r="AD416" s="104"/>
      <c r="AE416" s="104"/>
      <c r="AF416" s="104"/>
      <c r="AG416" s="104"/>
      <c r="AH416" s="104"/>
      <c r="AI416" s="104"/>
      <c r="AJ416" s="104"/>
      <c r="AK416" s="104"/>
      <c r="AL416" s="104"/>
      <c r="AM416" s="104"/>
      <c r="AN416" s="104"/>
      <c r="AO416" s="104"/>
      <c r="AP416" s="104"/>
      <c r="AQ416" s="104"/>
      <c r="AR416" s="104"/>
      <c r="AS416" s="104"/>
      <c r="AT416" s="104"/>
      <c r="AU416" s="104"/>
      <c r="AV416" s="104"/>
      <c r="AW416" s="104"/>
      <c r="AX416" s="104"/>
      <c r="AY416" s="104"/>
      <c r="AZ416" s="104"/>
      <c r="BA416" s="104"/>
      <c r="BB416" s="104"/>
      <c r="BC416" s="104"/>
      <c r="BD416" s="104"/>
      <c r="BE416" s="104"/>
      <c r="BF416" s="104"/>
      <c r="BG416" s="104"/>
      <c r="BH416" s="104"/>
      <c r="BI416" s="104"/>
      <c r="BJ416" s="104"/>
      <c r="BK416" s="104"/>
      <c r="BL416" s="104"/>
      <c r="BM416" s="104"/>
      <c r="BN416" s="104"/>
    </row>
    <row r="417">
      <c r="A417" s="104"/>
      <c r="B417" s="104"/>
      <c r="C417" s="104"/>
      <c r="D417" s="104"/>
      <c r="E417" s="104"/>
      <c r="F417" s="104"/>
      <c r="G417" s="104"/>
      <c r="H417" s="104"/>
      <c r="I417" s="104"/>
      <c r="J417" s="104"/>
      <c r="K417" s="105"/>
      <c r="L417" s="106"/>
      <c r="M417" s="104"/>
      <c r="N417" s="104"/>
      <c r="O417" s="104"/>
      <c r="P417" s="104"/>
      <c r="Q417" s="104"/>
      <c r="R417" s="106"/>
      <c r="S417" s="104"/>
      <c r="T417" s="104"/>
      <c r="U417" s="104"/>
      <c r="V417" s="104"/>
      <c r="W417" s="105"/>
      <c r="X417" s="104"/>
      <c r="Y417" s="104"/>
      <c r="Z417" s="104"/>
      <c r="AA417" s="104"/>
      <c r="AB417" s="104"/>
      <c r="AC417" s="104"/>
      <c r="AD417" s="104"/>
      <c r="AE417" s="104"/>
      <c r="AF417" s="104"/>
      <c r="AG417" s="104"/>
      <c r="AH417" s="104"/>
      <c r="AI417" s="104"/>
      <c r="AJ417" s="104"/>
      <c r="AK417" s="104"/>
      <c r="AL417" s="104"/>
      <c r="AM417" s="104"/>
      <c r="AN417" s="104"/>
      <c r="AO417" s="104"/>
      <c r="AP417" s="104"/>
      <c r="AQ417" s="104"/>
      <c r="AR417" s="104"/>
      <c r="AS417" s="104"/>
      <c r="AT417" s="104"/>
      <c r="AU417" s="104"/>
      <c r="AV417" s="104"/>
      <c r="AW417" s="104"/>
      <c r="AX417" s="104"/>
      <c r="AY417" s="104"/>
      <c r="AZ417" s="104"/>
      <c r="BA417" s="104"/>
      <c r="BB417" s="104"/>
      <c r="BC417" s="104"/>
      <c r="BD417" s="104"/>
      <c r="BE417" s="104"/>
      <c r="BF417" s="104"/>
      <c r="BG417" s="104"/>
      <c r="BH417" s="104"/>
      <c r="BI417" s="104"/>
      <c r="BJ417" s="104"/>
      <c r="BK417" s="104"/>
      <c r="BL417" s="104"/>
      <c r="BM417" s="104"/>
      <c r="BN417" s="104"/>
    </row>
    <row r="418">
      <c r="A418" s="104"/>
      <c r="B418" s="104"/>
      <c r="C418" s="104"/>
      <c r="D418" s="104"/>
      <c r="E418" s="104"/>
      <c r="F418" s="104"/>
      <c r="G418" s="104"/>
      <c r="H418" s="104"/>
      <c r="I418" s="104"/>
      <c r="J418" s="104"/>
      <c r="K418" s="105"/>
      <c r="L418" s="106"/>
      <c r="M418" s="104"/>
      <c r="N418" s="104"/>
      <c r="O418" s="104"/>
      <c r="P418" s="104"/>
      <c r="Q418" s="104"/>
      <c r="R418" s="106"/>
      <c r="S418" s="104"/>
      <c r="T418" s="104"/>
      <c r="U418" s="104"/>
      <c r="V418" s="104"/>
      <c r="W418" s="105"/>
      <c r="X418" s="104"/>
      <c r="Y418" s="104"/>
      <c r="Z418" s="104"/>
      <c r="AA418" s="104"/>
      <c r="AB418" s="104"/>
      <c r="AC418" s="104"/>
      <c r="AD418" s="104"/>
      <c r="AE418" s="104"/>
      <c r="AF418" s="104"/>
      <c r="AG418" s="104"/>
      <c r="AH418" s="104"/>
      <c r="AI418" s="104"/>
      <c r="AJ418" s="104"/>
      <c r="AK418" s="104"/>
      <c r="AL418" s="104"/>
      <c r="AM418" s="104"/>
      <c r="AN418" s="104"/>
      <c r="AO418" s="104"/>
      <c r="AP418" s="104"/>
      <c r="AQ418" s="104"/>
      <c r="AR418" s="104"/>
      <c r="AS418" s="104"/>
      <c r="AT418" s="104"/>
      <c r="AU418" s="104"/>
      <c r="AV418" s="104"/>
      <c r="AW418" s="104"/>
      <c r="AX418" s="104"/>
      <c r="AY418" s="104"/>
      <c r="AZ418" s="104"/>
      <c r="BA418" s="104"/>
      <c r="BB418" s="104"/>
      <c r="BC418" s="104"/>
      <c r="BD418" s="104"/>
      <c r="BE418" s="104"/>
      <c r="BF418" s="104"/>
      <c r="BG418" s="104"/>
      <c r="BH418" s="104"/>
      <c r="BI418" s="104"/>
      <c r="BJ418" s="104"/>
      <c r="BK418" s="104"/>
      <c r="BL418" s="104"/>
      <c r="BM418" s="104"/>
      <c r="BN418" s="104"/>
    </row>
    <row r="419">
      <c r="A419" s="104"/>
      <c r="B419" s="104"/>
      <c r="C419" s="104"/>
      <c r="D419" s="104"/>
      <c r="E419" s="104"/>
      <c r="F419" s="104"/>
      <c r="G419" s="104"/>
      <c r="H419" s="104"/>
      <c r="I419" s="104"/>
      <c r="J419" s="104"/>
      <c r="K419" s="105"/>
      <c r="L419" s="106"/>
      <c r="M419" s="104"/>
      <c r="N419" s="104"/>
      <c r="O419" s="104"/>
      <c r="P419" s="104"/>
      <c r="Q419" s="104"/>
      <c r="R419" s="106"/>
      <c r="S419" s="104"/>
      <c r="T419" s="104"/>
      <c r="U419" s="104"/>
      <c r="V419" s="104"/>
      <c r="W419" s="105"/>
      <c r="X419" s="104"/>
      <c r="Y419" s="104"/>
      <c r="Z419" s="104"/>
      <c r="AA419" s="104"/>
      <c r="AB419" s="104"/>
      <c r="AC419" s="104"/>
      <c r="AD419" s="104"/>
      <c r="AE419" s="104"/>
      <c r="AF419" s="104"/>
      <c r="AG419" s="104"/>
      <c r="AH419" s="104"/>
      <c r="AI419" s="104"/>
      <c r="AJ419" s="104"/>
      <c r="AK419" s="104"/>
      <c r="AL419" s="104"/>
      <c r="AM419" s="104"/>
      <c r="AN419" s="104"/>
      <c r="AO419" s="104"/>
      <c r="AP419" s="104"/>
      <c r="AQ419" s="104"/>
      <c r="AR419" s="104"/>
      <c r="AS419" s="104"/>
      <c r="AT419" s="104"/>
      <c r="AU419" s="104"/>
      <c r="AV419" s="104"/>
      <c r="AW419" s="104"/>
      <c r="AX419" s="104"/>
      <c r="AY419" s="104"/>
      <c r="AZ419" s="104"/>
      <c r="BA419" s="104"/>
      <c r="BB419" s="104"/>
      <c r="BC419" s="104"/>
      <c r="BD419" s="104"/>
      <c r="BE419" s="104"/>
      <c r="BF419" s="104"/>
      <c r="BG419" s="104"/>
      <c r="BH419" s="104"/>
      <c r="BI419" s="104"/>
      <c r="BJ419" s="104"/>
      <c r="BK419" s="104"/>
      <c r="BL419" s="104"/>
      <c r="BM419" s="104"/>
      <c r="BN419" s="104"/>
    </row>
    <row r="420">
      <c r="A420" s="104"/>
      <c r="B420" s="104"/>
      <c r="C420" s="104"/>
      <c r="D420" s="104"/>
      <c r="E420" s="104"/>
      <c r="F420" s="104"/>
      <c r="G420" s="104"/>
      <c r="H420" s="104"/>
      <c r="I420" s="104"/>
      <c r="J420" s="104"/>
      <c r="K420" s="105"/>
      <c r="L420" s="106"/>
      <c r="M420" s="104"/>
      <c r="N420" s="104"/>
      <c r="O420" s="104"/>
      <c r="P420" s="104"/>
      <c r="Q420" s="104"/>
      <c r="R420" s="106"/>
      <c r="S420" s="104"/>
      <c r="T420" s="104"/>
      <c r="U420" s="104"/>
      <c r="V420" s="104"/>
      <c r="W420" s="105"/>
      <c r="X420" s="104"/>
      <c r="Y420" s="104"/>
      <c r="Z420" s="104"/>
      <c r="AA420" s="104"/>
      <c r="AB420" s="104"/>
      <c r="AC420" s="104"/>
      <c r="AD420" s="104"/>
      <c r="AE420" s="104"/>
      <c r="AF420" s="104"/>
      <c r="AG420" s="104"/>
      <c r="AH420" s="104"/>
      <c r="AI420" s="104"/>
      <c r="AJ420" s="104"/>
      <c r="AK420" s="104"/>
      <c r="AL420" s="104"/>
      <c r="AM420" s="104"/>
      <c r="AN420" s="104"/>
      <c r="AO420" s="104"/>
      <c r="AP420" s="104"/>
      <c r="AQ420" s="104"/>
      <c r="AR420" s="104"/>
      <c r="AS420" s="104"/>
      <c r="AT420" s="104"/>
      <c r="AU420" s="104"/>
      <c r="AV420" s="104"/>
      <c r="AW420" s="104"/>
      <c r="AX420" s="104"/>
      <c r="AY420" s="104"/>
      <c r="AZ420" s="104"/>
      <c r="BA420" s="104"/>
      <c r="BB420" s="104"/>
      <c r="BC420" s="104"/>
      <c r="BD420" s="104"/>
      <c r="BE420" s="104"/>
      <c r="BF420" s="104"/>
      <c r="BG420" s="104"/>
      <c r="BH420" s="104"/>
      <c r="BI420" s="104"/>
      <c r="BJ420" s="104"/>
      <c r="BK420" s="104"/>
      <c r="BL420" s="104"/>
      <c r="BM420" s="104"/>
      <c r="BN420" s="104"/>
    </row>
    <row r="421">
      <c r="A421" s="104"/>
      <c r="B421" s="104"/>
      <c r="C421" s="104"/>
      <c r="D421" s="104"/>
      <c r="E421" s="104"/>
      <c r="F421" s="104"/>
      <c r="G421" s="104"/>
      <c r="H421" s="104"/>
      <c r="I421" s="104"/>
      <c r="J421" s="104"/>
      <c r="K421" s="105"/>
      <c r="L421" s="106"/>
      <c r="M421" s="104"/>
      <c r="N421" s="104"/>
      <c r="O421" s="104"/>
      <c r="P421" s="104"/>
      <c r="Q421" s="104"/>
      <c r="R421" s="106"/>
      <c r="S421" s="104"/>
      <c r="T421" s="104"/>
      <c r="U421" s="104"/>
      <c r="V421" s="104"/>
      <c r="W421" s="105"/>
      <c r="X421" s="104"/>
      <c r="Y421" s="104"/>
      <c r="Z421" s="104"/>
      <c r="AA421" s="104"/>
      <c r="AB421" s="104"/>
      <c r="AC421" s="104"/>
      <c r="AD421" s="104"/>
      <c r="AE421" s="104"/>
      <c r="AF421" s="104"/>
      <c r="AG421" s="104"/>
      <c r="AH421" s="104"/>
      <c r="AI421" s="104"/>
      <c r="AJ421" s="104"/>
      <c r="AK421" s="104"/>
      <c r="AL421" s="104"/>
      <c r="AM421" s="104"/>
      <c r="AN421" s="104"/>
      <c r="AO421" s="104"/>
      <c r="AP421" s="104"/>
      <c r="AQ421" s="104"/>
      <c r="AR421" s="104"/>
      <c r="AS421" s="104"/>
      <c r="AT421" s="104"/>
      <c r="AU421" s="104"/>
      <c r="AV421" s="104"/>
      <c r="AW421" s="104"/>
      <c r="AX421" s="104"/>
      <c r="AY421" s="104"/>
      <c r="AZ421" s="104"/>
      <c r="BA421" s="104"/>
      <c r="BB421" s="104"/>
      <c r="BC421" s="104"/>
      <c r="BD421" s="104"/>
      <c r="BE421" s="104"/>
      <c r="BF421" s="104"/>
      <c r="BG421" s="104"/>
      <c r="BH421" s="104"/>
      <c r="BI421" s="104"/>
      <c r="BJ421" s="104"/>
      <c r="BK421" s="104"/>
      <c r="BL421" s="104"/>
      <c r="BM421" s="104"/>
      <c r="BN421" s="104"/>
    </row>
    <row r="422">
      <c r="A422" s="104"/>
      <c r="B422" s="104"/>
      <c r="C422" s="104"/>
      <c r="D422" s="104"/>
      <c r="E422" s="104"/>
      <c r="F422" s="104"/>
      <c r="G422" s="104"/>
      <c r="H422" s="104"/>
      <c r="I422" s="104"/>
      <c r="J422" s="104"/>
      <c r="K422" s="105"/>
      <c r="L422" s="106"/>
      <c r="M422" s="104"/>
      <c r="N422" s="104"/>
      <c r="O422" s="104"/>
      <c r="P422" s="104"/>
      <c r="Q422" s="104"/>
      <c r="R422" s="106"/>
      <c r="S422" s="104"/>
      <c r="T422" s="104"/>
      <c r="U422" s="104"/>
      <c r="V422" s="104"/>
      <c r="W422" s="105"/>
      <c r="X422" s="104"/>
      <c r="Y422" s="104"/>
      <c r="Z422" s="104"/>
      <c r="AA422" s="104"/>
      <c r="AB422" s="104"/>
      <c r="AC422" s="104"/>
      <c r="AD422" s="104"/>
      <c r="AE422" s="104"/>
      <c r="AF422" s="104"/>
      <c r="AG422" s="104"/>
      <c r="AH422" s="104"/>
      <c r="AI422" s="104"/>
      <c r="AJ422" s="104"/>
      <c r="AK422" s="104"/>
      <c r="AL422" s="104"/>
      <c r="AM422" s="104"/>
      <c r="AN422" s="104"/>
      <c r="AO422" s="104"/>
      <c r="AP422" s="104"/>
      <c r="AQ422" s="104"/>
      <c r="AR422" s="104"/>
      <c r="AS422" s="104"/>
      <c r="AT422" s="104"/>
      <c r="AU422" s="104"/>
      <c r="AV422" s="104"/>
      <c r="AW422" s="104"/>
      <c r="AX422" s="104"/>
      <c r="AY422" s="104"/>
      <c r="AZ422" s="104"/>
      <c r="BA422" s="104"/>
      <c r="BB422" s="104"/>
      <c r="BC422" s="104"/>
      <c r="BD422" s="104"/>
      <c r="BE422" s="104"/>
      <c r="BF422" s="104"/>
      <c r="BG422" s="104"/>
      <c r="BH422" s="104"/>
      <c r="BI422" s="104"/>
      <c r="BJ422" s="104"/>
      <c r="BK422" s="104"/>
      <c r="BL422" s="104"/>
      <c r="BM422" s="104"/>
      <c r="BN422" s="104"/>
    </row>
    <row r="423">
      <c r="A423" s="104"/>
      <c r="B423" s="104"/>
      <c r="C423" s="104"/>
      <c r="D423" s="104"/>
      <c r="E423" s="104"/>
      <c r="F423" s="104"/>
      <c r="G423" s="104"/>
      <c r="H423" s="104"/>
      <c r="I423" s="104"/>
      <c r="J423" s="104"/>
      <c r="K423" s="105"/>
      <c r="L423" s="106"/>
      <c r="M423" s="104"/>
      <c r="N423" s="104"/>
      <c r="O423" s="104"/>
      <c r="P423" s="104"/>
      <c r="Q423" s="104"/>
      <c r="R423" s="106"/>
      <c r="S423" s="104"/>
      <c r="T423" s="104"/>
      <c r="U423" s="104"/>
      <c r="V423" s="104"/>
      <c r="W423" s="105"/>
      <c r="X423" s="104"/>
      <c r="Y423" s="104"/>
      <c r="Z423" s="104"/>
      <c r="AA423" s="104"/>
      <c r="AB423" s="104"/>
      <c r="AC423" s="104"/>
      <c r="AD423" s="104"/>
      <c r="AE423" s="104"/>
      <c r="AF423" s="104"/>
      <c r="AG423" s="104"/>
      <c r="AH423" s="104"/>
      <c r="AI423" s="104"/>
      <c r="AJ423" s="104"/>
      <c r="AK423" s="104"/>
      <c r="AL423" s="104"/>
      <c r="AM423" s="104"/>
      <c r="AN423" s="104"/>
      <c r="AO423" s="104"/>
      <c r="AP423" s="104"/>
      <c r="AQ423" s="104"/>
      <c r="AR423" s="104"/>
      <c r="AS423" s="104"/>
      <c r="AT423" s="104"/>
      <c r="AU423" s="104"/>
      <c r="AV423" s="104"/>
      <c r="AW423" s="104"/>
      <c r="AX423" s="104"/>
      <c r="AY423" s="104"/>
      <c r="AZ423" s="104"/>
      <c r="BA423" s="104"/>
      <c r="BB423" s="104"/>
      <c r="BC423" s="104"/>
      <c r="BD423" s="104"/>
      <c r="BE423" s="104"/>
      <c r="BF423" s="104"/>
      <c r="BG423" s="104"/>
      <c r="BH423" s="104"/>
      <c r="BI423" s="104"/>
      <c r="BJ423" s="104"/>
      <c r="BK423" s="104"/>
      <c r="BL423" s="104"/>
      <c r="BM423" s="104"/>
      <c r="BN423" s="104"/>
    </row>
    <row r="424">
      <c r="A424" s="104"/>
      <c r="B424" s="104"/>
      <c r="C424" s="104"/>
      <c r="D424" s="104"/>
      <c r="E424" s="104"/>
      <c r="F424" s="104"/>
      <c r="G424" s="104"/>
      <c r="H424" s="104"/>
      <c r="I424" s="104"/>
      <c r="J424" s="104"/>
      <c r="K424" s="105"/>
      <c r="L424" s="106"/>
      <c r="M424" s="104"/>
      <c r="N424" s="104"/>
      <c r="O424" s="104"/>
      <c r="P424" s="104"/>
      <c r="Q424" s="104"/>
      <c r="R424" s="106"/>
      <c r="S424" s="104"/>
      <c r="T424" s="104"/>
      <c r="U424" s="104"/>
      <c r="V424" s="104"/>
      <c r="W424" s="105"/>
      <c r="X424" s="104"/>
      <c r="Y424" s="104"/>
      <c r="Z424" s="104"/>
      <c r="AA424" s="104"/>
      <c r="AB424" s="104"/>
      <c r="AC424" s="104"/>
      <c r="AD424" s="104"/>
      <c r="AE424" s="104"/>
      <c r="AF424" s="104"/>
      <c r="AG424" s="104"/>
      <c r="AH424" s="104"/>
      <c r="AI424" s="104"/>
      <c r="AJ424" s="104"/>
      <c r="AK424" s="104"/>
      <c r="AL424" s="104"/>
      <c r="AM424" s="104"/>
      <c r="AN424" s="104"/>
      <c r="AO424" s="104"/>
      <c r="AP424" s="104"/>
      <c r="AQ424" s="104"/>
      <c r="AR424" s="104"/>
      <c r="AS424" s="104"/>
      <c r="AT424" s="104"/>
      <c r="AU424" s="104"/>
      <c r="AV424" s="104"/>
      <c r="AW424" s="104"/>
      <c r="AX424" s="104"/>
      <c r="AY424" s="104"/>
      <c r="AZ424" s="104"/>
      <c r="BA424" s="104"/>
      <c r="BB424" s="104"/>
      <c r="BC424" s="104"/>
      <c r="BD424" s="104"/>
      <c r="BE424" s="104"/>
      <c r="BF424" s="104"/>
      <c r="BG424" s="104"/>
      <c r="BH424" s="104"/>
      <c r="BI424" s="104"/>
      <c r="BJ424" s="104"/>
      <c r="BK424" s="104"/>
      <c r="BL424" s="104"/>
      <c r="BM424" s="104"/>
      <c r="BN424" s="104"/>
    </row>
    <row r="425">
      <c r="A425" s="104"/>
      <c r="B425" s="104"/>
      <c r="C425" s="104"/>
      <c r="D425" s="104"/>
      <c r="E425" s="104"/>
      <c r="F425" s="104"/>
      <c r="G425" s="104"/>
      <c r="H425" s="104"/>
      <c r="I425" s="104"/>
      <c r="J425" s="104"/>
      <c r="K425" s="105"/>
      <c r="L425" s="106"/>
      <c r="M425" s="104"/>
      <c r="N425" s="104"/>
      <c r="O425" s="104"/>
      <c r="P425" s="104"/>
      <c r="Q425" s="104"/>
      <c r="R425" s="106"/>
      <c r="S425" s="104"/>
      <c r="T425" s="104"/>
      <c r="U425" s="104"/>
      <c r="V425" s="104"/>
      <c r="W425" s="105"/>
      <c r="X425" s="104"/>
      <c r="Y425" s="104"/>
      <c r="Z425" s="104"/>
      <c r="AA425" s="104"/>
      <c r="AB425" s="104"/>
      <c r="AC425" s="104"/>
      <c r="AD425" s="104"/>
      <c r="AE425" s="104"/>
      <c r="AF425" s="104"/>
      <c r="AG425" s="104"/>
      <c r="AH425" s="104"/>
      <c r="AI425" s="104"/>
      <c r="AJ425" s="104"/>
      <c r="AK425" s="104"/>
      <c r="AL425" s="104"/>
      <c r="AM425" s="104"/>
      <c r="AN425" s="104"/>
      <c r="AO425" s="104"/>
      <c r="AP425" s="104"/>
      <c r="AQ425" s="104"/>
      <c r="AR425" s="104"/>
      <c r="AS425" s="104"/>
      <c r="AT425" s="104"/>
      <c r="AU425" s="104"/>
      <c r="AV425" s="104"/>
      <c r="AW425" s="104"/>
      <c r="AX425" s="104"/>
      <c r="AY425" s="104"/>
      <c r="AZ425" s="104"/>
      <c r="BA425" s="104"/>
      <c r="BB425" s="104"/>
      <c r="BC425" s="104"/>
      <c r="BD425" s="104"/>
      <c r="BE425" s="104"/>
      <c r="BF425" s="104"/>
      <c r="BG425" s="104"/>
      <c r="BH425" s="104"/>
      <c r="BI425" s="104"/>
      <c r="BJ425" s="104"/>
      <c r="BK425" s="104"/>
      <c r="BL425" s="104"/>
      <c r="BM425" s="104"/>
      <c r="BN425" s="104"/>
    </row>
    <row r="426">
      <c r="A426" s="104"/>
      <c r="B426" s="104"/>
      <c r="C426" s="104"/>
      <c r="D426" s="104"/>
      <c r="E426" s="104"/>
      <c r="F426" s="104"/>
      <c r="G426" s="104"/>
      <c r="H426" s="104"/>
      <c r="I426" s="104"/>
      <c r="J426" s="104"/>
      <c r="K426" s="105"/>
      <c r="L426" s="106"/>
      <c r="M426" s="104"/>
      <c r="N426" s="104"/>
      <c r="O426" s="104"/>
      <c r="P426" s="104"/>
      <c r="Q426" s="104"/>
      <c r="R426" s="106"/>
      <c r="S426" s="104"/>
      <c r="T426" s="104"/>
      <c r="U426" s="104"/>
      <c r="V426" s="104"/>
      <c r="W426" s="105"/>
      <c r="X426" s="104"/>
      <c r="Y426" s="104"/>
      <c r="Z426" s="104"/>
      <c r="AA426" s="104"/>
      <c r="AB426" s="104"/>
      <c r="AC426" s="104"/>
      <c r="AD426" s="104"/>
      <c r="AE426" s="104"/>
      <c r="AF426" s="104"/>
      <c r="AG426" s="104"/>
      <c r="AH426" s="104"/>
      <c r="AI426" s="104"/>
      <c r="AJ426" s="104"/>
      <c r="AK426" s="104"/>
      <c r="AL426" s="104"/>
      <c r="AM426" s="104"/>
      <c r="AN426" s="104"/>
      <c r="AO426" s="104"/>
      <c r="AP426" s="104"/>
      <c r="AQ426" s="104"/>
      <c r="AR426" s="104"/>
      <c r="AS426" s="104"/>
      <c r="AT426" s="104"/>
      <c r="AU426" s="104"/>
      <c r="AV426" s="104"/>
      <c r="AW426" s="104"/>
      <c r="AX426" s="104"/>
      <c r="AY426" s="104"/>
      <c r="AZ426" s="104"/>
      <c r="BA426" s="104"/>
      <c r="BB426" s="104"/>
      <c r="BC426" s="104"/>
      <c r="BD426" s="104"/>
      <c r="BE426" s="104"/>
      <c r="BF426" s="104"/>
      <c r="BG426" s="104"/>
      <c r="BH426" s="104"/>
      <c r="BI426" s="104"/>
      <c r="BJ426" s="104"/>
      <c r="BK426" s="104"/>
      <c r="BL426" s="104"/>
      <c r="BM426" s="104"/>
      <c r="BN426" s="104"/>
    </row>
    <row r="427">
      <c r="A427" s="104"/>
      <c r="B427" s="104"/>
      <c r="C427" s="104"/>
      <c r="D427" s="104"/>
      <c r="E427" s="104"/>
      <c r="F427" s="104"/>
      <c r="G427" s="104"/>
      <c r="H427" s="104"/>
      <c r="I427" s="104"/>
      <c r="J427" s="104"/>
      <c r="K427" s="105"/>
      <c r="L427" s="106"/>
      <c r="M427" s="104"/>
      <c r="N427" s="104"/>
      <c r="O427" s="104"/>
      <c r="P427" s="104"/>
      <c r="Q427" s="104"/>
      <c r="R427" s="106"/>
      <c r="S427" s="104"/>
      <c r="T427" s="104"/>
      <c r="U427" s="104"/>
      <c r="V427" s="104"/>
      <c r="W427" s="105"/>
      <c r="X427" s="104"/>
      <c r="Y427" s="104"/>
      <c r="Z427" s="104"/>
      <c r="AA427" s="104"/>
      <c r="AB427" s="104"/>
      <c r="AC427" s="104"/>
      <c r="AD427" s="104"/>
      <c r="AE427" s="104"/>
      <c r="AF427" s="104"/>
      <c r="AG427" s="104"/>
      <c r="AH427" s="104"/>
      <c r="AI427" s="104"/>
      <c r="AJ427" s="104"/>
      <c r="AK427" s="104"/>
      <c r="AL427" s="104"/>
      <c r="AM427" s="104"/>
      <c r="AN427" s="104"/>
      <c r="AO427" s="104"/>
      <c r="AP427" s="104"/>
      <c r="AQ427" s="104"/>
      <c r="AR427" s="104"/>
      <c r="AS427" s="104"/>
      <c r="AT427" s="104"/>
      <c r="AU427" s="104"/>
      <c r="AV427" s="104"/>
      <c r="AW427" s="104"/>
      <c r="AX427" s="104"/>
      <c r="AY427" s="104"/>
      <c r="AZ427" s="104"/>
      <c r="BA427" s="104"/>
      <c r="BB427" s="104"/>
      <c r="BC427" s="104"/>
      <c r="BD427" s="104"/>
      <c r="BE427" s="104"/>
      <c r="BF427" s="104"/>
      <c r="BG427" s="104"/>
      <c r="BH427" s="104"/>
      <c r="BI427" s="104"/>
      <c r="BJ427" s="104"/>
      <c r="BK427" s="104"/>
      <c r="BL427" s="104"/>
      <c r="BM427" s="104"/>
      <c r="BN427" s="104"/>
    </row>
    <row r="428">
      <c r="A428" s="104"/>
      <c r="B428" s="104"/>
      <c r="C428" s="104"/>
      <c r="D428" s="104"/>
      <c r="E428" s="104"/>
      <c r="F428" s="104"/>
      <c r="G428" s="104"/>
      <c r="H428" s="104"/>
      <c r="I428" s="104"/>
      <c r="J428" s="104"/>
      <c r="K428" s="105"/>
      <c r="L428" s="106"/>
      <c r="M428" s="104"/>
      <c r="N428" s="104"/>
      <c r="O428" s="104"/>
      <c r="P428" s="104"/>
      <c r="Q428" s="104"/>
      <c r="R428" s="106"/>
      <c r="S428" s="104"/>
      <c r="T428" s="104"/>
      <c r="U428" s="104"/>
      <c r="V428" s="104"/>
      <c r="W428" s="105"/>
      <c r="X428" s="104"/>
      <c r="Y428" s="104"/>
      <c r="Z428" s="104"/>
      <c r="AA428" s="104"/>
      <c r="AB428" s="104"/>
      <c r="AC428" s="104"/>
      <c r="AD428" s="104"/>
      <c r="AE428" s="104"/>
      <c r="AF428" s="104"/>
      <c r="AG428" s="104"/>
      <c r="AH428" s="104"/>
      <c r="AI428" s="104"/>
      <c r="AJ428" s="104"/>
      <c r="AK428" s="104"/>
      <c r="AL428" s="104"/>
      <c r="AM428" s="104"/>
      <c r="AN428" s="104"/>
      <c r="AO428" s="104"/>
      <c r="AP428" s="104"/>
      <c r="AQ428" s="104"/>
      <c r="AR428" s="104"/>
      <c r="AS428" s="104"/>
      <c r="AT428" s="104"/>
      <c r="AU428" s="104"/>
      <c r="AV428" s="104"/>
      <c r="AW428" s="104"/>
      <c r="AX428" s="104"/>
      <c r="AY428" s="104"/>
      <c r="AZ428" s="104"/>
      <c r="BA428" s="104"/>
      <c r="BB428" s="104"/>
      <c r="BC428" s="104"/>
      <c r="BD428" s="104"/>
      <c r="BE428" s="104"/>
      <c r="BF428" s="104"/>
      <c r="BG428" s="104"/>
      <c r="BH428" s="104"/>
      <c r="BI428" s="104"/>
      <c r="BJ428" s="104"/>
      <c r="BK428" s="104"/>
      <c r="BL428" s="104"/>
      <c r="BM428" s="104"/>
      <c r="BN428" s="104"/>
    </row>
    <row r="429">
      <c r="A429" s="104"/>
      <c r="B429" s="104"/>
      <c r="C429" s="104"/>
      <c r="D429" s="104"/>
      <c r="E429" s="104"/>
      <c r="F429" s="104"/>
      <c r="G429" s="104"/>
      <c r="H429" s="104"/>
      <c r="I429" s="104"/>
      <c r="J429" s="104"/>
      <c r="K429" s="105"/>
      <c r="L429" s="106"/>
      <c r="M429" s="104"/>
      <c r="N429" s="104"/>
      <c r="O429" s="104"/>
      <c r="P429" s="104"/>
      <c r="Q429" s="104"/>
      <c r="R429" s="106"/>
      <c r="S429" s="104"/>
      <c r="T429" s="104"/>
      <c r="U429" s="104"/>
      <c r="V429" s="104"/>
      <c r="W429" s="105"/>
      <c r="X429" s="104"/>
      <c r="Y429" s="104"/>
      <c r="Z429" s="104"/>
      <c r="AA429" s="104"/>
      <c r="AB429" s="104"/>
      <c r="AC429" s="104"/>
      <c r="AD429" s="104"/>
      <c r="AE429" s="104"/>
      <c r="AF429" s="104"/>
      <c r="AG429" s="104"/>
      <c r="AH429" s="104"/>
      <c r="AI429" s="104"/>
      <c r="AJ429" s="104"/>
      <c r="AK429" s="104"/>
      <c r="AL429" s="104"/>
      <c r="AM429" s="104"/>
      <c r="AN429" s="104"/>
      <c r="AO429" s="104"/>
      <c r="AP429" s="104"/>
      <c r="AQ429" s="104"/>
      <c r="AR429" s="104"/>
      <c r="AS429" s="104"/>
      <c r="AT429" s="104"/>
      <c r="AU429" s="104"/>
      <c r="AV429" s="104"/>
      <c r="AW429" s="104"/>
      <c r="AX429" s="104"/>
      <c r="AY429" s="104"/>
      <c r="AZ429" s="104"/>
      <c r="BA429" s="104"/>
      <c r="BB429" s="104"/>
      <c r="BC429" s="104"/>
      <c r="BD429" s="104"/>
      <c r="BE429" s="104"/>
      <c r="BF429" s="104"/>
      <c r="BG429" s="104"/>
      <c r="BH429" s="104"/>
      <c r="BI429" s="104"/>
      <c r="BJ429" s="104"/>
      <c r="BK429" s="104"/>
      <c r="BL429" s="104"/>
      <c r="BM429" s="104"/>
      <c r="BN429" s="104"/>
    </row>
    <row r="430">
      <c r="A430" s="104"/>
      <c r="B430" s="104"/>
      <c r="C430" s="104"/>
      <c r="D430" s="104"/>
      <c r="E430" s="104"/>
      <c r="F430" s="104"/>
      <c r="G430" s="104"/>
      <c r="H430" s="104"/>
      <c r="I430" s="104"/>
      <c r="J430" s="104"/>
      <c r="K430" s="105"/>
      <c r="L430" s="106"/>
      <c r="M430" s="104"/>
      <c r="N430" s="104"/>
      <c r="O430" s="104"/>
      <c r="P430" s="104"/>
      <c r="Q430" s="104"/>
      <c r="R430" s="106"/>
      <c r="S430" s="104"/>
      <c r="T430" s="104"/>
      <c r="U430" s="104"/>
      <c r="V430" s="104"/>
      <c r="W430" s="105"/>
      <c r="X430" s="104"/>
      <c r="Y430" s="104"/>
      <c r="Z430" s="104"/>
      <c r="AA430" s="104"/>
      <c r="AB430" s="104"/>
      <c r="AC430" s="104"/>
      <c r="AD430" s="104"/>
      <c r="AE430" s="104"/>
      <c r="AF430" s="104"/>
      <c r="AG430" s="104"/>
      <c r="AH430" s="104"/>
      <c r="AI430" s="104"/>
      <c r="AJ430" s="104"/>
      <c r="AK430" s="104"/>
      <c r="AL430" s="104"/>
      <c r="AM430" s="104"/>
      <c r="AN430" s="104"/>
      <c r="AO430" s="104"/>
      <c r="AP430" s="104"/>
      <c r="AQ430" s="104"/>
      <c r="AR430" s="104"/>
      <c r="AS430" s="104"/>
      <c r="AT430" s="104"/>
      <c r="AU430" s="104"/>
      <c r="AV430" s="104"/>
      <c r="AW430" s="104"/>
      <c r="AX430" s="104"/>
      <c r="AY430" s="104"/>
      <c r="AZ430" s="104"/>
      <c r="BA430" s="104"/>
      <c r="BB430" s="104"/>
      <c r="BC430" s="104"/>
      <c r="BD430" s="104"/>
      <c r="BE430" s="104"/>
      <c r="BF430" s="104"/>
      <c r="BG430" s="104"/>
      <c r="BH430" s="104"/>
      <c r="BI430" s="104"/>
      <c r="BJ430" s="104"/>
      <c r="BK430" s="104"/>
      <c r="BL430" s="104"/>
      <c r="BM430" s="104"/>
      <c r="BN430" s="104"/>
    </row>
    <row r="431">
      <c r="A431" s="104"/>
      <c r="B431" s="104"/>
      <c r="C431" s="104"/>
      <c r="D431" s="104"/>
      <c r="E431" s="104"/>
      <c r="F431" s="104"/>
      <c r="G431" s="104"/>
      <c r="H431" s="104"/>
      <c r="I431" s="104"/>
      <c r="J431" s="104"/>
      <c r="K431" s="105"/>
      <c r="L431" s="106"/>
      <c r="M431" s="104"/>
      <c r="N431" s="104"/>
      <c r="O431" s="104"/>
      <c r="P431" s="104"/>
      <c r="Q431" s="104"/>
      <c r="R431" s="106"/>
      <c r="S431" s="104"/>
      <c r="T431" s="104"/>
      <c r="U431" s="104"/>
      <c r="V431" s="104"/>
      <c r="W431" s="105"/>
      <c r="X431" s="104"/>
      <c r="Y431" s="104"/>
      <c r="Z431" s="104"/>
      <c r="AA431" s="104"/>
      <c r="AB431" s="104"/>
      <c r="AC431" s="104"/>
      <c r="AD431" s="104"/>
      <c r="AE431" s="104"/>
      <c r="AF431" s="104"/>
      <c r="AG431" s="104"/>
      <c r="AH431" s="104"/>
      <c r="AI431" s="104"/>
      <c r="AJ431" s="104"/>
      <c r="AK431" s="104"/>
      <c r="AL431" s="104"/>
      <c r="AM431" s="104"/>
      <c r="AN431" s="104"/>
      <c r="AO431" s="104"/>
      <c r="AP431" s="104"/>
      <c r="AQ431" s="104"/>
      <c r="AR431" s="104"/>
      <c r="AS431" s="104"/>
      <c r="AT431" s="104"/>
      <c r="AU431" s="104"/>
      <c r="AV431" s="104"/>
      <c r="AW431" s="104"/>
      <c r="AX431" s="104"/>
      <c r="AY431" s="104"/>
      <c r="AZ431" s="104"/>
      <c r="BA431" s="104"/>
      <c r="BB431" s="104"/>
      <c r="BC431" s="104"/>
      <c r="BD431" s="104"/>
      <c r="BE431" s="104"/>
      <c r="BF431" s="104"/>
      <c r="BG431" s="104"/>
      <c r="BH431" s="104"/>
      <c r="BI431" s="104"/>
      <c r="BJ431" s="104"/>
      <c r="BK431" s="104"/>
      <c r="BL431" s="104"/>
      <c r="BM431" s="104"/>
      <c r="BN431" s="104"/>
    </row>
    <row r="432">
      <c r="A432" s="104"/>
      <c r="B432" s="104"/>
      <c r="C432" s="104"/>
      <c r="D432" s="104"/>
      <c r="E432" s="104"/>
      <c r="F432" s="104"/>
      <c r="G432" s="104"/>
      <c r="H432" s="104"/>
      <c r="I432" s="104"/>
      <c r="J432" s="104"/>
      <c r="K432" s="105"/>
      <c r="L432" s="106"/>
      <c r="M432" s="104"/>
      <c r="N432" s="104"/>
      <c r="O432" s="104"/>
      <c r="P432" s="104"/>
      <c r="Q432" s="104"/>
      <c r="R432" s="106"/>
      <c r="S432" s="104"/>
      <c r="T432" s="104"/>
      <c r="U432" s="104"/>
      <c r="V432" s="104"/>
      <c r="W432" s="105"/>
      <c r="X432" s="104"/>
      <c r="Y432" s="104"/>
      <c r="Z432" s="104"/>
      <c r="AA432" s="104"/>
      <c r="AB432" s="104"/>
      <c r="AC432" s="104"/>
      <c r="AD432" s="104"/>
      <c r="AE432" s="104"/>
      <c r="AF432" s="104"/>
      <c r="AG432" s="104"/>
      <c r="AH432" s="104"/>
      <c r="AI432" s="104"/>
      <c r="AJ432" s="104"/>
      <c r="AK432" s="104"/>
      <c r="AL432" s="104"/>
      <c r="AM432" s="104"/>
      <c r="AN432" s="104"/>
      <c r="AO432" s="104"/>
      <c r="AP432" s="104"/>
      <c r="AQ432" s="104"/>
      <c r="AR432" s="104"/>
      <c r="AS432" s="104"/>
      <c r="AT432" s="104"/>
      <c r="AU432" s="104"/>
      <c r="AV432" s="104"/>
      <c r="AW432" s="104"/>
      <c r="AX432" s="104"/>
      <c r="AY432" s="104"/>
      <c r="AZ432" s="104"/>
      <c r="BA432" s="104"/>
      <c r="BB432" s="104"/>
      <c r="BC432" s="104"/>
      <c r="BD432" s="104"/>
      <c r="BE432" s="104"/>
      <c r="BF432" s="104"/>
      <c r="BG432" s="104"/>
      <c r="BH432" s="104"/>
      <c r="BI432" s="104"/>
      <c r="BJ432" s="104"/>
      <c r="BK432" s="104"/>
      <c r="BL432" s="104"/>
      <c r="BM432" s="104"/>
      <c r="BN432" s="104"/>
    </row>
    <row r="433">
      <c r="A433" s="104"/>
      <c r="B433" s="104"/>
      <c r="C433" s="104"/>
      <c r="D433" s="104"/>
      <c r="E433" s="104"/>
      <c r="F433" s="104"/>
      <c r="G433" s="104"/>
      <c r="H433" s="104"/>
      <c r="I433" s="104"/>
      <c r="J433" s="104"/>
      <c r="K433" s="105"/>
      <c r="L433" s="106"/>
      <c r="M433" s="104"/>
      <c r="N433" s="104"/>
      <c r="O433" s="104"/>
      <c r="P433" s="104"/>
      <c r="Q433" s="104"/>
      <c r="R433" s="106"/>
      <c r="S433" s="104"/>
      <c r="T433" s="104"/>
      <c r="U433" s="104"/>
      <c r="V433" s="104"/>
      <c r="W433" s="105"/>
      <c r="X433" s="104"/>
      <c r="Y433" s="104"/>
      <c r="Z433" s="104"/>
      <c r="AA433" s="104"/>
      <c r="AB433" s="104"/>
      <c r="AC433" s="104"/>
      <c r="AD433" s="104"/>
      <c r="AE433" s="104"/>
      <c r="AF433" s="104"/>
      <c r="AG433" s="104"/>
      <c r="AH433" s="104"/>
      <c r="AI433" s="104"/>
      <c r="AJ433" s="104"/>
      <c r="AK433" s="104"/>
      <c r="AL433" s="104"/>
      <c r="AM433" s="104"/>
      <c r="AN433" s="104"/>
      <c r="AO433" s="104"/>
      <c r="AP433" s="104"/>
      <c r="AQ433" s="104"/>
      <c r="AR433" s="104"/>
      <c r="AS433" s="104"/>
      <c r="AT433" s="104"/>
      <c r="AU433" s="104"/>
      <c r="AV433" s="104"/>
      <c r="AW433" s="104"/>
      <c r="AX433" s="104"/>
      <c r="AY433" s="104"/>
      <c r="AZ433" s="104"/>
      <c r="BA433" s="104"/>
      <c r="BB433" s="104"/>
      <c r="BC433" s="104"/>
      <c r="BD433" s="104"/>
      <c r="BE433" s="104"/>
      <c r="BF433" s="104"/>
      <c r="BG433" s="104"/>
      <c r="BH433" s="104"/>
      <c r="BI433" s="104"/>
      <c r="BJ433" s="104"/>
      <c r="BK433" s="104"/>
      <c r="BL433" s="104"/>
      <c r="BM433" s="104"/>
      <c r="BN433" s="104"/>
    </row>
    <row r="434">
      <c r="A434" s="104"/>
      <c r="B434" s="104"/>
      <c r="C434" s="104"/>
      <c r="D434" s="104"/>
      <c r="E434" s="104"/>
      <c r="F434" s="104"/>
      <c r="G434" s="104"/>
      <c r="H434" s="104"/>
      <c r="I434" s="104"/>
      <c r="J434" s="104"/>
      <c r="K434" s="105"/>
      <c r="L434" s="106"/>
      <c r="M434" s="104"/>
      <c r="N434" s="104"/>
      <c r="O434" s="104"/>
      <c r="P434" s="104"/>
      <c r="Q434" s="104"/>
      <c r="R434" s="106"/>
      <c r="S434" s="104"/>
      <c r="T434" s="104"/>
      <c r="U434" s="104"/>
      <c r="V434" s="104"/>
      <c r="W434" s="105"/>
      <c r="X434" s="104"/>
      <c r="Y434" s="104"/>
      <c r="Z434" s="104"/>
      <c r="AA434" s="104"/>
      <c r="AB434" s="104"/>
      <c r="AC434" s="104"/>
      <c r="AD434" s="104"/>
      <c r="AE434" s="104"/>
      <c r="AF434" s="104"/>
      <c r="AG434" s="104"/>
      <c r="AH434" s="104"/>
      <c r="AI434" s="104"/>
      <c r="AJ434" s="104"/>
      <c r="AK434" s="104"/>
      <c r="AL434" s="104"/>
      <c r="AM434" s="104"/>
      <c r="AN434" s="104"/>
      <c r="AO434" s="104"/>
      <c r="AP434" s="104"/>
      <c r="AQ434" s="104"/>
      <c r="AR434" s="104"/>
      <c r="AS434" s="104"/>
      <c r="AT434" s="104"/>
      <c r="AU434" s="104"/>
      <c r="AV434" s="104"/>
      <c r="AW434" s="104"/>
      <c r="AX434" s="104"/>
      <c r="AY434" s="104"/>
      <c r="AZ434" s="104"/>
      <c r="BA434" s="104"/>
      <c r="BB434" s="104"/>
      <c r="BC434" s="104"/>
      <c r="BD434" s="104"/>
      <c r="BE434" s="104"/>
      <c r="BF434" s="104"/>
      <c r="BG434" s="104"/>
      <c r="BH434" s="104"/>
      <c r="BI434" s="104"/>
      <c r="BJ434" s="104"/>
      <c r="BK434" s="104"/>
      <c r="BL434" s="104"/>
      <c r="BM434" s="104"/>
      <c r="BN434" s="104"/>
    </row>
    <row r="435">
      <c r="A435" s="104"/>
      <c r="B435" s="104"/>
      <c r="C435" s="104"/>
      <c r="D435" s="104"/>
      <c r="E435" s="104"/>
      <c r="F435" s="104"/>
      <c r="G435" s="104"/>
      <c r="H435" s="104"/>
      <c r="I435" s="104"/>
      <c r="J435" s="104"/>
      <c r="K435" s="105"/>
      <c r="L435" s="106"/>
      <c r="M435" s="104"/>
      <c r="N435" s="104"/>
      <c r="O435" s="104"/>
      <c r="P435" s="104"/>
      <c r="Q435" s="104"/>
      <c r="R435" s="106"/>
      <c r="S435" s="104"/>
      <c r="T435" s="104"/>
      <c r="U435" s="104"/>
      <c r="V435" s="104"/>
      <c r="W435" s="105"/>
      <c r="X435" s="104"/>
      <c r="Y435" s="104"/>
      <c r="Z435" s="104"/>
      <c r="AA435" s="104"/>
      <c r="AB435" s="104"/>
      <c r="AC435" s="104"/>
      <c r="AD435" s="104"/>
      <c r="AE435" s="104"/>
      <c r="AF435" s="104"/>
      <c r="AG435" s="104"/>
      <c r="AH435" s="104"/>
      <c r="AI435" s="104"/>
      <c r="AJ435" s="104"/>
      <c r="AK435" s="104"/>
      <c r="AL435" s="104"/>
      <c r="AM435" s="104"/>
      <c r="AN435" s="104"/>
      <c r="AO435" s="104"/>
      <c r="AP435" s="104"/>
      <c r="AQ435" s="104"/>
      <c r="AR435" s="104"/>
      <c r="AS435" s="104"/>
      <c r="AT435" s="104"/>
      <c r="AU435" s="104"/>
      <c r="AV435" s="104"/>
      <c r="AW435" s="104"/>
      <c r="AX435" s="104"/>
      <c r="AY435" s="104"/>
      <c r="AZ435" s="104"/>
      <c r="BA435" s="104"/>
      <c r="BB435" s="104"/>
      <c r="BC435" s="104"/>
      <c r="BD435" s="104"/>
      <c r="BE435" s="104"/>
      <c r="BF435" s="104"/>
      <c r="BG435" s="104"/>
      <c r="BH435" s="104"/>
      <c r="BI435" s="104"/>
      <c r="BJ435" s="104"/>
      <c r="BK435" s="104"/>
      <c r="BL435" s="104"/>
      <c r="BM435" s="104"/>
      <c r="BN435" s="104"/>
    </row>
    <row r="436">
      <c r="A436" s="104"/>
      <c r="B436" s="104"/>
      <c r="C436" s="104"/>
      <c r="D436" s="104"/>
      <c r="E436" s="104"/>
      <c r="F436" s="104"/>
      <c r="G436" s="104"/>
      <c r="H436" s="104"/>
      <c r="I436" s="104"/>
      <c r="J436" s="104"/>
      <c r="K436" s="105"/>
      <c r="L436" s="106"/>
      <c r="M436" s="104"/>
      <c r="N436" s="104"/>
      <c r="O436" s="104"/>
      <c r="P436" s="104"/>
      <c r="Q436" s="104"/>
      <c r="R436" s="106"/>
      <c r="S436" s="104"/>
      <c r="T436" s="104"/>
      <c r="U436" s="104"/>
      <c r="V436" s="104"/>
      <c r="W436" s="105"/>
      <c r="X436" s="104"/>
      <c r="Y436" s="104"/>
      <c r="Z436" s="104"/>
      <c r="AA436" s="104"/>
      <c r="AB436" s="104"/>
      <c r="AC436" s="104"/>
      <c r="AD436" s="104"/>
      <c r="AE436" s="104"/>
      <c r="AF436" s="104"/>
      <c r="AG436" s="104"/>
      <c r="AH436" s="104"/>
      <c r="AI436" s="104"/>
      <c r="AJ436" s="104"/>
      <c r="AK436" s="104"/>
      <c r="AL436" s="104"/>
      <c r="AM436" s="104"/>
      <c r="AN436" s="104"/>
      <c r="AO436" s="104"/>
      <c r="AP436" s="104"/>
      <c r="AQ436" s="104"/>
      <c r="AR436" s="104"/>
      <c r="AS436" s="104"/>
      <c r="AT436" s="104"/>
      <c r="AU436" s="104"/>
      <c r="AV436" s="104"/>
      <c r="AW436" s="104"/>
      <c r="AX436" s="104"/>
      <c r="AY436" s="104"/>
      <c r="AZ436" s="104"/>
      <c r="BA436" s="104"/>
      <c r="BB436" s="104"/>
      <c r="BC436" s="104"/>
      <c r="BD436" s="104"/>
      <c r="BE436" s="104"/>
      <c r="BF436" s="104"/>
      <c r="BG436" s="104"/>
      <c r="BH436" s="104"/>
      <c r="BI436" s="104"/>
      <c r="BJ436" s="104"/>
      <c r="BK436" s="104"/>
      <c r="BL436" s="104"/>
      <c r="BM436" s="104"/>
      <c r="BN436" s="104"/>
    </row>
    <row r="437">
      <c r="A437" s="104"/>
      <c r="B437" s="104"/>
      <c r="C437" s="104"/>
      <c r="D437" s="104"/>
      <c r="E437" s="104"/>
      <c r="F437" s="104"/>
      <c r="G437" s="104"/>
      <c r="H437" s="104"/>
      <c r="I437" s="104"/>
      <c r="J437" s="104"/>
      <c r="K437" s="105"/>
      <c r="L437" s="106"/>
      <c r="M437" s="104"/>
      <c r="N437" s="104"/>
      <c r="O437" s="104"/>
      <c r="P437" s="104"/>
      <c r="Q437" s="104"/>
      <c r="R437" s="106"/>
      <c r="S437" s="104"/>
      <c r="T437" s="104"/>
      <c r="U437" s="104"/>
      <c r="V437" s="104"/>
      <c r="W437" s="105"/>
      <c r="X437" s="104"/>
      <c r="Y437" s="104"/>
      <c r="Z437" s="104"/>
      <c r="AA437" s="104"/>
      <c r="AB437" s="104"/>
      <c r="AC437" s="104"/>
      <c r="AD437" s="104"/>
      <c r="AE437" s="104"/>
      <c r="AF437" s="104"/>
      <c r="AG437" s="104"/>
      <c r="AH437" s="104"/>
      <c r="AI437" s="104"/>
      <c r="AJ437" s="104"/>
      <c r="AK437" s="104"/>
      <c r="AL437" s="104"/>
      <c r="AM437" s="104"/>
      <c r="AN437" s="104"/>
      <c r="AO437" s="104"/>
      <c r="AP437" s="104"/>
      <c r="AQ437" s="104"/>
      <c r="AR437" s="104"/>
      <c r="AS437" s="104"/>
      <c r="AT437" s="104"/>
      <c r="AU437" s="104"/>
      <c r="AV437" s="104"/>
      <c r="AW437" s="104"/>
      <c r="AX437" s="104"/>
      <c r="AY437" s="104"/>
      <c r="AZ437" s="104"/>
      <c r="BA437" s="104"/>
      <c r="BB437" s="104"/>
      <c r="BC437" s="104"/>
      <c r="BD437" s="104"/>
      <c r="BE437" s="104"/>
      <c r="BF437" s="104"/>
      <c r="BG437" s="104"/>
      <c r="BH437" s="104"/>
      <c r="BI437" s="104"/>
      <c r="BJ437" s="104"/>
      <c r="BK437" s="104"/>
      <c r="BL437" s="104"/>
      <c r="BM437" s="104"/>
      <c r="BN437" s="104"/>
    </row>
    <row r="438">
      <c r="A438" s="104"/>
      <c r="B438" s="104"/>
      <c r="C438" s="104"/>
      <c r="D438" s="104"/>
      <c r="E438" s="104"/>
      <c r="F438" s="104"/>
      <c r="G438" s="104"/>
      <c r="H438" s="104"/>
      <c r="I438" s="104"/>
      <c r="J438" s="104"/>
      <c r="K438" s="105"/>
      <c r="L438" s="106"/>
      <c r="M438" s="104"/>
      <c r="N438" s="104"/>
      <c r="O438" s="104"/>
      <c r="P438" s="104"/>
      <c r="Q438" s="104"/>
      <c r="R438" s="106"/>
      <c r="S438" s="104"/>
      <c r="T438" s="104"/>
      <c r="U438" s="104"/>
      <c r="V438" s="104"/>
      <c r="W438" s="105"/>
      <c r="X438" s="104"/>
      <c r="Y438" s="104"/>
      <c r="Z438" s="104"/>
      <c r="AA438" s="104"/>
      <c r="AB438" s="104"/>
      <c r="AC438" s="104"/>
      <c r="AD438" s="104"/>
      <c r="AE438" s="104"/>
      <c r="AF438" s="104"/>
      <c r="AG438" s="104"/>
      <c r="AH438" s="104"/>
      <c r="AI438" s="104"/>
      <c r="AJ438" s="104"/>
      <c r="AK438" s="104"/>
      <c r="AL438" s="104"/>
      <c r="AM438" s="104"/>
      <c r="AN438" s="104"/>
      <c r="AO438" s="104"/>
      <c r="AP438" s="104"/>
      <c r="AQ438" s="104"/>
      <c r="AR438" s="104"/>
      <c r="AS438" s="104"/>
      <c r="AT438" s="104"/>
      <c r="AU438" s="104"/>
      <c r="AV438" s="104"/>
      <c r="AW438" s="104"/>
      <c r="AX438" s="104"/>
      <c r="AY438" s="104"/>
      <c r="AZ438" s="104"/>
      <c r="BA438" s="104"/>
      <c r="BB438" s="104"/>
      <c r="BC438" s="104"/>
      <c r="BD438" s="104"/>
      <c r="BE438" s="104"/>
      <c r="BF438" s="104"/>
      <c r="BG438" s="104"/>
      <c r="BH438" s="104"/>
      <c r="BI438" s="104"/>
      <c r="BJ438" s="104"/>
      <c r="BK438" s="104"/>
      <c r="BL438" s="104"/>
      <c r="BM438" s="104"/>
      <c r="BN438" s="104"/>
    </row>
    <row r="439">
      <c r="A439" s="104"/>
      <c r="B439" s="104"/>
      <c r="C439" s="104"/>
      <c r="D439" s="104"/>
      <c r="E439" s="104"/>
      <c r="F439" s="104"/>
      <c r="G439" s="104"/>
      <c r="H439" s="104"/>
      <c r="I439" s="104"/>
      <c r="J439" s="104"/>
      <c r="K439" s="105"/>
      <c r="L439" s="106"/>
      <c r="M439" s="104"/>
      <c r="N439" s="104"/>
      <c r="O439" s="104"/>
      <c r="P439" s="104"/>
      <c r="Q439" s="104"/>
      <c r="R439" s="106"/>
      <c r="S439" s="104"/>
      <c r="T439" s="104"/>
      <c r="U439" s="104"/>
      <c r="V439" s="104"/>
      <c r="W439" s="105"/>
      <c r="X439" s="104"/>
      <c r="Y439" s="104"/>
      <c r="Z439" s="104"/>
      <c r="AA439" s="104"/>
      <c r="AB439" s="104"/>
      <c r="AC439" s="104"/>
      <c r="AD439" s="104"/>
      <c r="AE439" s="104"/>
      <c r="AF439" s="104"/>
      <c r="AG439" s="104"/>
      <c r="AH439" s="104"/>
      <c r="AI439" s="104"/>
      <c r="AJ439" s="104"/>
      <c r="AK439" s="104"/>
      <c r="AL439" s="104"/>
      <c r="AM439" s="104"/>
      <c r="AN439" s="104"/>
      <c r="AO439" s="104"/>
      <c r="AP439" s="104"/>
      <c r="AQ439" s="104"/>
      <c r="AR439" s="104"/>
      <c r="AS439" s="104"/>
      <c r="AT439" s="104"/>
      <c r="AU439" s="104"/>
      <c r="AV439" s="104"/>
      <c r="AW439" s="104"/>
      <c r="AX439" s="104"/>
      <c r="AY439" s="104"/>
      <c r="AZ439" s="104"/>
      <c r="BA439" s="104"/>
      <c r="BB439" s="104"/>
      <c r="BC439" s="104"/>
      <c r="BD439" s="104"/>
      <c r="BE439" s="104"/>
      <c r="BF439" s="104"/>
      <c r="BG439" s="104"/>
      <c r="BH439" s="104"/>
      <c r="BI439" s="104"/>
      <c r="BJ439" s="104"/>
      <c r="BK439" s="104"/>
      <c r="BL439" s="104"/>
      <c r="BM439" s="104"/>
      <c r="BN439" s="104"/>
    </row>
    <row r="440">
      <c r="A440" s="104"/>
      <c r="B440" s="104"/>
      <c r="C440" s="104"/>
      <c r="D440" s="104"/>
      <c r="E440" s="104"/>
      <c r="F440" s="104"/>
      <c r="G440" s="104"/>
      <c r="H440" s="104"/>
      <c r="I440" s="104"/>
      <c r="J440" s="104"/>
      <c r="K440" s="105"/>
      <c r="L440" s="106"/>
      <c r="M440" s="104"/>
      <c r="N440" s="104"/>
      <c r="O440" s="104"/>
      <c r="P440" s="104"/>
      <c r="Q440" s="104"/>
      <c r="R440" s="106"/>
      <c r="S440" s="104"/>
      <c r="T440" s="104"/>
      <c r="U440" s="104"/>
      <c r="V440" s="104"/>
      <c r="W440" s="105"/>
      <c r="X440" s="104"/>
      <c r="Y440" s="104"/>
      <c r="Z440" s="104"/>
      <c r="AA440" s="104"/>
      <c r="AB440" s="104"/>
      <c r="AC440" s="104"/>
      <c r="AD440" s="104"/>
      <c r="AE440" s="104"/>
      <c r="AF440" s="104"/>
      <c r="AG440" s="104"/>
      <c r="AH440" s="104"/>
      <c r="AI440" s="104"/>
      <c r="AJ440" s="104"/>
      <c r="AK440" s="104"/>
      <c r="AL440" s="104"/>
      <c r="AM440" s="104"/>
      <c r="AN440" s="104"/>
      <c r="AO440" s="104"/>
      <c r="AP440" s="104"/>
      <c r="AQ440" s="104"/>
      <c r="AR440" s="104"/>
      <c r="AS440" s="104"/>
      <c r="AT440" s="104"/>
      <c r="AU440" s="104"/>
      <c r="AV440" s="104"/>
      <c r="AW440" s="104"/>
      <c r="AX440" s="104"/>
      <c r="AY440" s="104"/>
      <c r="AZ440" s="104"/>
      <c r="BA440" s="104"/>
      <c r="BB440" s="104"/>
      <c r="BC440" s="104"/>
      <c r="BD440" s="104"/>
      <c r="BE440" s="104"/>
      <c r="BF440" s="104"/>
      <c r="BG440" s="104"/>
      <c r="BH440" s="104"/>
      <c r="BI440" s="104"/>
      <c r="BJ440" s="104"/>
      <c r="BK440" s="104"/>
      <c r="BL440" s="104"/>
      <c r="BM440" s="104"/>
      <c r="BN440" s="104"/>
    </row>
    <row r="441">
      <c r="A441" s="104"/>
      <c r="B441" s="104"/>
      <c r="C441" s="104"/>
      <c r="D441" s="104"/>
      <c r="E441" s="104"/>
      <c r="F441" s="104"/>
      <c r="G441" s="104"/>
      <c r="H441" s="104"/>
      <c r="I441" s="104"/>
      <c r="J441" s="104"/>
      <c r="K441" s="105"/>
      <c r="L441" s="106"/>
      <c r="M441" s="104"/>
      <c r="N441" s="104"/>
      <c r="O441" s="104"/>
      <c r="P441" s="104"/>
      <c r="Q441" s="104"/>
      <c r="R441" s="106"/>
      <c r="S441" s="104"/>
      <c r="T441" s="104"/>
      <c r="U441" s="104"/>
      <c r="V441" s="104"/>
      <c r="W441" s="105"/>
      <c r="X441" s="104"/>
      <c r="Y441" s="104"/>
      <c r="Z441" s="104"/>
      <c r="AA441" s="104"/>
      <c r="AB441" s="104"/>
      <c r="AC441" s="104"/>
      <c r="AD441" s="104"/>
      <c r="AE441" s="104"/>
      <c r="AF441" s="104"/>
      <c r="AG441" s="104"/>
      <c r="AH441" s="104"/>
      <c r="AI441" s="104"/>
      <c r="AJ441" s="104"/>
      <c r="AK441" s="104"/>
      <c r="AL441" s="104"/>
      <c r="AM441" s="104"/>
      <c r="AN441" s="104"/>
      <c r="AO441" s="104"/>
      <c r="AP441" s="104"/>
      <c r="AQ441" s="104"/>
      <c r="AR441" s="104"/>
      <c r="AS441" s="104"/>
      <c r="AT441" s="104"/>
      <c r="AU441" s="104"/>
      <c r="AV441" s="104"/>
      <c r="AW441" s="104"/>
      <c r="AX441" s="104"/>
      <c r="AY441" s="104"/>
      <c r="AZ441" s="104"/>
      <c r="BA441" s="104"/>
      <c r="BB441" s="104"/>
      <c r="BC441" s="104"/>
      <c r="BD441" s="104"/>
      <c r="BE441" s="104"/>
      <c r="BF441" s="104"/>
      <c r="BG441" s="104"/>
      <c r="BH441" s="104"/>
      <c r="BI441" s="104"/>
      <c r="BJ441" s="104"/>
      <c r="BK441" s="104"/>
      <c r="BL441" s="104"/>
      <c r="BM441" s="104"/>
      <c r="BN441" s="104"/>
    </row>
    <row r="442">
      <c r="A442" s="104"/>
      <c r="B442" s="104"/>
      <c r="C442" s="104"/>
      <c r="D442" s="104"/>
      <c r="E442" s="104"/>
      <c r="F442" s="104"/>
      <c r="G442" s="104"/>
      <c r="H442" s="104"/>
      <c r="I442" s="104"/>
      <c r="J442" s="104"/>
      <c r="K442" s="105"/>
      <c r="L442" s="106"/>
      <c r="M442" s="104"/>
      <c r="N442" s="104"/>
      <c r="O442" s="104"/>
      <c r="P442" s="104"/>
      <c r="Q442" s="104"/>
      <c r="R442" s="106"/>
      <c r="S442" s="104"/>
      <c r="T442" s="104"/>
      <c r="U442" s="104"/>
      <c r="V442" s="104"/>
      <c r="W442" s="105"/>
      <c r="X442" s="104"/>
      <c r="Y442" s="104"/>
      <c r="Z442" s="104"/>
      <c r="AA442" s="104"/>
      <c r="AB442" s="104"/>
      <c r="AC442" s="104"/>
      <c r="AD442" s="104"/>
      <c r="AE442" s="104"/>
      <c r="AF442" s="104"/>
      <c r="AG442" s="104"/>
      <c r="AH442" s="104"/>
      <c r="AI442" s="104"/>
      <c r="AJ442" s="104"/>
      <c r="AK442" s="104"/>
      <c r="AL442" s="104"/>
      <c r="AM442" s="104"/>
      <c r="AN442" s="104"/>
      <c r="AO442" s="104"/>
      <c r="AP442" s="104"/>
      <c r="AQ442" s="104"/>
      <c r="AR442" s="104"/>
      <c r="AS442" s="104"/>
      <c r="AT442" s="104"/>
      <c r="AU442" s="104"/>
      <c r="AV442" s="104"/>
      <c r="AW442" s="104"/>
      <c r="AX442" s="104"/>
      <c r="AY442" s="104"/>
      <c r="AZ442" s="104"/>
      <c r="BA442" s="104"/>
      <c r="BB442" s="104"/>
      <c r="BC442" s="104"/>
      <c r="BD442" s="104"/>
      <c r="BE442" s="104"/>
      <c r="BF442" s="104"/>
      <c r="BG442" s="104"/>
      <c r="BH442" s="104"/>
      <c r="BI442" s="104"/>
      <c r="BJ442" s="104"/>
      <c r="BK442" s="104"/>
      <c r="BL442" s="104"/>
      <c r="BM442" s="104"/>
      <c r="BN442" s="104"/>
    </row>
    <row r="443">
      <c r="A443" s="104"/>
      <c r="B443" s="104"/>
      <c r="C443" s="104"/>
      <c r="D443" s="104"/>
      <c r="E443" s="104"/>
      <c r="F443" s="104"/>
      <c r="G443" s="104"/>
      <c r="H443" s="104"/>
      <c r="I443" s="104"/>
      <c r="J443" s="104"/>
      <c r="K443" s="105"/>
      <c r="L443" s="106"/>
      <c r="M443" s="104"/>
      <c r="N443" s="104"/>
      <c r="O443" s="104"/>
      <c r="P443" s="104"/>
      <c r="Q443" s="104"/>
      <c r="R443" s="106"/>
      <c r="S443" s="104"/>
      <c r="T443" s="104"/>
      <c r="U443" s="104"/>
      <c r="V443" s="104"/>
      <c r="W443" s="105"/>
      <c r="X443" s="104"/>
      <c r="Y443" s="104"/>
      <c r="Z443" s="104"/>
      <c r="AA443" s="104"/>
      <c r="AB443" s="104"/>
      <c r="AC443" s="104"/>
      <c r="AD443" s="104"/>
      <c r="AE443" s="104"/>
      <c r="AF443" s="104"/>
      <c r="AG443" s="104"/>
      <c r="AH443" s="104"/>
      <c r="AI443" s="104"/>
      <c r="AJ443" s="104"/>
      <c r="AK443" s="104"/>
      <c r="AL443" s="104"/>
      <c r="AM443" s="104"/>
      <c r="AN443" s="104"/>
      <c r="AO443" s="104"/>
      <c r="AP443" s="104"/>
      <c r="AQ443" s="104"/>
      <c r="AR443" s="104"/>
      <c r="AS443" s="104"/>
      <c r="AT443" s="104"/>
      <c r="AU443" s="104"/>
      <c r="AV443" s="104"/>
      <c r="AW443" s="104"/>
      <c r="AX443" s="104"/>
      <c r="AY443" s="104"/>
      <c r="AZ443" s="104"/>
      <c r="BA443" s="104"/>
      <c r="BB443" s="104"/>
      <c r="BC443" s="104"/>
      <c r="BD443" s="104"/>
      <c r="BE443" s="104"/>
      <c r="BF443" s="104"/>
      <c r="BG443" s="104"/>
      <c r="BH443" s="104"/>
      <c r="BI443" s="104"/>
      <c r="BJ443" s="104"/>
      <c r="BK443" s="104"/>
      <c r="BL443" s="104"/>
      <c r="BM443" s="104"/>
      <c r="BN443" s="104"/>
    </row>
    <row r="444">
      <c r="A444" s="104"/>
      <c r="B444" s="104"/>
      <c r="C444" s="104"/>
      <c r="D444" s="104"/>
      <c r="E444" s="104"/>
      <c r="F444" s="104"/>
      <c r="G444" s="104"/>
      <c r="H444" s="104"/>
      <c r="I444" s="104"/>
      <c r="J444" s="104"/>
      <c r="K444" s="105"/>
      <c r="L444" s="106"/>
      <c r="M444" s="104"/>
      <c r="N444" s="104"/>
      <c r="O444" s="104"/>
      <c r="P444" s="104"/>
      <c r="Q444" s="104"/>
      <c r="R444" s="106"/>
      <c r="S444" s="104"/>
      <c r="T444" s="104"/>
      <c r="U444" s="104"/>
      <c r="V444" s="104"/>
      <c r="W444" s="105"/>
      <c r="X444" s="104"/>
      <c r="Y444" s="104"/>
      <c r="Z444" s="104"/>
      <c r="AA444" s="104"/>
      <c r="AB444" s="104"/>
      <c r="AC444" s="104"/>
      <c r="AD444" s="104"/>
      <c r="AE444" s="104"/>
      <c r="AF444" s="104"/>
      <c r="AG444" s="104"/>
      <c r="AH444" s="104"/>
      <c r="AI444" s="104"/>
      <c r="AJ444" s="104"/>
      <c r="AK444" s="104"/>
      <c r="AL444" s="104"/>
      <c r="AM444" s="104"/>
      <c r="AN444" s="104"/>
      <c r="AO444" s="104"/>
      <c r="AP444" s="104"/>
      <c r="AQ444" s="104"/>
      <c r="AR444" s="104"/>
      <c r="AS444" s="104"/>
      <c r="AT444" s="104"/>
      <c r="AU444" s="104"/>
      <c r="AV444" s="104"/>
      <c r="AW444" s="104"/>
      <c r="AX444" s="104"/>
      <c r="AY444" s="104"/>
      <c r="AZ444" s="104"/>
      <c r="BA444" s="104"/>
      <c r="BB444" s="104"/>
      <c r="BC444" s="104"/>
      <c r="BD444" s="104"/>
      <c r="BE444" s="104"/>
      <c r="BF444" s="104"/>
      <c r="BG444" s="104"/>
      <c r="BH444" s="104"/>
      <c r="BI444" s="104"/>
      <c r="BJ444" s="104"/>
      <c r="BK444" s="104"/>
      <c r="BL444" s="104"/>
      <c r="BM444" s="104"/>
      <c r="BN444" s="104"/>
    </row>
    <row r="445">
      <c r="A445" s="104"/>
      <c r="B445" s="104"/>
      <c r="C445" s="104"/>
      <c r="D445" s="104"/>
      <c r="E445" s="104"/>
      <c r="F445" s="104"/>
      <c r="G445" s="104"/>
      <c r="H445" s="104"/>
      <c r="I445" s="104"/>
      <c r="J445" s="104"/>
      <c r="K445" s="105"/>
      <c r="L445" s="106"/>
      <c r="M445" s="104"/>
      <c r="N445" s="104"/>
      <c r="O445" s="104"/>
      <c r="P445" s="104"/>
      <c r="Q445" s="104"/>
      <c r="R445" s="106"/>
      <c r="S445" s="104"/>
      <c r="T445" s="104"/>
      <c r="U445" s="104"/>
      <c r="V445" s="104"/>
      <c r="W445" s="105"/>
      <c r="X445" s="104"/>
      <c r="Y445" s="104"/>
      <c r="Z445" s="104"/>
      <c r="AA445" s="104"/>
      <c r="AB445" s="104"/>
      <c r="AC445" s="104"/>
      <c r="AD445" s="104"/>
      <c r="AE445" s="104"/>
      <c r="AF445" s="104"/>
      <c r="AG445" s="104"/>
      <c r="AH445" s="104"/>
      <c r="AI445" s="104"/>
      <c r="AJ445" s="104"/>
      <c r="AK445" s="104"/>
      <c r="AL445" s="104"/>
      <c r="AM445" s="104"/>
      <c r="AN445" s="104"/>
      <c r="AO445" s="104"/>
      <c r="AP445" s="104"/>
      <c r="AQ445" s="104"/>
      <c r="AR445" s="104"/>
      <c r="AS445" s="104"/>
      <c r="AT445" s="104"/>
      <c r="AU445" s="104"/>
      <c r="AV445" s="104"/>
      <c r="AW445" s="104"/>
      <c r="AX445" s="104"/>
      <c r="AY445" s="104"/>
      <c r="AZ445" s="104"/>
      <c r="BA445" s="104"/>
      <c r="BB445" s="104"/>
      <c r="BC445" s="104"/>
      <c r="BD445" s="104"/>
      <c r="BE445" s="104"/>
      <c r="BF445" s="104"/>
      <c r="BG445" s="104"/>
      <c r="BH445" s="104"/>
      <c r="BI445" s="104"/>
      <c r="BJ445" s="104"/>
      <c r="BK445" s="104"/>
      <c r="BL445" s="104"/>
      <c r="BM445" s="104"/>
      <c r="BN445" s="104"/>
    </row>
    <row r="446">
      <c r="A446" s="104"/>
      <c r="B446" s="104"/>
      <c r="C446" s="104"/>
      <c r="D446" s="104"/>
      <c r="E446" s="104"/>
      <c r="F446" s="104"/>
      <c r="G446" s="104"/>
      <c r="H446" s="104"/>
      <c r="I446" s="104"/>
      <c r="J446" s="104"/>
      <c r="K446" s="105"/>
      <c r="L446" s="106"/>
      <c r="M446" s="104"/>
      <c r="N446" s="104"/>
      <c r="O446" s="104"/>
      <c r="P446" s="104"/>
      <c r="Q446" s="104"/>
      <c r="R446" s="106"/>
      <c r="S446" s="104"/>
      <c r="T446" s="104"/>
      <c r="U446" s="104"/>
      <c r="V446" s="104"/>
      <c r="W446" s="105"/>
      <c r="X446" s="104"/>
      <c r="Y446" s="104"/>
      <c r="Z446" s="104"/>
      <c r="AA446" s="104"/>
      <c r="AB446" s="104"/>
      <c r="AC446" s="104"/>
      <c r="AD446" s="104"/>
      <c r="AE446" s="104"/>
      <c r="AF446" s="104"/>
      <c r="AG446" s="104"/>
      <c r="AH446" s="104"/>
      <c r="AI446" s="104"/>
      <c r="AJ446" s="104"/>
      <c r="AK446" s="104"/>
      <c r="AL446" s="104"/>
      <c r="AM446" s="104"/>
      <c r="AN446" s="104"/>
      <c r="AO446" s="104"/>
      <c r="AP446" s="104"/>
      <c r="AQ446" s="104"/>
      <c r="AR446" s="104"/>
      <c r="AS446" s="104"/>
      <c r="AT446" s="104"/>
      <c r="AU446" s="104"/>
      <c r="AV446" s="104"/>
      <c r="AW446" s="104"/>
      <c r="AX446" s="104"/>
      <c r="AY446" s="104"/>
      <c r="AZ446" s="104"/>
      <c r="BA446" s="104"/>
      <c r="BB446" s="104"/>
      <c r="BC446" s="104"/>
      <c r="BD446" s="104"/>
      <c r="BE446" s="104"/>
      <c r="BF446" s="104"/>
      <c r="BG446" s="104"/>
      <c r="BH446" s="104"/>
      <c r="BI446" s="104"/>
      <c r="BJ446" s="104"/>
      <c r="BK446" s="104"/>
      <c r="BL446" s="104"/>
      <c r="BM446" s="104"/>
      <c r="BN446" s="104"/>
    </row>
    <row r="447">
      <c r="A447" s="104"/>
      <c r="B447" s="104"/>
      <c r="C447" s="104"/>
      <c r="D447" s="104"/>
      <c r="E447" s="104"/>
      <c r="F447" s="104"/>
      <c r="G447" s="104"/>
      <c r="H447" s="104"/>
      <c r="I447" s="104"/>
      <c r="J447" s="104"/>
      <c r="K447" s="105"/>
      <c r="L447" s="106"/>
      <c r="M447" s="104"/>
      <c r="N447" s="104"/>
      <c r="O447" s="104"/>
      <c r="P447" s="104"/>
      <c r="Q447" s="104"/>
      <c r="R447" s="106"/>
      <c r="S447" s="104"/>
      <c r="T447" s="104"/>
      <c r="U447" s="104"/>
      <c r="V447" s="104"/>
      <c r="W447" s="105"/>
      <c r="X447" s="104"/>
      <c r="Y447" s="104"/>
      <c r="Z447" s="104"/>
      <c r="AA447" s="104"/>
      <c r="AB447" s="104"/>
      <c r="AC447" s="104"/>
      <c r="AD447" s="104"/>
      <c r="AE447" s="104"/>
      <c r="AF447" s="104"/>
      <c r="AG447" s="104"/>
      <c r="AH447" s="104"/>
      <c r="AI447" s="104"/>
      <c r="AJ447" s="104"/>
      <c r="AK447" s="104"/>
      <c r="AL447" s="104"/>
      <c r="AM447" s="104"/>
      <c r="AN447" s="104"/>
      <c r="AO447" s="104"/>
      <c r="AP447" s="104"/>
      <c r="AQ447" s="104"/>
      <c r="AR447" s="104"/>
      <c r="AS447" s="104"/>
      <c r="AT447" s="104"/>
      <c r="AU447" s="104"/>
      <c r="AV447" s="104"/>
      <c r="AW447" s="104"/>
      <c r="AX447" s="104"/>
      <c r="AY447" s="104"/>
      <c r="AZ447" s="104"/>
      <c r="BA447" s="104"/>
      <c r="BB447" s="104"/>
      <c r="BC447" s="104"/>
      <c r="BD447" s="104"/>
      <c r="BE447" s="104"/>
      <c r="BF447" s="104"/>
      <c r="BG447" s="104"/>
      <c r="BH447" s="104"/>
      <c r="BI447" s="104"/>
      <c r="BJ447" s="104"/>
      <c r="BK447" s="104"/>
      <c r="BL447" s="104"/>
      <c r="BM447" s="104"/>
      <c r="BN447" s="104"/>
    </row>
    <row r="448">
      <c r="A448" s="104"/>
      <c r="B448" s="104"/>
      <c r="C448" s="104"/>
      <c r="D448" s="104"/>
      <c r="E448" s="104"/>
      <c r="F448" s="104"/>
      <c r="G448" s="104"/>
      <c r="H448" s="104"/>
      <c r="I448" s="104"/>
      <c r="J448" s="104"/>
      <c r="K448" s="105"/>
      <c r="L448" s="106"/>
      <c r="M448" s="104"/>
      <c r="N448" s="104"/>
      <c r="O448" s="104"/>
      <c r="P448" s="104"/>
      <c r="Q448" s="104"/>
      <c r="R448" s="106"/>
      <c r="S448" s="104"/>
      <c r="T448" s="104"/>
      <c r="U448" s="104"/>
      <c r="V448" s="104"/>
      <c r="W448" s="105"/>
      <c r="X448" s="104"/>
      <c r="Y448" s="104"/>
      <c r="Z448" s="104"/>
      <c r="AA448" s="104"/>
      <c r="AB448" s="104"/>
      <c r="AC448" s="104"/>
      <c r="AD448" s="104"/>
      <c r="AE448" s="104"/>
      <c r="AF448" s="104"/>
      <c r="AG448" s="104"/>
      <c r="AH448" s="104"/>
      <c r="AI448" s="104"/>
      <c r="AJ448" s="104"/>
      <c r="AK448" s="104"/>
      <c r="AL448" s="104"/>
      <c r="AM448" s="104"/>
      <c r="AN448" s="104"/>
      <c r="AO448" s="104"/>
      <c r="AP448" s="104"/>
      <c r="AQ448" s="104"/>
      <c r="AR448" s="104"/>
      <c r="AS448" s="104"/>
      <c r="AT448" s="104"/>
      <c r="AU448" s="104"/>
      <c r="AV448" s="104"/>
      <c r="AW448" s="104"/>
      <c r="AX448" s="104"/>
      <c r="AY448" s="104"/>
      <c r="AZ448" s="104"/>
      <c r="BA448" s="104"/>
      <c r="BB448" s="104"/>
      <c r="BC448" s="104"/>
      <c r="BD448" s="104"/>
      <c r="BE448" s="104"/>
      <c r="BF448" s="104"/>
      <c r="BG448" s="104"/>
      <c r="BH448" s="104"/>
      <c r="BI448" s="104"/>
      <c r="BJ448" s="104"/>
      <c r="BK448" s="104"/>
      <c r="BL448" s="104"/>
      <c r="BM448" s="104"/>
      <c r="BN448" s="104"/>
    </row>
    <row r="449">
      <c r="A449" s="104"/>
      <c r="B449" s="104"/>
      <c r="C449" s="104"/>
      <c r="D449" s="104"/>
      <c r="E449" s="104"/>
      <c r="F449" s="104"/>
      <c r="G449" s="104"/>
      <c r="H449" s="104"/>
      <c r="I449" s="104"/>
      <c r="J449" s="104"/>
      <c r="K449" s="105"/>
      <c r="L449" s="106"/>
      <c r="M449" s="104"/>
      <c r="N449" s="104"/>
      <c r="O449" s="104"/>
      <c r="P449" s="104"/>
      <c r="Q449" s="104"/>
      <c r="R449" s="106"/>
      <c r="S449" s="104"/>
      <c r="T449" s="104"/>
      <c r="U449" s="104"/>
      <c r="V449" s="104"/>
      <c r="W449" s="105"/>
      <c r="X449" s="104"/>
      <c r="Y449" s="104"/>
      <c r="Z449" s="104"/>
      <c r="AA449" s="104"/>
      <c r="AB449" s="104"/>
      <c r="AC449" s="104"/>
      <c r="AD449" s="104"/>
      <c r="AE449" s="104"/>
      <c r="AF449" s="104"/>
      <c r="AG449" s="104"/>
      <c r="AH449" s="104"/>
      <c r="AI449" s="104"/>
      <c r="AJ449" s="104"/>
      <c r="AK449" s="104"/>
      <c r="AL449" s="104"/>
      <c r="AM449" s="104"/>
      <c r="AN449" s="104"/>
      <c r="AO449" s="104"/>
      <c r="AP449" s="104"/>
      <c r="AQ449" s="104"/>
      <c r="AR449" s="104"/>
      <c r="AS449" s="104"/>
      <c r="AT449" s="104"/>
      <c r="AU449" s="104"/>
      <c r="AV449" s="104"/>
      <c r="AW449" s="104"/>
      <c r="AX449" s="104"/>
      <c r="AY449" s="104"/>
      <c r="AZ449" s="104"/>
      <c r="BA449" s="104"/>
      <c r="BB449" s="104"/>
      <c r="BC449" s="104"/>
      <c r="BD449" s="104"/>
      <c r="BE449" s="104"/>
      <c r="BF449" s="104"/>
      <c r="BG449" s="104"/>
      <c r="BH449" s="104"/>
      <c r="BI449" s="104"/>
      <c r="BJ449" s="104"/>
      <c r="BK449" s="104"/>
      <c r="BL449" s="104"/>
      <c r="BM449" s="104"/>
      <c r="BN449" s="104"/>
    </row>
    <row r="450">
      <c r="A450" s="104"/>
      <c r="B450" s="104"/>
      <c r="C450" s="104"/>
      <c r="D450" s="104"/>
      <c r="E450" s="104"/>
      <c r="F450" s="104"/>
      <c r="G450" s="104"/>
      <c r="H450" s="104"/>
      <c r="I450" s="104"/>
      <c r="J450" s="104"/>
      <c r="K450" s="105"/>
      <c r="L450" s="106"/>
      <c r="M450" s="104"/>
      <c r="N450" s="104"/>
      <c r="O450" s="104"/>
      <c r="P450" s="104"/>
      <c r="Q450" s="104"/>
      <c r="R450" s="106"/>
      <c r="S450" s="104"/>
      <c r="T450" s="104"/>
      <c r="U450" s="104"/>
      <c r="V450" s="104"/>
      <c r="W450" s="105"/>
      <c r="X450" s="104"/>
      <c r="Y450" s="104"/>
      <c r="Z450" s="104"/>
      <c r="AA450" s="104"/>
      <c r="AB450" s="104"/>
      <c r="AC450" s="104"/>
      <c r="AD450" s="104"/>
      <c r="AE450" s="104"/>
      <c r="AF450" s="104"/>
      <c r="AG450" s="104"/>
      <c r="AH450" s="104"/>
      <c r="AI450" s="104"/>
      <c r="AJ450" s="104"/>
      <c r="AK450" s="104"/>
      <c r="AL450" s="104"/>
      <c r="AM450" s="104"/>
      <c r="AN450" s="104"/>
      <c r="AO450" s="104"/>
      <c r="AP450" s="104"/>
      <c r="AQ450" s="104"/>
      <c r="AR450" s="104"/>
      <c r="AS450" s="104"/>
      <c r="AT450" s="104"/>
      <c r="AU450" s="104"/>
      <c r="AV450" s="104"/>
      <c r="AW450" s="104"/>
      <c r="AX450" s="104"/>
      <c r="AY450" s="104"/>
      <c r="AZ450" s="104"/>
      <c r="BA450" s="104"/>
      <c r="BB450" s="104"/>
      <c r="BC450" s="104"/>
      <c r="BD450" s="104"/>
      <c r="BE450" s="104"/>
      <c r="BF450" s="104"/>
      <c r="BG450" s="104"/>
      <c r="BH450" s="104"/>
      <c r="BI450" s="104"/>
      <c r="BJ450" s="104"/>
      <c r="BK450" s="104"/>
      <c r="BL450" s="104"/>
      <c r="BM450" s="104"/>
      <c r="BN450" s="104"/>
    </row>
    <row r="451">
      <c r="A451" s="104"/>
      <c r="B451" s="104"/>
      <c r="C451" s="104"/>
      <c r="D451" s="104"/>
      <c r="E451" s="104"/>
      <c r="F451" s="104"/>
      <c r="G451" s="104"/>
      <c r="H451" s="104"/>
      <c r="I451" s="104"/>
      <c r="J451" s="104"/>
      <c r="K451" s="105"/>
      <c r="L451" s="106"/>
      <c r="M451" s="104"/>
      <c r="N451" s="104"/>
      <c r="O451" s="104"/>
      <c r="P451" s="104"/>
      <c r="Q451" s="104"/>
      <c r="R451" s="106"/>
      <c r="S451" s="104"/>
      <c r="T451" s="104"/>
      <c r="U451" s="104"/>
      <c r="V451" s="104"/>
      <c r="W451" s="105"/>
      <c r="X451" s="104"/>
      <c r="Y451" s="104"/>
      <c r="Z451" s="104"/>
      <c r="AA451" s="104"/>
      <c r="AB451" s="104"/>
      <c r="AC451" s="104"/>
      <c r="AD451" s="104"/>
      <c r="AE451" s="104"/>
      <c r="AF451" s="104"/>
      <c r="AG451" s="104"/>
      <c r="AH451" s="104"/>
      <c r="AI451" s="104"/>
      <c r="AJ451" s="104"/>
      <c r="AK451" s="104"/>
      <c r="AL451" s="104"/>
      <c r="AM451" s="104"/>
      <c r="AN451" s="104"/>
      <c r="AO451" s="104"/>
      <c r="AP451" s="104"/>
      <c r="AQ451" s="104"/>
      <c r="AR451" s="104"/>
      <c r="AS451" s="104"/>
      <c r="AT451" s="104"/>
      <c r="AU451" s="104"/>
      <c r="AV451" s="104"/>
      <c r="AW451" s="104"/>
      <c r="AX451" s="104"/>
      <c r="AY451" s="104"/>
      <c r="AZ451" s="104"/>
      <c r="BA451" s="104"/>
      <c r="BB451" s="104"/>
      <c r="BC451" s="104"/>
      <c r="BD451" s="104"/>
      <c r="BE451" s="104"/>
      <c r="BF451" s="104"/>
      <c r="BG451" s="104"/>
      <c r="BH451" s="104"/>
      <c r="BI451" s="104"/>
      <c r="BJ451" s="104"/>
      <c r="BK451" s="104"/>
      <c r="BL451" s="104"/>
      <c r="BM451" s="104"/>
      <c r="BN451" s="104"/>
    </row>
    <row r="452">
      <c r="A452" s="104"/>
      <c r="B452" s="104"/>
      <c r="C452" s="104"/>
      <c r="D452" s="104"/>
      <c r="E452" s="104"/>
      <c r="F452" s="104"/>
      <c r="G452" s="104"/>
      <c r="H452" s="104"/>
      <c r="I452" s="104"/>
      <c r="J452" s="104"/>
      <c r="K452" s="105"/>
      <c r="L452" s="106"/>
      <c r="M452" s="104"/>
      <c r="N452" s="104"/>
      <c r="O452" s="104"/>
      <c r="P452" s="104"/>
      <c r="Q452" s="104"/>
      <c r="R452" s="106"/>
      <c r="S452" s="104"/>
      <c r="T452" s="104"/>
      <c r="U452" s="104"/>
      <c r="V452" s="104"/>
      <c r="W452" s="105"/>
      <c r="X452" s="104"/>
      <c r="Y452" s="104"/>
      <c r="Z452" s="104"/>
      <c r="AA452" s="104"/>
      <c r="AB452" s="104"/>
      <c r="AC452" s="104"/>
      <c r="AD452" s="104"/>
      <c r="AE452" s="104"/>
      <c r="AF452" s="104"/>
      <c r="AG452" s="104"/>
      <c r="AH452" s="104"/>
      <c r="AI452" s="104"/>
      <c r="AJ452" s="104"/>
      <c r="AK452" s="104"/>
      <c r="AL452" s="104"/>
      <c r="AM452" s="104"/>
      <c r="AN452" s="104"/>
      <c r="AO452" s="104"/>
      <c r="AP452" s="104"/>
      <c r="AQ452" s="104"/>
      <c r="AR452" s="104"/>
      <c r="AS452" s="104"/>
      <c r="AT452" s="104"/>
      <c r="AU452" s="104"/>
      <c r="AV452" s="104"/>
      <c r="AW452" s="104"/>
      <c r="AX452" s="104"/>
      <c r="AY452" s="104"/>
      <c r="AZ452" s="104"/>
      <c r="BA452" s="104"/>
      <c r="BB452" s="104"/>
      <c r="BC452" s="104"/>
      <c r="BD452" s="104"/>
      <c r="BE452" s="104"/>
      <c r="BF452" s="104"/>
      <c r="BG452" s="104"/>
      <c r="BH452" s="104"/>
      <c r="BI452" s="104"/>
      <c r="BJ452" s="104"/>
      <c r="BK452" s="104"/>
      <c r="BL452" s="104"/>
      <c r="BM452" s="104"/>
      <c r="BN452" s="104"/>
    </row>
    <row r="453">
      <c r="A453" s="104"/>
      <c r="B453" s="104"/>
      <c r="C453" s="104"/>
      <c r="D453" s="104"/>
      <c r="E453" s="104"/>
      <c r="F453" s="104"/>
      <c r="G453" s="104"/>
      <c r="H453" s="104"/>
      <c r="I453" s="104"/>
      <c r="J453" s="104"/>
      <c r="K453" s="105"/>
      <c r="L453" s="106"/>
      <c r="M453" s="104"/>
      <c r="N453" s="104"/>
      <c r="O453" s="104"/>
      <c r="P453" s="104"/>
      <c r="Q453" s="104"/>
      <c r="R453" s="106"/>
      <c r="S453" s="104"/>
      <c r="T453" s="104"/>
      <c r="U453" s="104"/>
      <c r="V453" s="104"/>
      <c r="W453" s="105"/>
      <c r="X453" s="104"/>
      <c r="Y453" s="104"/>
      <c r="Z453" s="104"/>
      <c r="AA453" s="104"/>
      <c r="AB453" s="104"/>
      <c r="AC453" s="104"/>
      <c r="AD453" s="104"/>
      <c r="AE453" s="104"/>
      <c r="AF453" s="104"/>
      <c r="AG453" s="104"/>
      <c r="AH453" s="104"/>
      <c r="AI453" s="104"/>
      <c r="AJ453" s="104"/>
      <c r="AK453" s="104"/>
      <c r="AL453" s="104"/>
      <c r="AM453" s="104"/>
      <c r="AN453" s="104"/>
      <c r="AO453" s="104"/>
      <c r="AP453" s="104"/>
      <c r="AQ453" s="104"/>
      <c r="AR453" s="104"/>
      <c r="AS453" s="104"/>
      <c r="AT453" s="104"/>
      <c r="AU453" s="104"/>
      <c r="AV453" s="104"/>
      <c r="AW453" s="104"/>
      <c r="AX453" s="104"/>
      <c r="AY453" s="104"/>
      <c r="AZ453" s="104"/>
      <c r="BA453" s="104"/>
      <c r="BB453" s="104"/>
      <c r="BC453" s="104"/>
      <c r="BD453" s="104"/>
      <c r="BE453" s="104"/>
      <c r="BF453" s="104"/>
      <c r="BG453" s="104"/>
      <c r="BH453" s="104"/>
      <c r="BI453" s="104"/>
      <c r="BJ453" s="104"/>
      <c r="BK453" s="104"/>
      <c r="BL453" s="104"/>
      <c r="BM453" s="104"/>
      <c r="BN453" s="104"/>
    </row>
    <row r="454">
      <c r="A454" s="104"/>
      <c r="B454" s="104"/>
      <c r="C454" s="104"/>
      <c r="D454" s="104"/>
      <c r="E454" s="104"/>
      <c r="F454" s="104"/>
      <c r="G454" s="104"/>
      <c r="H454" s="104"/>
      <c r="I454" s="104"/>
      <c r="J454" s="104"/>
      <c r="K454" s="105"/>
      <c r="L454" s="106"/>
      <c r="M454" s="104"/>
      <c r="N454" s="104"/>
      <c r="O454" s="104"/>
      <c r="P454" s="104"/>
      <c r="Q454" s="104"/>
      <c r="R454" s="106"/>
      <c r="S454" s="104"/>
      <c r="T454" s="104"/>
      <c r="U454" s="104"/>
      <c r="V454" s="104"/>
      <c r="W454" s="105"/>
      <c r="X454" s="104"/>
      <c r="Y454" s="104"/>
      <c r="Z454" s="104"/>
      <c r="AA454" s="104"/>
      <c r="AB454" s="104"/>
      <c r="AC454" s="104"/>
      <c r="AD454" s="104"/>
      <c r="AE454" s="104"/>
      <c r="AF454" s="104"/>
      <c r="AG454" s="104"/>
      <c r="AH454" s="104"/>
      <c r="AI454" s="104"/>
      <c r="AJ454" s="104"/>
      <c r="AK454" s="104"/>
      <c r="AL454" s="104"/>
      <c r="AM454" s="104"/>
      <c r="AN454" s="104"/>
      <c r="AO454" s="104"/>
      <c r="AP454" s="104"/>
      <c r="AQ454" s="104"/>
      <c r="AR454" s="104"/>
      <c r="AS454" s="104"/>
      <c r="AT454" s="104"/>
      <c r="AU454" s="104"/>
      <c r="AV454" s="104"/>
      <c r="AW454" s="104"/>
      <c r="AX454" s="104"/>
      <c r="AY454" s="104"/>
      <c r="AZ454" s="104"/>
      <c r="BA454" s="104"/>
      <c r="BB454" s="104"/>
      <c r="BC454" s="104"/>
      <c r="BD454" s="104"/>
      <c r="BE454" s="104"/>
      <c r="BF454" s="104"/>
      <c r="BG454" s="104"/>
      <c r="BH454" s="104"/>
      <c r="BI454" s="104"/>
      <c r="BJ454" s="104"/>
      <c r="BK454" s="104"/>
      <c r="BL454" s="104"/>
      <c r="BM454" s="104"/>
      <c r="BN454" s="104"/>
    </row>
    <row r="455">
      <c r="A455" s="104"/>
      <c r="B455" s="104"/>
      <c r="C455" s="104"/>
      <c r="D455" s="104"/>
      <c r="E455" s="104"/>
      <c r="F455" s="104"/>
      <c r="G455" s="104"/>
      <c r="H455" s="104"/>
      <c r="I455" s="104"/>
      <c r="J455" s="104"/>
      <c r="K455" s="105"/>
      <c r="L455" s="106"/>
      <c r="M455" s="104"/>
      <c r="N455" s="104"/>
      <c r="O455" s="104"/>
      <c r="P455" s="104"/>
      <c r="Q455" s="104"/>
      <c r="R455" s="106"/>
      <c r="S455" s="104"/>
      <c r="T455" s="104"/>
      <c r="U455" s="104"/>
      <c r="V455" s="104"/>
      <c r="W455" s="105"/>
      <c r="X455" s="104"/>
      <c r="Y455" s="104"/>
      <c r="Z455" s="104"/>
      <c r="AA455" s="104"/>
      <c r="AB455" s="104"/>
      <c r="AC455" s="104"/>
      <c r="AD455" s="104"/>
      <c r="AE455" s="104"/>
      <c r="AF455" s="104"/>
      <c r="AG455" s="104"/>
      <c r="AH455" s="104"/>
      <c r="AI455" s="104"/>
      <c r="AJ455" s="104"/>
      <c r="AK455" s="104"/>
      <c r="AL455" s="104"/>
      <c r="AM455" s="104"/>
      <c r="AN455" s="104"/>
      <c r="AO455" s="104"/>
      <c r="AP455" s="104"/>
      <c r="AQ455" s="104"/>
      <c r="AR455" s="104"/>
      <c r="AS455" s="104"/>
      <c r="AT455" s="104"/>
      <c r="AU455" s="104"/>
      <c r="AV455" s="104"/>
      <c r="AW455" s="104"/>
      <c r="AX455" s="104"/>
      <c r="AY455" s="104"/>
      <c r="AZ455" s="104"/>
      <c r="BA455" s="104"/>
      <c r="BB455" s="104"/>
      <c r="BC455" s="104"/>
      <c r="BD455" s="104"/>
      <c r="BE455" s="104"/>
      <c r="BF455" s="104"/>
      <c r="BG455" s="104"/>
      <c r="BH455" s="104"/>
      <c r="BI455" s="104"/>
      <c r="BJ455" s="104"/>
      <c r="BK455" s="104"/>
      <c r="BL455" s="104"/>
      <c r="BM455" s="104"/>
      <c r="BN455" s="104"/>
    </row>
    <row r="456">
      <c r="A456" s="104"/>
      <c r="B456" s="104"/>
      <c r="C456" s="104"/>
      <c r="D456" s="104"/>
      <c r="E456" s="104"/>
      <c r="F456" s="104"/>
      <c r="G456" s="104"/>
      <c r="H456" s="104"/>
      <c r="I456" s="104"/>
      <c r="J456" s="104"/>
      <c r="K456" s="105"/>
      <c r="L456" s="106"/>
      <c r="M456" s="104"/>
      <c r="N456" s="104"/>
      <c r="O456" s="104"/>
      <c r="P456" s="104"/>
      <c r="Q456" s="104"/>
      <c r="R456" s="106"/>
      <c r="S456" s="104"/>
      <c r="T456" s="104"/>
      <c r="U456" s="104"/>
      <c r="V456" s="104"/>
      <c r="W456" s="105"/>
      <c r="X456" s="104"/>
      <c r="Y456" s="104"/>
      <c r="Z456" s="104"/>
      <c r="AA456" s="104"/>
      <c r="AB456" s="104"/>
      <c r="AC456" s="104"/>
      <c r="AD456" s="104"/>
      <c r="AE456" s="104"/>
      <c r="AF456" s="104"/>
      <c r="AG456" s="104"/>
      <c r="AH456" s="104"/>
      <c r="AI456" s="104"/>
      <c r="AJ456" s="104"/>
      <c r="AK456" s="104"/>
      <c r="AL456" s="104"/>
      <c r="AM456" s="104"/>
      <c r="AN456" s="104"/>
      <c r="AO456" s="104"/>
      <c r="AP456" s="104"/>
      <c r="AQ456" s="104"/>
      <c r="AR456" s="104"/>
      <c r="AS456" s="104"/>
      <c r="AT456" s="104"/>
      <c r="AU456" s="104"/>
      <c r="AV456" s="104"/>
      <c r="AW456" s="104"/>
      <c r="AX456" s="104"/>
      <c r="AY456" s="104"/>
      <c r="AZ456" s="104"/>
      <c r="BA456" s="104"/>
      <c r="BB456" s="104"/>
      <c r="BC456" s="104"/>
      <c r="BD456" s="104"/>
      <c r="BE456" s="104"/>
      <c r="BF456" s="104"/>
      <c r="BG456" s="104"/>
      <c r="BH456" s="104"/>
      <c r="BI456" s="104"/>
      <c r="BJ456" s="104"/>
      <c r="BK456" s="104"/>
      <c r="BL456" s="104"/>
      <c r="BM456" s="104"/>
      <c r="BN456" s="104"/>
    </row>
    <row r="457">
      <c r="A457" s="104"/>
      <c r="B457" s="104"/>
      <c r="C457" s="104"/>
      <c r="D457" s="104"/>
      <c r="E457" s="104"/>
      <c r="F457" s="104"/>
      <c r="G457" s="104"/>
      <c r="H457" s="104"/>
      <c r="I457" s="104"/>
      <c r="J457" s="104"/>
      <c r="K457" s="105"/>
      <c r="L457" s="106"/>
      <c r="M457" s="104"/>
      <c r="N457" s="104"/>
      <c r="O457" s="104"/>
      <c r="P457" s="104"/>
      <c r="Q457" s="104"/>
      <c r="R457" s="106"/>
      <c r="S457" s="104"/>
      <c r="T457" s="104"/>
      <c r="U457" s="104"/>
      <c r="V457" s="104"/>
      <c r="W457" s="105"/>
      <c r="X457" s="104"/>
      <c r="Y457" s="104"/>
      <c r="Z457" s="104"/>
      <c r="AA457" s="104"/>
      <c r="AB457" s="104"/>
      <c r="AC457" s="104"/>
      <c r="AD457" s="104"/>
      <c r="AE457" s="104"/>
      <c r="AF457" s="104"/>
      <c r="AG457" s="104"/>
      <c r="AH457" s="104"/>
      <c r="AI457" s="104"/>
      <c r="AJ457" s="104"/>
      <c r="AK457" s="104"/>
      <c r="AL457" s="104"/>
      <c r="AM457" s="104"/>
      <c r="AN457" s="104"/>
      <c r="AO457" s="104"/>
      <c r="AP457" s="104"/>
      <c r="AQ457" s="104"/>
      <c r="AR457" s="104"/>
      <c r="AS457" s="104"/>
      <c r="AT457" s="104"/>
      <c r="AU457" s="104"/>
      <c r="AV457" s="104"/>
      <c r="AW457" s="104"/>
      <c r="AX457" s="104"/>
      <c r="AY457" s="104"/>
      <c r="AZ457" s="104"/>
      <c r="BA457" s="104"/>
      <c r="BB457" s="104"/>
      <c r="BC457" s="104"/>
      <c r="BD457" s="104"/>
      <c r="BE457" s="104"/>
      <c r="BF457" s="104"/>
      <c r="BG457" s="104"/>
      <c r="BH457" s="104"/>
      <c r="BI457" s="104"/>
      <c r="BJ457" s="104"/>
      <c r="BK457" s="104"/>
      <c r="BL457" s="104"/>
      <c r="BM457" s="104"/>
      <c r="BN457" s="104"/>
    </row>
    <row r="458">
      <c r="A458" s="104"/>
      <c r="B458" s="104"/>
      <c r="C458" s="104"/>
      <c r="D458" s="104"/>
      <c r="E458" s="104"/>
      <c r="F458" s="104"/>
      <c r="G458" s="104"/>
      <c r="H458" s="104"/>
      <c r="I458" s="104"/>
      <c r="J458" s="104"/>
      <c r="K458" s="105"/>
      <c r="L458" s="106"/>
      <c r="M458" s="104"/>
      <c r="N458" s="104"/>
      <c r="O458" s="104"/>
      <c r="P458" s="104"/>
      <c r="Q458" s="104"/>
      <c r="R458" s="106"/>
      <c r="S458" s="104"/>
      <c r="T458" s="104"/>
      <c r="U458" s="104"/>
      <c r="V458" s="104"/>
      <c r="W458" s="105"/>
      <c r="X458" s="104"/>
      <c r="Y458" s="104"/>
      <c r="Z458" s="104"/>
      <c r="AA458" s="104"/>
      <c r="AB458" s="104"/>
      <c r="AC458" s="104"/>
      <c r="AD458" s="104"/>
      <c r="AE458" s="104"/>
      <c r="AF458" s="104"/>
      <c r="AG458" s="104"/>
      <c r="AH458" s="104"/>
      <c r="AI458" s="104"/>
      <c r="AJ458" s="104"/>
      <c r="AK458" s="104"/>
      <c r="AL458" s="104"/>
      <c r="AM458" s="104"/>
      <c r="AN458" s="104"/>
      <c r="AO458" s="104"/>
      <c r="AP458" s="104"/>
      <c r="AQ458" s="104"/>
      <c r="AR458" s="104"/>
      <c r="AS458" s="104"/>
      <c r="AT458" s="104"/>
      <c r="AU458" s="104"/>
      <c r="AV458" s="104"/>
      <c r="AW458" s="104"/>
      <c r="AX458" s="104"/>
      <c r="AY458" s="104"/>
      <c r="AZ458" s="104"/>
      <c r="BA458" s="104"/>
      <c r="BB458" s="104"/>
      <c r="BC458" s="104"/>
      <c r="BD458" s="104"/>
      <c r="BE458" s="104"/>
      <c r="BF458" s="104"/>
      <c r="BG458" s="104"/>
      <c r="BH458" s="104"/>
      <c r="BI458" s="104"/>
      <c r="BJ458" s="104"/>
      <c r="BK458" s="104"/>
      <c r="BL458" s="104"/>
      <c r="BM458" s="104"/>
      <c r="BN458" s="104"/>
    </row>
    <row r="459">
      <c r="A459" s="104"/>
      <c r="B459" s="104"/>
      <c r="C459" s="104"/>
      <c r="D459" s="104"/>
      <c r="E459" s="104"/>
      <c r="F459" s="104"/>
      <c r="G459" s="104"/>
      <c r="H459" s="104"/>
      <c r="I459" s="104"/>
      <c r="J459" s="104"/>
      <c r="K459" s="105"/>
      <c r="L459" s="106"/>
      <c r="M459" s="104"/>
      <c r="N459" s="104"/>
      <c r="O459" s="104"/>
      <c r="P459" s="104"/>
      <c r="Q459" s="104"/>
      <c r="R459" s="106"/>
      <c r="S459" s="104"/>
      <c r="T459" s="104"/>
      <c r="U459" s="104"/>
      <c r="V459" s="104"/>
      <c r="W459" s="105"/>
      <c r="X459" s="104"/>
      <c r="Y459" s="104"/>
      <c r="Z459" s="104"/>
      <c r="AA459" s="104"/>
      <c r="AB459" s="104"/>
      <c r="AC459" s="104"/>
      <c r="AD459" s="104"/>
      <c r="AE459" s="104"/>
      <c r="AF459" s="104"/>
      <c r="AG459" s="104"/>
      <c r="AH459" s="104"/>
      <c r="AI459" s="104"/>
      <c r="AJ459" s="104"/>
      <c r="AK459" s="104"/>
      <c r="AL459" s="104"/>
      <c r="AM459" s="104"/>
      <c r="AN459" s="104"/>
      <c r="AO459" s="104"/>
      <c r="AP459" s="104"/>
      <c r="AQ459" s="104"/>
      <c r="AR459" s="104"/>
      <c r="AS459" s="104"/>
      <c r="AT459" s="104"/>
      <c r="AU459" s="104"/>
      <c r="AV459" s="104"/>
      <c r="AW459" s="104"/>
      <c r="AX459" s="104"/>
      <c r="AY459" s="104"/>
      <c r="AZ459" s="104"/>
      <c r="BA459" s="104"/>
      <c r="BB459" s="104"/>
      <c r="BC459" s="104"/>
      <c r="BD459" s="104"/>
      <c r="BE459" s="104"/>
      <c r="BF459" s="104"/>
      <c r="BG459" s="104"/>
      <c r="BH459" s="104"/>
      <c r="BI459" s="104"/>
      <c r="BJ459" s="104"/>
      <c r="BK459" s="104"/>
      <c r="BL459" s="104"/>
      <c r="BM459" s="104"/>
      <c r="BN459" s="104"/>
    </row>
    <row r="460">
      <c r="A460" s="104"/>
      <c r="B460" s="104"/>
      <c r="C460" s="104"/>
      <c r="D460" s="104"/>
      <c r="E460" s="104"/>
      <c r="F460" s="104"/>
      <c r="G460" s="104"/>
      <c r="H460" s="104"/>
      <c r="I460" s="104"/>
      <c r="J460" s="104"/>
      <c r="K460" s="105"/>
      <c r="L460" s="106"/>
      <c r="M460" s="104"/>
      <c r="N460" s="104"/>
      <c r="O460" s="104"/>
      <c r="P460" s="104"/>
      <c r="Q460" s="104"/>
      <c r="R460" s="106"/>
      <c r="S460" s="104"/>
      <c r="T460" s="104"/>
      <c r="U460" s="104"/>
      <c r="V460" s="104"/>
      <c r="W460" s="105"/>
      <c r="X460" s="104"/>
      <c r="Y460" s="104"/>
      <c r="Z460" s="104"/>
      <c r="AA460" s="104"/>
      <c r="AB460" s="104"/>
      <c r="AC460" s="104"/>
      <c r="AD460" s="104"/>
      <c r="AE460" s="104"/>
      <c r="AF460" s="104"/>
      <c r="AG460" s="104"/>
      <c r="AH460" s="104"/>
      <c r="AI460" s="104"/>
      <c r="AJ460" s="104"/>
      <c r="AK460" s="104"/>
      <c r="AL460" s="104"/>
      <c r="AM460" s="104"/>
      <c r="AN460" s="104"/>
      <c r="AO460" s="104"/>
      <c r="AP460" s="104"/>
      <c r="AQ460" s="104"/>
      <c r="AR460" s="104"/>
      <c r="AS460" s="104"/>
      <c r="AT460" s="104"/>
      <c r="AU460" s="104"/>
      <c r="AV460" s="104"/>
      <c r="AW460" s="104"/>
      <c r="AX460" s="104"/>
      <c r="AY460" s="104"/>
      <c r="AZ460" s="104"/>
      <c r="BA460" s="104"/>
      <c r="BB460" s="104"/>
      <c r="BC460" s="104"/>
      <c r="BD460" s="104"/>
      <c r="BE460" s="104"/>
      <c r="BF460" s="104"/>
      <c r="BG460" s="104"/>
      <c r="BH460" s="104"/>
      <c r="BI460" s="104"/>
      <c r="BJ460" s="104"/>
      <c r="BK460" s="104"/>
      <c r="BL460" s="104"/>
      <c r="BM460" s="104"/>
      <c r="BN460" s="104"/>
    </row>
    <row r="461">
      <c r="A461" s="104"/>
      <c r="B461" s="104"/>
      <c r="C461" s="104"/>
      <c r="D461" s="104"/>
      <c r="E461" s="104"/>
      <c r="F461" s="104"/>
      <c r="G461" s="104"/>
      <c r="H461" s="104"/>
      <c r="I461" s="104"/>
      <c r="J461" s="104"/>
      <c r="K461" s="105"/>
      <c r="L461" s="106"/>
      <c r="M461" s="104"/>
      <c r="N461" s="104"/>
      <c r="O461" s="104"/>
      <c r="P461" s="104"/>
      <c r="Q461" s="104"/>
      <c r="R461" s="106"/>
      <c r="S461" s="104"/>
      <c r="T461" s="104"/>
      <c r="U461" s="104"/>
      <c r="V461" s="104"/>
      <c r="W461" s="105"/>
      <c r="X461" s="104"/>
      <c r="Y461" s="104"/>
      <c r="Z461" s="104"/>
      <c r="AA461" s="104"/>
      <c r="AB461" s="104"/>
      <c r="AC461" s="104"/>
      <c r="AD461" s="104"/>
      <c r="AE461" s="104"/>
      <c r="AF461" s="104"/>
      <c r="AG461" s="104"/>
      <c r="AH461" s="104"/>
      <c r="AI461" s="104"/>
      <c r="AJ461" s="104"/>
      <c r="AK461" s="104"/>
      <c r="AL461" s="104"/>
      <c r="AM461" s="104"/>
      <c r="AN461" s="104"/>
      <c r="AO461" s="104"/>
      <c r="AP461" s="104"/>
      <c r="AQ461" s="104"/>
      <c r="AR461" s="104"/>
      <c r="AS461" s="104"/>
      <c r="AT461" s="104"/>
      <c r="AU461" s="104"/>
      <c r="AV461" s="104"/>
      <c r="AW461" s="104"/>
      <c r="AX461" s="104"/>
      <c r="AY461" s="104"/>
      <c r="AZ461" s="104"/>
      <c r="BA461" s="104"/>
      <c r="BB461" s="104"/>
      <c r="BC461" s="104"/>
      <c r="BD461" s="104"/>
      <c r="BE461" s="104"/>
      <c r="BF461" s="104"/>
      <c r="BG461" s="104"/>
      <c r="BH461" s="104"/>
      <c r="BI461" s="104"/>
      <c r="BJ461" s="104"/>
      <c r="BK461" s="104"/>
      <c r="BL461" s="104"/>
      <c r="BM461" s="104"/>
      <c r="BN461" s="104"/>
    </row>
    <row r="462">
      <c r="A462" s="104"/>
      <c r="B462" s="104"/>
      <c r="C462" s="104"/>
      <c r="D462" s="104"/>
      <c r="E462" s="104"/>
      <c r="F462" s="104"/>
      <c r="G462" s="104"/>
      <c r="H462" s="104"/>
      <c r="I462" s="104"/>
      <c r="J462" s="104"/>
      <c r="K462" s="105"/>
      <c r="L462" s="106"/>
      <c r="M462" s="104"/>
      <c r="N462" s="104"/>
      <c r="O462" s="104"/>
      <c r="P462" s="104"/>
      <c r="Q462" s="104"/>
      <c r="R462" s="106"/>
      <c r="S462" s="104"/>
      <c r="T462" s="104"/>
      <c r="U462" s="104"/>
      <c r="V462" s="104"/>
      <c r="W462" s="105"/>
      <c r="X462" s="104"/>
      <c r="Y462" s="104"/>
      <c r="Z462" s="104"/>
      <c r="AA462" s="104"/>
      <c r="AB462" s="104"/>
      <c r="AC462" s="104"/>
      <c r="AD462" s="104"/>
      <c r="AE462" s="104"/>
      <c r="AF462" s="104"/>
      <c r="AG462" s="104"/>
      <c r="AH462" s="104"/>
      <c r="AI462" s="104"/>
      <c r="AJ462" s="104"/>
      <c r="AK462" s="104"/>
      <c r="AL462" s="104"/>
      <c r="AM462" s="104"/>
      <c r="AN462" s="104"/>
      <c r="AO462" s="104"/>
      <c r="AP462" s="104"/>
      <c r="AQ462" s="104"/>
      <c r="AR462" s="104"/>
      <c r="AS462" s="104"/>
      <c r="AT462" s="104"/>
      <c r="AU462" s="104"/>
      <c r="AV462" s="104"/>
      <c r="AW462" s="104"/>
      <c r="AX462" s="104"/>
      <c r="AY462" s="104"/>
      <c r="AZ462" s="104"/>
      <c r="BA462" s="104"/>
      <c r="BB462" s="104"/>
      <c r="BC462" s="104"/>
      <c r="BD462" s="104"/>
      <c r="BE462" s="104"/>
      <c r="BF462" s="104"/>
      <c r="BG462" s="104"/>
      <c r="BH462" s="104"/>
      <c r="BI462" s="104"/>
      <c r="BJ462" s="104"/>
      <c r="BK462" s="104"/>
      <c r="BL462" s="104"/>
      <c r="BM462" s="104"/>
      <c r="BN462" s="104"/>
    </row>
    <row r="463">
      <c r="A463" s="104"/>
      <c r="B463" s="104"/>
      <c r="C463" s="104"/>
      <c r="D463" s="104"/>
      <c r="E463" s="104"/>
      <c r="F463" s="104"/>
      <c r="G463" s="104"/>
      <c r="H463" s="104"/>
      <c r="I463" s="104"/>
      <c r="J463" s="104"/>
      <c r="K463" s="105"/>
      <c r="L463" s="106"/>
      <c r="M463" s="104"/>
      <c r="N463" s="104"/>
      <c r="O463" s="104"/>
      <c r="P463" s="104"/>
      <c r="Q463" s="104"/>
      <c r="R463" s="106"/>
      <c r="S463" s="104"/>
      <c r="T463" s="104"/>
      <c r="U463" s="104"/>
      <c r="V463" s="104"/>
      <c r="W463" s="105"/>
      <c r="X463" s="104"/>
      <c r="Y463" s="104"/>
      <c r="Z463" s="104"/>
      <c r="AA463" s="104"/>
      <c r="AB463" s="104"/>
      <c r="AC463" s="104"/>
      <c r="AD463" s="104"/>
      <c r="AE463" s="104"/>
      <c r="AF463" s="104"/>
      <c r="AG463" s="104"/>
      <c r="AH463" s="104"/>
      <c r="AI463" s="104"/>
      <c r="AJ463" s="104"/>
      <c r="AK463" s="104"/>
      <c r="AL463" s="104"/>
      <c r="AM463" s="104"/>
      <c r="AN463" s="104"/>
      <c r="AO463" s="104"/>
      <c r="AP463" s="104"/>
      <c r="AQ463" s="104"/>
      <c r="AR463" s="104"/>
      <c r="AS463" s="104"/>
      <c r="AT463" s="104"/>
      <c r="AU463" s="104"/>
      <c r="AV463" s="104"/>
      <c r="AW463" s="104"/>
      <c r="AX463" s="104"/>
      <c r="AY463" s="104"/>
      <c r="AZ463" s="104"/>
      <c r="BA463" s="104"/>
      <c r="BB463" s="104"/>
      <c r="BC463" s="104"/>
      <c r="BD463" s="104"/>
      <c r="BE463" s="104"/>
      <c r="BF463" s="104"/>
      <c r="BG463" s="104"/>
      <c r="BH463" s="104"/>
      <c r="BI463" s="104"/>
      <c r="BJ463" s="104"/>
      <c r="BK463" s="104"/>
      <c r="BL463" s="104"/>
      <c r="BM463" s="104"/>
      <c r="BN463" s="104"/>
    </row>
    <row r="464">
      <c r="A464" s="104"/>
      <c r="B464" s="104"/>
      <c r="C464" s="104"/>
      <c r="D464" s="104"/>
      <c r="E464" s="104"/>
      <c r="F464" s="104"/>
      <c r="G464" s="104"/>
      <c r="H464" s="104"/>
      <c r="I464" s="104"/>
      <c r="J464" s="104"/>
      <c r="K464" s="105"/>
      <c r="L464" s="106"/>
      <c r="M464" s="104"/>
      <c r="N464" s="104"/>
      <c r="O464" s="104"/>
      <c r="P464" s="104"/>
      <c r="Q464" s="104"/>
      <c r="R464" s="106"/>
      <c r="S464" s="104"/>
      <c r="T464" s="104"/>
      <c r="U464" s="104"/>
      <c r="V464" s="104"/>
      <c r="W464" s="105"/>
      <c r="X464" s="104"/>
      <c r="Y464" s="104"/>
      <c r="Z464" s="104"/>
      <c r="AA464" s="104"/>
      <c r="AB464" s="104"/>
      <c r="AC464" s="104"/>
      <c r="AD464" s="104"/>
      <c r="AE464" s="104"/>
      <c r="AF464" s="104"/>
      <c r="AG464" s="104"/>
      <c r="AH464" s="104"/>
      <c r="AI464" s="104"/>
      <c r="AJ464" s="104"/>
      <c r="AK464" s="104"/>
      <c r="AL464" s="104"/>
      <c r="AM464" s="104"/>
      <c r="AN464" s="104"/>
      <c r="AO464" s="104"/>
      <c r="AP464" s="104"/>
      <c r="AQ464" s="104"/>
      <c r="AR464" s="104"/>
      <c r="AS464" s="104"/>
      <c r="AT464" s="104"/>
      <c r="AU464" s="104"/>
      <c r="AV464" s="104"/>
      <c r="AW464" s="104"/>
      <c r="AX464" s="104"/>
      <c r="AY464" s="104"/>
      <c r="AZ464" s="104"/>
      <c r="BA464" s="104"/>
      <c r="BB464" s="104"/>
      <c r="BC464" s="104"/>
      <c r="BD464" s="104"/>
      <c r="BE464" s="104"/>
      <c r="BF464" s="104"/>
      <c r="BG464" s="104"/>
      <c r="BH464" s="104"/>
      <c r="BI464" s="104"/>
      <c r="BJ464" s="104"/>
      <c r="BK464" s="104"/>
      <c r="BL464" s="104"/>
      <c r="BM464" s="104"/>
      <c r="BN464" s="104"/>
    </row>
    <row r="465">
      <c r="A465" s="104"/>
      <c r="B465" s="104"/>
      <c r="C465" s="104"/>
      <c r="D465" s="104"/>
      <c r="E465" s="104"/>
      <c r="F465" s="104"/>
      <c r="G465" s="104"/>
      <c r="H465" s="104"/>
      <c r="I465" s="104"/>
      <c r="J465" s="104"/>
      <c r="K465" s="105"/>
      <c r="L465" s="106"/>
      <c r="M465" s="104"/>
      <c r="N465" s="104"/>
      <c r="O465" s="104"/>
      <c r="P465" s="104"/>
      <c r="Q465" s="104"/>
      <c r="R465" s="106"/>
      <c r="S465" s="104"/>
      <c r="T465" s="104"/>
      <c r="U465" s="104"/>
      <c r="V465" s="104"/>
      <c r="W465" s="105"/>
      <c r="X465" s="104"/>
      <c r="Y465" s="104"/>
      <c r="Z465" s="104"/>
      <c r="AA465" s="104"/>
      <c r="AB465" s="104"/>
      <c r="AC465" s="104"/>
      <c r="AD465" s="104"/>
      <c r="AE465" s="104"/>
      <c r="AF465" s="104"/>
      <c r="AG465" s="104"/>
      <c r="AH465" s="104"/>
      <c r="AI465" s="104"/>
      <c r="AJ465" s="104"/>
      <c r="AK465" s="104"/>
      <c r="AL465" s="104"/>
      <c r="AM465" s="104"/>
      <c r="AN465" s="104"/>
      <c r="AO465" s="104"/>
      <c r="AP465" s="104"/>
      <c r="AQ465" s="104"/>
      <c r="AR465" s="104"/>
      <c r="AS465" s="104"/>
      <c r="AT465" s="104"/>
      <c r="AU465" s="104"/>
      <c r="AV465" s="104"/>
      <c r="AW465" s="104"/>
      <c r="AX465" s="104"/>
      <c r="AY465" s="104"/>
      <c r="AZ465" s="104"/>
      <c r="BA465" s="104"/>
      <c r="BB465" s="104"/>
      <c r="BC465" s="104"/>
      <c r="BD465" s="104"/>
      <c r="BE465" s="104"/>
      <c r="BF465" s="104"/>
      <c r="BG465" s="104"/>
      <c r="BH465" s="104"/>
      <c r="BI465" s="104"/>
      <c r="BJ465" s="104"/>
      <c r="BK465" s="104"/>
      <c r="BL465" s="104"/>
      <c r="BM465" s="104"/>
      <c r="BN465" s="104"/>
    </row>
    <row r="466">
      <c r="A466" s="104"/>
      <c r="B466" s="104"/>
      <c r="C466" s="104"/>
      <c r="D466" s="104"/>
      <c r="E466" s="104"/>
      <c r="F466" s="104"/>
      <c r="G466" s="104"/>
      <c r="H466" s="104"/>
      <c r="I466" s="104"/>
      <c r="J466" s="104"/>
      <c r="K466" s="105"/>
      <c r="L466" s="106"/>
      <c r="M466" s="104"/>
      <c r="N466" s="104"/>
      <c r="O466" s="104"/>
      <c r="P466" s="104"/>
      <c r="Q466" s="104"/>
      <c r="R466" s="106"/>
      <c r="S466" s="104"/>
      <c r="T466" s="104"/>
      <c r="U466" s="104"/>
      <c r="V466" s="104"/>
      <c r="W466" s="105"/>
      <c r="X466" s="104"/>
      <c r="Y466" s="104"/>
      <c r="Z466" s="104"/>
      <c r="AA466" s="104"/>
      <c r="AB466" s="104"/>
      <c r="AC466" s="104"/>
      <c r="AD466" s="104"/>
      <c r="AE466" s="104"/>
      <c r="AF466" s="104"/>
      <c r="AG466" s="104"/>
      <c r="AH466" s="104"/>
      <c r="AI466" s="104"/>
      <c r="AJ466" s="104"/>
      <c r="AK466" s="104"/>
      <c r="AL466" s="104"/>
      <c r="AM466" s="104"/>
      <c r="AN466" s="104"/>
      <c r="AO466" s="104"/>
      <c r="AP466" s="104"/>
      <c r="AQ466" s="104"/>
      <c r="AR466" s="104"/>
      <c r="AS466" s="104"/>
      <c r="AT466" s="104"/>
      <c r="AU466" s="104"/>
      <c r="AV466" s="104"/>
      <c r="AW466" s="104"/>
      <c r="AX466" s="104"/>
      <c r="AY466" s="104"/>
      <c r="AZ466" s="104"/>
      <c r="BA466" s="104"/>
      <c r="BB466" s="104"/>
      <c r="BC466" s="104"/>
      <c r="BD466" s="104"/>
      <c r="BE466" s="104"/>
      <c r="BF466" s="104"/>
      <c r="BG466" s="104"/>
      <c r="BH466" s="104"/>
      <c r="BI466" s="104"/>
      <c r="BJ466" s="104"/>
      <c r="BK466" s="104"/>
      <c r="BL466" s="104"/>
      <c r="BM466" s="104"/>
      <c r="BN466" s="104"/>
    </row>
    <row r="467">
      <c r="A467" s="104"/>
      <c r="B467" s="104"/>
      <c r="C467" s="104"/>
      <c r="D467" s="104"/>
      <c r="E467" s="104"/>
      <c r="F467" s="104"/>
      <c r="G467" s="104"/>
      <c r="H467" s="104"/>
      <c r="I467" s="104"/>
      <c r="J467" s="104"/>
      <c r="K467" s="105"/>
      <c r="L467" s="106"/>
      <c r="M467" s="104"/>
      <c r="N467" s="104"/>
      <c r="O467" s="104"/>
      <c r="P467" s="104"/>
      <c r="Q467" s="104"/>
      <c r="R467" s="106"/>
      <c r="S467" s="104"/>
      <c r="T467" s="104"/>
      <c r="U467" s="104"/>
      <c r="V467" s="104"/>
      <c r="W467" s="105"/>
      <c r="X467" s="104"/>
      <c r="Y467" s="104"/>
      <c r="Z467" s="104"/>
      <c r="AA467" s="104"/>
      <c r="AB467" s="104"/>
      <c r="AC467" s="104"/>
      <c r="AD467" s="104"/>
      <c r="AE467" s="104"/>
      <c r="AF467" s="104"/>
      <c r="AG467" s="104"/>
      <c r="AH467" s="104"/>
      <c r="AI467" s="104"/>
      <c r="AJ467" s="104"/>
      <c r="AK467" s="104"/>
      <c r="AL467" s="104"/>
      <c r="AM467" s="104"/>
      <c r="AN467" s="104"/>
      <c r="AO467" s="104"/>
      <c r="AP467" s="104"/>
      <c r="AQ467" s="104"/>
      <c r="AR467" s="104"/>
      <c r="AS467" s="104"/>
      <c r="AT467" s="104"/>
      <c r="AU467" s="104"/>
      <c r="AV467" s="104"/>
      <c r="AW467" s="104"/>
      <c r="AX467" s="104"/>
      <c r="AY467" s="104"/>
      <c r="AZ467" s="104"/>
      <c r="BA467" s="104"/>
      <c r="BB467" s="104"/>
      <c r="BC467" s="104"/>
      <c r="BD467" s="104"/>
      <c r="BE467" s="104"/>
      <c r="BF467" s="104"/>
      <c r="BG467" s="104"/>
      <c r="BH467" s="104"/>
      <c r="BI467" s="104"/>
      <c r="BJ467" s="104"/>
      <c r="BK467" s="104"/>
      <c r="BL467" s="104"/>
      <c r="BM467" s="104"/>
      <c r="BN467" s="104"/>
    </row>
    <row r="468">
      <c r="A468" s="104"/>
      <c r="B468" s="104"/>
      <c r="C468" s="104"/>
      <c r="D468" s="104"/>
      <c r="E468" s="104"/>
      <c r="F468" s="104"/>
      <c r="G468" s="104"/>
      <c r="H468" s="104"/>
      <c r="I468" s="104"/>
      <c r="J468" s="104"/>
      <c r="K468" s="105"/>
      <c r="L468" s="106"/>
      <c r="M468" s="104"/>
      <c r="N468" s="104"/>
      <c r="O468" s="104"/>
      <c r="P468" s="104"/>
      <c r="Q468" s="104"/>
      <c r="R468" s="106"/>
      <c r="S468" s="104"/>
      <c r="T468" s="104"/>
      <c r="U468" s="104"/>
      <c r="V468" s="104"/>
      <c r="W468" s="105"/>
      <c r="X468" s="104"/>
      <c r="Y468" s="104"/>
      <c r="Z468" s="104"/>
      <c r="AA468" s="104"/>
      <c r="AB468" s="104"/>
      <c r="AC468" s="104"/>
      <c r="AD468" s="104"/>
      <c r="AE468" s="104"/>
      <c r="AF468" s="104"/>
      <c r="AG468" s="104"/>
      <c r="AH468" s="104"/>
      <c r="AI468" s="104"/>
      <c r="AJ468" s="104"/>
      <c r="AK468" s="104"/>
      <c r="AL468" s="104"/>
      <c r="AM468" s="104"/>
      <c r="AN468" s="104"/>
      <c r="AO468" s="104"/>
      <c r="AP468" s="104"/>
      <c r="AQ468" s="104"/>
      <c r="AR468" s="104"/>
      <c r="AS468" s="104"/>
      <c r="AT468" s="104"/>
      <c r="AU468" s="104"/>
      <c r="AV468" s="104"/>
      <c r="AW468" s="104"/>
      <c r="AX468" s="104"/>
      <c r="AY468" s="104"/>
      <c r="AZ468" s="104"/>
      <c r="BA468" s="104"/>
      <c r="BB468" s="104"/>
      <c r="BC468" s="104"/>
      <c r="BD468" s="104"/>
      <c r="BE468" s="104"/>
      <c r="BF468" s="104"/>
      <c r="BG468" s="104"/>
      <c r="BH468" s="104"/>
      <c r="BI468" s="104"/>
      <c r="BJ468" s="104"/>
      <c r="BK468" s="104"/>
      <c r="BL468" s="104"/>
      <c r="BM468" s="104"/>
      <c r="BN468" s="104"/>
    </row>
    <row r="469">
      <c r="A469" s="104"/>
      <c r="B469" s="104"/>
      <c r="C469" s="104"/>
      <c r="D469" s="104"/>
      <c r="E469" s="104"/>
      <c r="F469" s="104"/>
      <c r="G469" s="104"/>
      <c r="H469" s="104"/>
      <c r="I469" s="104"/>
      <c r="J469" s="104"/>
      <c r="K469" s="105"/>
      <c r="L469" s="106"/>
      <c r="M469" s="104"/>
      <c r="N469" s="104"/>
      <c r="O469" s="104"/>
      <c r="P469" s="104"/>
      <c r="Q469" s="104"/>
      <c r="R469" s="106"/>
      <c r="S469" s="104"/>
      <c r="T469" s="104"/>
      <c r="U469" s="104"/>
      <c r="V469" s="104"/>
      <c r="W469" s="105"/>
      <c r="X469" s="104"/>
      <c r="Y469" s="104"/>
      <c r="Z469" s="104"/>
      <c r="AA469" s="104"/>
      <c r="AB469" s="104"/>
      <c r="AC469" s="104"/>
      <c r="AD469" s="104"/>
      <c r="AE469" s="104"/>
      <c r="AF469" s="104"/>
      <c r="AG469" s="104"/>
      <c r="AH469" s="104"/>
      <c r="AI469" s="104"/>
      <c r="AJ469" s="104"/>
      <c r="AK469" s="104"/>
      <c r="AL469" s="104"/>
      <c r="AM469" s="104"/>
      <c r="AN469" s="104"/>
      <c r="AO469" s="104"/>
      <c r="AP469" s="104"/>
      <c r="AQ469" s="104"/>
      <c r="AR469" s="104"/>
      <c r="AS469" s="104"/>
      <c r="AT469" s="104"/>
      <c r="AU469" s="104"/>
      <c r="AV469" s="104"/>
      <c r="AW469" s="104"/>
      <c r="AX469" s="104"/>
      <c r="AY469" s="104"/>
      <c r="AZ469" s="104"/>
      <c r="BA469" s="104"/>
      <c r="BB469" s="104"/>
      <c r="BC469" s="104"/>
      <c r="BD469" s="104"/>
      <c r="BE469" s="104"/>
      <c r="BF469" s="104"/>
      <c r="BG469" s="104"/>
      <c r="BH469" s="104"/>
      <c r="BI469" s="104"/>
      <c r="BJ469" s="104"/>
      <c r="BK469" s="104"/>
      <c r="BL469" s="104"/>
      <c r="BM469" s="104"/>
      <c r="BN469" s="104"/>
    </row>
    <row r="470">
      <c r="A470" s="104"/>
      <c r="B470" s="104"/>
      <c r="C470" s="104"/>
      <c r="D470" s="104"/>
      <c r="E470" s="104"/>
      <c r="F470" s="104"/>
      <c r="G470" s="104"/>
      <c r="H470" s="104"/>
      <c r="I470" s="104"/>
      <c r="J470" s="104"/>
      <c r="K470" s="105"/>
      <c r="L470" s="106"/>
      <c r="M470" s="104"/>
      <c r="N470" s="104"/>
      <c r="O470" s="104"/>
      <c r="P470" s="104"/>
      <c r="Q470" s="104"/>
      <c r="R470" s="106"/>
      <c r="S470" s="104"/>
      <c r="T470" s="104"/>
      <c r="U470" s="104"/>
      <c r="V470" s="104"/>
      <c r="W470" s="105"/>
      <c r="X470" s="104"/>
      <c r="Y470" s="104"/>
      <c r="Z470" s="104"/>
      <c r="AA470" s="104"/>
      <c r="AB470" s="104"/>
      <c r="AC470" s="104"/>
      <c r="AD470" s="104"/>
      <c r="AE470" s="104"/>
      <c r="AF470" s="104"/>
      <c r="AG470" s="104"/>
      <c r="AH470" s="104"/>
      <c r="AI470" s="104"/>
      <c r="AJ470" s="104"/>
      <c r="AK470" s="104"/>
      <c r="AL470" s="104"/>
      <c r="AM470" s="104"/>
      <c r="AN470" s="104"/>
      <c r="AO470" s="104"/>
      <c r="AP470" s="104"/>
      <c r="AQ470" s="104"/>
      <c r="AR470" s="104"/>
      <c r="AS470" s="104"/>
      <c r="AT470" s="104"/>
      <c r="AU470" s="104"/>
      <c r="AV470" s="104"/>
      <c r="AW470" s="104"/>
      <c r="AX470" s="104"/>
      <c r="AY470" s="104"/>
      <c r="AZ470" s="104"/>
      <c r="BA470" s="104"/>
      <c r="BB470" s="104"/>
      <c r="BC470" s="104"/>
      <c r="BD470" s="104"/>
      <c r="BE470" s="104"/>
      <c r="BF470" s="104"/>
      <c r="BG470" s="104"/>
      <c r="BH470" s="104"/>
      <c r="BI470" s="104"/>
      <c r="BJ470" s="104"/>
      <c r="BK470" s="104"/>
      <c r="BL470" s="104"/>
      <c r="BM470" s="104"/>
      <c r="BN470" s="104"/>
    </row>
    <row r="471">
      <c r="A471" s="104"/>
      <c r="B471" s="104"/>
      <c r="C471" s="104"/>
      <c r="D471" s="104"/>
      <c r="E471" s="104"/>
      <c r="F471" s="104"/>
      <c r="G471" s="104"/>
      <c r="H471" s="104"/>
      <c r="I471" s="104"/>
      <c r="J471" s="104"/>
      <c r="K471" s="105"/>
      <c r="L471" s="106"/>
      <c r="M471" s="104"/>
      <c r="N471" s="104"/>
      <c r="O471" s="104"/>
      <c r="P471" s="104"/>
      <c r="Q471" s="104"/>
      <c r="R471" s="106"/>
      <c r="S471" s="104"/>
      <c r="T471" s="104"/>
      <c r="U471" s="104"/>
      <c r="V471" s="104"/>
      <c r="W471" s="105"/>
      <c r="X471" s="104"/>
      <c r="Y471" s="104"/>
      <c r="Z471" s="104"/>
      <c r="AA471" s="104"/>
      <c r="AB471" s="104"/>
      <c r="AC471" s="104"/>
      <c r="AD471" s="104"/>
      <c r="AE471" s="104"/>
      <c r="AF471" s="104"/>
      <c r="AG471" s="104"/>
      <c r="AH471" s="104"/>
      <c r="AI471" s="104"/>
      <c r="AJ471" s="104"/>
      <c r="AK471" s="104"/>
      <c r="AL471" s="104"/>
      <c r="AM471" s="104"/>
      <c r="AN471" s="104"/>
      <c r="AO471" s="104"/>
      <c r="AP471" s="104"/>
      <c r="AQ471" s="104"/>
      <c r="AR471" s="104"/>
      <c r="AS471" s="104"/>
      <c r="AT471" s="104"/>
      <c r="AU471" s="104"/>
      <c r="AV471" s="104"/>
      <c r="AW471" s="104"/>
      <c r="AX471" s="104"/>
      <c r="AY471" s="104"/>
      <c r="AZ471" s="104"/>
      <c r="BA471" s="104"/>
      <c r="BB471" s="104"/>
      <c r="BC471" s="104"/>
      <c r="BD471" s="104"/>
      <c r="BE471" s="104"/>
      <c r="BF471" s="104"/>
      <c r="BG471" s="104"/>
      <c r="BH471" s="104"/>
      <c r="BI471" s="104"/>
      <c r="BJ471" s="104"/>
      <c r="BK471" s="104"/>
      <c r="BL471" s="104"/>
      <c r="BM471" s="104"/>
      <c r="BN471" s="104"/>
    </row>
    <row r="472">
      <c r="A472" s="104"/>
      <c r="B472" s="104"/>
      <c r="C472" s="104"/>
      <c r="D472" s="104"/>
      <c r="E472" s="104"/>
      <c r="F472" s="104"/>
      <c r="G472" s="104"/>
      <c r="H472" s="104"/>
      <c r="I472" s="104"/>
      <c r="J472" s="104"/>
      <c r="K472" s="105"/>
      <c r="L472" s="106"/>
      <c r="M472" s="104"/>
      <c r="N472" s="104"/>
      <c r="O472" s="104"/>
      <c r="P472" s="104"/>
      <c r="Q472" s="104"/>
      <c r="R472" s="106"/>
      <c r="S472" s="104"/>
      <c r="T472" s="104"/>
      <c r="U472" s="104"/>
      <c r="V472" s="104"/>
      <c r="W472" s="105"/>
      <c r="X472" s="104"/>
      <c r="Y472" s="104"/>
      <c r="Z472" s="104"/>
      <c r="AA472" s="104"/>
      <c r="AB472" s="104"/>
      <c r="AC472" s="104"/>
      <c r="AD472" s="104"/>
      <c r="AE472" s="104"/>
      <c r="AF472" s="104"/>
      <c r="AG472" s="104"/>
      <c r="AH472" s="104"/>
      <c r="AI472" s="104"/>
      <c r="AJ472" s="104"/>
      <c r="AK472" s="104"/>
      <c r="AL472" s="104"/>
      <c r="AM472" s="104"/>
      <c r="AN472" s="104"/>
      <c r="AO472" s="104"/>
      <c r="AP472" s="104"/>
      <c r="AQ472" s="104"/>
      <c r="AR472" s="104"/>
      <c r="AS472" s="104"/>
      <c r="AT472" s="104"/>
      <c r="AU472" s="104"/>
      <c r="AV472" s="104"/>
      <c r="AW472" s="104"/>
      <c r="AX472" s="104"/>
      <c r="AY472" s="104"/>
      <c r="AZ472" s="104"/>
      <c r="BA472" s="104"/>
      <c r="BB472" s="104"/>
      <c r="BC472" s="104"/>
      <c r="BD472" s="104"/>
      <c r="BE472" s="104"/>
      <c r="BF472" s="104"/>
      <c r="BG472" s="104"/>
      <c r="BH472" s="104"/>
      <c r="BI472" s="104"/>
      <c r="BJ472" s="104"/>
      <c r="BK472" s="104"/>
      <c r="BL472" s="104"/>
      <c r="BM472" s="104"/>
      <c r="BN472" s="104"/>
    </row>
    <row r="473">
      <c r="A473" s="104"/>
      <c r="B473" s="104"/>
      <c r="C473" s="104"/>
      <c r="D473" s="104"/>
      <c r="E473" s="104"/>
      <c r="F473" s="104"/>
      <c r="G473" s="104"/>
      <c r="H473" s="104"/>
      <c r="I473" s="104"/>
      <c r="J473" s="104"/>
      <c r="K473" s="105"/>
      <c r="L473" s="106"/>
      <c r="M473" s="104"/>
      <c r="N473" s="104"/>
      <c r="O473" s="104"/>
      <c r="P473" s="104"/>
      <c r="Q473" s="104"/>
      <c r="R473" s="106"/>
      <c r="S473" s="104"/>
      <c r="T473" s="104"/>
      <c r="U473" s="104"/>
      <c r="V473" s="104"/>
      <c r="W473" s="105"/>
      <c r="X473" s="104"/>
      <c r="Y473" s="104"/>
      <c r="Z473" s="104"/>
      <c r="AA473" s="104"/>
      <c r="AB473" s="104"/>
      <c r="AC473" s="104"/>
      <c r="AD473" s="104"/>
      <c r="AE473" s="104"/>
      <c r="AF473" s="104"/>
      <c r="AG473" s="104"/>
      <c r="AH473" s="104"/>
      <c r="AI473" s="104"/>
      <c r="AJ473" s="104"/>
      <c r="AK473" s="104"/>
      <c r="AL473" s="104"/>
      <c r="AM473" s="104"/>
      <c r="AN473" s="104"/>
      <c r="AO473" s="104"/>
      <c r="AP473" s="104"/>
      <c r="AQ473" s="104"/>
      <c r="AR473" s="104"/>
      <c r="AS473" s="104"/>
      <c r="AT473" s="104"/>
      <c r="AU473" s="104"/>
      <c r="AV473" s="104"/>
      <c r="AW473" s="104"/>
      <c r="AX473" s="104"/>
      <c r="AY473" s="104"/>
      <c r="AZ473" s="104"/>
      <c r="BA473" s="104"/>
      <c r="BB473" s="104"/>
      <c r="BC473" s="104"/>
      <c r="BD473" s="104"/>
      <c r="BE473" s="104"/>
      <c r="BF473" s="104"/>
      <c r="BG473" s="104"/>
      <c r="BH473" s="104"/>
      <c r="BI473" s="104"/>
      <c r="BJ473" s="104"/>
      <c r="BK473" s="104"/>
      <c r="BL473" s="104"/>
      <c r="BM473" s="104"/>
      <c r="BN473" s="104"/>
    </row>
    <row r="474">
      <c r="A474" s="104"/>
      <c r="B474" s="104"/>
      <c r="C474" s="104"/>
      <c r="D474" s="104"/>
      <c r="E474" s="104"/>
      <c r="F474" s="104"/>
      <c r="G474" s="104"/>
      <c r="H474" s="104"/>
      <c r="I474" s="104"/>
      <c r="J474" s="104"/>
      <c r="K474" s="105"/>
      <c r="L474" s="106"/>
      <c r="M474" s="104"/>
      <c r="N474" s="104"/>
      <c r="O474" s="104"/>
      <c r="P474" s="104"/>
      <c r="Q474" s="104"/>
      <c r="R474" s="106"/>
      <c r="S474" s="104"/>
      <c r="T474" s="104"/>
      <c r="U474" s="104"/>
      <c r="V474" s="104"/>
      <c r="W474" s="105"/>
      <c r="X474" s="104"/>
      <c r="Y474" s="104"/>
      <c r="Z474" s="104"/>
      <c r="AA474" s="104"/>
      <c r="AB474" s="104"/>
      <c r="AC474" s="104"/>
      <c r="AD474" s="104"/>
      <c r="AE474" s="104"/>
      <c r="AF474" s="104"/>
      <c r="AG474" s="104"/>
      <c r="AH474" s="104"/>
      <c r="AI474" s="104"/>
      <c r="AJ474" s="104"/>
      <c r="AK474" s="104"/>
      <c r="AL474" s="104"/>
      <c r="AM474" s="104"/>
      <c r="AN474" s="104"/>
      <c r="AO474" s="104"/>
      <c r="AP474" s="104"/>
      <c r="AQ474" s="104"/>
      <c r="AR474" s="104"/>
      <c r="AS474" s="104"/>
      <c r="AT474" s="104"/>
      <c r="AU474" s="104"/>
      <c r="AV474" s="104"/>
      <c r="AW474" s="104"/>
      <c r="AX474" s="104"/>
      <c r="AY474" s="104"/>
      <c r="AZ474" s="104"/>
      <c r="BA474" s="104"/>
      <c r="BB474" s="104"/>
      <c r="BC474" s="104"/>
      <c r="BD474" s="104"/>
      <c r="BE474" s="104"/>
      <c r="BF474" s="104"/>
      <c r="BG474" s="104"/>
      <c r="BH474" s="104"/>
      <c r="BI474" s="104"/>
      <c r="BJ474" s="104"/>
      <c r="BK474" s="104"/>
      <c r="BL474" s="104"/>
      <c r="BM474" s="104"/>
      <c r="BN474" s="104"/>
    </row>
    <row r="475">
      <c r="A475" s="104"/>
      <c r="B475" s="104"/>
      <c r="C475" s="104"/>
      <c r="D475" s="104"/>
      <c r="E475" s="104"/>
      <c r="F475" s="104"/>
      <c r="G475" s="104"/>
      <c r="H475" s="104"/>
      <c r="I475" s="104"/>
      <c r="J475" s="104"/>
      <c r="K475" s="105"/>
      <c r="L475" s="106"/>
      <c r="M475" s="104"/>
      <c r="N475" s="104"/>
      <c r="O475" s="104"/>
      <c r="P475" s="104"/>
      <c r="Q475" s="104"/>
      <c r="R475" s="106"/>
      <c r="S475" s="104"/>
      <c r="T475" s="104"/>
      <c r="U475" s="104"/>
      <c r="V475" s="104"/>
      <c r="W475" s="105"/>
      <c r="X475" s="104"/>
      <c r="Y475" s="104"/>
      <c r="Z475" s="104"/>
      <c r="AA475" s="104"/>
      <c r="AB475" s="104"/>
      <c r="AC475" s="104"/>
      <c r="AD475" s="104"/>
      <c r="AE475" s="104"/>
      <c r="AF475" s="104"/>
      <c r="AG475" s="104"/>
      <c r="AH475" s="104"/>
      <c r="AI475" s="104"/>
      <c r="AJ475" s="104"/>
      <c r="AK475" s="104"/>
      <c r="AL475" s="104"/>
      <c r="AM475" s="104"/>
      <c r="AN475" s="104"/>
      <c r="AO475" s="104"/>
      <c r="AP475" s="104"/>
      <c r="AQ475" s="104"/>
      <c r="AR475" s="104"/>
      <c r="AS475" s="104"/>
      <c r="AT475" s="104"/>
      <c r="AU475" s="104"/>
      <c r="AV475" s="104"/>
      <c r="AW475" s="104"/>
      <c r="AX475" s="104"/>
      <c r="AY475" s="104"/>
      <c r="AZ475" s="104"/>
      <c r="BA475" s="104"/>
      <c r="BB475" s="104"/>
      <c r="BC475" s="104"/>
      <c r="BD475" s="104"/>
      <c r="BE475" s="104"/>
      <c r="BF475" s="104"/>
      <c r="BG475" s="104"/>
      <c r="BH475" s="104"/>
      <c r="BI475" s="104"/>
      <c r="BJ475" s="104"/>
      <c r="BK475" s="104"/>
      <c r="BL475" s="104"/>
      <c r="BM475" s="104"/>
      <c r="BN475" s="104"/>
    </row>
    <row r="476">
      <c r="A476" s="104"/>
      <c r="B476" s="104"/>
      <c r="C476" s="104"/>
      <c r="D476" s="104"/>
      <c r="E476" s="104"/>
      <c r="F476" s="104"/>
      <c r="G476" s="104"/>
      <c r="H476" s="104"/>
      <c r="I476" s="104"/>
      <c r="J476" s="104"/>
      <c r="K476" s="105"/>
      <c r="L476" s="106"/>
      <c r="M476" s="104"/>
      <c r="N476" s="104"/>
      <c r="O476" s="104"/>
      <c r="P476" s="104"/>
      <c r="Q476" s="104"/>
      <c r="R476" s="106"/>
      <c r="S476" s="104"/>
      <c r="T476" s="104"/>
      <c r="U476" s="104"/>
      <c r="V476" s="104"/>
      <c r="W476" s="105"/>
      <c r="X476" s="104"/>
      <c r="Y476" s="104"/>
      <c r="Z476" s="104"/>
      <c r="AA476" s="104"/>
      <c r="AB476" s="104"/>
      <c r="AC476" s="104"/>
      <c r="AD476" s="104"/>
      <c r="AE476" s="104"/>
      <c r="AF476" s="104"/>
      <c r="AG476" s="104"/>
      <c r="AH476" s="104"/>
      <c r="AI476" s="104"/>
      <c r="AJ476" s="104"/>
      <c r="AK476" s="104"/>
      <c r="AL476" s="104"/>
      <c r="AM476" s="104"/>
      <c r="AN476" s="104"/>
      <c r="AO476" s="104"/>
      <c r="AP476" s="104"/>
      <c r="AQ476" s="104"/>
      <c r="AR476" s="104"/>
      <c r="AS476" s="104"/>
      <c r="AT476" s="104"/>
      <c r="AU476" s="104"/>
      <c r="AV476" s="104"/>
      <c r="AW476" s="104"/>
      <c r="AX476" s="104"/>
      <c r="AY476" s="104"/>
      <c r="AZ476" s="104"/>
      <c r="BA476" s="104"/>
      <c r="BB476" s="104"/>
      <c r="BC476" s="104"/>
      <c r="BD476" s="104"/>
      <c r="BE476" s="104"/>
      <c r="BF476" s="104"/>
      <c r="BG476" s="104"/>
      <c r="BH476" s="104"/>
      <c r="BI476" s="104"/>
      <c r="BJ476" s="104"/>
      <c r="BK476" s="104"/>
      <c r="BL476" s="104"/>
      <c r="BM476" s="104"/>
      <c r="BN476" s="104"/>
    </row>
    <row r="477">
      <c r="A477" s="104"/>
      <c r="B477" s="104"/>
      <c r="C477" s="104"/>
      <c r="D477" s="104"/>
      <c r="E477" s="104"/>
      <c r="F477" s="104"/>
      <c r="G477" s="104"/>
      <c r="H477" s="104"/>
      <c r="I477" s="104"/>
      <c r="J477" s="104"/>
      <c r="K477" s="105"/>
      <c r="L477" s="106"/>
      <c r="M477" s="104"/>
      <c r="N477" s="104"/>
      <c r="O477" s="104"/>
      <c r="P477" s="104"/>
      <c r="Q477" s="104"/>
      <c r="R477" s="106"/>
      <c r="S477" s="104"/>
      <c r="T477" s="104"/>
      <c r="U477" s="104"/>
      <c r="V477" s="104"/>
      <c r="W477" s="105"/>
      <c r="X477" s="104"/>
      <c r="Y477" s="104"/>
      <c r="Z477" s="104"/>
      <c r="AA477" s="104"/>
      <c r="AB477" s="104"/>
      <c r="AC477" s="104"/>
      <c r="AD477" s="104"/>
      <c r="AE477" s="104"/>
      <c r="AF477" s="104"/>
      <c r="AG477" s="104"/>
      <c r="AH477" s="104"/>
      <c r="AI477" s="104"/>
      <c r="AJ477" s="104"/>
      <c r="AK477" s="104"/>
      <c r="AL477" s="104"/>
      <c r="AM477" s="104"/>
      <c r="AN477" s="104"/>
      <c r="AO477" s="104"/>
      <c r="AP477" s="104"/>
      <c r="AQ477" s="104"/>
      <c r="AR477" s="104"/>
      <c r="AS477" s="104"/>
      <c r="AT477" s="104"/>
      <c r="AU477" s="104"/>
      <c r="AV477" s="104"/>
      <c r="AW477" s="104"/>
      <c r="AX477" s="104"/>
      <c r="AY477" s="104"/>
      <c r="AZ477" s="104"/>
      <c r="BA477" s="104"/>
      <c r="BB477" s="104"/>
      <c r="BC477" s="104"/>
      <c r="BD477" s="104"/>
      <c r="BE477" s="104"/>
      <c r="BF477" s="104"/>
      <c r="BG477" s="104"/>
      <c r="BH477" s="104"/>
      <c r="BI477" s="104"/>
      <c r="BJ477" s="104"/>
      <c r="BK477" s="104"/>
      <c r="BL477" s="104"/>
      <c r="BM477" s="104"/>
      <c r="BN477" s="104"/>
    </row>
    <row r="478">
      <c r="A478" s="104"/>
      <c r="B478" s="104"/>
      <c r="C478" s="104"/>
      <c r="D478" s="104"/>
      <c r="E478" s="104"/>
      <c r="F478" s="104"/>
      <c r="G478" s="104"/>
      <c r="H478" s="104"/>
      <c r="I478" s="104"/>
      <c r="J478" s="104"/>
      <c r="K478" s="105"/>
      <c r="L478" s="106"/>
      <c r="M478" s="104"/>
      <c r="N478" s="104"/>
      <c r="O478" s="104"/>
      <c r="P478" s="104"/>
      <c r="Q478" s="104"/>
      <c r="R478" s="106"/>
      <c r="S478" s="104"/>
      <c r="T478" s="104"/>
      <c r="U478" s="104"/>
      <c r="V478" s="104"/>
      <c r="W478" s="105"/>
      <c r="X478" s="104"/>
      <c r="Y478" s="104"/>
      <c r="Z478" s="104"/>
      <c r="AA478" s="104"/>
      <c r="AB478" s="104"/>
      <c r="AC478" s="104"/>
      <c r="AD478" s="104"/>
      <c r="AE478" s="104"/>
      <c r="AF478" s="104"/>
      <c r="AG478" s="104"/>
      <c r="AH478" s="104"/>
      <c r="AI478" s="104"/>
      <c r="AJ478" s="104"/>
      <c r="AK478" s="104"/>
      <c r="AL478" s="104"/>
      <c r="AM478" s="104"/>
      <c r="AN478" s="104"/>
      <c r="AO478" s="104"/>
      <c r="AP478" s="104"/>
      <c r="AQ478" s="104"/>
      <c r="AR478" s="104"/>
      <c r="AS478" s="104"/>
      <c r="AT478" s="104"/>
      <c r="AU478" s="104"/>
      <c r="AV478" s="104"/>
      <c r="AW478" s="104"/>
      <c r="AX478" s="104"/>
      <c r="AY478" s="104"/>
      <c r="AZ478" s="104"/>
      <c r="BA478" s="104"/>
      <c r="BB478" s="104"/>
      <c r="BC478" s="104"/>
      <c r="BD478" s="104"/>
      <c r="BE478" s="104"/>
      <c r="BF478" s="104"/>
      <c r="BG478" s="104"/>
      <c r="BH478" s="104"/>
      <c r="BI478" s="104"/>
      <c r="BJ478" s="104"/>
      <c r="BK478" s="104"/>
      <c r="BL478" s="104"/>
      <c r="BM478" s="104"/>
      <c r="BN478" s="104"/>
    </row>
    <row r="479">
      <c r="A479" s="104"/>
      <c r="B479" s="104"/>
      <c r="C479" s="104"/>
      <c r="D479" s="104"/>
      <c r="E479" s="104"/>
      <c r="F479" s="104"/>
      <c r="G479" s="104"/>
      <c r="H479" s="104"/>
      <c r="I479" s="104"/>
      <c r="J479" s="104"/>
      <c r="K479" s="105"/>
      <c r="L479" s="106"/>
      <c r="M479" s="104"/>
      <c r="N479" s="104"/>
      <c r="O479" s="104"/>
      <c r="P479" s="104"/>
      <c r="Q479" s="104"/>
      <c r="R479" s="106"/>
      <c r="S479" s="104"/>
      <c r="T479" s="104"/>
      <c r="U479" s="104"/>
      <c r="V479" s="104"/>
      <c r="W479" s="105"/>
      <c r="X479" s="104"/>
      <c r="Y479" s="104"/>
      <c r="Z479" s="104"/>
      <c r="AA479" s="104"/>
      <c r="AB479" s="104"/>
      <c r="AC479" s="104"/>
      <c r="AD479" s="104"/>
      <c r="AE479" s="104"/>
      <c r="AF479" s="104"/>
      <c r="AG479" s="104"/>
      <c r="AH479" s="104"/>
      <c r="AI479" s="104"/>
      <c r="AJ479" s="104"/>
      <c r="AK479" s="104"/>
      <c r="AL479" s="104"/>
      <c r="AM479" s="104"/>
      <c r="AN479" s="104"/>
      <c r="AO479" s="104"/>
      <c r="AP479" s="104"/>
      <c r="AQ479" s="104"/>
      <c r="AR479" s="104"/>
      <c r="AS479" s="104"/>
      <c r="AT479" s="104"/>
      <c r="AU479" s="104"/>
      <c r="AV479" s="104"/>
      <c r="AW479" s="104"/>
      <c r="AX479" s="104"/>
      <c r="AY479" s="104"/>
      <c r="AZ479" s="104"/>
      <c r="BA479" s="104"/>
      <c r="BB479" s="104"/>
      <c r="BC479" s="104"/>
      <c r="BD479" s="104"/>
      <c r="BE479" s="104"/>
      <c r="BF479" s="104"/>
      <c r="BG479" s="104"/>
      <c r="BH479" s="104"/>
      <c r="BI479" s="104"/>
      <c r="BJ479" s="104"/>
      <c r="BK479" s="104"/>
      <c r="BL479" s="104"/>
      <c r="BM479" s="104"/>
      <c r="BN479" s="104"/>
    </row>
    <row r="480">
      <c r="A480" s="104"/>
      <c r="B480" s="104"/>
      <c r="C480" s="104"/>
      <c r="D480" s="104"/>
      <c r="E480" s="104"/>
      <c r="F480" s="104"/>
      <c r="G480" s="104"/>
      <c r="H480" s="104"/>
      <c r="I480" s="104"/>
      <c r="J480" s="104"/>
      <c r="K480" s="105"/>
      <c r="L480" s="106"/>
      <c r="M480" s="104"/>
      <c r="N480" s="104"/>
      <c r="O480" s="104"/>
      <c r="P480" s="104"/>
      <c r="Q480" s="104"/>
      <c r="R480" s="106"/>
      <c r="S480" s="104"/>
      <c r="T480" s="104"/>
      <c r="U480" s="104"/>
      <c r="V480" s="104"/>
      <c r="W480" s="105"/>
      <c r="X480" s="104"/>
      <c r="Y480" s="104"/>
      <c r="Z480" s="104"/>
      <c r="AA480" s="104"/>
      <c r="AB480" s="104"/>
      <c r="AC480" s="104"/>
      <c r="AD480" s="104"/>
      <c r="AE480" s="104"/>
      <c r="AF480" s="104"/>
      <c r="AG480" s="104"/>
      <c r="AH480" s="104"/>
      <c r="AI480" s="104"/>
      <c r="AJ480" s="104"/>
      <c r="AK480" s="104"/>
      <c r="AL480" s="104"/>
      <c r="AM480" s="104"/>
      <c r="AN480" s="104"/>
      <c r="AO480" s="104"/>
      <c r="AP480" s="104"/>
      <c r="AQ480" s="104"/>
      <c r="AR480" s="104"/>
      <c r="AS480" s="104"/>
      <c r="AT480" s="104"/>
      <c r="AU480" s="104"/>
      <c r="AV480" s="104"/>
      <c r="AW480" s="104"/>
      <c r="AX480" s="104"/>
      <c r="AY480" s="104"/>
      <c r="AZ480" s="104"/>
      <c r="BA480" s="104"/>
      <c r="BB480" s="104"/>
      <c r="BC480" s="104"/>
      <c r="BD480" s="104"/>
      <c r="BE480" s="104"/>
      <c r="BF480" s="104"/>
      <c r="BG480" s="104"/>
      <c r="BH480" s="104"/>
      <c r="BI480" s="104"/>
      <c r="BJ480" s="104"/>
      <c r="BK480" s="104"/>
      <c r="BL480" s="104"/>
      <c r="BM480" s="104"/>
      <c r="BN480" s="104"/>
    </row>
    <row r="481">
      <c r="A481" s="104"/>
      <c r="B481" s="104"/>
      <c r="C481" s="104"/>
      <c r="D481" s="104"/>
      <c r="E481" s="104"/>
      <c r="F481" s="104"/>
      <c r="G481" s="104"/>
      <c r="H481" s="104"/>
      <c r="I481" s="104"/>
      <c r="J481" s="104"/>
      <c r="K481" s="105"/>
      <c r="L481" s="106"/>
      <c r="M481" s="104"/>
      <c r="N481" s="104"/>
      <c r="O481" s="104"/>
      <c r="P481" s="104"/>
      <c r="Q481" s="104"/>
      <c r="R481" s="106"/>
      <c r="S481" s="104"/>
      <c r="T481" s="104"/>
      <c r="U481" s="104"/>
      <c r="V481" s="104"/>
      <c r="W481" s="105"/>
      <c r="X481" s="104"/>
      <c r="Y481" s="104"/>
      <c r="Z481" s="104"/>
      <c r="AA481" s="104"/>
      <c r="AB481" s="104"/>
      <c r="AC481" s="104"/>
      <c r="AD481" s="104"/>
      <c r="AE481" s="104"/>
      <c r="AF481" s="104"/>
      <c r="AG481" s="104"/>
      <c r="AH481" s="104"/>
      <c r="AI481" s="104"/>
      <c r="AJ481" s="104"/>
      <c r="AK481" s="104"/>
      <c r="AL481" s="104"/>
      <c r="AM481" s="104"/>
      <c r="AN481" s="104"/>
      <c r="AO481" s="104"/>
      <c r="AP481" s="104"/>
      <c r="AQ481" s="104"/>
      <c r="AR481" s="104"/>
      <c r="AS481" s="104"/>
      <c r="AT481" s="104"/>
      <c r="AU481" s="104"/>
      <c r="AV481" s="104"/>
      <c r="AW481" s="104"/>
      <c r="AX481" s="104"/>
      <c r="AY481" s="104"/>
      <c r="AZ481" s="104"/>
      <c r="BA481" s="104"/>
      <c r="BB481" s="104"/>
      <c r="BC481" s="104"/>
      <c r="BD481" s="104"/>
      <c r="BE481" s="104"/>
      <c r="BF481" s="104"/>
      <c r="BG481" s="104"/>
      <c r="BH481" s="104"/>
      <c r="BI481" s="104"/>
      <c r="BJ481" s="104"/>
      <c r="BK481" s="104"/>
      <c r="BL481" s="104"/>
      <c r="BM481" s="104"/>
      <c r="BN481" s="104"/>
    </row>
    <row r="482">
      <c r="A482" s="104"/>
      <c r="B482" s="104"/>
      <c r="C482" s="104"/>
      <c r="D482" s="104"/>
      <c r="E482" s="104"/>
      <c r="F482" s="104"/>
      <c r="G482" s="104"/>
      <c r="H482" s="104"/>
      <c r="I482" s="104"/>
      <c r="J482" s="104"/>
      <c r="K482" s="105"/>
      <c r="L482" s="106"/>
      <c r="M482" s="104"/>
      <c r="N482" s="104"/>
      <c r="O482" s="104"/>
      <c r="P482" s="104"/>
      <c r="Q482" s="104"/>
      <c r="R482" s="106"/>
      <c r="S482" s="104"/>
      <c r="T482" s="104"/>
      <c r="U482" s="104"/>
      <c r="V482" s="104"/>
      <c r="W482" s="105"/>
      <c r="X482" s="104"/>
      <c r="Y482" s="104"/>
      <c r="Z482" s="104"/>
      <c r="AA482" s="104"/>
      <c r="AB482" s="104"/>
      <c r="AC482" s="104"/>
      <c r="AD482" s="104"/>
      <c r="AE482" s="104"/>
      <c r="AF482" s="104"/>
      <c r="AG482" s="104"/>
      <c r="AH482" s="104"/>
      <c r="AI482" s="104"/>
      <c r="AJ482" s="104"/>
      <c r="AK482" s="104"/>
      <c r="AL482" s="104"/>
      <c r="AM482" s="104"/>
      <c r="AN482" s="104"/>
      <c r="AO482" s="104"/>
      <c r="AP482" s="104"/>
      <c r="AQ482" s="104"/>
      <c r="AR482" s="104"/>
      <c r="AS482" s="104"/>
      <c r="AT482" s="104"/>
      <c r="AU482" s="104"/>
      <c r="AV482" s="104"/>
      <c r="AW482" s="104"/>
      <c r="AX482" s="104"/>
      <c r="AY482" s="104"/>
      <c r="AZ482" s="104"/>
      <c r="BA482" s="104"/>
      <c r="BB482" s="104"/>
      <c r="BC482" s="104"/>
      <c r="BD482" s="104"/>
      <c r="BE482" s="104"/>
      <c r="BF482" s="104"/>
      <c r="BG482" s="104"/>
      <c r="BH482" s="104"/>
      <c r="BI482" s="104"/>
      <c r="BJ482" s="104"/>
      <c r="BK482" s="104"/>
      <c r="BL482" s="104"/>
      <c r="BM482" s="104"/>
      <c r="BN482" s="104"/>
    </row>
    <row r="483">
      <c r="A483" s="104"/>
      <c r="B483" s="104"/>
      <c r="C483" s="104"/>
      <c r="D483" s="104"/>
      <c r="E483" s="104"/>
      <c r="F483" s="104"/>
      <c r="G483" s="104"/>
      <c r="H483" s="104"/>
      <c r="I483" s="104"/>
      <c r="J483" s="104"/>
      <c r="K483" s="105"/>
      <c r="L483" s="106"/>
      <c r="M483" s="104"/>
      <c r="N483" s="104"/>
      <c r="O483" s="104"/>
      <c r="P483" s="104"/>
      <c r="Q483" s="104"/>
      <c r="R483" s="106"/>
      <c r="S483" s="104"/>
      <c r="T483" s="104"/>
      <c r="U483" s="104"/>
      <c r="V483" s="104"/>
      <c r="W483" s="105"/>
      <c r="X483" s="104"/>
      <c r="Y483" s="104"/>
      <c r="Z483" s="104"/>
      <c r="AA483" s="104"/>
      <c r="AB483" s="104"/>
      <c r="AC483" s="104"/>
      <c r="AD483" s="104"/>
      <c r="AE483" s="104"/>
      <c r="AF483" s="104"/>
      <c r="AG483" s="104"/>
      <c r="AH483" s="104"/>
      <c r="AI483" s="104"/>
      <c r="AJ483" s="104"/>
      <c r="AK483" s="104"/>
      <c r="AL483" s="104"/>
      <c r="AM483" s="104"/>
      <c r="AN483" s="104"/>
      <c r="AO483" s="104"/>
      <c r="AP483" s="104"/>
      <c r="AQ483" s="104"/>
      <c r="AR483" s="104"/>
      <c r="AS483" s="104"/>
      <c r="AT483" s="104"/>
      <c r="AU483" s="104"/>
      <c r="AV483" s="104"/>
      <c r="AW483" s="104"/>
      <c r="AX483" s="104"/>
      <c r="AY483" s="104"/>
      <c r="AZ483" s="104"/>
      <c r="BA483" s="104"/>
      <c r="BB483" s="104"/>
      <c r="BC483" s="104"/>
      <c r="BD483" s="104"/>
      <c r="BE483" s="104"/>
      <c r="BF483" s="104"/>
      <c r="BG483" s="104"/>
      <c r="BH483" s="104"/>
      <c r="BI483" s="104"/>
      <c r="BJ483" s="104"/>
      <c r="BK483" s="104"/>
      <c r="BL483" s="104"/>
      <c r="BM483" s="104"/>
      <c r="BN483" s="104"/>
    </row>
    <row r="484">
      <c r="A484" s="104"/>
      <c r="B484" s="104"/>
      <c r="C484" s="104"/>
      <c r="D484" s="104"/>
      <c r="E484" s="104"/>
      <c r="F484" s="104"/>
      <c r="G484" s="104"/>
      <c r="H484" s="104"/>
      <c r="I484" s="104"/>
      <c r="J484" s="104"/>
      <c r="K484" s="105"/>
      <c r="L484" s="106"/>
      <c r="M484" s="104"/>
      <c r="N484" s="104"/>
      <c r="O484" s="104"/>
      <c r="P484" s="104"/>
      <c r="Q484" s="104"/>
      <c r="R484" s="106"/>
      <c r="S484" s="104"/>
      <c r="T484" s="104"/>
      <c r="U484" s="104"/>
      <c r="V484" s="104"/>
      <c r="W484" s="105"/>
      <c r="X484" s="104"/>
      <c r="Y484" s="104"/>
      <c r="Z484" s="104"/>
      <c r="AA484" s="104"/>
      <c r="AB484" s="104"/>
      <c r="AC484" s="104"/>
      <c r="AD484" s="104"/>
      <c r="AE484" s="104"/>
      <c r="AF484" s="104"/>
      <c r="AG484" s="104"/>
      <c r="AH484" s="104"/>
      <c r="AI484" s="104"/>
      <c r="AJ484" s="104"/>
      <c r="AK484" s="104"/>
      <c r="AL484" s="104"/>
      <c r="AM484" s="104"/>
      <c r="AN484" s="104"/>
      <c r="AO484" s="104"/>
      <c r="AP484" s="104"/>
      <c r="AQ484" s="104"/>
      <c r="AR484" s="104"/>
      <c r="AS484" s="104"/>
      <c r="AT484" s="104"/>
      <c r="AU484" s="104"/>
      <c r="AV484" s="104"/>
      <c r="AW484" s="104"/>
      <c r="AX484" s="104"/>
      <c r="AY484" s="104"/>
      <c r="AZ484" s="104"/>
      <c r="BA484" s="104"/>
      <c r="BB484" s="104"/>
      <c r="BC484" s="104"/>
      <c r="BD484" s="104"/>
      <c r="BE484" s="104"/>
      <c r="BF484" s="104"/>
      <c r="BG484" s="104"/>
      <c r="BH484" s="104"/>
      <c r="BI484" s="104"/>
      <c r="BJ484" s="104"/>
      <c r="BK484" s="104"/>
      <c r="BL484" s="104"/>
      <c r="BM484" s="104"/>
      <c r="BN484" s="104"/>
    </row>
    <row r="485">
      <c r="A485" s="104"/>
      <c r="B485" s="104"/>
      <c r="C485" s="104"/>
      <c r="D485" s="104"/>
      <c r="E485" s="104"/>
      <c r="F485" s="104"/>
      <c r="G485" s="104"/>
      <c r="H485" s="104"/>
      <c r="I485" s="104"/>
      <c r="J485" s="104"/>
      <c r="K485" s="105"/>
      <c r="L485" s="106"/>
      <c r="M485" s="104"/>
      <c r="N485" s="104"/>
      <c r="O485" s="104"/>
      <c r="P485" s="104"/>
      <c r="Q485" s="104"/>
      <c r="R485" s="106"/>
      <c r="S485" s="104"/>
      <c r="T485" s="104"/>
      <c r="U485" s="104"/>
      <c r="V485" s="104"/>
      <c r="W485" s="105"/>
      <c r="X485" s="104"/>
      <c r="Y485" s="104"/>
      <c r="Z485" s="104"/>
      <c r="AA485" s="104"/>
      <c r="AB485" s="104"/>
      <c r="AC485" s="104"/>
      <c r="AD485" s="104"/>
      <c r="AE485" s="104"/>
      <c r="AF485" s="104"/>
      <c r="AG485" s="104"/>
      <c r="AH485" s="104"/>
      <c r="AI485" s="104"/>
      <c r="AJ485" s="104"/>
      <c r="AK485" s="104"/>
      <c r="AL485" s="104"/>
      <c r="AM485" s="104"/>
      <c r="AN485" s="104"/>
      <c r="AO485" s="104"/>
      <c r="AP485" s="104"/>
      <c r="AQ485" s="104"/>
      <c r="AR485" s="104"/>
      <c r="AS485" s="104"/>
      <c r="AT485" s="104"/>
      <c r="AU485" s="104"/>
      <c r="AV485" s="104"/>
      <c r="AW485" s="104"/>
      <c r="AX485" s="104"/>
      <c r="AY485" s="104"/>
      <c r="AZ485" s="104"/>
      <c r="BA485" s="104"/>
      <c r="BB485" s="104"/>
      <c r="BC485" s="104"/>
      <c r="BD485" s="104"/>
      <c r="BE485" s="104"/>
      <c r="BF485" s="104"/>
      <c r="BG485" s="104"/>
      <c r="BH485" s="104"/>
      <c r="BI485" s="104"/>
      <c r="BJ485" s="104"/>
      <c r="BK485" s="104"/>
      <c r="BL485" s="104"/>
      <c r="BM485" s="104"/>
      <c r="BN485" s="104"/>
    </row>
    <row r="486">
      <c r="A486" s="104"/>
      <c r="B486" s="104"/>
      <c r="C486" s="104"/>
      <c r="D486" s="104"/>
      <c r="E486" s="104"/>
      <c r="F486" s="104"/>
      <c r="G486" s="104"/>
      <c r="H486" s="104"/>
      <c r="I486" s="104"/>
      <c r="J486" s="104"/>
      <c r="K486" s="105"/>
      <c r="L486" s="106"/>
      <c r="M486" s="104"/>
      <c r="N486" s="104"/>
      <c r="O486" s="104"/>
      <c r="P486" s="104"/>
      <c r="Q486" s="104"/>
      <c r="R486" s="106"/>
      <c r="S486" s="104"/>
      <c r="T486" s="104"/>
      <c r="U486" s="104"/>
      <c r="V486" s="104"/>
      <c r="W486" s="105"/>
      <c r="X486" s="104"/>
      <c r="Y486" s="104"/>
      <c r="Z486" s="104"/>
      <c r="AA486" s="104"/>
      <c r="AB486" s="104"/>
      <c r="AC486" s="104"/>
      <c r="AD486" s="104"/>
      <c r="AE486" s="104"/>
      <c r="AF486" s="104"/>
      <c r="AG486" s="104"/>
      <c r="AH486" s="104"/>
      <c r="AI486" s="104"/>
      <c r="AJ486" s="104"/>
      <c r="AK486" s="104"/>
      <c r="AL486" s="104"/>
      <c r="AM486" s="104"/>
      <c r="AN486" s="104"/>
      <c r="AO486" s="104"/>
      <c r="AP486" s="104"/>
      <c r="AQ486" s="104"/>
      <c r="AR486" s="104"/>
      <c r="AS486" s="104"/>
      <c r="AT486" s="104"/>
      <c r="AU486" s="104"/>
      <c r="AV486" s="104"/>
      <c r="AW486" s="104"/>
      <c r="AX486" s="104"/>
      <c r="AY486" s="104"/>
      <c r="AZ486" s="104"/>
      <c r="BA486" s="104"/>
      <c r="BB486" s="104"/>
      <c r="BC486" s="104"/>
      <c r="BD486" s="104"/>
      <c r="BE486" s="104"/>
      <c r="BF486" s="104"/>
      <c r="BG486" s="104"/>
      <c r="BH486" s="104"/>
      <c r="BI486" s="104"/>
      <c r="BJ486" s="104"/>
      <c r="BK486" s="104"/>
      <c r="BL486" s="104"/>
      <c r="BM486" s="104"/>
      <c r="BN486" s="104"/>
    </row>
    <row r="487">
      <c r="A487" s="104"/>
      <c r="B487" s="104"/>
      <c r="C487" s="104"/>
      <c r="D487" s="104"/>
      <c r="E487" s="104"/>
      <c r="F487" s="104"/>
      <c r="G487" s="104"/>
      <c r="H487" s="104"/>
      <c r="I487" s="104"/>
      <c r="J487" s="104"/>
      <c r="K487" s="105"/>
      <c r="L487" s="106"/>
      <c r="M487" s="104"/>
      <c r="N487" s="104"/>
      <c r="O487" s="104"/>
      <c r="P487" s="104"/>
      <c r="Q487" s="104"/>
      <c r="R487" s="106"/>
      <c r="S487" s="104"/>
      <c r="T487" s="104"/>
      <c r="U487" s="104"/>
      <c r="V487" s="104"/>
      <c r="W487" s="105"/>
      <c r="X487" s="104"/>
      <c r="Y487" s="104"/>
      <c r="Z487" s="104"/>
      <c r="AA487" s="104"/>
      <c r="AB487" s="104"/>
      <c r="AC487" s="104"/>
      <c r="AD487" s="104"/>
      <c r="AE487" s="104"/>
      <c r="AF487" s="104"/>
      <c r="AG487" s="104"/>
      <c r="AH487" s="104"/>
      <c r="AI487" s="104"/>
      <c r="AJ487" s="104"/>
      <c r="AK487" s="104"/>
      <c r="AL487" s="104"/>
      <c r="AM487" s="104"/>
      <c r="AN487" s="104"/>
      <c r="AO487" s="104"/>
      <c r="AP487" s="104"/>
      <c r="AQ487" s="104"/>
      <c r="AR487" s="104"/>
      <c r="AS487" s="104"/>
      <c r="AT487" s="104"/>
      <c r="AU487" s="104"/>
      <c r="AV487" s="104"/>
      <c r="AW487" s="104"/>
      <c r="AX487" s="104"/>
      <c r="AY487" s="104"/>
      <c r="AZ487" s="104"/>
      <c r="BA487" s="104"/>
      <c r="BB487" s="104"/>
      <c r="BC487" s="104"/>
      <c r="BD487" s="104"/>
      <c r="BE487" s="104"/>
      <c r="BF487" s="104"/>
      <c r="BG487" s="104"/>
      <c r="BH487" s="104"/>
      <c r="BI487" s="104"/>
      <c r="BJ487" s="104"/>
      <c r="BK487" s="104"/>
      <c r="BL487" s="104"/>
      <c r="BM487" s="104"/>
      <c r="BN487" s="104"/>
    </row>
    <row r="488">
      <c r="A488" s="104"/>
      <c r="B488" s="104"/>
      <c r="C488" s="104"/>
      <c r="D488" s="104"/>
      <c r="E488" s="104"/>
      <c r="F488" s="104"/>
      <c r="G488" s="104"/>
      <c r="H488" s="104"/>
      <c r="I488" s="104"/>
      <c r="J488" s="104"/>
      <c r="K488" s="105"/>
      <c r="L488" s="106"/>
      <c r="M488" s="104"/>
      <c r="N488" s="104"/>
      <c r="O488" s="104"/>
      <c r="P488" s="104"/>
      <c r="Q488" s="104"/>
      <c r="R488" s="106"/>
      <c r="S488" s="104"/>
      <c r="T488" s="104"/>
      <c r="U488" s="104"/>
      <c r="V488" s="104"/>
      <c r="W488" s="105"/>
      <c r="X488" s="104"/>
      <c r="Y488" s="104"/>
      <c r="Z488" s="104"/>
      <c r="AA488" s="104"/>
      <c r="AB488" s="104"/>
      <c r="AC488" s="104"/>
      <c r="AD488" s="104"/>
      <c r="AE488" s="104"/>
      <c r="AF488" s="104"/>
      <c r="AG488" s="104"/>
      <c r="AH488" s="104"/>
      <c r="AI488" s="104"/>
      <c r="AJ488" s="104"/>
      <c r="AK488" s="104"/>
      <c r="AL488" s="104"/>
      <c r="AM488" s="104"/>
      <c r="AN488" s="104"/>
      <c r="AO488" s="104"/>
      <c r="AP488" s="104"/>
      <c r="AQ488" s="104"/>
      <c r="AR488" s="104"/>
      <c r="AS488" s="104"/>
      <c r="AT488" s="104"/>
      <c r="AU488" s="104"/>
      <c r="AV488" s="104"/>
      <c r="AW488" s="104"/>
      <c r="AX488" s="104"/>
      <c r="AY488" s="104"/>
      <c r="AZ488" s="104"/>
      <c r="BA488" s="104"/>
      <c r="BB488" s="104"/>
      <c r="BC488" s="104"/>
      <c r="BD488" s="104"/>
      <c r="BE488" s="104"/>
      <c r="BF488" s="104"/>
      <c r="BG488" s="104"/>
      <c r="BH488" s="104"/>
      <c r="BI488" s="104"/>
      <c r="BJ488" s="104"/>
      <c r="BK488" s="104"/>
      <c r="BL488" s="104"/>
      <c r="BM488" s="104"/>
      <c r="BN488" s="104"/>
    </row>
    <row r="489">
      <c r="A489" s="104"/>
      <c r="B489" s="104"/>
      <c r="C489" s="104"/>
      <c r="D489" s="104"/>
      <c r="E489" s="104"/>
      <c r="F489" s="104"/>
      <c r="G489" s="104"/>
      <c r="H489" s="104"/>
      <c r="I489" s="104"/>
      <c r="J489" s="104"/>
      <c r="K489" s="105"/>
      <c r="L489" s="106"/>
      <c r="M489" s="104"/>
      <c r="N489" s="104"/>
      <c r="O489" s="104"/>
      <c r="P489" s="104"/>
      <c r="Q489" s="104"/>
      <c r="R489" s="106"/>
      <c r="S489" s="104"/>
      <c r="T489" s="104"/>
      <c r="U489" s="104"/>
      <c r="V489" s="104"/>
      <c r="W489" s="105"/>
      <c r="X489" s="104"/>
      <c r="Y489" s="104"/>
      <c r="Z489" s="104"/>
      <c r="AA489" s="104"/>
      <c r="AB489" s="104"/>
      <c r="AC489" s="104"/>
      <c r="AD489" s="104"/>
      <c r="AE489" s="104"/>
      <c r="AF489" s="104"/>
      <c r="AG489" s="104"/>
      <c r="AH489" s="104"/>
      <c r="AI489" s="104"/>
      <c r="AJ489" s="104"/>
      <c r="AK489" s="104"/>
      <c r="AL489" s="104"/>
      <c r="AM489" s="104"/>
      <c r="AN489" s="104"/>
      <c r="AO489" s="104"/>
      <c r="AP489" s="104"/>
      <c r="AQ489" s="104"/>
      <c r="AR489" s="104"/>
      <c r="AS489" s="104"/>
      <c r="AT489" s="104"/>
      <c r="AU489" s="104"/>
      <c r="AV489" s="104"/>
      <c r="AW489" s="104"/>
      <c r="AX489" s="104"/>
      <c r="AY489" s="104"/>
      <c r="AZ489" s="104"/>
      <c r="BA489" s="104"/>
      <c r="BB489" s="104"/>
      <c r="BC489" s="104"/>
      <c r="BD489" s="104"/>
      <c r="BE489" s="104"/>
      <c r="BF489" s="104"/>
      <c r="BG489" s="104"/>
      <c r="BH489" s="104"/>
      <c r="BI489" s="104"/>
      <c r="BJ489" s="104"/>
      <c r="BK489" s="104"/>
      <c r="BL489" s="104"/>
      <c r="BM489" s="104"/>
      <c r="BN489" s="104"/>
    </row>
    <row r="490">
      <c r="A490" s="104"/>
      <c r="B490" s="104"/>
      <c r="C490" s="104"/>
      <c r="D490" s="104"/>
      <c r="E490" s="104"/>
      <c r="F490" s="104"/>
      <c r="G490" s="104"/>
      <c r="H490" s="104"/>
      <c r="I490" s="104"/>
      <c r="J490" s="104"/>
      <c r="K490" s="105"/>
      <c r="L490" s="106"/>
      <c r="M490" s="104"/>
      <c r="N490" s="104"/>
      <c r="O490" s="104"/>
      <c r="P490" s="104"/>
      <c r="Q490" s="104"/>
      <c r="R490" s="106"/>
      <c r="S490" s="104"/>
      <c r="T490" s="104"/>
      <c r="U490" s="104"/>
      <c r="V490" s="104"/>
      <c r="W490" s="105"/>
      <c r="X490" s="104"/>
      <c r="Y490" s="104"/>
      <c r="Z490" s="104"/>
      <c r="AA490" s="104"/>
      <c r="AB490" s="104"/>
      <c r="AC490" s="104"/>
      <c r="AD490" s="104"/>
      <c r="AE490" s="104"/>
      <c r="AF490" s="104"/>
      <c r="AG490" s="104"/>
      <c r="AH490" s="104"/>
      <c r="AI490" s="104"/>
      <c r="AJ490" s="104"/>
      <c r="AK490" s="104"/>
      <c r="AL490" s="104"/>
      <c r="AM490" s="104"/>
      <c r="AN490" s="104"/>
      <c r="AO490" s="104"/>
      <c r="AP490" s="104"/>
      <c r="AQ490" s="104"/>
      <c r="AR490" s="104"/>
      <c r="AS490" s="104"/>
      <c r="AT490" s="104"/>
      <c r="AU490" s="104"/>
      <c r="AV490" s="104"/>
      <c r="AW490" s="104"/>
      <c r="AX490" s="104"/>
      <c r="AY490" s="104"/>
      <c r="AZ490" s="104"/>
      <c r="BA490" s="104"/>
      <c r="BB490" s="104"/>
      <c r="BC490" s="104"/>
      <c r="BD490" s="104"/>
      <c r="BE490" s="104"/>
      <c r="BF490" s="104"/>
      <c r="BG490" s="104"/>
      <c r="BH490" s="104"/>
      <c r="BI490" s="104"/>
      <c r="BJ490" s="104"/>
      <c r="BK490" s="104"/>
      <c r="BL490" s="104"/>
      <c r="BM490" s="104"/>
      <c r="BN490" s="104"/>
    </row>
    <row r="491">
      <c r="A491" s="104"/>
      <c r="B491" s="104"/>
      <c r="C491" s="104"/>
      <c r="D491" s="104"/>
      <c r="E491" s="104"/>
      <c r="F491" s="104"/>
      <c r="G491" s="104"/>
      <c r="H491" s="104"/>
      <c r="I491" s="104"/>
      <c r="J491" s="104"/>
      <c r="K491" s="105"/>
      <c r="L491" s="106"/>
      <c r="M491" s="104"/>
      <c r="N491" s="104"/>
      <c r="O491" s="104"/>
      <c r="P491" s="104"/>
      <c r="Q491" s="104"/>
      <c r="R491" s="106"/>
      <c r="S491" s="104"/>
      <c r="T491" s="104"/>
      <c r="U491" s="104"/>
      <c r="V491" s="104"/>
      <c r="W491" s="105"/>
      <c r="X491" s="104"/>
      <c r="Y491" s="104"/>
      <c r="Z491" s="104"/>
      <c r="AA491" s="104"/>
      <c r="AB491" s="104"/>
      <c r="AC491" s="104"/>
      <c r="AD491" s="104"/>
      <c r="AE491" s="104"/>
      <c r="AF491" s="104"/>
      <c r="AG491" s="104"/>
      <c r="AH491" s="104"/>
      <c r="AI491" s="104"/>
      <c r="AJ491" s="104"/>
      <c r="AK491" s="104"/>
      <c r="AL491" s="104"/>
      <c r="AM491" s="104"/>
      <c r="AN491" s="104"/>
      <c r="AO491" s="104"/>
      <c r="AP491" s="104"/>
      <c r="AQ491" s="104"/>
      <c r="AR491" s="104"/>
      <c r="AS491" s="104"/>
      <c r="AT491" s="104"/>
      <c r="AU491" s="104"/>
      <c r="AV491" s="104"/>
      <c r="AW491" s="104"/>
      <c r="AX491" s="104"/>
      <c r="AY491" s="104"/>
      <c r="AZ491" s="104"/>
      <c r="BA491" s="104"/>
      <c r="BB491" s="104"/>
      <c r="BC491" s="104"/>
      <c r="BD491" s="104"/>
      <c r="BE491" s="104"/>
      <c r="BF491" s="104"/>
      <c r="BG491" s="104"/>
      <c r="BH491" s="104"/>
      <c r="BI491" s="104"/>
      <c r="BJ491" s="104"/>
      <c r="BK491" s="104"/>
      <c r="BL491" s="104"/>
      <c r="BM491" s="104"/>
      <c r="BN491" s="104"/>
    </row>
    <row r="492">
      <c r="A492" s="104"/>
      <c r="B492" s="104"/>
      <c r="C492" s="104"/>
      <c r="D492" s="104"/>
      <c r="E492" s="104"/>
      <c r="F492" s="104"/>
      <c r="G492" s="104"/>
      <c r="H492" s="104"/>
      <c r="I492" s="104"/>
      <c r="J492" s="104"/>
      <c r="K492" s="105"/>
      <c r="L492" s="106"/>
      <c r="M492" s="104"/>
      <c r="N492" s="104"/>
      <c r="O492" s="104"/>
      <c r="P492" s="104"/>
      <c r="Q492" s="104"/>
      <c r="R492" s="106"/>
      <c r="S492" s="104"/>
      <c r="T492" s="104"/>
      <c r="U492" s="104"/>
      <c r="V492" s="104"/>
      <c r="W492" s="105"/>
      <c r="X492" s="104"/>
      <c r="Y492" s="104"/>
      <c r="Z492" s="104"/>
      <c r="AA492" s="104"/>
      <c r="AB492" s="104"/>
      <c r="AC492" s="104"/>
      <c r="AD492" s="104"/>
      <c r="AE492" s="104"/>
      <c r="AF492" s="104"/>
      <c r="AG492" s="104"/>
      <c r="AH492" s="104"/>
      <c r="AI492" s="104"/>
      <c r="AJ492" s="104"/>
      <c r="AK492" s="104"/>
      <c r="AL492" s="104"/>
      <c r="AM492" s="104"/>
      <c r="AN492" s="104"/>
      <c r="AO492" s="104"/>
      <c r="AP492" s="104"/>
      <c r="AQ492" s="104"/>
      <c r="AR492" s="104"/>
      <c r="AS492" s="104"/>
      <c r="AT492" s="104"/>
      <c r="AU492" s="104"/>
      <c r="AV492" s="104"/>
      <c r="AW492" s="104"/>
      <c r="AX492" s="104"/>
      <c r="AY492" s="104"/>
      <c r="AZ492" s="104"/>
      <c r="BA492" s="104"/>
      <c r="BB492" s="104"/>
      <c r="BC492" s="104"/>
      <c r="BD492" s="104"/>
      <c r="BE492" s="104"/>
      <c r="BF492" s="104"/>
      <c r="BG492" s="104"/>
      <c r="BH492" s="104"/>
      <c r="BI492" s="104"/>
      <c r="BJ492" s="104"/>
      <c r="BK492" s="104"/>
      <c r="BL492" s="104"/>
      <c r="BM492" s="104"/>
      <c r="BN492" s="104"/>
    </row>
    <row r="493">
      <c r="A493" s="104"/>
      <c r="B493" s="104"/>
      <c r="C493" s="104"/>
      <c r="D493" s="104"/>
      <c r="E493" s="104"/>
      <c r="F493" s="104"/>
      <c r="G493" s="104"/>
      <c r="H493" s="104"/>
      <c r="I493" s="104"/>
      <c r="J493" s="104"/>
      <c r="K493" s="105"/>
      <c r="L493" s="106"/>
      <c r="M493" s="104"/>
      <c r="N493" s="104"/>
      <c r="O493" s="104"/>
      <c r="P493" s="104"/>
      <c r="Q493" s="104"/>
      <c r="R493" s="106"/>
      <c r="S493" s="104"/>
      <c r="T493" s="104"/>
      <c r="U493" s="104"/>
      <c r="V493" s="104"/>
      <c r="W493" s="105"/>
      <c r="X493" s="104"/>
      <c r="Y493" s="104"/>
      <c r="Z493" s="104"/>
      <c r="AA493" s="104"/>
      <c r="AB493" s="104"/>
      <c r="AC493" s="104"/>
      <c r="AD493" s="104"/>
      <c r="AE493" s="104"/>
      <c r="AF493" s="104"/>
      <c r="AG493" s="104"/>
      <c r="AH493" s="104"/>
      <c r="AI493" s="104"/>
      <c r="AJ493" s="104"/>
      <c r="AK493" s="104"/>
      <c r="AL493" s="104"/>
      <c r="AM493" s="104"/>
      <c r="AN493" s="104"/>
      <c r="AO493" s="104"/>
      <c r="AP493" s="104"/>
      <c r="AQ493" s="104"/>
      <c r="AR493" s="104"/>
      <c r="AS493" s="104"/>
      <c r="AT493" s="104"/>
      <c r="AU493" s="104"/>
      <c r="AV493" s="104"/>
      <c r="AW493" s="104"/>
      <c r="AX493" s="104"/>
      <c r="AY493" s="104"/>
      <c r="AZ493" s="104"/>
      <c r="BA493" s="104"/>
      <c r="BB493" s="104"/>
      <c r="BC493" s="104"/>
      <c r="BD493" s="104"/>
      <c r="BE493" s="104"/>
      <c r="BF493" s="104"/>
      <c r="BG493" s="104"/>
      <c r="BH493" s="104"/>
      <c r="BI493" s="104"/>
      <c r="BJ493" s="104"/>
      <c r="BK493" s="104"/>
      <c r="BL493" s="104"/>
      <c r="BM493" s="104"/>
      <c r="BN493" s="104"/>
    </row>
    <row r="494">
      <c r="A494" s="104"/>
      <c r="B494" s="104"/>
      <c r="C494" s="104"/>
      <c r="D494" s="104"/>
      <c r="E494" s="104"/>
      <c r="F494" s="104"/>
      <c r="G494" s="104"/>
      <c r="H494" s="104"/>
      <c r="I494" s="104"/>
      <c r="J494" s="104"/>
      <c r="K494" s="105"/>
      <c r="L494" s="106"/>
      <c r="M494" s="104"/>
      <c r="N494" s="104"/>
      <c r="O494" s="104"/>
      <c r="P494" s="104"/>
      <c r="Q494" s="104"/>
      <c r="R494" s="106"/>
      <c r="S494" s="104"/>
      <c r="T494" s="104"/>
      <c r="U494" s="104"/>
      <c r="V494" s="104"/>
      <c r="W494" s="105"/>
      <c r="X494" s="104"/>
      <c r="Y494" s="104"/>
      <c r="Z494" s="104"/>
      <c r="AA494" s="104"/>
      <c r="AB494" s="104"/>
      <c r="AC494" s="104"/>
      <c r="AD494" s="104"/>
      <c r="AE494" s="104"/>
      <c r="AF494" s="104"/>
      <c r="AG494" s="104"/>
      <c r="AH494" s="104"/>
      <c r="AI494" s="104"/>
      <c r="AJ494" s="104"/>
      <c r="AK494" s="104"/>
      <c r="AL494" s="104"/>
      <c r="AM494" s="104"/>
      <c r="AN494" s="104"/>
      <c r="AO494" s="104"/>
      <c r="AP494" s="104"/>
      <c r="AQ494" s="104"/>
      <c r="AR494" s="104"/>
      <c r="AS494" s="104"/>
      <c r="AT494" s="104"/>
      <c r="AU494" s="104"/>
      <c r="AV494" s="104"/>
      <c r="AW494" s="104"/>
      <c r="AX494" s="104"/>
      <c r="AY494" s="104"/>
      <c r="AZ494" s="104"/>
      <c r="BA494" s="104"/>
      <c r="BB494" s="104"/>
      <c r="BC494" s="104"/>
      <c r="BD494" s="104"/>
      <c r="BE494" s="104"/>
      <c r="BF494" s="104"/>
      <c r="BG494" s="104"/>
      <c r="BH494" s="104"/>
      <c r="BI494" s="104"/>
      <c r="BJ494" s="104"/>
      <c r="BK494" s="104"/>
      <c r="BL494" s="104"/>
      <c r="BM494" s="104"/>
      <c r="BN494" s="104"/>
    </row>
    <row r="495">
      <c r="A495" s="104"/>
      <c r="B495" s="104"/>
      <c r="C495" s="104"/>
      <c r="D495" s="104"/>
      <c r="E495" s="104"/>
      <c r="F495" s="104"/>
      <c r="G495" s="104"/>
      <c r="H495" s="104"/>
      <c r="I495" s="104"/>
      <c r="J495" s="104"/>
      <c r="K495" s="105"/>
      <c r="L495" s="106"/>
      <c r="M495" s="104"/>
      <c r="N495" s="104"/>
      <c r="O495" s="104"/>
      <c r="P495" s="104"/>
      <c r="Q495" s="104"/>
      <c r="R495" s="106"/>
      <c r="S495" s="104"/>
      <c r="T495" s="104"/>
      <c r="U495" s="104"/>
      <c r="V495" s="104"/>
      <c r="W495" s="105"/>
      <c r="X495" s="104"/>
      <c r="Y495" s="104"/>
      <c r="Z495" s="104"/>
      <c r="AA495" s="104"/>
      <c r="AB495" s="104"/>
      <c r="AC495" s="104"/>
      <c r="AD495" s="104"/>
      <c r="AE495" s="104"/>
      <c r="AF495" s="104"/>
      <c r="AG495" s="104"/>
      <c r="AH495" s="104"/>
      <c r="AI495" s="104"/>
      <c r="AJ495" s="104"/>
      <c r="AK495" s="104"/>
      <c r="AL495" s="104"/>
      <c r="AM495" s="104"/>
      <c r="AN495" s="104"/>
      <c r="AO495" s="104"/>
      <c r="AP495" s="104"/>
      <c r="AQ495" s="104"/>
      <c r="AR495" s="104"/>
      <c r="AS495" s="104"/>
      <c r="AT495" s="104"/>
      <c r="AU495" s="104"/>
      <c r="AV495" s="104"/>
      <c r="AW495" s="104"/>
      <c r="AX495" s="104"/>
      <c r="AY495" s="104"/>
      <c r="AZ495" s="104"/>
      <c r="BA495" s="104"/>
      <c r="BB495" s="104"/>
      <c r="BC495" s="104"/>
      <c r="BD495" s="104"/>
      <c r="BE495" s="104"/>
      <c r="BF495" s="104"/>
      <c r="BG495" s="104"/>
      <c r="BH495" s="104"/>
      <c r="BI495" s="104"/>
      <c r="BJ495" s="104"/>
      <c r="BK495" s="104"/>
      <c r="BL495" s="104"/>
      <c r="BM495" s="104"/>
      <c r="BN495" s="104"/>
    </row>
    <row r="496">
      <c r="A496" s="104"/>
      <c r="B496" s="104"/>
      <c r="C496" s="104"/>
      <c r="D496" s="104"/>
      <c r="E496" s="104"/>
      <c r="F496" s="104"/>
      <c r="G496" s="104"/>
      <c r="H496" s="104"/>
      <c r="I496" s="104"/>
      <c r="J496" s="104"/>
      <c r="K496" s="105"/>
      <c r="L496" s="106"/>
      <c r="M496" s="104"/>
      <c r="N496" s="104"/>
      <c r="O496" s="104"/>
      <c r="P496" s="104"/>
      <c r="Q496" s="104"/>
      <c r="R496" s="106"/>
      <c r="S496" s="104"/>
      <c r="T496" s="104"/>
      <c r="U496" s="104"/>
      <c r="V496" s="104"/>
      <c r="W496" s="105"/>
      <c r="X496" s="104"/>
      <c r="Y496" s="104"/>
      <c r="Z496" s="104"/>
      <c r="AA496" s="104"/>
      <c r="AB496" s="104"/>
      <c r="AC496" s="104"/>
      <c r="AD496" s="104"/>
      <c r="AE496" s="104"/>
      <c r="AF496" s="104"/>
      <c r="AG496" s="104"/>
      <c r="AH496" s="104"/>
      <c r="AI496" s="104"/>
      <c r="AJ496" s="104"/>
      <c r="AK496" s="104"/>
      <c r="AL496" s="104"/>
      <c r="AM496" s="104"/>
      <c r="AN496" s="104"/>
      <c r="AO496" s="104"/>
      <c r="AP496" s="104"/>
      <c r="AQ496" s="104"/>
      <c r="AR496" s="104"/>
      <c r="AS496" s="104"/>
      <c r="AT496" s="104"/>
      <c r="AU496" s="104"/>
      <c r="AV496" s="104"/>
      <c r="AW496" s="104"/>
      <c r="AX496" s="104"/>
      <c r="AY496" s="104"/>
      <c r="AZ496" s="104"/>
      <c r="BA496" s="104"/>
      <c r="BB496" s="104"/>
      <c r="BC496" s="104"/>
      <c r="BD496" s="104"/>
      <c r="BE496" s="104"/>
      <c r="BF496" s="104"/>
      <c r="BG496" s="104"/>
      <c r="BH496" s="104"/>
      <c r="BI496" s="104"/>
      <c r="BJ496" s="104"/>
      <c r="BK496" s="104"/>
      <c r="BL496" s="104"/>
      <c r="BM496" s="104"/>
      <c r="BN496" s="104"/>
    </row>
    <row r="497">
      <c r="A497" s="104"/>
      <c r="B497" s="104"/>
      <c r="C497" s="104"/>
      <c r="D497" s="104"/>
      <c r="E497" s="104"/>
      <c r="F497" s="104"/>
      <c r="G497" s="104"/>
      <c r="H497" s="104"/>
      <c r="I497" s="104"/>
      <c r="J497" s="104"/>
      <c r="K497" s="105"/>
      <c r="L497" s="106"/>
      <c r="M497" s="104"/>
      <c r="N497" s="104"/>
      <c r="O497" s="104"/>
      <c r="P497" s="104"/>
      <c r="Q497" s="104"/>
      <c r="R497" s="106"/>
      <c r="S497" s="104"/>
      <c r="T497" s="104"/>
      <c r="U497" s="104"/>
      <c r="V497" s="104"/>
      <c r="W497" s="105"/>
      <c r="X497" s="104"/>
      <c r="Y497" s="104"/>
      <c r="Z497" s="104"/>
      <c r="AA497" s="104"/>
      <c r="AB497" s="104"/>
      <c r="AC497" s="104"/>
      <c r="AD497" s="104"/>
      <c r="AE497" s="104"/>
      <c r="AF497" s="104"/>
      <c r="AG497" s="104"/>
      <c r="AH497" s="104"/>
      <c r="AI497" s="104"/>
      <c r="AJ497" s="104"/>
      <c r="AK497" s="104"/>
      <c r="AL497" s="104"/>
      <c r="AM497" s="104"/>
      <c r="AN497" s="104"/>
      <c r="AO497" s="104"/>
      <c r="AP497" s="104"/>
      <c r="AQ497" s="104"/>
      <c r="AR497" s="104"/>
      <c r="AS497" s="104"/>
      <c r="AT497" s="104"/>
      <c r="AU497" s="104"/>
      <c r="AV497" s="104"/>
      <c r="AW497" s="104"/>
      <c r="AX497" s="104"/>
      <c r="AY497" s="104"/>
      <c r="AZ497" s="104"/>
      <c r="BA497" s="104"/>
      <c r="BB497" s="104"/>
      <c r="BC497" s="104"/>
      <c r="BD497" s="104"/>
      <c r="BE497" s="104"/>
      <c r="BF497" s="104"/>
      <c r="BG497" s="104"/>
      <c r="BH497" s="104"/>
      <c r="BI497" s="104"/>
      <c r="BJ497" s="104"/>
      <c r="BK497" s="104"/>
      <c r="BL497" s="104"/>
      <c r="BM497" s="104"/>
      <c r="BN497" s="104"/>
    </row>
    <row r="498">
      <c r="A498" s="104"/>
      <c r="B498" s="104"/>
      <c r="C498" s="104"/>
      <c r="D498" s="104"/>
      <c r="E498" s="104"/>
      <c r="F498" s="104"/>
      <c r="G498" s="104"/>
      <c r="H498" s="104"/>
      <c r="I498" s="104"/>
      <c r="J498" s="104"/>
      <c r="K498" s="105"/>
      <c r="L498" s="106"/>
      <c r="M498" s="104"/>
      <c r="N498" s="104"/>
      <c r="O498" s="104"/>
      <c r="P498" s="104"/>
      <c r="Q498" s="104"/>
      <c r="R498" s="106"/>
      <c r="S498" s="104"/>
      <c r="T498" s="104"/>
      <c r="U498" s="104"/>
      <c r="V498" s="104"/>
      <c r="W498" s="105"/>
      <c r="X498" s="104"/>
      <c r="Y498" s="104"/>
      <c r="Z498" s="104"/>
      <c r="AA498" s="104"/>
      <c r="AB498" s="104"/>
      <c r="AC498" s="104"/>
      <c r="AD498" s="104"/>
      <c r="AE498" s="104"/>
      <c r="AF498" s="104"/>
      <c r="AG498" s="104"/>
      <c r="AH498" s="104"/>
      <c r="AI498" s="104"/>
      <c r="AJ498" s="104"/>
      <c r="AK498" s="104"/>
      <c r="AL498" s="104"/>
      <c r="AM498" s="104"/>
      <c r="AN498" s="104"/>
      <c r="AO498" s="104"/>
      <c r="AP498" s="104"/>
      <c r="AQ498" s="104"/>
      <c r="AR498" s="104"/>
      <c r="AS498" s="104"/>
      <c r="AT498" s="104"/>
      <c r="AU498" s="104"/>
      <c r="AV498" s="104"/>
      <c r="AW498" s="104"/>
      <c r="AX498" s="104"/>
      <c r="AY498" s="104"/>
      <c r="AZ498" s="104"/>
      <c r="BA498" s="104"/>
      <c r="BB498" s="104"/>
      <c r="BC498" s="104"/>
      <c r="BD498" s="104"/>
      <c r="BE498" s="104"/>
      <c r="BF498" s="104"/>
      <c r="BG498" s="104"/>
      <c r="BH498" s="104"/>
      <c r="BI498" s="104"/>
      <c r="BJ498" s="104"/>
      <c r="BK498" s="104"/>
      <c r="BL498" s="104"/>
      <c r="BM498" s="104"/>
      <c r="BN498" s="104"/>
    </row>
    <row r="499">
      <c r="A499" s="104"/>
      <c r="B499" s="104"/>
      <c r="C499" s="104"/>
      <c r="D499" s="104"/>
      <c r="E499" s="104"/>
      <c r="F499" s="104"/>
      <c r="G499" s="104"/>
      <c r="H499" s="104"/>
      <c r="I499" s="104"/>
      <c r="J499" s="104"/>
      <c r="K499" s="105"/>
      <c r="L499" s="106"/>
      <c r="M499" s="104"/>
      <c r="N499" s="104"/>
      <c r="O499" s="104"/>
      <c r="P499" s="104"/>
      <c r="Q499" s="104"/>
      <c r="R499" s="106"/>
      <c r="S499" s="104"/>
      <c r="T499" s="104"/>
      <c r="U499" s="104"/>
      <c r="V499" s="104"/>
      <c r="W499" s="105"/>
      <c r="X499" s="104"/>
      <c r="Y499" s="104"/>
      <c r="Z499" s="104"/>
      <c r="AA499" s="104"/>
      <c r="AB499" s="104"/>
      <c r="AC499" s="104"/>
      <c r="AD499" s="104"/>
      <c r="AE499" s="104"/>
      <c r="AF499" s="104"/>
      <c r="AG499" s="104"/>
      <c r="AH499" s="104"/>
      <c r="AI499" s="104"/>
      <c r="AJ499" s="104"/>
      <c r="AK499" s="104"/>
      <c r="AL499" s="104"/>
      <c r="AM499" s="104"/>
      <c r="AN499" s="104"/>
      <c r="AO499" s="104"/>
      <c r="AP499" s="104"/>
      <c r="AQ499" s="104"/>
      <c r="AR499" s="104"/>
      <c r="AS499" s="104"/>
      <c r="AT499" s="104"/>
      <c r="AU499" s="104"/>
      <c r="AV499" s="104"/>
      <c r="AW499" s="104"/>
      <c r="AX499" s="104"/>
      <c r="AY499" s="104"/>
      <c r="AZ499" s="104"/>
      <c r="BA499" s="104"/>
      <c r="BB499" s="104"/>
      <c r="BC499" s="104"/>
      <c r="BD499" s="104"/>
      <c r="BE499" s="104"/>
      <c r="BF499" s="104"/>
      <c r="BG499" s="104"/>
      <c r="BH499" s="104"/>
      <c r="BI499" s="104"/>
      <c r="BJ499" s="104"/>
      <c r="BK499" s="104"/>
      <c r="BL499" s="104"/>
      <c r="BM499" s="104"/>
      <c r="BN499" s="104"/>
    </row>
    <row r="500">
      <c r="A500" s="104"/>
      <c r="B500" s="104"/>
      <c r="C500" s="104"/>
      <c r="D500" s="104"/>
      <c r="E500" s="104"/>
      <c r="F500" s="104"/>
      <c r="G500" s="104"/>
      <c r="H500" s="104"/>
      <c r="I500" s="104"/>
      <c r="J500" s="104"/>
      <c r="K500" s="105"/>
      <c r="L500" s="106"/>
      <c r="M500" s="104"/>
      <c r="N500" s="104"/>
      <c r="O500" s="104"/>
      <c r="P500" s="104"/>
      <c r="Q500" s="104"/>
      <c r="R500" s="106"/>
      <c r="S500" s="104"/>
      <c r="T500" s="104"/>
      <c r="U500" s="104"/>
      <c r="V500" s="104"/>
      <c r="W500" s="105"/>
      <c r="X500" s="104"/>
      <c r="Y500" s="104"/>
      <c r="Z500" s="104"/>
      <c r="AA500" s="104"/>
      <c r="AB500" s="104"/>
      <c r="AC500" s="104"/>
      <c r="AD500" s="104"/>
      <c r="AE500" s="104"/>
      <c r="AF500" s="104"/>
      <c r="AG500" s="104"/>
      <c r="AH500" s="104"/>
      <c r="AI500" s="104"/>
      <c r="AJ500" s="104"/>
      <c r="AK500" s="104"/>
      <c r="AL500" s="104"/>
      <c r="AM500" s="104"/>
      <c r="AN500" s="104"/>
      <c r="AO500" s="104"/>
      <c r="AP500" s="104"/>
      <c r="AQ500" s="104"/>
      <c r="AR500" s="104"/>
      <c r="AS500" s="104"/>
      <c r="AT500" s="104"/>
      <c r="AU500" s="104"/>
      <c r="AV500" s="104"/>
      <c r="AW500" s="104"/>
      <c r="AX500" s="104"/>
      <c r="AY500" s="104"/>
      <c r="AZ500" s="104"/>
      <c r="BA500" s="104"/>
      <c r="BB500" s="104"/>
      <c r="BC500" s="104"/>
      <c r="BD500" s="104"/>
      <c r="BE500" s="104"/>
      <c r="BF500" s="104"/>
      <c r="BG500" s="104"/>
      <c r="BH500" s="104"/>
      <c r="BI500" s="104"/>
      <c r="BJ500" s="104"/>
      <c r="BK500" s="104"/>
      <c r="BL500" s="104"/>
      <c r="BM500" s="104"/>
      <c r="BN500" s="104"/>
    </row>
    <row r="501">
      <c r="A501" s="104"/>
      <c r="B501" s="104"/>
      <c r="C501" s="104"/>
      <c r="D501" s="104"/>
      <c r="E501" s="104"/>
      <c r="F501" s="104"/>
      <c r="G501" s="104"/>
      <c r="H501" s="104"/>
      <c r="I501" s="104"/>
      <c r="J501" s="104"/>
      <c r="K501" s="105"/>
      <c r="L501" s="106"/>
      <c r="M501" s="104"/>
      <c r="N501" s="104"/>
      <c r="O501" s="104"/>
      <c r="P501" s="104"/>
      <c r="Q501" s="104"/>
      <c r="R501" s="106"/>
      <c r="S501" s="104"/>
      <c r="T501" s="104"/>
      <c r="U501" s="104"/>
      <c r="V501" s="104"/>
      <c r="W501" s="105"/>
      <c r="X501" s="104"/>
      <c r="Y501" s="104"/>
      <c r="Z501" s="104"/>
      <c r="AA501" s="104"/>
      <c r="AB501" s="104"/>
      <c r="AC501" s="104"/>
      <c r="AD501" s="104"/>
      <c r="AE501" s="104"/>
      <c r="AF501" s="104"/>
      <c r="AG501" s="104"/>
      <c r="AH501" s="104"/>
      <c r="AI501" s="104"/>
      <c r="AJ501" s="104"/>
      <c r="AK501" s="104"/>
      <c r="AL501" s="104"/>
      <c r="AM501" s="104"/>
      <c r="AN501" s="104"/>
      <c r="AO501" s="104"/>
      <c r="AP501" s="104"/>
      <c r="AQ501" s="104"/>
      <c r="AR501" s="104"/>
      <c r="AS501" s="104"/>
      <c r="AT501" s="104"/>
      <c r="AU501" s="104"/>
      <c r="AV501" s="104"/>
      <c r="AW501" s="104"/>
      <c r="AX501" s="104"/>
      <c r="AY501" s="104"/>
      <c r="AZ501" s="104"/>
      <c r="BA501" s="104"/>
      <c r="BB501" s="104"/>
      <c r="BC501" s="104"/>
      <c r="BD501" s="104"/>
      <c r="BE501" s="104"/>
      <c r="BF501" s="104"/>
      <c r="BG501" s="104"/>
      <c r="BH501" s="104"/>
      <c r="BI501" s="104"/>
      <c r="BJ501" s="104"/>
      <c r="BK501" s="104"/>
      <c r="BL501" s="104"/>
      <c r="BM501" s="104"/>
      <c r="BN501" s="104"/>
    </row>
    <row r="502">
      <c r="A502" s="104"/>
      <c r="B502" s="104"/>
      <c r="C502" s="104"/>
      <c r="D502" s="104"/>
      <c r="E502" s="104"/>
      <c r="F502" s="104"/>
      <c r="G502" s="104"/>
      <c r="H502" s="104"/>
      <c r="I502" s="104"/>
      <c r="J502" s="104"/>
      <c r="K502" s="105"/>
      <c r="L502" s="106"/>
      <c r="M502" s="104"/>
      <c r="N502" s="104"/>
      <c r="O502" s="104"/>
      <c r="P502" s="104"/>
      <c r="Q502" s="104"/>
      <c r="R502" s="106"/>
      <c r="S502" s="104"/>
      <c r="T502" s="104"/>
      <c r="U502" s="104"/>
      <c r="V502" s="104"/>
      <c r="W502" s="105"/>
      <c r="X502" s="104"/>
      <c r="Y502" s="104"/>
      <c r="Z502" s="104"/>
      <c r="AA502" s="104"/>
      <c r="AB502" s="104"/>
      <c r="AC502" s="104"/>
      <c r="AD502" s="104"/>
      <c r="AE502" s="104"/>
      <c r="AF502" s="104"/>
      <c r="AG502" s="104"/>
      <c r="AH502" s="104"/>
      <c r="AI502" s="104"/>
      <c r="AJ502" s="104"/>
      <c r="AK502" s="104"/>
      <c r="AL502" s="104"/>
      <c r="AM502" s="104"/>
      <c r="AN502" s="104"/>
      <c r="AO502" s="104"/>
      <c r="AP502" s="104"/>
      <c r="AQ502" s="104"/>
      <c r="AR502" s="104"/>
      <c r="AS502" s="104"/>
      <c r="AT502" s="104"/>
      <c r="AU502" s="104"/>
      <c r="AV502" s="104"/>
      <c r="AW502" s="104"/>
      <c r="AX502" s="104"/>
      <c r="AY502" s="104"/>
      <c r="AZ502" s="104"/>
      <c r="BA502" s="104"/>
      <c r="BB502" s="104"/>
      <c r="BC502" s="104"/>
      <c r="BD502" s="104"/>
      <c r="BE502" s="104"/>
      <c r="BF502" s="104"/>
      <c r="BG502" s="104"/>
      <c r="BH502" s="104"/>
      <c r="BI502" s="104"/>
      <c r="BJ502" s="104"/>
      <c r="BK502" s="104"/>
      <c r="BL502" s="104"/>
      <c r="BM502" s="104"/>
      <c r="BN502" s="104"/>
    </row>
    <row r="503">
      <c r="A503" s="104"/>
      <c r="B503" s="104"/>
      <c r="C503" s="104"/>
      <c r="D503" s="104"/>
      <c r="E503" s="104"/>
      <c r="F503" s="104"/>
      <c r="G503" s="104"/>
      <c r="H503" s="104"/>
      <c r="I503" s="104"/>
      <c r="J503" s="104"/>
      <c r="K503" s="105"/>
      <c r="L503" s="106"/>
      <c r="M503" s="104"/>
      <c r="N503" s="104"/>
      <c r="O503" s="104"/>
      <c r="P503" s="104"/>
      <c r="Q503" s="104"/>
      <c r="R503" s="106"/>
      <c r="S503" s="104"/>
      <c r="T503" s="104"/>
      <c r="U503" s="104"/>
      <c r="V503" s="104"/>
      <c r="W503" s="105"/>
      <c r="X503" s="104"/>
      <c r="Y503" s="104"/>
      <c r="Z503" s="104"/>
      <c r="AA503" s="104"/>
      <c r="AB503" s="104"/>
      <c r="AC503" s="104"/>
      <c r="AD503" s="104"/>
      <c r="AE503" s="104"/>
      <c r="AF503" s="104"/>
      <c r="AG503" s="104"/>
      <c r="AH503" s="104"/>
      <c r="AI503" s="104"/>
      <c r="AJ503" s="104"/>
      <c r="AK503" s="104"/>
      <c r="AL503" s="104"/>
      <c r="AM503" s="104"/>
      <c r="AN503" s="104"/>
      <c r="AO503" s="104"/>
      <c r="AP503" s="104"/>
      <c r="AQ503" s="104"/>
      <c r="AR503" s="104"/>
      <c r="AS503" s="104"/>
      <c r="AT503" s="104"/>
      <c r="AU503" s="104"/>
      <c r="AV503" s="104"/>
      <c r="AW503" s="104"/>
      <c r="AX503" s="104"/>
      <c r="AY503" s="104"/>
      <c r="AZ503" s="104"/>
      <c r="BA503" s="104"/>
      <c r="BB503" s="104"/>
      <c r="BC503" s="104"/>
      <c r="BD503" s="104"/>
      <c r="BE503" s="104"/>
      <c r="BF503" s="104"/>
      <c r="BG503" s="104"/>
      <c r="BH503" s="104"/>
      <c r="BI503" s="104"/>
      <c r="BJ503" s="104"/>
      <c r="BK503" s="104"/>
      <c r="BL503" s="104"/>
      <c r="BM503" s="104"/>
      <c r="BN503" s="104"/>
    </row>
    <row r="504">
      <c r="A504" s="104"/>
      <c r="B504" s="104"/>
      <c r="C504" s="104"/>
      <c r="D504" s="104"/>
      <c r="E504" s="104"/>
      <c r="F504" s="104"/>
      <c r="G504" s="104"/>
      <c r="H504" s="104"/>
      <c r="I504" s="104"/>
      <c r="J504" s="104"/>
      <c r="K504" s="105"/>
      <c r="L504" s="106"/>
      <c r="M504" s="104"/>
      <c r="N504" s="104"/>
      <c r="O504" s="104"/>
      <c r="P504" s="104"/>
      <c r="Q504" s="104"/>
      <c r="R504" s="106"/>
      <c r="S504" s="104"/>
      <c r="T504" s="104"/>
      <c r="U504" s="104"/>
      <c r="V504" s="104"/>
      <c r="W504" s="105"/>
      <c r="X504" s="104"/>
      <c r="Y504" s="104"/>
      <c r="Z504" s="104"/>
      <c r="AA504" s="104"/>
      <c r="AB504" s="104"/>
      <c r="AC504" s="104"/>
      <c r="AD504" s="104"/>
      <c r="AE504" s="104"/>
      <c r="AF504" s="104"/>
      <c r="AG504" s="104"/>
      <c r="AH504" s="104"/>
      <c r="AI504" s="104"/>
      <c r="AJ504" s="104"/>
      <c r="AK504" s="104"/>
      <c r="AL504" s="104"/>
      <c r="AM504" s="104"/>
      <c r="AN504" s="104"/>
      <c r="AO504" s="104"/>
      <c r="AP504" s="104"/>
      <c r="AQ504" s="104"/>
      <c r="AR504" s="104"/>
      <c r="AS504" s="104"/>
      <c r="AT504" s="104"/>
      <c r="AU504" s="104"/>
      <c r="AV504" s="104"/>
      <c r="AW504" s="104"/>
      <c r="AX504" s="104"/>
      <c r="AY504" s="104"/>
      <c r="AZ504" s="104"/>
      <c r="BA504" s="104"/>
      <c r="BB504" s="104"/>
      <c r="BC504" s="104"/>
      <c r="BD504" s="104"/>
      <c r="BE504" s="104"/>
      <c r="BF504" s="104"/>
      <c r="BG504" s="104"/>
      <c r="BH504" s="104"/>
      <c r="BI504" s="104"/>
      <c r="BJ504" s="104"/>
      <c r="BK504" s="104"/>
      <c r="BL504" s="104"/>
      <c r="BM504" s="104"/>
      <c r="BN504" s="104"/>
    </row>
    <row r="505">
      <c r="A505" s="104"/>
      <c r="B505" s="104"/>
      <c r="C505" s="104"/>
      <c r="D505" s="104"/>
      <c r="E505" s="104"/>
      <c r="F505" s="104"/>
      <c r="G505" s="104"/>
      <c r="H505" s="104"/>
      <c r="I505" s="104"/>
      <c r="J505" s="104"/>
      <c r="K505" s="105"/>
      <c r="L505" s="106"/>
      <c r="M505" s="104"/>
      <c r="N505" s="104"/>
      <c r="O505" s="104"/>
      <c r="P505" s="104"/>
      <c r="Q505" s="104"/>
      <c r="R505" s="106"/>
      <c r="S505" s="104"/>
      <c r="T505" s="104"/>
      <c r="U505" s="104"/>
      <c r="V505" s="104"/>
      <c r="W505" s="105"/>
      <c r="X505" s="104"/>
      <c r="Y505" s="104"/>
      <c r="Z505" s="104"/>
      <c r="AA505" s="104"/>
      <c r="AB505" s="104"/>
      <c r="AC505" s="104"/>
      <c r="AD505" s="104"/>
      <c r="AE505" s="104"/>
      <c r="AF505" s="104"/>
      <c r="AG505" s="104"/>
      <c r="AH505" s="104"/>
      <c r="AI505" s="104"/>
      <c r="AJ505" s="104"/>
      <c r="AK505" s="104"/>
      <c r="AL505" s="104"/>
      <c r="AM505" s="104"/>
      <c r="AN505" s="104"/>
      <c r="AO505" s="104"/>
      <c r="AP505" s="104"/>
      <c r="AQ505" s="104"/>
      <c r="AR505" s="104"/>
      <c r="AS505" s="104"/>
      <c r="AT505" s="104"/>
      <c r="AU505" s="104"/>
      <c r="AV505" s="104"/>
      <c r="AW505" s="104"/>
      <c r="AX505" s="104"/>
      <c r="AY505" s="104"/>
      <c r="AZ505" s="104"/>
      <c r="BA505" s="104"/>
      <c r="BB505" s="104"/>
      <c r="BC505" s="104"/>
      <c r="BD505" s="104"/>
      <c r="BE505" s="104"/>
      <c r="BF505" s="104"/>
      <c r="BG505" s="104"/>
      <c r="BH505" s="104"/>
      <c r="BI505" s="104"/>
      <c r="BJ505" s="104"/>
      <c r="BK505" s="104"/>
      <c r="BL505" s="104"/>
      <c r="BM505" s="104"/>
      <c r="BN505" s="104"/>
    </row>
    <row r="506">
      <c r="A506" s="104"/>
      <c r="B506" s="104"/>
      <c r="C506" s="104"/>
      <c r="D506" s="104"/>
      <c r="E506" s="104"/>
      <c r="F506" s="104"/>
      <c r="G506" s="104"/>
      <c r="H506" s="104"/>
      <c r="I506" s="104"/>
      <c r="J506" s="104"/>
      <c r="K506" s="105"/>
      <c r="L506" s="106"/>
      <c r="M506" s="104"/>
      <c r="N506" s="104"/>
      <c r="O506" s="104"/>
      <c r="P506" s="104"/>
      <c r="Q506" s="104"/>
      <c r="R506" s="106"/>
      <c r="S506" s="104"/>
      <c r="T506" s="104"/>
      <c r="U506" s="104"/>
      <c r="V506" s="104"/>
      <c r="W506" s="105"/>
      <c r="X506" s="104"/>
      <c r="Y506" s="104"/>
      <c r="Z506" s="104"/>
      <c r="AA506" s="104"/>
      <c r="AB506" s="104"/>
      <c r="AC506" s="104"/>
      <c r="AD506" s="104"/>
      <c r="AE506" s="104"/>
      <c r="AF506" s="104"/>
      <c r="AG506" s="104"/>
      <c r="AH506" s="104"/>
      <c r="AI506" s="104"/>
      <c r="AJ506" s="104"/>
      <c r="AK506" s="104"/>
      <c r="AL506" s="104"/>
      <c r="AM506" s="104"/>
      <c r="AN506" s="104"/>
      <c r="AO506" s="104"/>
      <c r="AP506" s="104"/>
      <c r="AQ506" s="104"/>
      <c r="AR506" s="104"/>
      <c r="AS506" s="104"/>
      <c r="AT506" s="104"/>
      <c r="AU506" s="104"/>
      <c r="AV506" s="104"/>
      <c r="AW506" s="104"/>
      <c r="AX506" s="104"/>
      <c r="AY506" s="104"/>
      <c r="AZ506" s="104"/>
      <c r="BA506" s="104"/>
      <c r="BB506" s="104"/>
      <c r="BC506" s="104"/>
      <c r="BD506" s="104"/>
      <c r="BE506" s="104"/>
      <c r="BF506" s="104"/>
      <c r="BG506" s="104"/>
      <c r="BH506" s="104"/>
      <c r="BI506" s="104"/>
      <c r="BJ506" s="104"/>
      <c r="BK506" s="104"/>
      <c r="BL506" s="104"/>
      <c r="BM506" s="104"/>
      <c r="BN506" s="104"/>
    </row>
    <row r="507">
      <c r="A507" s="104"/>
      <c r="B507" s="104"/>
      <c r="C507" s="104"/>
      <c r="D507" s="104"/>
      <c r="E507" s="104"/>
      <c r="F507" s="104"/>
      <c r="G507" s="104"/>
      <c r="H507" s="104"/>
      <c r="I507" s="104"/>
      <c r="J507" s="104"/>
      <c r="K507" s="105"/>
      <c r="L507" s="106"/>
      <c r="M507" s="104"/>
      <c r="N507" s="104"/>
      <c r="O507" s="104"/>
      <c r="P507" s="104"/>
      <c r="Q507" s="104"/>
      <c r="R507" s="106"/>
      <c r="S507" s="104"/>
      <c r="T507" s="104"/>
      <c r="U507" s="104"/>
      <c r="V507" s="104"/>
      <c r="W507" s="105"/>
      <c r="X507" s="104"/>
      <c r="Y507" s="104"/>
      <c r="Z507" s="104"/>
      <c r="AA507" s="104"/>
      <c r="AB507" s="104"/>
      <c r="AC507" s="104"/>
      <c r="AD507" s="104"/>
      <c r="AE507" s="104"/>
      <c r="AF507" s="104"/>
      <c r="AG507" s="104"/>
      <c r="AH507" s="104"/>
      <c r="AI507" s="104"/>
      <c r="AJ507" s="104"/>
      <c r="AK507" s="104"/>
      <c r="AL507" s="104"/>
      <c r="AM507" s="104"/>
      <c r="AN507" s="104"/>
      <c r="AO507" s="104"/>
      <c r="AP507" s="104"/>
      <c r="AQ507" s="104"/>
      <c r="AR507" s="104"/>
      <c r="AS507" s="104"/>
      <c r="AT507" s="104"/>
      <c r="AU507" s="104"/>
      <c r="AV507" s="104"/>
      <c r="AW507" s="104"/>
      <c r="AX507" s="104"/>
      <c r="AY507" s="104"/>
      <c r="AZ507" s="104"/>
      <c r="BA507" s="104"/>
      <c r="BB507" s="104"/>
      <c r="BC507" s="104"/>
      <c r="BD507" s="104"/>
      <c r="BE507" s="104"/>
      <c r="BF507" s="104"/>
      <c r="BG507" s="104"/>
      <c r="BH507" s="104"/>
      <c r="BI507" s="104"/>
      <c r="BJ507" s="104"/>
      <c r="BK507" s="104"/>
      <c r="BL507" s="104"/>
      <c r="BM507" s="104"/>
      <c r="BN507" s="104"/>
    </row>
    <row r="508">
      <c r="A508" s="104"/>
      <c r="B508" s="104"/>
      <c r="C508" s="104"/>
      <c r="D508" s="104"/>
      <c r="E508" s="104"/>
      <c r="F508" s="104"/>
      <c r="G508" s="104"/>
      <c r="H508" s="104"/>
      <c r="I508" s="104"/>
      <c r="J508" s="104"/>
      <c r="K508" s="105"/>
      <c r="L508" s="106"/>
      <c r="M508" s="104"/>
      <c r="N508" s="104"/>
      <c r="O508" s="104"/>
      <c r="P508" s="104"/>
      <c r="Q508" s="104"/>
      <c r="R508" s="106"/>
      <c r="S508" s="104"/>
      <c r="T508" s="104"/>
      <c r="U508" s="104"/>
      <c r="V508" s="104"/>
      <c r="W508" s="105"/>
      <c r="X508" s="104"/>
      <c r="Y508" s="104"/>
      <c r="Z508" s="104"/>
      <c r="AA508" s="104"/>
      <c r="AB508" s="104"/>
      <c r="AC508" s="104"/>
      <c r="AD508" s="104"/>
      <c r="AE508" s="104"/>
      <c r="AF508" s="104"/>
      <c r="AG508" s="104"/>
      <c r="AH508" s="104"/>
      <c r="AI508" s="104"/>
      <c r="AJ508" s="104"/>
      <c r="AK508" s="104"/>
      <c r="AL508" s="104"/>
      <c r="AM508" s="104"/>
      <c r="AN508" s="104"/>
      <c r="AO508" s="104"/>
      <c r="AP508" s="104"/>
      <c r="AQ508" s="104"/>
      <c r="AR508" s="104"/>
      <c r="AS508" s="104"/>
      <c r="AT508" s="104"/>
      <c r="AU508" s="104"/>
      <c r="AV508" s="104"/>
      <c r="AW508" s="104"/>
      <c r="AX508" s="104"/>
      <c r="AY508" s="104"/>
      <c r="AZ508" s="104"/>
      <c r="BA508" s="104"/>
      <c r="BB508" s="104"/>
      <c r="BC508" s="104"/>
      <c r="BD508" s="104"/>
      <c r="BE508" s="104"/>
      <c r="BF508" s="104"/>
      <c r="BG508" s="104"/>
      <c r="BH508" s="104"/>
      <c r="BI508" s="104"/>
      <c r="BJ508" s="104"/>
      <c r="BK508" s="104"/>
      <c r="BL508" s="104"/>
      <c r="BM508" s="104"/>
      <c r="BN508" s="104"/>
    </row>
    <row r="509">
      <c r="A509" s="104"/>
      <c r="B509" s="104"/>
      <c r="C509" s="104"/>
      <c r="D509" s="104"/>
      <c r="E509" s="104"/>
      <c r="F509" s="104"/>
      <c r="G509" s="104"/>
      <c r="H509" s="104"/>
      <c r="I509" s="104"/>
      <c r="J509" s="104"/>
      <c r="K509" s="105"/>
      <c r="L509" s="106"/>
      <c r="M509" s="104"/>
      <c r="N509" s="104"/>
      <c r="O509" s="104"/>
      <c r="P509" s="104"/>
      <c r="Q509" s="104"/>
      <c r="R509" s="106"/>
      <c r="S509" s="104"/>
      <c r="T509" s="104"/>
      <c r="U509" s="104"/>
      <c r="V509" s="104"/>
      <c r="W509" s="105"/>
      <c r="X509" s="104"/>
      <c r="Y509" s="104"/>
      <c r="Z509" s="104"/>
      <c r="AA509" s="104"/>
      <c r="AB509" s="104"/>
      <c r="AC509" s="104"/>
      <c r="AD509" s="104"/>
      <c r="AE509" s="104"/>
      <c r="AF509" s="104"/>
      <c r="AG509" s="104"/>
      <c r="AH509" s="104"/>
      <c r="AI509" s="104"/>
      <c r="AJ509" s="104"/>
      <c r="AK509" s="104"/>
      <c r="AL509" s="104"/>
      <c r="AM509" s="104"/>
      <c r="AN509" s="104"/>
      <c r="AO509" s="104"/>
      <c r="AP509" s="104"/>
      <c r="AQ509" s="104"/>
      <c r="AR509" s="104"/>
      <c r="AS509" s="104"/>
      <c r="AT509" s="104"/>
      <c r="AU509" s="104"/>
      <c r="AV509" s="104"/>
      <c r="AW509" s="104"/>
      <c r="AX509" s="104"/>
      <c r="AY509" s="104"/>
      <c r="AZ509" s="104"/>
      <c r="BA509" s="104"/>
      <c r="BB509" s="104"/>
      <c r="BC509" s="104"/>
      <c r="BD509" s="104"/>
      <c r="BE509" s="104"/>
      <c r="BF509" s="104"/>
      <c r="BG509" s="104"/>
      <c r="BH509" s="104"/>
      <c r="BI509" s="104"/>
      <c r="BJ509" s="104"/>
      <c r="BK509" s="104"/>
      <c r="BL509" s="104"/>
      <c r="BM509" s="104"/>
      <c r="BN509" s="104"/>
    </row>
    <row r="510">
      <c r="A510" s="104"/>
      <c r="B510" s="104"/>
      <c r="C510" s="104"/>
      <c r="D510" s="104"/>
      <c r="E510" s="104"/>
      <c r="F510" s="104"/>
      <c r="G510" s="104"/>
      <c r="H510" s="104"/>
      <c r="I510" s="104"/>
      <c r="J510" s="104"/>
      <c r="K510" s="105"/>
      <c r="L510" s="106"/>
      <c r="M510" s="104"/>
      <c r="N510" s="104"/>
      <c r="O510" s="104"/>
      <c r="P510" s="104"/>
      <c r="Q510" s="104"/>
      <c r="R510" s="106"/>
      <c r="S510" s="104"/>
      <c r="T510" s="104"/>
      <c r="U510" s="104"/>
      <c r="V510" s="104"/>
      <c r="W510" s="105"/>
      <c r="X510" s="104"/>
      <c r="Y510" s="104"/>
      <c r="Z510" s="104"/>
      <c r="AA510" s="104"/>
      <c r="AB510" s="104"/>
      <c r="AC510" s="104"/>
      <c r="AD510" s="104"/>
      <c r="AE510" s="104"/>
      <c r="AF510" s="104"/>
      <c r="AG510" s="104"/>
      <c r="AH510" s="104"/>
      <c r="AI510" s="104"/>
      <c r="AJ510" s="104"/>
      <c r="AK510" s="104"/>
      <c r="AL510" s="104"/>
      <c r="AM510" s="104"/>
      <c r="AN510" s="104"/>
      <c r="AO510" s="104"/>
      <c r="AP510" s="104"/>
      <c r="AQ510" s="104"/>
      <c r="AR510" s="104"/>
      <c r="AS510" s="104"/>
      <c r="AT510" s="104"/>
      <c r="AU510" s="104"/>
      <c r="AV510" s="104"/>
      <c r="AW510" s="104"/>
      <c r="AX510" s="104"/>
      <c r="AY510" s="104"/>
      <c r="AZ510" s="104"/>
      <c r="BA510" s="104"/>
      <c r="BB510" s="104"/>
      <c r="BC510" s="104"/>
      <c r="BD510" s="104"/>
      <c r="BE510" s="104"/>
      <c r="BF510" s="104"/>
      <c r="BG510" s="104"/>
      <c r="BH510" s="104"/>
      <c r="BI510" s="104"/>
      <c r="BJ510" s="104"/>
      <c r="BK510" s="104"/>
      <c r="BL510" s="104"/>
      <c r="BM510" s="104"/>
      <c r="BN510" s="104"/>
    </row>
    <row r="511">
      <c r="A511" s="104"/>
      <c r="B511" s="104"/>
      <c r="C511" s="104"/>
      <c r="D511" s="104"/>
      <c r="E511" s="104"/>
      <c r="F511" s="104"/>
      <c r="G511" s="104"/>
      <c r="H511" s="104"/>
      <c r="I511" s="104"/>
      <c r="J511" s="104"/>
      <c r="K511" s="105"/>
      <c r="L511" s="106"/>
      <c r="M511" s="104"/>
      <c r="N511" s="104"/>
      <c r="O511" s="104"/>
      <c r="P511" s="104"/>
      <c r="Q511" s="104"/>
      <c r="R511" s="106"/>
      <c r="S511" s="104"/>
      <c r="T511" s="104"/>
      <c r="U511" s="104"/>
      <c r="V511" s="104"/>
      <c r="W511" s="105"/>
      <c r="X511" s="104"/>
      <c r="Y511" s="104"/>
      <c r="Z511" s="104"/>
      <c r="AA511" s="104"/>
      <c r="AB511" s="104"/>
      <c r="AC511" s="104"/>
      <c r="AD511" s="104"/>
      <c r="AE511" s="104"/>
      <c r="AF511" s="104"/>
      <c r="AG511" s="104"/>
      <c r="AH511" s="104"/>
      <c r="AI511" s="104"/>
      <c r="AJ511" s="104"/>
      <c r="AK511" s="104"/>
      <c r="AL511" s="104"/>
      <c r="AM511" s="104"/>
      <c r="AN511" s="104"/>
      <c r="AO511" s="104"/>
      <c r="AP511" s="104"/>
      <c r="AQ511" s="104"/>
      <c r="AR511" s="104"/>
      <c r="AS511" s="104"/>
      <c r="AT511" s="104"/>
      <c r="AU511" s="104"/>
      <c r="AV511" s="104"/>
      <c r="AW511" s="104"/>
      <c r="AX511" s="104"/>
      <c r="AY511" s="104"/>
      <c r="AZ511" s="104"/>
      <c r="BA511" s="104"/>
      <c r="BB511" s="104"/>
      <c r="BC511" s="104"/>
      <c r="BD511" s="104"/>
      <c r="BE511" s="104"/>
      <c r="BF511" s="104"/>
      <c r="BG511" s="104"/>
      <c r="BH511" s="104"/>
      <c r="BI511" s="104"/>
      <c r="BJ511" s="104"/>
      <c r="BK511" s="104"/>
      <c r="BL511" s="104"/>
      <c r="BM511" s="104"/>
      <c r="BN511" s="104"/>
    </row>
    <row r="512">
      <c r="A512" s="104"/>
      <c r="B512" s="104"/>
      <c r="C512" s="104"/>
      <c r="D512" s="104"/>
      <c r="E512" s="104"/>
      <c r="F512" s="104"/>
      <c r="G512" s="104"/>
      <c r="H512" s="104"/>
      <c r="I512" s="104"/>
      <c r="J512" s="104"/>
      <c r="K512" s="105"/>
      <c r="L512" s="106"/>
      <c r="M512" s="104"/>
      <c r="N512" s="104"/>
      <c r="O512" s="104"/>
      <c r="P512" s="104"/>
      <c r="Q512" s="104"/>
      <c r="R512" s="106"/>
      <c r="S512" s="104"/>
      <c r="T512" s="104"/>
      <c r="U512" s="104"/>
      <c r="V512" s="104"/>
      <c r="W512" s="105"/>
      <c r="X512" s="104"/>
      <c r="Y512" s="104"/>
      <c r="Z512" s="104"/>
      <c r="AA512" s="104"/>
      <c r="AB512" s="104"/>
      <c r="AC512" s="104"/>
      <c r="AD512" s="104"/>
      <c r="AE512" s="104"/>
      <c r="AF512" s="104"/>
      <c r="AG512" s="104"/>
      <c r="AH512" s="104"/>
      <c r="AI512" s="104"/>
      <c r="AJ512" s="104"/>
      <c r="AK512" s="104"/>
      <c r="AL512" s="104"/>
      <c r="AM512" s="104"/>
      <c r="AN512" s="104"/>
      <c r="AO512" s="104"/>
      <c r="AP512" s="104"/>
      <c r="AQ512" s="104"/>
      <c r="AR512" s="104"/>
      <c r="AS512" s="104"/>
      <c r="AT512" s="104"/>
      <c r="AU512" s="104"/>
      <c r="AV512" s="104"/>
      <c r="AW512" s="104"/>
      <c r="AX512" s="104"/>
      <c r="AY512" s="104"/>
      <c r="AZ512" s="104"/>
      <c r="BA512" s="104"/>
      <c r="BB512" s="104"/>
      <c r="BC512" s="104"/>
      <c r="BD512" s="104"/>
      <c r="BE512" s="104"/>
      <c r="BF512" s="104"/>
      <c r="BG512" s="104"/>
      <c r="BH512" s="104"/>
      <c r="BI512" s="104"/>
      <c r="BJ512" s="104"/>
      <c r="BK512" s="104"/>
      <c r="BL512" s="104"/>
      <c r="BM512" s="104"/>
      <c r="BN512" s="104"/>
    </row>
    <row r="513">
      <c r="A513" s="104"/>
      <c r="B513" s="104"/>
      <c r="C513" s="104"/>
      <c r="D513" s="104"/>
      <c r="E513" s="104"/>
      <c r="F513" s="104"/>
      <c r="G513" s="104"/>
      <c r="H513" s="104"/>
      <c r="I513" s="104"/>
      <c r="J513" s="104"/>
      <c r="K513" s="105"/>
      <c r="L513" s="106"/>
      <c r="M513" s="104"/>
      <c r="N513" s="104"/>
      <c r="O513" s="104"/>
      <c r="P513" s="104"/>
      <c r="Q513" s="104"/>
      <c r="R513" s="106"/>
      <c r="S513" s="104"/>
      <c r="T513" s="104"/>
      <c r="U513" s="104"/>
      <c r="V513" s="104"/>
      <c r="W513" s="105"/>
      <c r="X513" s="104"/>
      <c r="Y513" s="104"/>
      <c r="Z513" s="104"/>
      <c r="AA513" s="104"/>
      <c r="AB513" s="104"/>
      <c r="AC513" s="104"/>
      <c r="AD513" s="104"/>
      <c r="AE513" s="104"/>
      <c r="AF513" s="104"/>
      <c r="AG513" s="104"/>
      <c r="AH513" s="104"/>
      <c r="AI513" s="104"/>
      <c r="AJ513" s="104"/>
      <c r="AK513" s="104"/>
      <c r="AL513" s="104"/>
      <c r="AM513" s="104"/>
      <c r="AN513" s="104"/>
      <c r="AO513" s="104"/>
      <c r="AP513" s="104"/>
      <c r="AQ513" s="104"/>
      <c r="AR513" s="104"/>
      <c r="AS513" s="104"/>
      <c r="AT513" s="104"/>
      <c r="AU513" s="104"/>
      <c r="AV513" s="104"/>
      <c r="AW513" s="104"/>
      <c r="AX513" s="104"/>
      <c r="AY513" s="104"/>
      <c r="AZ513" s="104"/>
      <c r="BA513" s="104"/>
      <c r="BB513" s="104"/>
      <c r="BC513" s="104"/>
      <c r="BD513" s="104"/>
      <c r="BE513" s="104"/>
      <c r="BF513" s="104"/>
      <c r="BG513" s="104"/>
      <c r="BH513" s="104"/>
      <c r="BI513" s="104"/>
      <c r="BJ513" s="104"/>
      <c r="BK513" s="104"/>
      <c r="BL513" s="104"/>
      <c r="BM513" s="104"/>
      <c r="BN513" s="104"/>
    </row>
    <row r="514">
      <c r="A514" s="104"/>
      <c r="B514" s="104"/>
      <c r="C514" s="104"/>
      <c r="D514" s="104"/>
      <c r="E514" s="104"/>
      <c r="F514" s="104"/>
      <c r="G514" s="104"/>
      <c r="H514" s="104"/>
      <c r="I514" s="104"/>
      <c r="J514" s="104"/>
      <c r="K514" s="105"/>
      <c r="L514" s="106"/>
      <c r="M514" s="104"/>
      <c r="N514" s="104"/>
      <c r="O514" s="104"/>
      <c r="P514" s="104"/>
      <c r="Q514" s="104"/>
      <c r="R514" s="106"/>
      <c r="S514" s="104"/>
      <c r="T514" s="104"/>
      <c r="U514" s="104"/>
      <c r="V514" s="104"/>
      <c r="W514" s="105"/>
      <c r="X514" s="104"/>
      <c r="Y514" s="104"/>
      <c r="Z514" s="104"/>
      <c r="AA514" s="104"/>
      <c r="AB514" s="104"/>
      <c r="AC514" s="104"/>
      <c r="AD514" s="104"/>
      <c r="AE514" s="104"/>
      <c r="AF514" s="104"/>
      <c r="AG514" s="104"/>
      <c r="AH514" s="104"/>
      <c r="AI514" s="104"/>
      <c r="AJ514" s="104"/>
      <c r="AK514" s="104"/>
      <c r="AL514" s="104"/>
      <c r="AM514" s="104"/>
      <c r="AN514" s="104"/>
      <c r="AO514" s="104"/>
      <c r="AP514" s="104"/>
      <c r="AQ514" s="104"/>
      <c r="AR514" s="104"/>
      <c r="AS514" s="104"/>
      <c r="AT514" s="104"/>
      <c r="AU514" s="104"/>
      <c r="AV514" s="104"/>
      <c r="AW514" s="104"/>
      <c r="AX514" s="104"/>
      <c r="AY514" s="104"/>
      <c r="AZ514" s="104"/>
      <c r="BA514" s="104"/>
      <c r="BB514" s="104"/>
      <c r="BC514" s="104"/>
      <c r="BD514" s="104"/>
      <c r="BE514" s="104"/>
      <c r="BF514" s="104"/>
      <c r="BG514" s="104"/>
      <c r="BH514" s="104"/>
      <c r="BI514" s="104"/>
      <c r="BJ514" s="104"/>
      <c r="BK514" s="104"/>
      <c r="BL514" s="104"/>
      <c r="BM514" s="104"/>
      <c r="BN514" s="104"/>
    </row>
    <row r="515">
      <c r="A515" s="104"/>
      <c r="B515" s="104"/>
      <c r="C515" s="104"/>
      <c r="D515" s="104"/>
      <c r="E515" s="104"/>
      <c r="F515" s="104"/>
      <c r="G515" s="104"/>
      <c r="H515" s="104"/>
      <c r="I515" s="104"/>
      <c r="J515" s="104"/>
      <c r="K515" s="105"/>
      <c r="L515" s="106"/>
      <c r="M515" s="104"/>
      <c r="N515" s="104"/>
      <c r="O515" s="104"/>
      <c r="P515" s="104"/>
      <c r="Q515" s="104"/>
      <c r="R515" s="106"/>
      <c r="S515" s="104"/>
      <c r="T515" s="104"/>
      <c r="U515" s="104"/>
      <c r="V515" s="104"/>
      <c r="W515" s="105"/>
      <c r="X515" s="104"/>
      <c r="Y515" s="104"/>
      <c r="Z515" s="104"/>
      <c r="AA515" s="104"/>
      <c r="AB515" s="104"/>
      <c r="AC515" s="104"/>
      <c r="AD515" s="104"/>
      <c r="AE515" s="104"/>
      <c r="AF515" s="104"/>
      <c r="AG515" s="104"/>
      <c r="AH515" s="104"/>
      <c r="AI515" s="104"/>
      <c r="AJ515" s="104"/>
      <c r="AK515" s="104"/>
      <c r="AL515" s="104"/>
      <c r="AM515" s="104"/>
      <c r="AN515" s="104"/>
      <c r="AO515" s="104"/>
      <c r="AP515" s="104"/>
      <c r="AQ515" s="104"/>
      <c r="AR515" s="104"/>
      <c r="AS515" s="104"/>
      <c r="AT515" s="104"/>
      <c r="AU515" s="104"/>
      <c r="AV515" s="104"/>
      <c r="AW515" s="104"/>
      <c r="AX515" s="104"/>
      <c r="AY515" s="104"/>
      <c r="AZ515" s="104"/>
      <c r="BA515" s="104"/>
      <c r="BB515" s="104"/>
      <c r="BC515" s="104"/>
      <c r="BD515" s="104"/>
      <c r="BE515" s="104"/>
      <c r="BF515" s="104"/>
      <c r="BG515" s="104"/>
      <c r="BH515" s="104"/>
      <c r="BI515" s="104"/>
      <c r="BJ515" s="104"/>
      <c r="BK515" s="104"/>
      <c r="BL515" s="104"/>
      <c r="BM515" s="104"/>
      <c r="BN515" s="104"/>
    </row>
    <row r="516">
      <c r="A516" s="104"/>
      <c r="B516" s="104"/>
      <c r="C516" s="104"/>
      <c r="D516" s="104"/>
      <c r="E516" s="104"/>
      <c r="F516" s="104"/>
      <c r="G516" s="104"/>
      <c r="H516" s="104"/>
      <c r="I516" s="104"/>
      <c r="J516" s="104"/>
      <c r="K516" s="105"/>
      <c r="L516" s="106"/>
      <c r="M516" s="104"/>
      <c r="N516" s="104"/>
      <c r="O516" s="104"/>
      <c r="P516" s="104"/>
      <c r="Q516" s="104"/>
      <c r="R516" s="106"/>
      <c r="S516" s="104"/>
      <c r="T516" s="104"/>
      <c r="U516" s="104"/>
      <c r="V516" s="104"/>
      <c r="W516" s="105"/>
      <c r="X516" s="104"/>
      <c r="Y516" s="104"/>
      <c r="Z516" s="104"/>
      <c r="AA516" s="104"/>
      <c r="AB516" s="104"/>
      <c r="AC516" s="104"/>
      <c r="AD516" s="104"/>
      <c r="AE516" s="104"/>
      <c r="AF516" s="104"/>
      <c r="AG516" s="104"/>
      <c r="AH516" s="104"/>
      <c r="AI516" s="104"/>
      <c r="AJ516" s="104"/>
      <c r="AK516" s="104"/>
      <c r="AL516" s="104"/>
      <c r="AM516" s="104"/>
      <c r="AN516" s="104"/>
      <c r="AO516" s="104"/>
      <c r="AP516" s="104"/>
      <c r="AQ516" s="104"/>
      <c r="AR516" s="104"/>
      <c r="AS516" s="104"/>
      <c r="AT516" s="104"/>
      <c r="AU516" s="104"/>
      <c r="AV516" s="104"/>
      <c r="AW516" s="104"/>
      <c r="AX516" s="104"/>
      <c r="AY516" s="104"/>
      <c r="AZ516" s="104"/>
      <c r="BA516" s="104"/>
      <c r="BB516" s="104"/>
      <c r="BC516" s="104"/>
      <c r="BD516" s="104"/>
      <c r="BE516" s="104"/>
      <c r="BF516" s="104"/>
      <c r="BG516" s="104"/>
      <c r="BH516" s="104"/>
      <c r="BI516" s="104"/>
      <c r="BJ516" s="104"/>
      <c r="BK516" s="104"/>
      <c r="BL516" s="104"/>
      <c r="BM516" s="104"/>
      <c r="BN516" s="104"/>
    </row>
    <row r="517">
      <c r="A517" s="104"/>
      <c r="B517" s="104"/>
      <c r="C517" s="104"/>
      <c r="D517" s="104"/>
      <c r="E517" s="104"/>
      <c r="F517" s="104"/>
      <c r="G517" s="104"/>
      <c r="H517" s="104"/>
      <c r="I517" s="104"/>
      <c r="J517" s="104"/>
      <c r="K517" s="105"/>
      <c r="L517" s="106"/>
      <c r="M517" s="104"/>
      <c r="N517" s="104"/>
      <c r="O517" s="104"/>
      <c r="P517" s="104"/>
      <c r="Q517" s="104"/>
      <c r="R517" s="106"/>
      <c r="S517" s="104"/>
      <c r="T517" s="104"/>
      <c r="U517" s="104"/>
      <c r="V517" s="104"/>
      <c r="W517" s="105"/>
      <c r="X517" s="104"/>
      <c r="Y517" s="104"/>
      <c r="Z517" s="104"/>
      <c r="AA517" s="104"/>
      <c r="AB517" s="104"/>
      <c r="AC517" s="104"/>
      <c r="AD517" s="104"/>
      <c r="AE517" s="104"/>
      <c r="AF517" s="104"/>
      <c r="AG517" s="104"/>
      <c r="AH517" s="104"/>
      <c r="AI517" s="104"/>
      <c r="AJ517" s="104"/>
      <c r="AK517" s="104"/>
      <c r="AL517" s="104"/>
      <c r="AM517" s="104"/>
      <c r="AN517" s="104"/>
      <c r="AO517" s="104"/>
      <c r="AP517" s="104"/>
      <c r="AQ517" s="104"/>
      <c r="AR517" s="104"/>
      <c r="AS517" s="104"/>
      <c r="AT517" s="104"/>
      <c r="AU517" s="104"/>
      <c r="AV517" s="104"/>
      <c r="AW517" s="104"/>
      <c r="AX517" s="104"/>
      <c r="AY517" s="104"/>
      <c r="AZ517" s="104"/>
      <c r="BA517" s="104"/>
      <c r="BB517" s="104"/>
      <c r="BC517" s="104"/>
      <c r="BD517" s="104"/>
      <c r="BE517" s="104"/>
      <c r="BF517" s="104"/>
      <c r="BG517" s="104"/>
      <c r="BH517" s="104"/>
      <c r="BI517" s="104"/>
      <c r="BJ517" s="104"/>
      <c r="BK517" s="104"/>
      <c r="BL517" s="104"/>
      <c r="BM517" s="104"/>
      <c r="BN517" s="104"/>
    </row>
    <row r="518">
      <c r="A518" s="104"/>
      <c r="B518" s="104"/>
      <c r="C518" s="104"/>
      <c r="D518" s="104"/>
      <c r="E518" s="104"/>
      <c r="F518" s="104"/>
      <c r="G518" s="104"/>
      <c r="H518" s="104"/>
      <c r="I518" s="104"/>
      <c r="J518" s="104"/>
      <c r="K518" s="105"/>
      <c r="L518" s="106"/>
      <c r="M518" s="104"/>
      <c r="N518" s="104"/>
      <c r="O518" s="104"/>
      <c r="P518" s="104"/>
      <c r="Q518" s="104"/>
      <c r="R518" s="106"/>
      <c r="S518" s="104"/>
      <c r="T518" s="104"/>
      <c r="U518" s="104"/>
      <c r="V518" s="104"/>
      <c r="W518" s="105"/>
      <c r="X518" s="104"/>
      <c r="Y518" s="104"/>
      <c r="Z518" s="104"/>
      <c r="AA518" s="104"/>
      <c r="AB518" s="104"/>
      <c r="AC518" s="104"/>
      <c r="AD518" s="104"/>
      <c r="AE518" s="104"/>
      <c r="AF518" s="104"/>
      <c r="AG518" s="104"/>
      <c r="AH518" s="104"/>
      <c r="AI518" s="104"/>
      <c r="AJ518" s="104"/>
      <c r="AK518" s="104"/>
      <c r="AL518" s="104"/>
      <c r="AM518" s="104"/>
      <c r="AN518" s="104"/>
      <c r="AO518" s="104"/>
      <c r="AP518" s="104"/>
      <c r="AQ518" s="104"/>
      <c r="AR518" s="104"/>
      <c r="AS518" s="104"/>
      <c r="AT518" s="104"/>
      <c r="AU518" s="104"/>
      <c r="AV518" s="104"/>
      <c r="AW518" s="104"/>
      <c r="AX518" s="104"/>
      <c r="AY518" s="104"/>
      <c r="AZ518" s="104"/>
      <c r="BA518" s="104"/>
      <c r="BB518" s="104"/>
      <c r="BC518" s="104"/>
      <c r="BD518" s="104"/>
      <c r="BE518" s="104"/>
      <c r="BF518" s="104"/>
      <c r="BG518" s="104"/>
      <c r="BH518" s="104"/>
      <c r="BI518" s="104"/>
      <c r="BJ518" s="104"/>
      <c r="BK518" s="104"/>
      <c r="BL518" s="104"/>
      <c r="BM518" s="104"/>
      <c r="BN518" s="104"/>
    </row>
    <row r="519">
      <c r="A519" s="104"/>
      <c r="B519" s="104"/>
      <c r="C519" s="104"/>
      <c r="D519" s="104"/>
      <c r="E519" s="104"/>
      <c r="F519" s="104"/>
      <c r="G519" s="104"/>
      <c r="H519" s="104"/>
      <c r="I519" s="104"/>
      <c r="J519" s="104"/>
      <c r="K519" s="105"/>
      <c r="L519" s="106"/>
      <c r="M519" s="104"/>
      <c r="N519" s="104"/>
      <c r="O519" s="104"/>
      <c r="P519" s="104"/>
      <c r="Q519" s="104"/>
      <c r="R519" s="106"/>
      <c r="S519" s="104"/>
      <c r="T519" s="104"/>
      <c r="U519" s="104"/>
      <c r="V519" s="104"/>
      <c r="W519" s="105"/>
      <c r="X519" s="104"/>
      <c r="Y519" s="104"/>
      <c r="Z519" s="104"/>
      <c r="AA519" s="104"/>
      <c r="AB519" s="104"/>
      <c r="AC519" s="104"/>
      <c r="AD519" s="104"/>
      <c r="AE519" s="104"/>
      <c r="AF519" s="104"/>
      <c r="AG519" s="104"/>
      <c r="AH519" s="104"/>
      <c r="AI519" s="104"/>
      <c r="AJ519" s="104"/>
      <c r="AK519" s="104"/>
      <c r="AL519" s="104"/>
      <c r="AM519" s="104"/>
      <c r="AN519" s="104"/>
      <c r="AO519" s="104"/>
      <c r="AP519" s="104"/>
      <c r="AQ519" s="104"/>
      <c r="AR519" s="104"/>
      <c r="AS519" s="104"/>
      <c r="AT519" s="104"/>
      <c r="AU519" s="104"/>
      <c r="AV519" s="104"/>
      <c r="AW519" s="104"/>
      <c r="AX519" s="104"/>
      <c r="AY519" s="104"/>
      <c r="AZ519" s="104"/>
      <c r="BA519" s="104"/>
      <c r="BB519" s="104"/>
      <c r="BC519" s="104"/>
      <c r="BD519" s="104"/>
      <c r="BE519" s="104"/>
      <c r="BF519" s="104"/>
      <c r="BG519" s="104"/>
      <c r="BH519" s="104"/>
      <c r="BI519" s="104"/>
      <c r="BJ519" s="104"/>
      <c r="BK519" s="104"/>
      <c r="BL519" s="104"/>
      <c r="BM519" s="104"/>
      <c r="BN519" s="104"/>
    </row>
    <row r="520">
      <c r="A520" s="104"/>
      <c r="B520" s="104"/>
      <c r="C520" s="104"/>
      <c r="D520" s="104"/>
      <c r="E520" s="104"/>
      <c r="F520" s="104"/>
      <c r="G520" s="104"/>
      <c r="H520" s="104"/>
      <c r="I520" s="104"/>
      <c r="J520" s="104"/>
      <c r="K520" s="105"/>
      <c r="L520" s="106"/>
      <c r="M520" s="104"/>
      <c r="N520" s="104"/>
      <c r="O520" s="104"/>
      <c r="P520" s="104"/>
      <c r="Q520" s="104"/>
      <c r="R520" s="106"/>
      <c r="S520" s="104"/>
      <c r="T520" s="104"/>
      <c r="U520" s="104"/>
      <c r="V520" s="104"/>
      <c r="W520" s="105"/>
      <c r="X520" s="104"/>
      <c r="Y520" s="104"/>
      <c r="Z520" s="104"/>
      <c r="AA520" s="104"/>
      <c r="AB520" s="104"/>
      <c r="AC520" s="104"/>
      <c r="AD520" s="104"/>
      <c r="AE520" s="104"/>
      <c r="AF520" s="104"/>
      <c r="AG520" s="104"/>
      <c r="AH520" s="104"/>
      <c r="AI520" s="104"/>
      <c r="AJ520" s="104"/>
      <c r="AK520" s="104"/>
      <c r="AL520" s="104"/>
      <c r="AM520" s="104"/>
      <c r="AN520" s="104"/>
      <c r="AO520" s="104"/>
      <c r="AP520" s="104"/>
      <c r="AQ520" s="104"/>
      <c r="AR520" s="104"/>
      <c r="AS520" s="104"/>
      <c r="AT520" s="104"/>
      <c r="AU520" s="104"/>
      <c r="AV520" s="104"/>
      <c r="AW520" s="104"/>
      <c r="AX520" s="104"/>
      <c r="AY520" s="104"/>
      <c r="AZ520" s="104"/>
      <c r="BA520" s="104"/>
      <c r="BB520" s="104"/>
      <c r="BC520" s="104"/>
      <c r="BD520" s="104"/>
      <c r="BE520" s="104"/>
      <c r="BF520" s="104"/>
      <c r="BG520" s="104"/>
      <c r="BH520" s="104"/>
      <c r="BI520" s="104"/>
      <c r="BJ520" s="104"/>
      <c r="BK520" s="104"/>
      <c r="BL520" s="104"/>
      <c r="BM520" s="104"/>
      <c r="BN520" s="104"/>
    </row>
    <row r="521">
      <c r="A521" s="104"/>
      <c r="B521" s="104"/>
      <c r="C521" s="104"/>
      <c r="D521" s="104"/>
      <c r="E521" s="104"/>
      <c r="F521" s="104"/>
      <c r="G521" s="104"/>
      <c r="H521" s="104"/>
      <c r="I521" s="104"/>
      <c r="J521" s="104"/>
      <c r="K521" s="105"/>
      <c r="L521" s="106"/>
      <c r="M521" s="104"/>
      <c r="N521" s="104"/>
      <c r="O521" s="104"/>
      <c r="P521" s="104"/>
      <c r="Q521" s="104"/>
      <c r="R521" s="106"/>
      <c r="S521" s="104"/>
      <c r="T521" s="104"/>
      <c r="U521" s="104"/>
      <c r="V521" s="104"/>
      <c r="W521" s="105"/>
      <c r="X521" s="104"/>
      <c r="Y521" s="104"/>
      <c r="Z521" s="104"/>
      <c r="AA521" s="104"/>
      <c r="AB521" s="104"/>
      <c r="AC521" s="104"/>
      <c r="AD521" s="104"/>
      <c r="AE521" s="104"/>
      <c r="AF521" s="104"/>
      <c r="AG521" s="104"/>
      <c r="AH521" s="104"/>
      <c r="AI521" s="104"/>
      <c r="AJ521" s="104"/>
      <c r="AK521" s="104"/>
      <c r="AL521" s="104"/>
      <c r="AM521" s="104"/>
      <c r="AN521" s="104"/>
      <c r="AO521" s="104"/>
      <c r="AP521" s="104"/>
      <c r="AQ521" s="104"/>
      <c r="AR521" s="104"/>
      <c r="AS521" s="104"/>
      <c r="AT521" s="104"/>
      <c r="AU521" s="104"/>
      <c r="AV521" s="104"/>
      <c r="AW521" s="104"/>
      <c r="AX521" s="104"/>
      <c r="AY521" s="104"/>
      <c r="AZ521" s="104"/>
      <c r="BA521" s="104"/>
      <c r="BB521" s="104"/>
      <c r="BC521" s="104"/>
      <c r="BD521" s="104"/>
      <c r="BE521" s="104"/>
      <c r="BF521" s="104"/>
      <c r="BG521" s="104"/>
      <c r="BH521" s="104"/>
      <c r="BI521" s="104"/>
      <c r="BJ521" s="104"/>
      <c r="BK521" s="104"/>
      <c r="BL521" s="104"/>
      <c r="BM521" s="104"/>
      <c r="BN521" s="104"/>
    </row>
    <row r="522">
      <c r="A522" s="104"/>
      <c r="B522" s="104"/>
      <c r="C522" s="104"/>
      <c r="D522" s="104"/>
      <c r="E522" s="104"/>
      <c r="F522" s="104"/>
      <c r="G522" s="104"/>
      <c r="H522" s="104"/>
      <c r="I522" s="104"/>
      <c r="J522" s="104"/>
      <c r="K522" s="105"/>
      <c r="L522" s="106"/>
      <c r="M522" s="104"/>
      <c r="N522" s="104"/>
      <c r="O522" s="104"/>
      <c r="P522" s="104"/>
      <c r="Q522" s="104"/>
      <c r="R522" s="106"/>
      <c r="S522" s="104"/>
      <c r="T522" s="104"/>
      <c r="U522" s="104"/>
      <c r="V522" s="104"/>
      <c r="W522" s="105"/>
      <c r="X522" s="104"/>
      <c r="Y522" s="104"/>
      <c r="Z522" s="104"/>
      <c r="AA522" s="104"/>
      <c r="AB522" s="104"/>
      <c r="AC522" s="104"/>
      <c r="AD522" s="104"/>
      <c r="AE522" s="104"/>
      <c r="AF522" s="104"/>
      <c r="AG522" s="104"/>
      <c r="AH522" s="104"/>
      <c r="AI522" s="104"/>
      <c r="AJ522" s="104"/>
      <c r="AK522" s="104"/>
      <c r="AL522" s="104"/>
      <c r="AM522" s="104"/>
      <c r="AN522" s="104"/>
      <c r="AO522" s="104"/>
      <c r="AP522" s="104"/>
      <c r="AQ522" s="104"/>
      <c r="AR522" s="104"/>
      <c r="AS522" s="104"/>
      <c r="AT522" s="104"/>
      <c r="AU522" s="104"/>
      <c r="AV522" s="104"/>
      <c r="AW522" s="104"/>
      <c r="AX522" s="104"/>
      <c r="AY522" s="104"/>
      <c r="AZ522" s="104"/>
      <c r="BA522" s="104"/>
      <c r="BB522" s="104"/>
      <c r="BC522" s="104"/>
      <c r="BD522" s="104"/>
      <c r="BE522" s="104"/>
      <c r="BF522" s="104"/>
      <c r="BG522" s="104"/>
      <c r="BH522" s="104"/>
      <c r="BI522" s="104"/>
      <c r="BJ522" s="104"/>
      <c r="BK522" s="104"/>
      <c r="BL522" s="104"/>
      <c r="BM522" s="104"/>
      <c r="BN522" s="104"/>
    </row>
    <row r="523">
      <c r="A523" s="104"/>
      <c r="B523" s="104"/>
      <c r="C523" s="104"/>
      <c r="D523" s="104"/>
      <c r="E523" s="104"/>
      <c r="F523" s="104"/>
      <c r="G523" s="104"/>
      <c r="H523" s="104"/>
      <c r="I523" s="104"/>
      <c r="J523" s="104"/>
      <c r="K523" s="105"/>
      <c r="L523" s="106"/>
      <c r="M523" s="104"/>
      <c r="N523" s="104"/>
      <c r="O523" s="104"/>
      <c r="P523" s="104"/>
      <c r="Q523" s="104"/>
      <c r="R523" s="106"/>
      <c r="S523" s="104"/>
      <c r="T523" s="104"/>
      <c r="U523" s="104"/>
      <c r="V523" s="104"/>
      <c r="W523" s="105"/>
      <c r="X523" s="104"/>
      <c r="Y523" s="104"/>
      <c r="Z523" s="104"/>
      <c r="AA523" s="104"/>
      <c r="AB523" s="104"/>
      <c r="AC523" s="104"/>
      <c r="AD523" s="104"/>
      <c r="AE523" s="104"/>
      <c r="AF523" s="104"/>
      <c r="AG523" s="104"/>
      <c r="AH523" s="104"/>
      <c r="AI523" s="104"/>
      <c r="AJ523" s="104"/>
      <c r="AK523" s="104"/>
      <c r="AL523" s="104"/>
      <c r="AM523" s="104"/>
      <c r="AN523" s="104"/>
      <c r="AO523" s="104"/>
      <c r="AP523" s="104"/>
      <c r="AQ523" s="104"/>
      <c r="AR523" s="104"/>
      <c r="AS523" s="104"/>
      <c r="AT523" s="104"/>
      <c r="AU523" s="104"/>
      <c r="AV523" s="104"/>
      <c r="AW523" s="104"/>
      <c r="AX523" s="104"/>
      <c r="AY523" s="104"/>
      <c r="AZ523" s="104"/>
      <c r="BA523" s="104"/>
      <c r="BB523" s="104"/>
      <c r="BC523" s="104"/>
      <c r="BD523" s="104"/>
      <c r="BE523" s="104"/>
      <c r="BF523" s="104"/>
      <c r="BG523" s="104"/>
      <c r="BH523" s="104"/>
      <c r="BI523" s="104"/>
      <c r="BJ523" s="104"/>
      <c r="BK523" s="104"/>
      <c r="BL523" s="104"/>
      <c r="BM523" s="104"/>
      <c r="BN523" s="104"/>
    </row>
    <row r="524">
      <c r="A524" s="104"/>
      <c r="B524" s="104"/>
      <c r="C524" s="104"/>
      <c r="D524" s="104"/>
      <c r="E524" s="104"/>
      <c r="F524" s="104"/>
      <c r="G524" s="104"/>
      <c r="H524" s="104"/>
      <c r="I524" s="104"/>
      <c r="J524" s="104"/>
      <c r="K524" s="105"/>
      <c r="L524" s="106"/>
      <c r="M524" s="104"/>
      <c r="N524" s="104"/>
      <c r="O524" s="104"/>
      <c r="P524" s="104"/>
      <c r="Q524" s="104"/>
      <c r="R524" s="106"/>
      <c r="S524" s="104"/>
      <c r="T524" s="104"/>
      <c r="U524" s="104"/>
      <c r="V524" s="104"/>
      <c r="W524" s="105"/>
      <c r="X524" s="104"/>
      <c r="Y524" s="104"/>
      <c r="Z524" s="104"/>
      <c r="AA524" s="104"/>
      <c r="AB524" s="104"/>
      <c r="AC524" s="104"/>
      <c r="AD524" s="104"/>
      <c r="AE524" s="104"/>
      <c r="AF524" s="104"/>
      <c r="AG524" s="104"/>
      <c r="AH524" s="104"/>
      <c r="AI524" s="104"/>
      <c r="AJ524" s="104"/>
      <c r="AK524" s="104"/>
      <c r="AL524" s="104"/>
      <c r="AM524" s="104"/>
      <c r="AN524" s="104"/>
      <c r="AO524" s="104"/>
      <c r="AP524" s="104"/>
      <c r="AQ524" s="104"/>
      <c r="AR524" s="104"/>
      <c r="AS524" s="104"/>
      <c r="AT524" s="104"/>
      <c r="AU524" s="104"/>
      <c r="AV524" s="104"/>
      <c r="AW524" s="104"/>
      <c r="AX524" s="104"/>
      <c r="AY524" s="104"/>
      <c r="AZ524" s="104"/>
      <c r="BA524" s="104"/>
      <c r="BB524" s="104"/>
      <c r="BC524" s="104"/>
      <c r="BD524" s="104"/>
      <c r="BE524" s="104"/>
      <c r="BF524" s="104"/>
      <c r="BG524" s="104"/>
      <c r="BH524" s="104"/>
      <c r="BI524" s="104"/>
      <c r="BJ524" s="104"/>
      <c r="BK524" s="104"/>
      <c r="BL524" s="104"/>
      <c r="BM524" s="104"/>
      <c r="BN524" s="104"/>
    </row>
    <row r="525">
      <c r="A525" s="104"/>
      <c r="B525" s="104"/>
      <c r="C525" s="104"/>
      <c r="D525" s="104"/>
      <c r="E525" s="104"/>
      <c r="F525" s="104"/>
      <c r="G525" s="104"/>
      <c r="H525" s="104"/>
      <c r="I525" s="104"/>
      <c r="J525" s="104"/>
      <c r="K525" s="105"/>
      <c r="L525" s="106"/>
      <c r="M525" s="104"/>
      <c r="N525" s="104"/>
      <c r="O525" s="104"/>
      <c r="P525" s="104"/>
      <c r="Q525" s="104"/>
      <c r="R525" s="106"/>
      <c r="S525" s="104"/>
      <c r="T525" s="104"/>
      <c r="U525" s="104"/>
      <c r="V525" s="104"/>
      <c r="W525" s="105"/>
      <c r="X525" s="104"/>
      <c r="Y525" s="104"/>
      <c r="Z525" s="104"/>
      <c r="AA525" s="104"/>
      <c r="AB525" s="104"/>
      <c r="AC525" s="104"/>
      <c r="AD525" s="104"/>
      <c r="AE525" s="104"/>
      <c r="AF525" s="104"/>
      <c r="AG525" s="104"/>
      <c r="AH525" s="104"/>
      <c r="AI525" s="104"/>
      <c r="AJ525" s="104"/>
      <c r="AK525" s="104"/>
      <c r="AL525" s="104"/>
      <c r="AM525" s="104"/>
      <c r="AN525" s="104"/>
      <c r="AO525" s="104"/>
      <c r="AP525" s="104"/>
      <c r="AQ525" s="104"/>
      <c r="AR525" s="104"/>
      <c r="AS525" s="104"/>
      <c r="AT525" s="104"/>
      <c r="AU525" s="104"/>
      <c r="AV525" s="104"/>
      <c r="AW525" s="104"/>
      <c r="AX525" s="104"/>
      <c r="AY525" s="104"/>
      <c r="AZ525" s="104"/>
      <c r="BA525" s="104"/>
      <c r="BB525" s="104"/>
      <c r="BC525" s="104"/>
      <c r="BD525" s="104"/>
      <c r="BE525" s="104"/>
      <c r="BF525" s="104"/>
      <c r="BG525" s="104"/>
      <c r="BH525" s="104"/>
      <c r="BI525" s="104"/>
      <c r="BJ525" s="104"/>
      <c r="BK525" s="104"/>
      <c r="BL525" s="104"/>
      <c r="BM525" s="104"/>
      <c r="BN525" s="104"/>
    </row>
    <row r="526">
      <c r="A526" s="104"/>
      <c r="B526" s="104"/>
      <c r="C526" s="104"/>
      <c r="D526" s="104"/>
      <c r="E526" s="104"/>
      <c r="F526" s="104"/>
      <c r="G526" s="104"/>
      <c r="H526" s="104"/>
      <c r="I526" s="104"/>
      <c r="J526" s="104"/>
      <c r="K526" s="105"/>
      <c r="L526" s="106"/>
      <c r="M526" s="104"/>
      <c r="N526" s="104"/>
      <c r="O526" s="104"/>
      <c r="P526" s="104"/>
      <c r="Q526" s="104"/>
      <c r="R526" s="106"/>
      <c r="S526" s="104"/>
      <c r="T526" s="104"/>
      <c r="U526" s="104"/>
      <c r="V526" s="104"/>
      <c r="W526" s="105"/>
      <c r="X526" s="104"/>
      <c r="Y526" s="104"/>
      <c r="Z526" s="104"/>
      <c r="AA526" s="104"/>
      <c r="AB526" s="104"/>
      <c r="AC526" s="104"/>
      <c r="AD526" s="104"/>
      <c r="AE526" s="104"/>
      <c r="AF526" s="104"/>
      <c r="AG526" s="104"/>
      <c r="AH526" s="104"/>
      <c r="AI526" s="104"/>
      <c r="AJ526" s="104"/>
      <c r="AK526" s="104"/>
      <c r="AL526" s="104"/>
      <c r="AM526" s="104"/>
      <c r="AN526" s="104"/>
      <c r="AO526" s="104"/>
      <c r="AP526" s="104"/>
      <c r="AQ526" s="104"/>
      <c r="AR526" s="104"/>
      <c r="AS526" s="104"/>
      <c r="AT526" s="104"/>
      <c r="AU526" s="104"/>
      <c r="AV526" s="104"/>
      <c r="AW526" s="104"/>
      <c r="AX526" s="104"/>
      <c r="AY526" s="104"/>
      <c r="AZ526" s="104"/>
      <c r="BA526" s="104"/>
      <c r="BB526" s="104"/>
      <c r="BC526" s="104"/>
      <c r="BD526" s="104"/>
      <c r="BE526" s="104"/>
      <c r="BF526" s="104"/>
      <c r="BG526" s="104"/>
      <c r="BH526" s="104"/>
      <c r="BI526" s="104"/>
      <c r="BJ526" s="104"/>
      <c r="BK526" s="104"/>
      <c r="BL526" s="104"/>
      <c r="BM526" s="104"/>
      <c r="BN526" s="104"/>
    </row>
    <row r="527">
      <c r="A527" s="104"/>
      <c r="B527" s="104"/>
      <c r="C527" s="104"/>
      <c r="D527" s="104"/>
      <c r="E527" s="104"/>
      <c r="F527" s="104"/>
      <c r="G527" s="104"/>
      <c r="H527" s="104"/>
      <c r="I527" s="104"/>
      <c r="J527" s="104"/>
      <c r="K527" s="105"/>
      <c r="L527" s="106"/>
      <c r="M527" s="104"/>
      <c r="N527" s="104"/>
      <c r="O527" s="104"/>
      <c r="P527" s="104"/>
      <c r="Q527" s="104"/>
      <c r="R527" s="106"/>
      <c r="S527" s="104"/>
      <c r="T527" s="104"/>
      <c r="U527" s="104"/>
      <c r="V527" s="104"/>
      <c r="W527" s="105"/>
      <c r="X527" s="104"/>
      <c r="Y527" s="104"/>
      <c r="Z527" s="104"/>
      <c r="AA527" s="104"/>
      <c r="AB527" s="104"/>
      <c r="AC527" s="104"/>
      <c r="AD527" s="104"/>
      <c r="AE527" s="104"/>
      <c r="AF527" s="104"/>
      <c r="AG527" s="104"/>
      <c r="AH527" s="104"/>
      <c r="AI527" s="104"/>
      <c r="AJ527" s="104"/>
      <c r="AK527" s="104"/>
      <c r="AL527" s="104"/>
      <c r="AM527" s="104"/>
      <c r="AN527" s="104"/>
      <c r="AO527" s="104"/>
      <c r="AP527" s="104"/>
      <c r="AQ527" s="104"/>
      <c r="AR527" s="104"/>
      <c r="AS527" s="104"/>
      <c r="AT527" s="104"/>
      <c r="AU527" s="104"/>
      <c r="AV527" s="104"/>
      <c r="AW527" s="104"/>
      <c r="AX527" s="104"/>
      <c r="AY527" s="104"/>
      <c r="AZ527" s="104"/>
      <c r="BA527" s="104"/>
      <c r="BB527" s="104"/>
      <c r="BC527" s="104"/>
      <c r="BD527" s="104"/>
      <c r="BE527" s="104"/>
      <c r="BF527" s="104"/>
      <c r="BG527" s="104"/>
      <c r="BH527" s="104"/>
      <c r="BI527" s="104"/>
      <c r="BJ527" s="104"/>
      <c r="BK527" s="104"/>
      <c r="BL527" s="104"/>
      <c r="BM527" s="104"/>
      <c r="BN527" s="104"/>
    </row>
    <row r="528">
      <c r="A528" s="104"/>
      <c r="B528" s="104"/>
      <c r="C528" s="104"/>
      <c r="D528" s="104"/>
      <c r="E528" s="104"/>
      <c r="F528" s="104"/>
      <c r="G528" s="104"/>
      <c r="H528" s="104"/>
      <c r="I528" s="104"/>
      <c r="J528" s="104"/>
      <c r="K528" s="105"/>
      <c r="L528" s="106"/>
      <c r="M528" s="104"/>
      <c r="N528" s="104"/>
      <c r="O528" s="104"/>
      <c r="P528" s="104"/>
      <c r="Q528" s="104"/>
      <c r="R528" s="106"/>
      <c r="S528" s="104"/>
      <c r="T528" s="104"/>
      <c r="U528" s="104"/>
      <c r="V528" s="104"/>
      <c r="W528" s="105"/>
      <c r="X528" s="104"/>
      <c r="Y528" s="104"/>
      <c r="Z528" s="104"/>
      <c r="AA528" s="104"/>
      <c r="AB528" s="104"/>
      <c r="AC528" s="104"/>
      <c r="AD528" s="104"/>
      <c r="AE528" s="104"/>
      <c r="AF528" s="104"/>
      <c r="AG528" s="104"/>
      <c r="AH528" s="104"/>
      <c r="AI528" s="104"/>
      <c r="AJ528" s="104"/>
      <c r="AK528" s="104"/>
      <c r="AL528" s="104"/>
      <c r="AM528" s="104"/>
      <c r="AN528" s="104"/>
      <c r="AO528" s="104"/>
      <c r="AP528" s="104"/>
      <c r="AQ528" s="104"/>
      <c r="AR528" s="104"/>
      <c r="AS528" s="104"/>
      <c r="AT528" s="104"/>
      <c r="AU528" s="104"/>
      <c r="AV528" s="104"/>
      <c r="AW528" s="104"/>
      <c r="AX528" s="104"/>
      <c r="AY528" s="104"/>
      <c r="AZ528" s="104"/>
      <c r="BA528" s="104"/>
      <c r="BB528" s="104"/>
      <c r="BC528" s="104"/>
      <c r="BD528" s="104"/>
      <c r="BE528" s="104"/>
      <c r="BF528" s="104"/>
      <c r="BG528" s="104"/>
      <c r="BH528" s="104"/>
      <c r="BI528" s="104"/>
      <c r="BJ528" s="104"/>
      <c r="BK528" s="104"/>
      <c r="BL528" s="104"/>
      <c r="BM528" s="104"/>
      <c r="BN528" s="104"/>
    </row>
    <row r="529">
      <c r="A529" s="104"/>
      <c r="B529" s="104"/>
      <c r="C529" s="104"/>
      <c r="D529" s="104"/>
      <c r="E529" s="104"/>
      <c r="F529" s="104"/>
      <c r="G529" s="104"/>
      <c r="H529" s="104"/>
      <c r="I529" s="104"/>
      <c r="J529" s="104"/>
      <c r="K529" s="105"/>
      <c r="L529" s="106"/>
      <c r="M529" s="104"/>
      <c r="N529" s="104"/>
      <c r="O529" s="104"/>
      <c r="P529" s="104"/>
      <c r="Q529" s="104"/>
      <c r="R529" s="106"/>
      <c r="S529" s="104"/>
      <c r="T529" s="104"/>
      <c r="U529" s="104"/>
      <c r="V529" s="104"/>
      <c r="W529" s="105"/>
      <c r="X529" s="104"/>
      <c r="Y529" s="104"/>
      <c r="Z529" s="104"/>
      <c r="AA529" s="104"/>
      <c r="AB529" s="104"/>
      <c r="AC529" s="104"/>
      <c r="AD529" s="104"/>
      <c r="AE529" s="104"/>
      <c r="AF529" s="104"/>
      <c r="AG529" s="104"/>
      <c r="AH529" s="104"/>
      <c r="AI529" s="104"/>
      <c r="AJ529" s="104"/>
      <c r="AK529" s="104"/>
      <c r="AL529" s="104"/>
      <c r="AM529" s="104"/>
      <c r="AN529" s="104"/>
      <c r="AO529" s="104"/>
      <c r="AP529" s="104"/>
      <c r="AQ529" s="104"/>
      <c r="AR529" s="104"/>
      <c r="AS529" s="104"/>
      <c r="AT529" s="104"/>
      <c r="AU529" s="104"/>
      <c r="AV529" s="104"/>
      <c r="AW529" s="104"/>
      <c r="AX529" s="104"/>
      <c r="AY529" s="104"/>
      <c r="AZ529" s="104"/>
      <c r="BA529" s="104"/>
      <c r="BB529" s="104"/>
      <c r="BC529" s="104"/>
      <c r="BD529" s="104"/>
      <c r="BE529" s="104"/>
      <c r="BF529" s="104"/>
      <c r="BG529" s="104"/>
      <c r="BH529" s="104"/>
      <c r="BI529" s="104"/>
      <c r="BJ529" s="104"/>
      <c r="BK529" s="104"/>
      <c r="BL529" s="104"/>
      <c r="BM529" s="104"/>
      <c r="BN529" s="104"/>
    </row>
    <row r="530">
      <c r="A530" s="104"/>
      <c r="B530" s="104"/>
      <c r="C530" s="104"/>
      <c r="D530" s="104"/>
      <c r="E530" s="104"/>
      <c r="F530" s="104"/>
      <c r="G530" s="104"/>
      <c r="H530" s="104"/>
      <c r="I530" s="104"/>
      <c r="J530" s="104"/>
      <c r="K530" s="105"/>
      <c r="L530" s="106"/>
      <c r="M530" s="104"/>
      <c r="N530" s="104"/>
      <c r="O530" s="104"/>
      <c r="P530" s="104"/>
      <c r="Q530" s="104"/>
      <c r="R530" s="106"/>
      <c r="S530" s="104"/>
      <c r="T530" s="104"/>
      <c r="U530" s="104"/>
      <c r="V530" s="104"/>
      <c r="W530" s="105"/>
      <c r="X530" s="104"/>
      <c r="Y530" s="104"/>
      <c r="Z530" s="104"/>
      <c r="AA530" s="104"/>
      <c r="AB530" s="104"/>
      <c r="AC530" s="104"/>
      <c r="AD530" s="104"/>
      <c r="AE530" s="104"/>
      <c r="AF530" s="104"/>
      <c r="AG530" s="104"/>
      <c r="AH530" s="104"/>
      <c r="AI530" s="104"/>
      <c r="AJ530" s="104"/>
      <c r="AK530" s="104"/>
      <c r="AL530" s="104"/>
      <c r="AM530" s="104"/>
      <c r="AN530" s="104"/>
      <c r="AO530" s="104"/>
      <c r="AP530" s="104"/>
      <c r="AQ530" s="104"/>
      <c r="AR530" s="104"/>
      <c r="AS530" s="104"/>
      <c r="AT530" s="104"/>
      <c r="AU530" s="104"/>
      <c r="AV530" s="104"/>
      <c r="AW530" s="104"/>
      <c r="AX530" s="104"/>
      <c r="AY530" s="104"/>
      <c r="AZ530" s="104"/>
      <c r="BA530" s="104"/>
      <c r="BB530" s="104"/>
      <c r="BC530" s="104"/>
      <c r="BD530" s="104"/>
      <c r="BE530" s="104"/>
      <c r="BF530" s="104"/>
      <c r="BG530" s="104"/>
      <c r="BH530" s="104"/>
      <c r="BI530" s="104"/>
      <c r="BJ530" s="104"/>
      <c r="BK530" s="104"/>
      <c r="BL530" s="104"/>
      <c r="BM530" s="104"/>
      <c r="BN530" s="104"/>
    </row>
    <row r="531">
      <c r="A531" s="104"/>
      <c r="B531" s="104"/>
      <c r="C531" s="104"/>
      <c r="D531" s="104"/>
      <c r="E531" s="104"/>
      <c r="F531" s="104"/>
      <c r="G531" s="104"/>
      <c r="H531" s="104"/>
      <c r="I531" s="104"/>
      <c r="J531" s="104"/>
      <c r="K531" s="105"/>
      <c r="L531" s="106"/>
      <c r="M531" s="104"/>
      <c r="N531" s="104"/>
      <c r="O531" s="104"/>
      <c r="P531" s="104"/>
      <c r="Q531" s="104"/>
      <c r="R531" s="106"/>
      <c r="S531" s="104"/>
      <c r="T531" s="104"/>
      <c r="U531" s="104"/>
      <c r="V531" s="104"/>
      <c r="W531" s="105"/>
      <c r="X531" s="104"/>
      <c r="Y531" s="104"/>
      <c r="Z531" s="104"/>
      <c r="AA531" s="104"/>
      <c r="AB531" s="104"/>
      <c r="AC531" s="104"/>
      <c r="AD531" s="104"/>
      <c r="AE531" s="104"/>
      <c r="AF531" s="104"/>
      <c r="AG531" s="104"/>
      <c r="AH531" s="104"/>
      <c r="AI531" s="104"/>
      <c r="AJ531" s="104"/>
      <c r="AK531" s="104"/>
      <c r="AL531" s="104"/>
      <c r="AM531" s="104"/>
      <c r="AN531" s="104"/>
      <c r="AO531" s="104"/>
      <c r="AP531" s="104"/>
      <c r="AQ531" s="104"/>
      <c r="AR531" s="104"/>
      <c r="AS531" s="104"/>
      <c r="AT531" s="104"/>
      <c r="AU531" s="104"/>
      <c r="AV531" s="104"/>
      <c r="AW531" s="104"/>
      <c r="AX531" s="104"/>
      <c r="AY531" s="104"/>
      <c r="AZ531" s="104"/>
      <c r="BA531" s="104"/>
      <c r="BB531" s="104"/>
      <c r="BC531" s="104"/>
      <c r="BD531" s="104"/>
      <c r="BE531" s="104"/>
      <c r="BF531" s="104"/>
      <c r="BG531" s="104"/>
      <c r="BH531" s="104"/>
      <c r="BI531" s="104"/>
      <c r="BJ531" s="104"/>
      <c r="BK531" s="104"/>
      <c r="BL531" s="104"/>
      <c r="BM531" s="104"/>
      <c r="BN531" s="104"/>
    </row>
    <row r="532">
      <c r="A532" s="104"/>
      <c r="B532" s="104"/>
      <c r="C532" s="104"/>
      <c r="D532" s="104"/>
      <c r="E532" s="104"/>
      <c r="F532" s="104"/>
      <c r="G532" s="104"/>
      <c r="H532" s="104"/>
      <c r="I532" s="104"/>
      <c r="J532" s="104"/>
      <c r="K532" s="105"/>
      <c r="L532" s="106"/>
      <c r="M532" s="104"/>
      <c r="N532" s="104"/>
      <c r="O532" s="104"/>
      <c r="P532" s="104"/>
      <c r="Q532" s="104"/>
      <c r="R532" s="106"/>
      <c r="S532" s="104"/>
      <c r="T532" s="104"/>
      <c r="U532" s="104"/>
      <c r="V532" s="104"/>
      <c r="W532" s="105"/>
      <c r="X532" s="104"/>
      <c r="Y532" s="104"/>
      <c r="Z532" s="104"/>
      <c r="AA532" s="104"/>
      <c r="AB532" s="104"/>
      <c r="AC532" s="104"/>
      <c r="AD532" s="104"/>
      <c r="AE532" s="104"/>
      <c r="AF532" s="104"/>
      <c r="AG532" s="104"/>
      <c r="AH532" s="104"/>
      <c r="AI532" s="104"/>
      <c r="AJ532" s="104"/>
      <c r="AK532" s="104"/>
      <c r="AL532" s="104"/>
      <c r="AM532" s="104"/>
      <c r="AN532" s="104"/>
      <c r="AO532" s="104"/>
      <c r="AP532" s="104"/>
      <c r="AQ532" s="104"/>
      <c r="AR532" s="104"/>
      <c r="AS532" s="104"/>
      <c r="AT532" s="104"/>
      <c r="AU532" s="104"/>
      <c r="AV532" s="104"/>
      <c r="AW532" s="104"/>
      <c r="AX532" s="104"/>
      <c r="AY532" s="104"/>
      <c r="AZ532" s="104"/>
      <c r="BA532" s="104"/>
      <c r="BB532" s="104"/>
      <c r="BC532" s="104"/>
      <c r="BD532" s="104"/>
      <c r="BE532" s="104"/>
      <c r="BF532" s="104"/>
      <c r="BG532" s="104"/>
      <c r="BH532" s="104"/>
      <c r="BI532" s="104"/>
      <c r="BJ532" s="104"/>
      <c r="BK532" s="104"/>
      <c r="BL532" s="104"/>
      <c r="BM532" s="104"/>
      <c r="BN532" s="104"/>
    </row>
    <row r="533">
      <c r="A533" s="104"/>
      <c r="B533" s="104"/>
      <c r="C533" s="104"/>
      <c r="D533" s="104"/>
      <c r="E533" s="104"/>
      <c r="F533" s="104"/>
      <c r="G533" s="104"/>
      <c r="H533" s="104"/>
      <c r="I533" s="104"/>
      <c r="J533" s="104"/>
      <c r="K533" s="105"/>
      <c r="L533" s="106"/>
      <c r="M533" s="104"/>
      <c r="N533" s="104"/>
      <c r="O533" s="104"/>
      <c r="P533" s="104"/>
      <c r="Q533" s="104"/>
      <c r="R533" s="106"/>
      <c r="S533" s="104"/>
      <c r="T533" s="104"/>
      <c r="U533" s="104"/>
      <c r="V533" s="104"/>
      <c r="W533" s="105"/>
      <c r="X533" s="104"/>
      <c r="Y533" s="104"/>
      <c r="Z533" s="104"/>
      <c r="AA533" s="104"/>
      <c r="AB533" s="104"/>
      <c r="AC533" s="104"/>
      <c r="AD533" s="104"/>
      <c r="AE533" s="104"/>
      <c r="AF533" s="104"/>
      <c r="AG533" s="104"/>
      <c r="AH533" s="104"/>
      <c r="AI533" s="104"/>
      <c r="AJ533" s="104"/>
      <c r="AK533" s="104"/>
      <c r="AL533" s="104"/>
      <c r="AM533" s="104"/>
      <c r="AN533" s="104"/>
      <c r="AO533" s="104"/>
      <c r="AP533" s="104"/>
      <c r="AQ533" s="104"/>
      <c r="AR533" s="104"/>
      <c r="AS533" s="104"/>
      <c r="AT533" s="104"/>
      <c r="AU533" s="104"/>
      <c r="AV533" s="104"/>
      <c r="AW533" s="104"/>
      <c r="AX533" s="104"/>
      <c r="AY533" s="104"/>
      <c r="AZ533" s="104"/>
      <c r="BA533" s="104"/>
      <c r="BB533" s="104"/>
      <c r="BC533" s="104"/>
      <c r="BD533" s="104"/>
      <c r="BE533" s="104"/>
      <c r="BF533" s="104"/>
      <c r="BG533" s="104"/>
      <c r="BH533" s="104"/>
      <c r="BI533" s="104"/>
      <c r="BJ533" s="104"/>
      <c r="BK533" s="104"/>
      <c r="BL533" s="104"/>
      <c r="BM533" s="104"/>
      <c r="BN533" s="104"/>
    </row>
    <row r="534">
      <c r="A534" s="104"/>
      <c r="B534" s="104"/>
      <c r="C534" s="104"/>
      <c r="D534" s="104"/>
      <c r="E534" s="104"/>
      <c r="F534" s="104"/>
      <c r="G534" s="104"/>
      <c r="H534" s="104"/>
      <c r="I534" s="104"/>
      <c r="J534" s="104"/>
      <c r="K534" s="105"/>
      <c r="L534" s="106"/>
      <c r="M534" s="104"/>
      <c r="N534" s="104"/>
      <c r="O534" s="104"/>
      <c r="P534" s="104"/>
      <c r="Q534" s="104"/>
      <c r="R534" s="106"/>
      <c r="S534" s="104"/>
      <c r="T534" s="104"/>
      <c r="U534" s="104"/>
      <c r="V534" s="104"/>
      <c r="W534" s="105"/>
      <c r="X534" s="104"/>
      <c r="Y534" s="104"/>
      <c r="Z534" s="104"/>
      <c r="AA534" s="104"/>
      <c r="AB534" s="104"/>
      <c r="AC534" s="104"/>
      <c r="AD534" s="104"/>
      <c r="AE534" s="104"/>
      <c r="AF534" s="104"/>
      <c r="AG534" s="104"/>
      <c r="AH534" s="104"/>
      <c r="AI534" s="104"/>
      <c r="AJ534" s="104"/>
      <c r="AK534" s="104"/>
      <c r="AL534" s="104"/>
      <c r="AM534" s="104"/>
      <c r="AN534" s="104"/>
      <c r="AO534" s="104"/>
      <c r="AP534" s="104"/>
      <c r="AQ534" s="104"/>
      <c r="AR534" s="104"/>
      <c r="AS534" s="104"/>
      <c r="AT534" s="104"/>
      <c r="AU534" s="104"/>
      <c r="AV534" s="104"/>
      <c r="AW534" s="104"/>
      <c r="AX534" s="104"/>
      <c r="AY534" s="104"/>
      <c r="AZ534" s="104"/>
      <c r="BA534" s="104"/>
      <c r="BB534" s="104"/>
      <c r="BC534" s="104"/>
      <c r="BD534" s="104"/>
      <c r="BE534" s="104"/>
      <c r="BF534" s="104"/>
      <c r="BG534" s="104"/>
      <c r="BH534" s="104"/>
      <c r="BI534" s="104"/>
      <c r="BJ534" s="104"/>
      <c r="BK534" s="104"/>
      <c r="BL534" s="104"/>
      <c r="BM534" s="104"/>
      <c r="BN534" s="104"/>
    </row>
    <row r="535">
      <c r="A535" s="104"/>
      <c r="B535" s="104"/>
      <c r="C535" s="104"/>
      <c r="D535" s="104"/>
      <c r="E535" s="104"/>
      <c r="F535" s="104"/>
      <c r="G535" s="104"/>
      <c r="H535" s="104"/>
      <c r="I535" s="104"/>
      <c r="J535" s="104"/>
      <c r="K535" s="105"/>
      <c r="L535" s="106"/>
      <c r="M535" s="104"/>
      <c r="N535" s="104"/>
      <c r="O535" s="104"/>
      <c r="P535" s="104"/>
      <c r="Q535" s="104"/>
      <c r="R535" s="106"/>
      <c r="S535" s="104"/>
      <c r="T535" s="104"/>
      <c r="U535" s="104"/>
      <c r="V535" s="104"/>
      <c r="W535" s="105"/>
      <c r="X535" s="104"/>
      <c r="Y535" s="104"/>
      <c r="Z535" s="104"/>
      <c r="AA535" s="104"/>
      <c r="AB535" s="104"/>
      <c r="AC535" s="104"/>
      <c r="AD535" s="104"/>
      <c r="AE535" s="104"/>
      <c r="AF535" s="104"/>
      <c r="AG535" s="104"/>
      <c r="AH535" s="104"/>
      <c r="AI535" s="104"/>
      <c r="AJ535" s="104"/>
      <c r="AK535" s="104"/>
      <c r="AL535" s="104"/>
      <c r="AM535" s="104"/>
      <c r="AN535" s="104"/>
      <c r="AO535" s="104"/>
      <c r="AP535" s="104"/>
      <c r="AQ535" s="104"/>
      <c r="AR535" s="104"/>
      <c r="AS535" s="104"/>
      <c r="AT535" s="104"/>
      <c r="AU535" s="104"/>
      <c r="AV535" s="104"/>
      <c r="AW535" s="104"/>
      <c r="AX535" s="104"/>
      <c r="AY535" s="104"/>
      <c r="AZ535" s="104"/>
      <c r="BA535" s="104"/>
      <c r="BB535" s="104"/>
      <c r="BC535" s="104"/>
      <c r="BD535" s="104"/>
      <c r="BE535" s="104"/>
      <c r="BF535" s="104"/>
      <c r="BG535" s="104"/>
      <c r="BH535" s="104"/>
      <c r="BI535" s="104"/>
      <c r="BJ535" s="104"/>
      <c r="BK535" s="104"/>
      <c r="BL535" s="104"/>
      <c r="BM535" s="104"/>
      <c r="BN535" s="104"/>
    </row>
    <row r="536">
      <c r="A536" s="104"/>
      <c r="B536" s="104"/>
      <c r="C536" s="104"/>
      <c r="D536" s="104"/>
      <c r="E536" s="104"/>
      <c r="F536" s="104"/>
      <c r="G536" s="104"/>
      <c r="H536" s="104"/>
      <c r="I536" s="104"/>
      <c r="J536" s="104"/>
      <c r="K536" s="105"/>
      <c r="L536" s="106"/>
      <c r="M536" s="104"/>
      <c r="N536" s="104"/>
      <c r="O536" s="104"/>
      <c r="P536" s="104"/>
      <c r="Q536" s="104"/>
      <c r="R536" s="106"/>
      <c r="S536" s="104"/>
      <c r="T536" s="104"/>
      <c r="U536" s="104"/>
      <c r="V536" s="104"/>
      <c r="W536" s="105"/>
      <c r="X536" s="104"/>
      <c r="Y536" s="104"/>
      <c r="Z536" s="104"/>
      <c r="AA536" s="104"/>
      <c r="AB536" s="104"/>
      <c r="AC536" s="104"/>
      <c r="AD536" s="104"/>
      <c r="AE536" s="104"/>
      <c r="AF536" s="104"/>
      <c r="AG536" s="104"/>
      <c r="AH536" s="104"/>
      <c r="AI536" s="104"/>
      <c r="AJ536" s="104"/>
      <c r="AK536" s="104"/>
      <c r="AL536" s="104"/>
      <c r="AM536" s="104"/>
      <c r="AN536" s="104"/>
      <c r="AO536" s="104"/>
      <c r="AP536" s="104"/>
      <c r="AQ536" s="104"/>
      <c r="AR536" s="104"/>
      <c r="AS536" s="104"/>
      <c r="AT536" s="104"/>
      <c r="AU536" s="104"/>
      <c r="AV536" s="104"/>
      <c r="AW536" s="104"/>
      <c r="AX536" s="104"/>
      <c r="AY536" s="104"/>
      <c r="AZ536" s="104"/>
      <c r="BA536" s="104"/>
      <c r="BB536" s="104"/>
      <c r="BC536" s="104"/>
      <c r="BD536" s="104"/>
      <c r="BE536" s="104"/>
      <c r="BF536" s="104"/>
      <c r="BG536" s="104"/>
      <c r="BH536" s="104"/>
      <c r="BI536" s="104"/>
      <c r="BJ536" s="104"/>
      <c r="BK536" s="104"/>
      <c r="BL536" s="104"/>
      <c r="BM536" s="104"/>
      <c r="BN536" s="104"/>
    </row>
    <row r="537">
      <c r="A537" s="104"/>
      <c r="B537" s="104"/>
      <c r="C537" s="104"/>
      <c r="D537" s="104"/>
      <c r="E537" s="104"/>
      <c r="F537" s="104"/>
      <c r="G537" s="104"/>
      <c r="H537" s="104"/>
      <c r="I537" s="104"/>
      <c r="J537" s="104"/>
      <c r="K537" s="105"/>
      <c r="L537" s="106"/>
      <c r="M537" s="104"/>
      <c r="N537" s="104"/>
      <c r="O537" s="104"/>
      <c r="P537" s="104"/>
      <c r="Q537" s="104"/>
      <c r="R537" s="106"/>
      <c r="S537" s="104"/>
      <c r="T537" s="104"/>
      <c r="U537" s="104"/>
      <c r="V537" s="104"/>
      <c r="W537" s="105"/>
      <c r="X537" s="104"/>
      <c r="Y537" s="104"/>
      <c r="Z537" s="104"/>
      <c r="AA537" s="104"/>
      <c r="AB537" s="104"/>
      <c r="AC537" s="104"/>
      <c r="AD537" s="104"/>
      <c r="AE537" s="104"/>
      <c r="AF537" s="104"/>
      <c r="AG537" s="104"/>
      <c r="AH537" s="104"/>
      <c r="AI537" s="104"/>
      <c r="AJ537" s="104"/>
      <c r="AK537" s="104"/>
      <c r="AL537" s="104"/>
      <c r="AM537" s="104"/>
      <c r="AN537" s="104"/>
      <c r="AO537" s="104"/>
      <c r="AP537" s="104"/>
      <c r="AQ537" s="104"/>
      <c r="AR537" s="104"/>
      <c r="AS537" s="104"/>
      <c r="AT537" s="104"/>
      <c r="AU537" s="104"/>
      <c r="AV537" s="104"/>
      <c r="AW537" s="104"/>
      <c r="AX537" s="104"/>
      <c r="AY537" s="104"/>
      <c r="AZ537" s="104"/>
      <c r="BA537" s="104"/>
      <c r="BB537" s="104"/>
      <c r="BC537" s="104"/>
      <c r="BD537" s="104"/>
      <c r="BE537" s="104"/>
      <c r="BF537" s="104"/>
      <c r="BG537" s="104"/>
      <c r="BH537" s="104"/>
      <c r="BI537" s="104"/>
      <c r="BJ537" s="104"/>
      <c r="BK537" s="104"/>
      <c r="BL537" s="104"/>
      <c r="BM537" s="104"/>
      <c r="BN537" s="104"/>
    </row>
    <row r="538">
      <c r="A538" s="104"/>
      <c r="B538" s="104"/>
      <c r="C538" s="104"/>
      <c r="D538" s="104"/>
      <c r="E538" s="104"/>
      <c r="F538" s="104"/>
      <c r="G538" s="104"/>
      <c r="H538" s="104"/>
      <c r="I538" s="104"/>
      <c r="J538" s="104"/>
      <c r="K538" s="105"/>
      <c r="L538" s="106"/>
      <c r="M538" s="104"/>
      <c r="N538" s="104"/>
      <c r="O538" s="104"/>
      <c r="P538" s="104"/>
      <c r="Q538" s="104"/>
      <c r="R538" s="106"/>
      <c r="S538" s="104"/>
      <c r="T538" s="104"/>
      <c r="U538" s="104"/>
      <c r="V538" s="104"/>
      <c r="W538" s="105"/>
      <c r="X538" s="104"/>
      <c r="Y538" s="104"/>
      <c r="Z538" s="104"/>
      <c r="AA538" s="104"/>
      <c r="AB538" s="104"/>
      <c r="AC538" s="104"/>
      <c r="AD538" s="104"/>
      <c r="AE538" s="104"/>
      <c r="AF538" s="104"/>
      <c r="AG538" s="104"/>
      <c r="AH538" s="104"/>
      <c r="AI538" s="104"/>
      <c r="AJ538" s="104"/>
      <c r="AK538" s="104"/>
      <c r="AL538" s="104"/>
      <c r="AM538" s="104"/>
      <c r="AN538" s="104"/>
      <c r="AO538" s="104"/>
      <c r="AP538" s="104"/>
      <c r="AQ538" s="104"/>
      <c r="AR538" s="104"/>
      <c r="AS538" s="104"/>
      <c r="AT538" s="104"/>
      <c r="AU538" s="104"/>
      <c r="AV538" s="104"/>
      <c r="AW538" s="104"/>
      <c r="AX538" s="104"/>
      <c r="AY538" s="104"/>
      <c r="AZ538" s="104"/>
      <c r="BA538" s="104"/>
      <c r="BB538" s="104"/>
      <c r="BC538" s="104"/>
      <c r="BD538" s="104"/>
      <c r="BE538" s="104"/>
      <c r="BF538" s="104"/>
      <c r="BG538" s="104"/>
      <c r="BH538" s="104"/>
      <c r="BI538" s="104"/>
      <c r="BJ538" s="104"/>
      <c r="BK538" s="104"/>
      <c r="BL538" s="104"/>
      <c r="BM538" s="104"/>
      <c r="BN538" s="104"/>
    </row>
    <row r="539">
      <c r="A539" s="104"/>
      <c r="B539" s="104"/>
      <c r="C539" s="104"/>
      <c r="D539" s="104"/>
      <c r="E539" s="104"/>
      <c r="F539" s="104"/>
      <c r="G539" s="104"/>
      <c r="H539" s="104"/>
      <c r="I539" s="104"/>
      <c r="J539" s="104"/>
      <c r="K539" s="105"/>
      <c r="L539" s="106"/>
      <c r="M539" s="104"/>
      <c r="N539" s="104"/>
      <c r="O539" s="104"/>
      <c r="P539" s="104"/>
      <c r="Q539" s="104"/>
      <c r="R539" s="106"/>
      <c r="S539" s="104"/>
      <c r="T539" s="104"/>
      <c r="U539" s="104"/>
      <c r="V539" s="104"/>
      <c r="W539" s="105"/>
      <c r="X539" s="104"/>
      <c r="Y539" s="104"/>
      <c r="Z539" s="104"/>
      <c r="AA539" s="104"/>
      <c r="AB539" s="104"/>
      <c r="AC539" s="104"/>
      <c r="AD539" s="104"/>
      <c r="AE539" s="104"/>
      <c r="AF539" s="104"/>
      <c r="AG539" s="104"/>
      <c r="AH539" s="104"/>
      <c r="AI539" s="104"/>
      <c r="AJ539" s="104"/>
      <c r="AK539" s="104"/>
      <c r="AL539" s="104"/>
      <c r="AM539" s="104"/>
      <c r="AN539" s="104"/>
      <c r="AO539" s="104"/>
      <c r="AP539" s="104"/>
      <c r="AQ539" s="104"/>
      <c r="AR539" s="104"/>
      <c r="AS539" s="104"/>
      <c r="AT539" s="104"/>
      <c r="AU539" s="104"/>
      <c r="AV539" s="104"/>
      <c r="AW539" s="104"/>
      <c r="AX539" s="104"/>
      <c r="AY539" s="104"/>
      <c r="AZ539" s="104"/>
      <c r="BA539" s="104"/>
      <c r="BB539" s="104"/>
      <c r="BC539" s="104"/>
      <c r="BD539" s="104"/>
      <c r="BE539" s="104"/>
      <c r="BF539" s="104"/>
      <c r="BG539" s="104"/>
      <c r="BH539" s="104"/>
      <c r="BI539" s="104"/>
      <c r="BJ539" s="104"/>
      <c r="BK539" s="104"/>
      <c r="BL539" s="104"/>
      <c r="BM539" s="104"/>
      <c r="BN539" s="104"/>
    </row>
    <row r="540">
      <c r="A540" s="104"/>
      <c r="B540" s="104"/>
      <c r="C540" s="104"/>
      <c r="D540" s="104"/>
      <c r="E540" s="104"/>
      <c r="F540" s="104"/>
      <c r="G540" s="104"/>
      <c r="H540" s="104"/>
      <c r="I540" s="104"/>
      <c r="J540" s="104"/>
      <c r="K540" s="105"/>
      <c r="L540" s="106"/>
      <c r="M540" s="104"/>
      <c r="N540" s="104"/>
      <c r="O540" s="104"/>
      <c r="P540" s="104"/>
      <c r="Q540" s="104"/>
      <c r="R540" s="106"/>
      <c r="S540" s="104"/>
      <c r="T540" s="104"/>
      <c r="U540" s="104"/>
      <c r="V540" s="104"/>
      <c r="W540" s="105"/>
      <c r="X540" s="104"/>
      <c r="Y540" s="104"/>
      <c r="Z540" s="104"/>
      <c r="AA540" s="104"/>
      <c r="AB540" s="104"/>
      <c r="AC540" s="104"/>
      <c r="AD540" s="104"/>
      <c r="AE540" s="104"/>
      <c r="AF540" s="104"/>
      <c r="AG540" s="104"/>
      <c r="AH540" s="104"/>
      <c r="AI540" s="104"/>
      <c r="AJ540" s="104"/>
      <c r="AK540" s="104"/>
      <c r="AL540" s="104"/>
      <c r="AM540" s="104"/>
      <c r="AN540" s="104"/>
      <c r="AO540" s="104"/>
      <c r="AP540" s="104"/>
      <c r="AQ540" s="104"/>
      <c r="AR540" s="104"/>
      <c r="AS540" s="104"/>
      <c r="AT540" s="104"/>
      <c r="AU540" s="104"/>
      <c r="AV540" s="104"/>
      <c r="AW540" s="104"/>
      <c r="AX540" s="104"/>
      <c r="AY540" s="104"/>
      <c r="AZ540" s="104"/>
      <c r="BA540" s="104"/>
      <c r="BB540" s="104"/>
      <c r="BC540" s="104"/>
      <c r="BD540" s="104"/>
      <c r="BE540" s="104"/>
      <c r="BF540" s="104"/>
      <c r="BG540" s="104"/>
      <c r="BH540" s="104"/>
      <c r="BI540" s="104"/>
      <c r="BJ540" s="104"/>
      <c r="BK540" s="104"/>
      <c r="BL540" s="104"/>
      <c r="BM540" s="104"/>
      <c r="BN540" s="104"/>
    </row>
    <row r="541">
      <c r="A541" s="104"/>
      <c r="B541" s="104"/>
      <c r="C541" s="104"/>
      <c r="D541" s="104"/>
      <c r="E541" s="104"/>
      <c r="F541" s="104"/>
      <c r="G541" s="104"/>
      <c r="H541" s="104"/>
      <c r="I541" s="104"/>
      <c r="J541" s="104"/>
      <c r="K541" s="105"/>
      <c r="L541" s="106"/>
      <c r="M541" s="104"/>
      <c r="N541" s="104"/>
      <c r="O541" s="104"/>
      <c r="P541" s="104"/>
      <c r="Q541" s="104"/>
      <c r="R541" s="106"/>
      <c r="S541" s="104"/>
      <c r="T541" s="104"/>
      <c r="U541" s="104"/>
      <c r="V541" s="104"/>
      <c r="W541" s="105"/>
      <c r="X541" s="104"/>
      <c r="Y541" s="104"/>
      <c r="Z541" s="104"/>
      <c r="AA541" s="104"/>
      <c r="AB541" s="104"/>
      <c r="AC541" s="104"/>
      <c r="AD541" s="104"/>
      <c r="AE541" s="104"/>
      <c r="AF541" s="104"/>
      <c r="AG541" s="104"/>
      <c r="AH541" s="104"/>
      <c r="AI541" s="104"/>
      <c r="AJ541" s="104"/>
      <c r="AK541" s="104"/>
      <c r="AL541" s="104"/>
      <c r="AM541" s="104"/>
      <c r="AN541" s="104"/>
      <c r="AO541" s="104"/>
      <c r="AP541" s="104"/>
      <c r="AQ541" s="104"/>
      <c r="AR541" s="104"/>
      <c r="AS541" s="104"/>
      <c r="AT541" s="104"/>
      <c r="AU541" s="104"/>
      <c r="AV541" s="104"/>
      <c r="AW541" s="104"/>
      <c r="AX541" s="104"/>
      <c r="AY541" s="104"/>
      <c r="AZ541" s="104"/>
      <c r="BA541" s="104"/>
      <c r="BB541" s="104"/>
      <c r="BC541" s="104"/>
      <c r="BD541" s="104"/>
      <c r="BE541" s="104"/>
      <c r="BF541" s="104"/>
      <c r="BG541" s="104"/>
      <c r="BH541" s="104"/>
      <c r="BI541" s="104"/>
      <c r="BJ541" s="104"/>
      <c r="BK541" s="104"/>
      <c r="BL541" s="104"/>
      <c r="BM541" s="104"/>
      <c r="BN541" s="104"/>
    </row>
    <row r="542">
      <c r="A542" s="104"/>
      <c r="B542" s="104"/>
      <c r="C542" s="104"/>
      <c r="D542" s="104"/>
      <c r="E542" s="104"/>
      <c r="F542" s="104"/>
      <c r="G542" s="104"/>
      <c r="H542" s="104"/>
      <c r="I542" s="104"/>
      <c r="J542" s="104"/>
      <c r="K542" s="105"/>
      <c r="L542" s="106"/>
      <c r="M542" s="104"/>
      <c r="N542" s="104"/>
      <c r="O542" s="104"/>
      <c r="P542" s="104"/>
      <c r="Q542" s="104"/>
      <c r="R542" s="106"/>
      <c r="S542" s="104"/>
      <c r="T542" s="104"/>
      <c r="U542" s="104"/>
      <c r="V542" s="104"/>
      <c r="W542" s="105"/>
      <c r="X542" s="104"/>
      <c r="Y542" s="104"/>
      <c r="Z542" s="104"/>
      <c r="AA542" s="104"/>
      <c r="AB542" s="104"/>
      <c r="AC542" s="104"/>
      <c r="AD542" s="104"/>
      <c r="AE542" s="104"/>
      <c r="AF542" s="104"/>
      <c r="AG542" s="104"/>
      <c r="AH542" s="104"/>
      <c r="AI542" s="104"/>
      <c r="AJ542" s="104"/>
      <c r="AK542" s="104"/>
      <c r="AL542" s="104"/>
      <c r="AM542" s="104"/>
      <c r="AN542" s="104"/>
      <c r="AO542" s="104"/>
      <c r="AP542" s="104"/>
      <c r="AQ542" s="104"/>
      <c r="AR542" s="104"/>
      <c r="AS542" s="104"/>
      <c r="AT542" s="104"/>
      <c r="AU542" s="104"/>
      <c r="AV542" s="104"/>
      <c r="AW542" s="104"/>
      <c r="AX542" s="104"/>
      <c r="AY542" s="104"/>
      <c r="AZ542" s="104"/>
      <c r="BA542" s="104"/>
      <c r="BB542" s="104"/>
      <c r="BC542" s="104"/>
      <c r="BD542" s="104"/>
      <c r="BE542" s="104"/>
      <c r="BF542" s="104"/>
      <c r="BG542" s="104"/>
      <c r="BH542" s="104"/>
      <c r="BI542" s="104"/>
      <c r="BJ542" s="104"/>
      <c r="BK542" s="104"/>
      <c r="BL542" s="104"/>
      <c r="BM542" s="104"/>
      <c r="BN542" s="104"/>
    </row>
    <row r="543">
      <c r="A543" s="104"/>
      <c r="B543" s="104"/>
      <c r="C543" s="104"/>
      <c r="D543" s="104"/>
      <c r="E543" s="104"/>
      <c r="F543" s="104"/>
      <c r="G543" s="104"/>
      <c r="H543" s="104"/>
      <c r="I543" s="104"/>
      <c r="J543" s="104"/>
      <c r="K543" s="105"/>
      <c r="L543" s="106"/>
      <c r="M543" s="104"/>
      <c r="N543" s="104"/>
      <c r="O543" s="104"/>
      <c r="P543" s="104"/>
      <c r="Q543" s="104"/>
      <c r="R543" s="106"/>
      <c r="S543" s="104"/>
      <c r="T543" s="104"/>
      <c r="U543" s="104"/>
      <c r="V543" s="104"/>
      <c r="W543" s="105"/>
      <c r="X543" s="104"/>
      <c r="Y543" s="104"/>
      <c r="Z543" s="104"/>
      <c r="AA543" s="104"/>
      <c r="AB543" s="104"/>
      <c r="AC543" s="104"/>
      <c r="AD543" s="104"/>
      <c r="AE543" s="104"/>
      <c r="AF543" s="104"/>
      <c r="AG543" s="104"/>
      <c r="AH543" s="104"/>
      <c r="AI543" s="104"/>
      <c r="AJ543" s="104"/>
      <c r="AK543" s="104"/>
      <c r="AL543" s="104"/>
      <c r="AM543" s="104"/>
      <c r="AN543" s="104"/>
      <c r="AO543" s="104"/>
      <c r="AP543" s="104"/>
      <c r="AQ543" s="104"/>
      <c r="AR543" s="104"/>
      <c r="AS543" s="104"/>
      <c r="AT543" s="104"/>
      <c r="AU543" s="104"/>
      <c r="AV543" s="104"/>
      <c r="AW543" s="104"/>
      <c r="AX543" s="104"/>
      <c r="AY543" s="104"/>
      <c r="AZ543" s="104"/>
      <c r="BA543" s="104"/>
      <c r="BB543" s="104"/>
      <c r="BC543" s="104"/>
      <c r="BD543" s="104"/>
      <c r="BE543" s="104"/>
      <c r="BF543" s="104"/>
      <c r="BG543" s="104"/>
      <c r="BH543" s="104"/>
      <c r="BI543" s="104"/>
      <c r="BJ543" s="104"/>
      <c r="BK543" s="104"/>
      <c r="BL543" s="104"/>
      <c r="BM543" s="104"/>
      <c r="BN543" s="104"/>
    </row>
    <row r="544">
      <c r="A544" s="104"/>
      <c r="B544" s="104"/>
      <c r="C544" s="104"/>
      <c r="D544" s="104"/>
      <c r="E544" s="104"/>
      <c r="F544" s="104"/>
      <c r="G544" s="104"/>
      <c r="H544" s="104"/>
      <c r="I544" s="104"/>
      <c r="J544" s="104"/>
      <c r="K544" s="105"/>
      <c r="L544" s="106"/>
      <c r="M544" s="104"/>
      <c r="N544" s="104"/>
      <c r="O544" s="104"/>
      <c r="P544" s="104"/>
      <c r="Q544" s="104"/>
      <c r="R544" s="106"/>
      <c r="S544" s="104"/>
      <c r="T544" s="104"/>
      <c r="U544" s="104"/>
      <c r="V544" s="104"/>
      <c r="W544" s="105"/>
      <c r="X544" s="104"/>
      <c r="Y544" s="104"/>
      <c r="Z544" s="104"/>
      <c r="AA544" s="104"/>
      <c r="AB544" s="104"/>
      <c r="AC544" s="104"/>
      <c r="AD544" s="104"/>
      <c r="AE544" s="104"/>
      <c r="AF544" s="104"/>
      <c r="AG544" s="104"/>
      <c r="AH544" s="104"/>
      <c r="AI544" s="104"/>
      <c r="AJ544" s="104"/>
      <c r="AK544" s="104"/>
      <c r="AL544" s="104"/>
      <c r="AM544" s="104"/>
      <c r="AN544" s="104"/>
      <c r="AO544" s="104"/>
      <c r="AP544" s="104"/>
      <c r="AQ544" s="104"/>
      <c r="AR544" s="104"/>
      <c r="AS544" s="104"/>
      <c r="AT544" s="104"/>
      <c r="AU544" s="104"/>
      <c r="AV544" s="104"/>
      <c r="AW544" s="104"/>
      <c r="AX544" s="104"/>
      <c r="AY544" s="104"/>
      <c r="AZ544" s="104"/>
      <c r="BA544" s="104"/>
      <c r="BB544" s="104"/>
      <c r="BC544" s="104"/>
      <c r="BD544" s="104"/>
      <c r="BE544" s="104"/>
      <c r="BF544" s="104"/>
      <c r="BG544" s="104"/>
      <c r="BH544" s="104"/>
      <c r="BI544" s="104"/>
      <c r="BJ544" s="104"/>
      <c r="BK544" s="104"/>
      <c r="BL544" s="104"/>
      <c r="BM544" s="104"/>
      <c r="BN544" s="104"/>
    </row>
    <row r="545">
      <c r="A545" s="104"/>
      <c r="B545" s="104"/>
      <c r="C545" s="104"/>
      <c r="D545" s="104"/>
      <c r="E545" s="104"/>
      <c r="F545" s="104"/>
      <c r="G545" s="104"/>
      <c r="H545" s="104"/>
      <c r="I545" s="104"/>
      <c r="J545" s="104"/>
      <c r="K545" s="105"/>
      <c r="L545" s="106"/>
      <c r="M545" s="104"/>
      <c r="N545" s="104"/>
      <c r="O545" s="104"/>
      <c r="P545" s="104"/>
      <c r="Q545" s="104"/>
      <c r="R545" s="106"/>
      <c r="S545" s="104"/>
      <c r="T545" s="104"/>
      <c r="U545" s="104"/>
      <c r="V545" s="104"/>
      <c r="W545" s="105"/>
      <c r="X545" s="104"/>
      <c r="Y545" s="104"/>
      <c r="Z545" s="104"/>
      <c r="AA545" s="104"/>
      <c r="AB545" s="104"/>
      <c r="AC545" s="104"/>
      <c r="AD545" s="104"/>
      <c r="AE545" s="104"/>
      <c r="AF545" s="104"/>
      <c r="AG545" s="104"/>
      <c r="AH545" s="104"/>
      <c r="AI545" s="104"/>
      <c r="AJ545" s="104"/>
      <c r="AK545" s="104"/>
      <c r="AL545" s="104"/>
      <c r="AM545" s="104"/>
      <c r="AN545" s="104"/>
      <c r="AO545" s="104"/>
      <c r="AP545" s="104"/>
      <c r="AQ545" s="104"/>
      <c r="AR545" s="104"/>
      <c r="AS545" s="104"/>
      <c r="AT545" s="104"/>
      <c r="AU545" s="104"/>
      <c r="AV545" s="104"/>
      <c r="AW545" s="104"/>
      <c r="AX545" s="104"/>
      <c r="AY545" s="104"/>
      <c r="AZ545" s="104"/>
      <c r="BA545" s="104"/>
      <c r="BB545" s="104"/>
      <c r="BC545" s="104"/>
      <c r="BD545" s="104"/>
      <c r="BE545" s="104"/>
      <c r="BF545" s="104"/>
      <c r="BG545" s="104"/>
      <c r="BH545" s="104"/>
      <c r="BI545" s="104"/>
      <c r="BJ545" s="104"/>
      <c r="BK545" s="104"/>
      <c r="BL545" s="104"/>
      <c r="BM545" s="104"/>
      <c r="BN545" s="104"/>
    </row>
    <row r="546">
      <c r="A546" s="104"/>
      <c r="B546" s="104"/>
      <c r="C546" s="104"/>
      <c r="D546" s="104"/>
      <c r="E546" s="104"/>
      <c r="F546" s="104"/>
      <c r="G546" s="104"/>
      <c r="H546" s="104"/>
      <c r="I546" s="104"/>
      <c r="J546" s="104"/>
      <c r="K546" s="105"/>
      <c r="L546" s="106"/>
      <c r="M546" s="104"/>
      <c r="N546" s="104"/>
      <c r="O546" s="104"/>
      <c r="P546" s="104"/>
      <c r="Q546" s="104"/>
      <c r="R546" s="106"/>
      <c r="S546" s="104"/>
      <c r="T546" s="104"/>
      <c r="U546" s="104"/>
      <c r="V546" s="104"/>
      <c r="W546" s="105"/>
      <c r="X546" s="104"/>
      <c r="Y546" s="104"/>
      <c r="Z546" s="104"/>
      <c r="AA546" s="104"/>
      <c r="AB546" s="104"/>
      <c r="AC546" s="104"/>
      <c r="AD546" s="104"/>
      <c r="AE546" s="104"/>
      <c r="AF546" s="104"/>
      <c r="AG546" s="104"/>
      <c r="AH546" s="104"/>
      <c r="AI546" s="104"/>
      <c r="AJ546" s="104"/>
      <c r="AK546" s="104"/>
      <c r="AL546" s="104"/>
      <c r="AM546" s="104"/>
      <c r="AN546" s="104"/>
      <c r="AO546" s="104"/>
      <c r="AP546" s="104"/>
      <c r="AQ546" s="104"/>
      <c r="AR546" s="104"/>
      <c r="AS546" s="104"/>
      <c r="AT546" s="104"/>
      <c r="AU546" s="104"/>
      <c r="AV546" s="104"/>
      <c r="AW546" s="104"/>
      <c r="AX546" s="104"/>
      <c r="AY546" s="104"/>
      <c r="AZ546" s="104"/>
      <c r="BA546" s="104"/>
      <c r="BB546" s="104"/>
      <c r="BC546" s="104"/>
      <c r="BD546" s="104"/>
      <c r="BE546" s="104"/>
      <c r="BF546" s="104"/>
      <c r="BG546" s="104"/>
      <c r="BH546" s="104"/>
      <c r="BI546" s="104"/>
      <c r="BJ546" s="104"/>
      <c r="BK546" s="104"/>
      <c r="BL546" s="104"/>
      <c r="BM546" s="104"/>
      <c r="BN546" s="104"/>
    </row>
    <row r="547">
      <c r="A547" s="104"/>
      <c r="B547" s="104"/>
      <c r="C547" s="104"/>
      <c r="D547" s="104"/>
      <c r="E547" s="104"/>
      <c r="F547" s="104"/>
      <c r="G547" s="104"/>
      <c r="H547" s="104"/>
      <c r="I547" s="104"/>
      <c r="J547" s="104"/>
      <c r="K547" s="105"/>
      <c r="L547" s="106"/>
      <c r="M547" s="104"/>
      <c r="N547" s="104"/>
      <c r="O547" s="104"/>
      <c r="P547" s="104"/>
      <c r="Q547" s="104"/>
      <c r="R547" s="106"/>
      <c r="S547" s="104"/>
      <c r="T547" s="104"/>
      <c r="U547" s="104"/>
      <c r="V547" s="104"/>
      <c r="W547" s="105"/>
      <c r="X547" s="104"/>
      <c r="Y547" s="104"/>
      <c r="Z547" s="104"/>
      <c r="AA547" s="104"/>
      <c r="AB547" s="104"/>
      <c r="AC547" s="104"/>
      <c r="AD547" s="104"/>
      <c r="AE547" s="104"/>
      <c r="AF547" s="104"/>
      <c r="AG547" s="104"/>
      <c r="AH547" s="104"/>
      <c r="AI547" s="104"/>
      <c r="AJ547" s="104"/>
      <c r="AK547" s="104"/>
      <c r="AL547" s="104"/>
      <c r="AM547" s="104"/>
      <c r="AN547" s="104"/>
      <c r="AO547" s="104"/>
      <c r="AP547" s="104"/>
      <c r="AQ547" s="104"/>
      <c r="AR547" s="104"/>
      <c r="AS547" s="104"/>
      <c r="AT547" s="104"/>
      <c r="AU547" s="104"/>
      <c r="AV547" s="104"/>
      <c r="AW547" s="104"/>
      <c r="AX547" s="104"/>
      <c r="AY547" s="104"/>
      <c r="AZ547" s="104"/>
      <c r="BA547" s="104"/>
      <c r="BB547" s="104"/>
      <c r="BC547" s="104"/>
      <c r="BD547" s="104"/>
      <c r="BE547" s="104"/>
      <c r="BF547" s="104"/>
      <c r="BG547" s="104"/>
      <c r="BH547" s="104"/>
      <c r="BI547" s="104"/>
      <c r="BJ547" s="104"/>
      <c r="BK547" s="104"/>
      <c r="BL547" s="104"/>
      <c r="BM547" s="104"/>
      <c r="BN547" s="104"/>
    </row>
    <row r="548">
      <c r="A548" s="104"/>
      <c r="B548" s="104"/>
      <c r="C548" s="104"/>
      <c r="D548" s="104"/>
      <c r="E548" s="104"/>
      <c r="F548" s="104"/>
      <c r="G548" s="104"/>
      <c r="H548" s="104"/>
      <c r="I548" s="104"/>
      <c r="J548" s="104"/>
      <c r="K548" s="105"/>
      <c r="L548" s="106"/>
      <c r="M548" s="104"/>
      <c r="N548" s="104"/>
      <c r="O548" s="104"/>
      <c r="P548" s="104"/>
      <c r="Q548" s="104"/>
      <c r="R548" s="106"/>
      <c r="S548" s="104"/>
      <c r="T548" s="104"/>
      <c r="U548" s="104"/>
      <c r="V548" s="104"/>
      <c r="W548" s="105"/>
      <c r="X548" s="104"/>
      <c r="Y548" s="104"/>
      <c r="Z548" s="104"/>
      <c r="AA548" s="104"/>
      <c r="AB548" s="104"/>
      <c r="AC548" s="104"/>
      <c r="AD548" s="104"/>
      <c r="AE548" s="104"/>
      <c r="AF548" s="104"/>
      <c r="AG548" s="104"/>
      <c r="AH548" s="104"/>
      <c r="AI548" s="104"/>
      <c r="AJ548" s="104"/>
      <c r="AK548" s="104"/>
      <c r="AL548" s="104"/>
      <c r="AM548" s="104"/>
      <c r="AN548" s="104"/>
      <c r="AO548" s="104"/>
      <c r="AP548" s="104"/>
      <c r="AQ548" s="104"/>
      <c r="AR548" s="104"/>
      <c r="AS548" s="104"/>
      <c r="AT548" s="104"/>
      <c r="AU548" s="104"/>
      <c r="AV548" s="104"/>
      <c r="AW548" s="104"/>
      <c r="AX548" s="104"/>
      <c r="AY548" s="104"/>
      <c r="AZ548" s="104"/>
      <c r="BA548" s="104"/>
      <c r="BB548" s="104"/>
      <c r="BC548" s="104"/>
      <c r="BD548" s="104"/>
      <c r="BE548" s="104"/>
      <c r="BF548" s="104"/>
      <c r="BG548" s="104"/>
      <c r="BH548" s="104"/>
      <c r="BI548" s="104"/>
      <c r="BJ548" s="104"/>
      <c r="BK548" s="104"/>
      <c r="BL548" s="104"/>
      <c r="BM548" s="104"/>
      <c r="BN548" s="104"/>
    </row>
    <row r="549">
      <c r="A549" s="104"/>
      <c r="B549" s="104"/>
      <c r="C549" s="104"/>
      <c r="D549" s="104"/>
      <c r="E549" s="104"/>
      <c r="F549" s="104"/>
      <c r="G549" s="104"/>
      <c r="H549" s="104"/>
      <c r="I549" s="104"/>
      <c r="J549" s="104"/>
      <c r="K549" s="105"/>
      <c r="L549" s="106"/>
      <c r="M549" s="104"/>
      <c r="N549" s="104"/>
      <c r="O549" s="104"/>
      <c r="P549" s="104"/>
      <c r="Q549" s="104"/>
      <c r="R549" s="106"/>
      <c r="S549" s="104"/>
      <c r="T549" s="104"/>
      <c r="U549" s="104"/>
      <c r="V549" s="104"/>
      <c r="W549" s="105"/>
      <c r="X549" s="104"/>
      <c r="Y549" s="104"/>
      <c r="Z549" s="104"/>
      <c r="AA549" s="104"/>
      <c r="AB549" s="104"/>
      <c r="AC549" s="104"/>
      <c r="AD549" s="104"/>
      <c r="AE549" s="104"/>
      <c r="AF549" s="104"/>
      <c r="AG549" s="104"/>
      <c r="AH549" s="104"/>
      <c r="AI549" s="104"/>
      <c r="AJ549" s="104"/>
      <c r="AK549" s="104"/>
      <c r="AL549" s="104"/>
      <c r="AM549" s="104"/>
      <c r="AN549" s="104"/>
      <c r="AO549" s="104"/>
      <c r="AP549" s="104"/>
      <c r="AQ549" s="104"/>
      <c r="AR549" s="104"/>
      <c r="AS549" s="104"/>
      <c r="AT549" s="104"/>
      <c r="AU549" s="104"/>
      <c r="AV549" s="104"/>
      <c r="AW549" s="104"/>
      <c r="AX549" s="104"/>
      <c r="AY549" s="104"/>
      <c r="AZ549" s="104"/>
      <c r="BA549" s="104"/>
      <c r="BB549" s="104"/>
      <c r="BC549" s="104"/>
      <c r="BD549" s="104"/>
      <c r="BE549" s="104"/>
      <c r="BF549" s="104"/>
      <c r="BG549" s="104"/>
      <c r="BH549" s="104"/>
      <c r="BI549" s="104"/>
      <c r="BJ549" s="104"/>
      <c r="BK549" s="104"/>
      <c r="BL549" s="104"/>
      <c r="BM549" s="104"/>
      <c r="BN549" s="104"/>
    </row>
    <row r="550">
      <c r="A550" s="104"/>
      <c r="B550" s="104"/>
      <c r="C550" s="104"/>
      <c r="D550" s="104"/>
      <c r="E550" s="104"/>
      <c r="F550" s="104"/>
      <c r="G550" s="104"/>
      <c r="H550" s="104"/>
      <c r="I550" s="104"/>
      <c r="J550" s="104"/>
      <c r="K550" s="105"/>
      <c r="L550" s="106"/>
      <c r="M550" s="104"/>
      <c r="N550" s="104"/>
      <c r="O550" s="104"/>
      <c r="P550" s="104"/>
      <c r="Q550" s="104"/>
      <c r="R550" s="106"/>
      <c r="S550" s="104"/>
      <c r="T550" s="104"/>
      <c r="U550" s="104"/>
      <c r="V550" s="104"/>
      <c r="W550" s="105"/>
      <c r="X550" s="104"/>
      <c r="Y550" s="104"/>
      <c r="Z550" s="104"/>
      <c r="AA550" s="104"/>
      <c r="AB550" s="104"/>
      <c r="AC550" s="104"/>
      <c r="AD550" s="104"/>
      <c r="AE550" s="104"/>
      <c r="AF550" s="104"/>
      <c r="AG550" s="104"/>
      <c r="AH550" s="104"/>
      <c r="AI550" s="104"/>
      <c r="AJ550" s="104"/>
      <c r="AK550" s="104"/>
      <c r="AL550" s="104"/>
      <c r="AM550" s="104"/>
      <c r="AN550" s="104"/>
      <c r="AO550" s="104"/>
      <c r="AP550" s="104"/>
      <c r="AQ550" s="104"/>
      <c r="AR550" s="104"/>
      <c r="AS550" s="104"/>
      <c r="AT550" s="104"/>
      <c r="AU550" s="104"/>
      <c r="AV550" s="104"/>
      <c r="AW550" s="104"/>
      <c r="AX550" s="104"/>
      <c r="AY550" s="104"/>
      <c r="AZ550" s="104"/>
      <c r="BA550" s="104"/>
      <c r="BB550" s="104"/>
      <c r="BC550" s="104"/>
      <c r="BD550" s="104"/>
      <c r="BE550" s="104"/>
      <c r="BF550" s="104"/>
      <c r="BG550" s="104"/>
      <c r="BH550" s="104"/>
      <c r="BI550" s="104"/>
      <c r="BJ550" s="104"/>
      <c r="BK550" s="104"/>
      <c r="BL550" s="104"/>
      <c r="BM550" s="104"/>
      <c r="BN550" s="104"/>
    </row>
    <row r="551">
      <c r="A551" s="104"/>
      <c r="B551" s="104"/>
      <c r="C551" s="104"/>
      <c r="D551" s="104"/>
      <c r="E551" s="104"/>
      <c r="F551" s="104"/>
      <c r="G551" s="104"/>
      <c r="H551" s="104"/>
      <c r="I551" s="104"/>
      <c r="J551" s="104"/>
      <c r="K551" s="105"/>
      <c r="L551" s="106"/>
      <c r="M551" s="104"/>
      <c r="N551" s="104"/>
      <c r="O551" s="104"/>
      <c r="P551" s="104"/>
      <c r="Q551" s="104"/>
      <c r="R551" s="106"/>
      <c r="S551" s="104"/>
      <c r="T551" s="104"/>
      <c r="U551" s="104"/>
      <c r="V551" s="104"/>
      <c r="W551" s="105"/>
      <c r="X551" s="104"/>
      <c r="Y551" s="104"/>
      <c r="Z551" s="104"/>
      <c r="AA551" s="104"/>
      <c r="AB551" s="104"/>
      <c r="AC551" s="104"/>
      <c r="AD551" s="104"/>
      <c r="AE551" s="104"/>
      <c r="AF551" s="104"/>
      <c r="AG551" s="104"/>
      <c r="AH551" s="104"/>
      <c r="AI551" s="104"/>
      <c r="AJ551" s="104"/>
      <c r="AK551" s="104"/>
      <c r="AL551" s="104"/>
      <c r="AM551" s="104"/>
      <c r="AN551" s="104"/>
      <c r="AO551" s="104"/>
      <c r="AP551" s="104"/>
      <c r="AQ551" s="104"/>
      <c r="AR551" s="104"/>
      <c r="AS551" s="104"/>
      <c r="AT551" s="104"/>
      <c r="AU551" s="104"/>
      <c r="AV551" s="104"/>
      <c r="AW551" s="104"/>
      <c r="AX551" s="104"/>
      <c r="AY551" s="104"/>
      <c r="AZ551" s="104"/>
      <c r="BA551" s="104"/>
      <c r="BB551" s="104"/>
      <c r="BC551" s="104"/>
      <c r="BD551" s="104"/>
      <c r="BE551" s="104"/>
      <c r="BF551" s="104"/>
      <c r="BG551" s="104"/>
      <c r="BH551" s="104"/>
      <c r="BI551" s="104"/>
      <c r="BJ551" s="104"/>
      <c r="BK551" s="104"/>
      <c r="BL551" s="104"/>
      <c r="BM551" s="104"/>
      <c r="BN551" s="104"/>
    </row>
    <row r="552">
      <c r="A552" s="104"/>
      <c r="B552" s="104"/>
      <c r="C552" s="104"/>
      <c r="D552" s="104"/>
      <c r="E552" s="104"/>
      <c r="F552" s="104"/>
      <c r="G552" s="104"/>
      <c r="H552" s="104"/>
      <c r="I552" s="104"/>
      <c r="J552" s="104"/>
      <c r="K552" s="105"/>
      <c r="L552" s="106"/>
      <c r="M552" s="104"/>
      <c r="N552" s="104"/>
      <c r="O552" s="104"/>
      <c r="P552" s="104"/>
      <c r="Q552" s="104"/>
      <c r="R552" s="106"/>
      <c r="S552" s="104"/>
      <c r="T552" s="104"/>
      <c r="U552" s="104"/>
      <c r="V552" s="104"/>
      <c r="W552" s="105"/>
      <c r="X552" s="104"/>
      <c r="Y552" s="104"/>
      <c r="Z552" s="104"/>
      <c r="AA552" s="104"/>
      <c r="AB552" s="104"/>
      <c r="AC552" s="104"/>
      <c r="AD552" s="104"/>
      <c r="AE552" s="104"/>
      <c r="AF552" s="104"/>
      <c r="AG552" s="104"/>
      <c r="AH552" s="104"/>
      <c r="AI552" s="104"/>
      <c r="AJ552" s="104"/>
      <c r="AK552" s="104"/>
      <c r="AL552" s="104"/>
      <c r="AM552" s="104"/>
      <c r="AN552" s="104"/>
      <c r="AO552" s="104"/>
      <c r="AP552" s="104"/>
      <c r="AQ552" s="104"/>
      <c r="AR552" s="104"/>
      <c r="AS552" s="104"/>
      <c r="AT552" s="104"/>
      <c r="AU552" s="104"/>
      <c r="AV552" s="104"/>
      <c r="AW552" s="104"/>
      <c r="AX552" s="104"/>
      <c r="AY552" s="104"/>
      <c r="AZ552" s="104"/>
      <c r="BA552" s="104"/>
      <c r="BB552" s="104"/>
      <c r="BC552" s="104"/>
      <c r="BD552" s="104"/>
      <c r="BE552" s="104"/>
      <c r="BF552" s="104"/>
      <c r="BG552" s="104"/>
      <c r="BH552" s="104"/>
      <c r="BI552" s="104"/>
      <c r="BJ552" s="104"/>
      <c r="BK552" s="104"/>
      <c r="BL552" s="104"/>
      <c r="BM552" s="104"/>
      <c r="BN552" s="104"/>
    </row>
    <row r="553">
      <c r="A553" s="104"/>
      <c r="B553" s="104"/>
      <c r="C553" s="104"/>
      <c r="D553" s="104"/>
      <c r="E553" s="104"/>
      <c r="F553" s="104"/>
      <c r="G553" s="104"/>
      <c r="H553" s="104"/>
      <c r="I553" s="104"/>
      <c r="J553" s="104"/>
      <c r="K553" s="105"/>
      <c r="L553" s="106"/>
      <c r="M553" s="104"/>
      <c r="N553" s="104"/>
      <c r="O553" s="104"/>
      <c r="P553" s="104"/>
      <c r="Q553" s="104"/>
      <c r="R553" s="106"/>
      <c r="S553" s="104"/>
      <c r="T553" s="104"/>
      <c r="U553" s="104"/>
      <c r="V553" s="104"/>
      <c r="W553" s="105"/>
      <c r="X553" s="104"/>
      <c r="Y553" s="104"/>
      <c r="Z553" s="104"/>
      <c r="AA553" s="104"/>
      <c r="AB553" s="104"/>
      <c r="AC553" s="104"/>
      <c r="AD553" s="104"/>
      <c r="AE553" s="104"/>
      <c r="AF553" s="104"/>
      <c r="AG553" s="104"/>
      <c r="AH553" s="104"/>
      <c r="AI553" s="104"/>
      <c r="AJ553" s="104"/>
      <c r="AK553" s="104"/>
      <c r="AL553" s="104"/>
      <c r="AM553" s="104"/>
      <c r="AN553" s="104"/>
      <c r="AO553" s="104"/>
      <c r="AP553" s="104"/>
      <c r="AQ553" s="104"/>
      <c r="AR553" s="104"/>
      <c r="AS553" s="104"/>
      <c r="AT553" s="104"/>
      <c r="AU553" s="104"/>
      <c r="AV553" s="104"/>
      <c r="AW553" s="104"/>
      <c r="AX553" s="104"/>
      <c r="AY553" s="104"/>
      <c r="AZ553" s="104"/>
      <c r="BA553" s="104"/>
      <c r="BB553" s="104"/>
      <c r="BC553" s="104"/>
      <c r="BD553" s="104"/>
      <c r="BE553" s="104"/>
      <c r="BF553" s="104"/>
      <c r="BG553" s="104"/>
      <c r="BH553" s="104"/>
      <c r="BI553" s="104"/>
      <c r="BJ553" s="104"/>
      <c r="BK553" s="104"/>
      <c r="BL553" s="104"/>
      <c r="BM553" s="104"/>
      <c r="BN553" s="104"/>
    </row>
    <row r="554">
      <c r="A554" s="104"/>
      <c r="B554" s="104"/>
      <c r="C554" s="104"/>
      <c r="D554" s="104"/>
      <c r="E554" s="104"/>
      <c r="F554" s="104"/>
      <c r="G554" s="104"/>
      <c r="H554" s="104"/>
      <c r="I554" s="104"/>
      <c r="J554" s="104"/>
      <c r="K554" s="105"/>
      <c r="L554" s="106"/>
      <c r="M554" s="104"/>
      <c r="N554" s="104"/>
      <c r="O554" s="104"/>
      <c r="P554" s="104"/>
      <c r="Q554" s="104"/>
      <c r="R554" s="106"/>
      <c r="S554" s="104"/>
      <c r="T554" s="104"/>
      <c r="U554" s="104"/>
      <c r="V554" s="104"/>
      <c r="W554" s="105"/>
      <c r="X554" s="104"/>
      <c r="Y554" s="104"/>
      <c r="Z554" s="104"/>
      <c r="AA554" s="104"/>
      <c r="AB554" s="104"/>
      <c r="AC554" s="104"/>
      <c r="AD554" s="104"/>
      <c r="AE554" s="104"/>
      <c r="AF554" s="104"/>
      <c r="AG554" s="104"/>
      <c r="AH554" s="104"/>
      <c r="AI554" s="104"/>
      <c r="AJ554" s="104"/>
      <c r="AK554" s="104"/>
      <c r="AL554" s="104"/>
      <c r="AM554" s="104"/>
      <c r="AN554" s="104"/>
      <c r="AO554" s="104"/>
      <c r="AP554" s="104"/>
      <c r="AQ554" s="104"/>
      <c r="AR554" s="104"/>
      <c r="AS554" s="104"/>
      <c r="AT554" s="104"/>
      <c r="AU554" s="104"/>
      <c r="AV554" s="104"/>
      <c r="AW554" s="104"/>
      <c r="AX554" s="104"/>
      <c r="AY554" s="104"/>
      <c r="AZ554" s="104"/>
      <c r="BA554" s="104"/>
      <c r="BB554" s="104"/>
      <c r="BC554" s="104"/>
      <c r="BD554" s="104"/>
      <c r="BE554" s="104"/>
      <c r="BF554" s="104"/>
      <c r="BG554" s="104"/>
      <c r="BH554" s="104"/>
      <c r="BI554" s="104"/>
      <c r="BJ554" s="104"/>
      <c r="BK554" s="104"/>
      <c r="BL554" s="104"/>
      <c r="BM554" s="104"/>
      <c r="BN554" s="104"/>
    </row>
    <row r="555">
      <c r="A555" s="104"/>
      <c r="B555" s="104"/>
      <c r="C555" s="104"/>
      <c r="D555" s="104"/>
      <c r="E555" s="104"/>
      <c r="F555" s="104"/>
      <c r="G555" s="104"/>
      <c r="H555" s="104"/>
      <c r="I555" s="104"/>
      <c r="J555" s="104"/>
      <c r="K555" s="105"/>
      <c r="L555" s="106"/>
      <c r="M555" s="104"/>
      <c r="N555" s="104"/>
      <c r="O555" s="104"/>
      <c r="P555" s="104"/>
      <c r="Q555" s="104"/>
      <c r="R555" s="106"/>
      <c r="S555" s="104"/>
      <c r="T555" s="104"/>
      <c r="U555" s="104"/>
      <c r="V555" s="104"/>
      <c r="W555" s="105"/>
      <c r="X555" s="104"/>
      <c r="Y555" s="104"/>
      <c r="Z555" s="104"/>
      <c r="AA555" s="104"/>
      <c r="AB555" s="104"/>
      <c r="AC555" s="104"/>
      <c r="AD555" s="104"/>
      <c r="AE555" s="104"/>
      <c r="AF555" s="104"/>
      <c r="AG555" s="104"/>
      <c r="AH555" s="104"/>
      <c r="AI555" s="104"/>
      <c r="AJ555" s="104"/>
      <c r="AK555" s="104"/>
      <c r="AL555" s="104"/>
      <c r="AM555" s="104"/>
      <c r="AN555" s="104"/>
      <c r="AO555" s="104"/>
      <c r="AP555" s="104"/>
      <c r="AQ555" s="104"/>
      <c r="AR555" s="104"/>
      <c r="AS555" s="104"/>
      <c r="AT555" s="104"/>
      <c r="AU555" s="104"/>
      <c r="AV555" s="104"/>
      <c r="AW555" s="104"/>
      <c r="AX555" s="104"/>
      <c r="AY555" s="104"/>
      <c r="AZ555" s="104"/>
      <c r="BA555" s="104"/>
      <c r="BB555" s="104"/>
      <c r="BC555" s="104"/>
      <c r="BD555" s="104"/>
      <c r="BE555" s="104"/>
      <c r="BF555" s="104"/>
      <c r="BG555" s="104"/>
      <c r="BH555" s="104"/>
      <c r="BI555" s="104"/>
      <c r="BJ555" s="104"/>
      <c r="BK555" s="104"/>
      <c r="BL555" s="104"/>
      <c r="BM555" s="104"/>
      <c r="BN555" s="104"/>
    </row>
    <row r="556">
      <c r="A556" s="104"/>
      <c r="B556" s="104"/>
      <c r="C556" s="104"/>
      <c r="D556" s="104"/>
      <c r="E556" s="104"/>
      <c r="F556" s="104"/>
      <c r="G556" s="104"/>
      <c r="H556" s="104"/>
      <c r="I556" s="104"/>
      <c r="J556" s="104"/>
      <c r="K556" s="105"/>
      <c r="L556" s="106"/>
      <c r="M556" s="104"/>
      <c r="N556" s="104"/>
      <c r="O556" s="104"/>
      <c r="P556" s="104"/>
      <c r="Q556" s="104"/>
      <c r="R556" s="106"/>
      <c r="S556" s="104"/>
      <c r="T556" s="104"/>
      <c r="U556" s="104"/>
      <c r="V556" s="104"/>
      <c r="W556" s="105"/>
      <c r="X556" s="104"/>
      <c r="Y556" s="104"/>
      <c r="Z556" s="104"/>
      <c r="AA556" s="104"/>
      <c r="AB556" s="104"/>
      <c r="AC556" s="104"/>
      <c r="AD556" s="104"/>
      <c r="AE556" s="104"/>
      <c r="AF556" s="104"/>
      <c r="AG556" s="104"/>
      <c r="AH556" s="104"/>
      <c r="AI556" s="104"/>
      <c r="AJ556" s="104"/>
      <c r="AK556" s="104"/>
      <c r="AL556" s="104"/>
      <c r="AM556" s="104"/>
      <c r="AN556" s="104"/>
      <c r="AO556" s="104"/>
      <c r="AP556" s="104"/>
      <c r="AQ556" s="104"/>
      <c r="AR556" s="104"/>
      <c r="AS556" s="104"/>
      <c r="AT556" s="104"/>
      <c r="AU556" s="104"/>
      <c r="AV556" s="104"/>
      <c r="AW556" s="104"/>
      <c r="AX556" s="104"/>
      <c r="AY556" s="104"/>
      <c r="AZ556" s="104"/>
      <c r="BA556" s="104"/>
      <c r="BB556" s="104"/>
      <c r="BC556" s="104"/>
      <c r="BD556" s="104"/>
      <c r="BE556" s="104"/>
      <c r="BF556" s="104"/>
      <c r="BG556" s="104"/>
      <c r="BH556" s="104"/>
      <c r="BI556" s="104"/>
      <c r="BJ556" s="104"/>
      <c r="BK556" s="104"/>
      <c r="BL556" s="104"/>
      <c r="BM556" s="104"/>
      <c r="BN556" s="104"/>
    </row>
    <row r="557">
      <c r="A557" s="104"/>
      <c r="B557" s="104"/>
      <c r="C557" s="104"/>
      <c r="D557" s="104"/>
      <c r="E557" s="104"/>
      <c r="F557" s="104"/>
      <c r="G557" s="104"/>
      <c r="H557" s="104"/>
      <c r="I557" s="104"/>
      <c r="J557" s="104"/>
      <c r="K557" s="105"/>
      <c r="L557" s="106"/>
      <c r="M557" s="104"/>
      <c r="N557" s="104"/>
      <c r="O557" s="104"/>
      <c r="P557" s="104"/>
      <c r="Q557" s="104"/>
      <c r="R557" s="106"/>
      <c r="S557" s="104"/>
      <c r="T557" s="104"/>
      <c r="U557" s="104"/>
      <c r="V557" s="104"/>
      <c r="W557" s="105"/>
      <c r="X557" s="104"/>
      <c r="Y557" s="104"/>
      <c r="Z557" s="104"/>
      <c r="AA557" s="104"/>
      <c r="AB557" s="104"/>
      <c r="AC557" s="104"/>
      <c r="AD557" s="104"/>
      <c r="AE557" s="104"/>
      <c r="AF557" s="104"/>
      <c r="AG557" s="104"/>
      <c r="AH557" s="104"/>
      <c r="AI557" s="104"/>
      <c r="AJ557" s="104"/>
      <c r="AK557" s="104"/>
      <c r="AL557" s="104"/>
      <c r="AM557" s="104"/>
      <c r="AN557" s="104"/>
      <c r="AO557" s="104"/>
      <c r="AP557" s="104"/>
      <c r="AQ557" s="104"/>
      <c r="AR557" s="104"/>
      <c r="AS557" s="104"/>
      <c r="AT557" s="104"/>
      <c r="AU557" s="104"/>
      <c r="AV557" s="104"/>
      <c r="AW557" s="104"/>
      <c r="AX557" s="104"/>
      <c r="AY557" s="104"/>
      <c r="AZ557" s="104"/>
      <c r="BA557" s="104"/>
      <c r="BB557" s="104"/>
      <c r="BC557" s="104"/>
      <c r="BD557" s="104"/>
      <c r="BE557" s="104"/>
      <c r="BF557" s="104"/>
      <c r="BG557" s="104"/>
      <c r="BH557" s="104"/>
      <c r="BI557" s="104"/>
      <c r="BJ557" s="104"/>
      <c r="BK557" s="104"/>
      <c r="BL557" s="104"/>
      <c r="BM557" s="104"/>
      <c r="BN557" s="104"/>
    </row>
    <row r="558">
      <c r="A558" s="104"/>
      <c r="B558" s="104"/>
      <c r="C558" s="104"/>
      <c r="D558" s="104"/>
      <c r="E558" s="104"/>
      <c r="F558" s="104"/>
      <c r="G558" s="104"/>
      <c r="H558" s="104"/>
      <c r="I558" s="104"/>
      <c r="J558" s="104"/>
      <c r="K558" s="105"/>
      <c r="L558" s="106"/>
      <c r="M558" s="104"/>
      <c r="N558" s="104"/>
      <c r="O558" s="104"/>
      <c r="P558" s="104"/>
      <c r="Q558" s="104"/>
      <c r="R558" s="106"/>
      <c r="S558" s="104"/>
      <c r="T558" s="104"/>
      <c r="U558" s="104"/>
      <c r="V558" s="104"/>
      <c r="W558" s="105"/>
      <c r="X558" s="104"/>
      <c r="Y558" s="104"/>
      <c r="Z558" s="104"/>
      <c r="AA558" s="104"/>
      <c r="AB558" s="104"/>
      <c r="AC558" s="104"/>
      <c r="AD558" s="104"/>
      <c r="AE558" s="104"/>
      <c r="AF558" s="104"/>
      <c r="AG558" s="104"/>
      <c r="AH558" s="104"/>
      <c r="AI558" s="104"/>
      <c r="AJ558" s="104"/>
      <c r="AK558" s="104"/>
      <c r="AL558" s="104"/>
      <c r="AM558" s="104"/>
      <c r="AN558" s="104"/>
      <c r="AO558" s="104"/>
      <c r="AP558" s="104"/>
      <c r="AQ558" s="104"/>
      <c r="AR558" s="104"/>
      <c r="AS558" s="104"/>
      <c r="AT558" s="104"/>
      <c r="AU558" s="104"/>
      <c r="AV558" s="104"/>
      <c r="AW558" s="104"/>
      <c r="AX558" s="104"/>
      <c r="AY558" s="104"/>
      <c r="AZ558" s="104"/>
      <c r="BA558" s="104"/>
      <c r="BB558" s="104"/>
      <c r="BC558" s="104"/>
      <c r="BD558" s="104"/>
      <c r="BE558" s="104"/>
      <c r="BF558" s="104"/>
      <c r="BG558" s="104"/>
      <c r="BH558" s="104"/>
      <c r="BI558" s="104"/>
      <c r="BJ558" s="104"/>
      <c r="BK558" s="104"/>
      <c r="BL558" s="104"/>
      <c r="BM558" s="104"/>
      <c r="BN558" s="104"/>
    </row>
    <row r="559">
      <c r="A559" s="104"/>
      <c r="B559" s="104"/>
      <c r="C559" s="104"/>
      <c r="D559" s="104"/>
      <c r="E559" s="104"/>
      <c r="F559" s="104"/>
      <c r="G559" s="104"/>
      <c r="H559" s="104"/>
      <c r="I559" s="104"/>
      <c r="J559" s="104"/>
      <c r="K559" s="105"/>
      <c r="L559" s="106"/>
      <c r="M559" s="104"/>
      <c r="N559" s="104"/>
      <c r="O559" s="104"/>
      <c r="P559" s="104"/>
      <c r="Q559" s="104"/>
      <c r="R559" s="106"/>
      <c r="S559" s="104"/>
      <c r="T559" s="104"/>
      <c r="U559" s="104"/>
      <c r="V559" s="104"/>
      <c r="W559" s="105"/>
      <c r="X559" s="104"/>
      <c r="Y559" s="104"/>
      <c r="Z559" s="104"/>
      <c r="AA559" s="104"/>
      <c r="AB559" s="104"/>
      <c r="AC559" s="104"/>
      <c r="AD559" s="104"/>
      <c r="AE559" s="104"/>
      <c r="AF559" s="104"/>
      <c r="AG559" s="104"/>
      <c r="AH559" s="104"/>
      <c r="AI559" s="104"/>
      <c r="AJ559" s="104"/>
      <c r="AK559" s="104"/>
      <c r="AL559" s="104"/>
      <c r="AM559" s="104"/>
      <c r="AN559" s="104"/>
      <c r="AO559" s="104"/>
      <c r="AP559" s="104"/>
      <c r="AQ559" s="104"/>
      <c r="AR559" s="104"/>
      <c r="AS559" s="104"/>
      <c r="AT559" s="104"/>
      <c r="AU559" s="104"/>
      <c r="AV559" s="104"/>
      <c r="AW559" s="104"/>
      <c r="AX559" s="104"/>
      <c r="AY559" s="104"/>
      <c r="AZ559" s="104"/>
      <c r="BA559" s="104"/>
      <c r="BB559" s="104"/>
      <c r="BC559" s="104"/>
      <c r="BD559" s="104"/>
      <c r="BE559" s="104"/>
      <c r="BF559" s="104"/>
      <c r="BG559" s="104"/>
      <c r="BH559" s="104"/>
      <c r="BI559" s="104"/>
      <c r="BJ559" s="104"/>
      <c r="BK559" s="104"/>
      <c r="BL559" s="104"/>
      <c r="BM559" s="104"/>
      <c r="BN559" s="104"/>
    </row>
    <row r="560">
      <c r="A560" s="104"/>
      <c r="B560" s="104"/>
      <c r="C560" s="104"/>
      <c r="D560" s="104"/>
      <c r="E560" s="104"/>
      <c r="F560" s="104"/>
      <c r="G560" s="104"/>
      <c r="H560" s="104"/>
      <c r="I560" s="104"/>
      <c r="J560" s="104"/>
      <c r="K560" s="105"/>
      <c r="L560" s="106"/>
      <c r="M560" s="104"/>
      <c r="N560" s="104"/>
      <c r="O560" s="104"/>
      <c r="P560" s="104"/>
      <c r="Q560" s="104"/>
      <c r="R560" s="106"/>
      <c r="S560" s="104"/>
      <c r="T560" s="104"/>
      <c r="U560" s="104"/>
      <c r="V560" s="104"/>
      <c r="W560" s="105"/>
      <c r="X560" s="104"/>
      <c r="Y560" s="104"/>
      <c r="Z560" s="104"/>
      <c r="AA560" s="104"/>
      <c r="AB560" s="104"/>
      <c r="AC560" s="104"/>
      <c r="AD560" s="104"/>
      <c r="AE560" s="104"/>
      <c r="AF560" s="104"/>
      <c r="AG560" s="104"/>
      <c r="AH560" s="104"/>
      <c r="AI560" s="104"/>
      <c r="AJ560" s="104"/>
      <c r="AK560" s="104"/>
      <c r="AL560" s="104"/>
      <c r="AM560" s="104"/>
      <c r="AN560" s="104"/>
      <c r="AO560" s="104"/>
      <c r="AP560" s="104"/>
      <c r="AQ560" s="104"/>
      <c r="AR560" s="104"/>
      <c r="AS560" s="104"/>
      <c r="AT560" s="104"/>
      <c r="AU560" s="104"/>
      <c r="AV560" s="104"/>
      <c r="AW560" s="104"/>
      <c r="AX560" s="104"/>
      <c r="AY560" s="104"/>
      <c r="AZ560" s="104"/>
      <c r="BA560" s="104"/>
      <c r="BB560" s="104"/>
      <c r="BC560" s="104"/>
      <c r="BD560" s="104"/>
      <c r="BE560" s="104"/>
      <c r="BF560" s="104"/>
      <c r="BG560" s="104"/>
      <c r="BH560" s="104"/>
      <c r="BI560" s="104"/>
      <c r="BJ560" s="104"/>
      <c r="BK560" s="104"/>
      <c r="BL560" s="104"/>
      <c r="BM560" s="104"/>
      <c r="BN560" s="104"/>
    </row>
    <row r="561">
      <c r="A561" s="104"/>
      <c r="B561" s="104"/>
      <c r="C561" s="104"/>
      <c r="D561" s="104"/>
      <c r="E561" s="104"/>
      <c r="F561" s="104"/>
      <c r="G561" s="104"/>
      <c r="H561" s="104"/>
      <c r="I561" s="104"/>
      <c r="J561" s="104"/>
      <c r="K561" s="105"/>
      <c r="L561" s="106"/>
      <c r="M561" s="104"/>
      <c r="N561" s="104"/>
      <c r="O561" s="104"/>
      <c r="P561" s="104"/>
      <c r="Q561" s="104"/>
      <c r="R561" s="106"/>
      <c r="S561" s="104"/>
      <c r="T561" s="104"/>
      <c r="U561" s="104"/>
      <c r="V561" s="104"/>
      <c r="W561" s="105"/>
      <c r="X561" s="104"/>
      <c r="Y561" s="104"/>
      <c r="Z561" s="104"/>
      <c r="AA561" s="104"/>
      <c r="AB561" s="104"/>
      <c r="AC561" s="104"/>
      <c r="AD561" s="104"/>
      <c r="AE561" s="104"/>
      <c r="AF561" s="104"/>
      <c r="AG561" s="104"/>
      <c r="AH561" s="104"/>
      <c r="AI561" s="104"/>
      <c r="AJ561" s="104"/>
      <c r="AK561" s="104"/>
      <c r="AL561" s="104"/>
      <c r="AM561" s="104"/>
      <c r="AN561" s="104"/>
      <c r="AO561" s="104"/>
      <c r="AP561" s="104"/>
      <c r="AQ561" s="104"/>
      <c r="AR561" s="104"/>
      <c r="AS561" s="104"/>
      <c r="AT561" s="104"/>
      <c r="AU561" s="104"/>
      <c r="AV561" s="104"/>
      <c r="AW561" s="104"/>
      <c r="AX561" s="104"/>
      <c r="AY561" s="104"/>
      <c r="AZ561" s="104"/>
      <c r="BA561" s="104"/>
      <c r="BB561" s="104"/>
      <c r="BC561" s="104"/>
      <c r="BD561" s="104"/>
      <c r="BE561" s="104"/>
      <c r="BF561" s="104"/>
      <c r="BG561" s="104"/>
      <c r="BH561" s="104"/>
      <c r="BI561" s="104"/>
      <c r="BJ561" s="104"/>
      <c r="BK561" s="104"/>
      <c r="BL561" s="104"/>
      <c r="BM561" s="104"/>
      <c r="BN561" s="104"/>
    </row>
    <row r="562">
      <c r="A562" s="104"/>
      <c r="B562" s="104"/>
      <c r="C562" s="104"/>
      <c r="D562" s="104"/>
      <c r="E562" s="104"/>
      <c r="F562" s="104"/>
      <c r="G562" s="104"/>
      <c r="H562" s="104"/>
      <c r="I562" s="104"/>
      <c r="J562" s="104"/>
      <c r="K562" s="105"/>
      <c r="L562" s="106"/>
      <c r="M562" s="104"/>
      <c r="N562" s="104"/>
      <c r="O562" s="104"/>
      <c r="P562" s="104"/>
      <c r="Q562" s="104"/>
      <c r="R562" s="106"/>
      <c r="S562" s="104"/>
      <c r="T562" s="104"/>
      <c r="U562" s="104"/>
      <c r="V562" s="104"/>
      <c r="W562" s="105"/>
      <c r="X562" s="104"/>
      <c r="Y562" s="104"/>
      <c r="Z562" s="104"/>
      <c r="AA562" s="104"/>
      <c r="AB562" s="104"/>
      <c r="AC562" s="104"/>
      <c r="AD562" s="104"/>
      <c r="AE562" s="104"/>
      <c r="AF562" s="104"/>
      <c r="AG562" s="104"/>
      <c r="AH562" s="104"/>
      <c r="AI562" s="104"/>
      <c r="AJ562" s="104"/>
      <c r="AK562" s="104"/>
      <c r="AL562" s="104"/>
      <c r="AM562" s="104"/>
      <c r="AN562" s="104"/>
      <c r="AO562" s="104"/>
      <c r="AP562" s="104"/>
      <c r="AQ562" s="104"/>
      <c r="AR562" s="104"/>
      <c r="AS562" s="104"/>
      <c r="AT562" s="104"/>
      <c r="AU562" s="104"/>
      <c r="AV562" s="104"/>
      <c r="AW562" s="104"/>
      <c r="AX562" s="104"/>
      <c r="AY562" s="104"/>
      <c r="AZ562" s="104"/>
      <c r="BA562" s="104"/>
      <c r="BB562" s="104"/>
      <c r="BC562" s="104"/>
      <c r="BD562" s="104"/>
      <c r="BE562" s="104"/>
      <c r="BF562" s="104"/>
      <c r="BG562" s="104"/>
      <c r="BH562" s="104"/>
      <c r="BI562" s="104"/>
      <c r="BJ562" s="104"/>
      <c r="BK562" s="104"/>
      <c r="BL562" s="104"/>
      <c r="BM562" s="104"/>
      <c r="BN562" s="104"/>
    </row>
    <row r="563">
      <c r="A563" s="104"/>
      <c r="B563" s="104"/>
      <c r="C563" s="104"/>
      <c r="D563" s="104"/>
      <c r="E563" s="104"/>
      <c r="F563" s="104"/>
      <c r="G563" s="104"/>
      <c r="H563" s="104"/>
      <c r="I563" s="104"/>
      <c r="J563" s="104"/>
      <c r="K563" s="105"/>
      <c r="L563" s="106"/>
      <c r="M563" s="104"/>
      <c r="N563" s="104"/>
      <c r="O563" s="104"/>
      <c r="P563" s="104"/>
      <c r="Q563" s="104"/>
      <c r="R563" s="106"/>
      <c r="S563" s="104"/>
      <c r="T563" s="104"/>
      <c r="U563" s="104"/>
      <c r="V563" s="104"/>
      <c r="W563" s="105"/>
      <c r="X563" s="104"/>
      <c r="Y563" s="104"/>
      <c r="Z563" s="104"/>
      <c r="AA563" s="104"/>
      <c r="AB563" s="104"/>
      <c r="AC563" s="104"/>
      <c r="AD563" s="104"/>
      <c r="AE563" s="104"/>
      <c r="AF563" s="104"/>
      <c r="AG563" s="104"/>
      <c r="AH563" s="104"/>
      <c r="AI563" s="104"/>
      <c r="AJ563" s="104"/>
      <c r="AK563" s="104"/>
      <c r="AL563" s="104"/>
      <c r="AM563" s="104"/>
      <c r="AN563" s="104"/>
      <c r="AO563" s="104"/>
      <c r="AP563" s="104"/>
      <c r="AQ563" s="104"/>
      <c r="AR563" s="104"/>
      <c r="AS563" s="104"/>
      <c r="AT563" s="104"/>
      <c r="AU563" s="104"/>
      <c r="AV563" s="104"/>
      <c r="AW563" s="104"/>
      <c r="AX563" s="104"/>
      <c r="AY563" s="104"/>
      <c r="AZ563" s="104"/>
      <c r="BA563" s="104"/>
      <c r="BB563" s="104"/>
      <c r="BC563" s="104"/>
      <c r="BD563" s="104"/>
      <c r="BE563" s="104"/>
      <c r="BF563" s="104"/>
      <c r="BG563" s="104"/>
      <c r="BH563" s="104"/>
      <c r="BI563" s="104"/>
      <c r="BJ563" s="104"/>
      <c r="BK563" s="104"/>
      <c r="BL563" s="104"/>
      <c r="BM563" s="104"/>
      <c r="BN563" s="104"/>
    </row>
    <row r="564">
      <c r="A564" s="104"/>
      <c r="B564" s="104"/>
      <c r="C564" s="104"/>
      <c r="D564" s="104"/>
      <c r="E564" s="104"/>
      <c r="F564" s="104"/>
      <c r="G564" s="104"/>
      <c r="H564" s="104"/>
      <c r="I564" s="104"/>
      <c r="J564" s="104"/>
      <c r="K564" s="105"/>
      <c r="L564" s="106"/>
      <c r="M564" s="104"/>
      <c r="N564" s="104"/>
      <c r="O564" s="104"/>
      <c r="P564" s="104"/>
      <c r="Q564" s="104"/>
      <c r="R564" s="106"/>
      <c r="S564" s="104"/>
      <c r="T564" s="104"/>
      <c r="U564" s="104"/>
      <c r="V564" s="104"/>
      <c r="W564" s="105"/>
      <c r="X564" s="104"/>
      <c r="Y564" s="104"/>
      <c r="Z564" s="104"/>
      <c r="AA564" s="104"/>
      <c r="AB564" s="104"/>
      <c r="AC564" s="104"/>
      <c r="AD564" s="104"/>
      <c r="AE564" s="104"/>
      <c r="AF564" s="104"/>
      <c r="AG564" s="104"/>
      <c r="AH564" s="104"/>
      <c r="AI564" s="104"/>
      <c r="AJ564" s="104"/>
      <c r="AK564" s="104"/>
      <c r="AL564" s="104"/>
      <c r="AM564" s="104"/>
      <c r="AN564" s="104"/>
      <c r="AO564" s="104"/>
      <c r="AP564" s="104"/>
      <c r="AQ564" s="104"/>
      <c r="AR564" s="104"/>
      <c r="AS564" s="104"/>
      <c r="AT564" s="104"/>
      <c r="AU564" s="104"/>
      <c r="AV564" s="104"/>
      <c r="AW564" s="104"/>
      <c r="AX564" s="104"/>
      <c r="AY564" s="104"/>
      <c r="AZ564" s="104"/>
      <c r="BA564" s="104"/>
      <c r="BB564" s="104"/>
      <c r="BC564" s="104"/>
      <c r="BD564" s="104"/>
      <c r="BE564" s="104"/>
      <c r="BF564" s="104"/>
      <c r="BG564" s="104"/>
      <c r="BH564" s="104"/>
      <c r="BI564" s="104"/>
      <c r="BJ564" s="104"/>
      <c r="BK564" s="104"/>
      <c r="BL564" s="104"/>
      <c r="BM564" s="104"/>
      <c r="BN564" s="104"/>
    </row>
    <row r="565">
      <c r="A565" s="104"/>
      <c r="B565" s="104"/>
      <c r="C565" s="104"/>
      <c r="D565" s="104"/>
      <c r="E565" s="104"/>
      <c r="F565" s="104"/>
      <c r="G565" s="104"/>
      <c r="H565" s="104"/>
      <c r="I565" s="104"/>
      <c r="J565" s="104"/>
      <c r="K565" s="105"/>
      <c r="L565" s="106"/>
      <c r="M565" s="104"/>
      <c r="N565" s="104"/>
      <c r="O565" s="104"/>
      <c r="P565" s="104"/>
      <c r="Q565" s="104"/>
      <c r="R565" s="106"/>
      <c r="S565" s="104"/>
      <c r="T565" s="104"/>
      <c r="U565" s="104"/>
      <c r="V565" s="104"/>
      <c r="W565" s="105"/>
      <c r="X565" s="104"/>
      <c r="Y565" s="104"/>
      <c r="Z565" s="104"/>
      <c r="AA565" s="104"/>
      <c r="AB565" s="104"/>
      <c r="AC565" s="104"/>
      <c r="AD565" s="104"/>
      <c r="AE565" s="104"/>
      <c r="AF565" s="104"/>
      <c r="AG565" s="104"/>
      <c r="AH565" s="104"/>
      <c r="AI565" s="104"/>
      <c r="AJ565" s="104"/>
      <c r="AK565" s="104"/>
      <c r="AL565" s="104"/>
      <c r="AM565" s="104"/>
      <c r="AN565" s="104"/>
      <c r="AO565" s="104"/>
      <c r="AP565" s="104"/>
      <c r="AQ565" s="104"/>
      <c r="AR565" s="104"/>
      <c r="AS565" s="104"/>
      <c r="AT565" s="104"/>
      <c r="AU565" s="104"/>
      <c r="AV565" s="104"/>
      <c r="AW565" s="104"/>
      <c r="AX565" s="104"/>
      <c r="AY565" s="104"/>
      <c r="AZ565" s="104"/>
      <c r="BA565" s="104"/>
      <c r="BB565" s="104"/>
      <c r="BC565" s="104"/>
      <c r="BD565" s="104"/>
      <c r="BE565" s="104"/>
      <c r="BF565" s="104"/>
      <c r="BG565" s="104"/>
      <c r="BH565" s="104"/>
      <c r="BI565" s="104"/>
      <c r="BJ565" s="104"/>
      <c r="BK565" s="104"/>
      <c r="BL565" s="104"/>
      <c r="BM565" s="104"/>
      <c r="BN565" s="104"/>
    </row>
    <row r="566">
      <c r="A566" s="104"/>
      <c r="B566" s="104"/>
      <c r="C566" s="104"/>
      <c r="D566" s="104"/>
      <c r="E566" s="104"/>
      <c r="F566" s="104"/>
      <c r="G566" s="104"/>
      <c r="H566" s="104"/>
      <c r="I566" s="104"/>
      <c r="J566" s="104"/>
      <c r="K566" s="105"/>
      <c r="L566" s="106"/>
      <c r="M566" s="104"/>
      <c r="N566" s="104"/>
      <c r="O566" s="104"/>
      <c r="P566" s="104"/>
      <c r="Q566" s="104"/>
      <c r="R566" s="106"/>
      <c r="S566" s="104"/>
      <c r="T566" s="104"/>
      <c r="U566" s="104"/>
      <c r="V566" s="104"/>
      <c r="W566" s="105"/>
      <c r="X566" s="104"/>
      <c r="Y566" s="104"/>
      <c r="Z566" s="104"/>
      <c r="AA566" s="104"/>
      <c r="AB566" s="104"/>
      <c r="AC566" s="104"/>
      <c r="AD566" s="104"/>
      <c r="AE566" s="104"/>
      <c r="AF566" s="104"/>
      <c r="AG566" s="104"/>
      <c r="AH566" s="104"/>
      <c r="AI566" s="104"/>
      <c r="AJ566" s="104"/>
      <c r="AK566" s="104"/>
      <c r="AL566" s="104"/>
      <c r="AM566" s="104"/>
      <c r="AN566" s="104"/>
      <c r="AO566" s="104"/>
      <c r="AP566" s="104"/>
      <c r="AQ566" s="104"/>
      <c r="AR566" s="104"/>
      <c r="AS566" s="104"/>
      <c r="AT566" s="104"/>
      <c r="AU566" s="104"/>
      <c r="AV566" s="104"/>
      <c r="AW566" s="104"/>
      <c r="AX566" s="104"/>
      <c r="AY566" s="104"/>
      <c r="AZ566" s="104"/>
      <c r="BA566" s="104"/>
      <c r="BB566" s="104"/>
      <c r="BC566" s="104"/>
      <c r="BD566" s="104"/>
      <c r="BE566" s="104"/>
      <c r="BF566" s="104"/>
      <c r="BG566" s="104"/>
      <c r="BH566" s="104"/>
      <c r="BI566" s="104"/>
      <c r="BJ566" s="104"/>
      <c r="BK566" s="104"/>
      <c r="BL566" s="104"/>
      <c r="BM566" s="104"/>
      <c r="BN566" s="104"/>
    </row>
    <row r="567">
      <c r="A567" s="104"/>
      <c r="B567" s="104"/>
      <c r="C567" s="104"/>
      <c r="D567" s="104"/>
      <c r="E567" s="104"/>
      <c r="F567" s="104"/>
      <c r="G567" s="104"/>
      <c r="H567" s="104"/>
      <c r="I567" s="104"/>
      <c r="J567" s="104"/>
      <c r="K567" s="105"/>
      <c r="L567" s="106"/>
      <c r="M567" s="104"/>
      <c r="N567" s="104"/>
      <c r="O567" s="104"/>
      <c r="P567" s="104"/>
      <c r="Q567" s="104"/>
      <c r="R567" s="106"/>
      <c r="S567" s="104"/>
      <c r="T567" s="104"/>
      <c r="U567" s="104"/>
      <c r="V567" s="104"/>
      <c r="W567" s="105"/>
      <c r="X567" s="104"/>
      <c r="Y567" s="104"/>
      <c r="Z567" s="104"/>
      <c r="AA567" s="104"/>
      <c r="AB567" s="104"/>
      <c r="AC567" s="104"/>
      <c r="AD567" s="104"/>
      <c r="AE567" s="104"/>
      <c r="AF567" s="104"/>
      <c r="AG567" s="104"/>
      <c r="AH567" s="104"/>
      <c r="AI567" s="104"/>
      <c r="AJ567" s="104"/>
      <c r="AK567" s="104"/>
      <c r="AL567" s="104"/>
      <c r="AM567" s="104"/>
      <c r="AN567" s="104"/>
      <c r="AO567" s="104"/>
      <c r="AP567" s="104"/>
      <c r="AQ567" s="104"/>
      <c r="AR567" s="104"/>
      <c r="AS567" s="104"/>
      <c r="AT567" s="104"/>
      <c r="AU567" s="104"/>
      <c r="AV567" s="104"/>
      <c r="AW567" s="104"/>
      <c r="AX567" s="104"/>
      <c r="AY567" s="104"/>
      <c r="AZ567" s="104"/>
      <c r="BA567" s="104"/>
      <c r="BB567" s="104"/>
      <c r="BC567" s="104"/>
      <c r="BD567" s="104"/>
      <c r="BE567" s="104"/>
      <c r="BF567" s="104"/>
      <c r="BG567" s="104"/>
      <c r="BH567" s="104"/>
      <c r="BI567" s="104"/>
      <c r="BJ567" s="104"/>
      <c r="BK567" s="104"/>
      <c r="BL567" s="104"/>
      <c r="BM567" s="104"/>
      <c r="BN567" s="104"/>
    </row>
    <row r="568">
      <c r="A568" s="104"/>
      <c r="B568" s="104"/>
      <c r="C568" s="104"/>
      <c r="D568" s="104"/>
      <c r="E568" s="104"/>
      <c r="F568" s="104"/>
      <c r="G568" s="104"/>
      <c r="H568" s="104"/>
      <c r="I568" s="104"/>
      <c r="J568" s="104"/>
      <c r="K568" s="105"/>
      <c r="L568" s="106"/>
      <c r="M568" s="104"/>
      <c r="N568" s="104"/>
      <c r="O568" s="104"/>
      <c r="P568" s="104"/>
      <c r="Q568" s="104"/>
      <c r="R568" s="106"/>
      <c r="S568" s="104"/>
      <c r="T568" s="104"/>
      <c r="U568" s="104"/>
      <c r="V568" s="104"/>
      <c r="W568" s="105"/>
      <c r="X568" s="104"/>
      <c r="Y568" s="104"/>
      <c r="Z568" s="104"/>
      <c r="AA568" s="104"/>
      <c r="AB568" s="104"/>
      <c r="AC568" s="104"/>
      <c r="AD568" s="104"/>
      <c r="AE568" s="104"/>
      <c r="AF568" s="104"/>
      <c r="AG568" s="104"/>
      <c r="AH568" s="104"/>
      <c r="AI568" s="104"/>
      <c r="AJ568" s="104"/>
      <c r="AK568" s="104"/>
      <c r="AL568" s="104"/>
      <c r="AM568" s="104"/>
      <c r="AN568" s="104"/>
      <c r="AO568" s="104"/>
      <c r="AP568" s="104"/>
      <c r="AQ568" s="104"/>
      <c r="AR568" s="104"/>
      <c r="AS568" s="104"/>
      <c r="AT568" s="104"/>
      <c r="AU568" s="104"/>
      <c r="AV568" s="104"/>
      <c r="AW568" s="104"/>
      <c r="AX568" s="104"/>
      <c r="AY568" s="104"/>
      <c r="AZ568" s="104"/>
      <c r="BA568" s="104"/>
      <c r="BB568" s="104"/>
      <c r="BC568" s="104"/>
      <c r="BD568" s="104"/>
      <c r="BE568" s="104"/>
      <c r="BF568" s="104"/>
      <c r="BG568" s="104"/>
      <c r="BH568" s="104"/>
      <c r="BI568" s="104"/>
      <c r="BJ568" s="104"/>
      <c r="BK568" s="104"/>
      <c r="BL568" s="104"/>
      <c r="BM568" s="104"/>
      <c r="BN568" s="104"/>
    </row>
    <row r="569">
      <c r="A569" s="104"/>
      <c r="B569" s="104"/>
      <c r="C569" s="104"/>
      <c r="D569" s="104"/>
      <c r="E569" s="104"/>
      <c r="F569" s="104"/>
      <c r="G569" s="104"/>
      <c r="H569" s="104"/>
      <c r="I569" s="104"/>
      <c r="J569" s="104"/>
      <c r="K569" s="105"/>
      <c r="L569" s="106"/>
      <c r="M569" s="104"/>
      <c r="N569" s="104"/>
      <c r="O569" s="104"/>
      <c r="P569" s="104"/>
      <c r="Q569" s="104"/>
      <c r="R569" s="106"/>
      <c r="S569" s="104"/>
      <c r="T569" s="104"/>
      <c r="U569" s="104"/>
      <c r="V569" s="104"/>
      <c r="W569" s="105"/>
      <c r="X569" s="104"/>
      <c r="Y569" s="104"/>
      <c r="Z569" s="104"/>
      <c r="AA569" s="104"/>
      <c r="AB569" s="104"/>
      <c r="AC569" s="104"/>
      <c r="AD569" s="104"/>
      <c r="AE569" s="104"/>
      <c r="AF569" s="104"/>
      <c r="AG569" s="104"/>
      <c r="AH569" s="104"/>
      <c r="AI569" s="104"/>
      <c r="AJ569" s="104"/>
      <c r="AK569" s="104"/>
      <c r="AL569" s="104"/>
      <c r="AM569" s="104"/>
      <c r="AN569" s="104"/>
      <c r="AO569" s="104"/>
      <c r="AP569" s="104"/>
      <c r="AQ569" s="104"/>
      <c r="AR569" s="104"/>
      <c r="AS569" s="104"/>
      <c r="AT569" s="104"/>
      <c r="AU569" s="104"/>
      <c r="AV569" s="104"/>
      <c r="AW569" s="104"/>
      <c r="AX569" s="104"/>
      <c r="AY569" s="104"/>
      <c r="AZ569" s="104"/>
      <c r="BA569" s="104"/>
      <c r="BB569" s="104"/>
      <c r="BC569" s="104"/>
      <c r="BD569" s="104"/>
      <c r="BE569" s="104"/>
      <c r="BF569" s="104"/>
      <c r="BG569" s="104"/>
      <c r="BH569" s="104"/>
      <c r="BI569" s="104"/>
      <c r="BJ569" s="104"/>
      <c r="BK569" s="104"/>
      <c r="BL569" s="104"/>
      <c r="BM569" s="104"/>
      <c r="BN569" s="104"/>
    </row>
    <row r="570">
      <c r="A570" s="104"/>
      <c r="B570" s="104"/>
      <c r="C570" s="104"/>
      <c r="D570" s="104"/>
      <c r="E570" s="104"/>
      <c r="F570" s="104"/>
      <c r="G570" s="104"/>
      <c r="H570" s="104"/>
      <c r="I570" s="104"/>
      <c r="J570" s="104"/>
      <c r="K570" s="105"/>
      <c r="L570" s="106"/>
      <c r="M570" s="104"/>
      <c r="N570" s="104"/>
      <c r="O570" s="104"/>
      <c r="P570" s="104"/>
      <c r="Q570" s="104"/>
      <c r="R570" s="106"/>
      <c r="S570" s="104"/>
      <c r="T570" s="104"/>
      <c r="U570" s="104"/>
      <c r="V570" s="104"/>
      <c r="W570" s="105"/>
      <c r="X570" s="104"/>
      <c r="Y570" s="104"/>
      <c r="Z570" s="104"/>
      <c r="AA570" s="104"/>
      <c r="AB570" s="104"/>
      <c r="AC570" s="104"/>
      <c r="AD570" s="104"/>
      <c r="AE570" s="104"/>
      <c r="AF570" s="104"/>
      <c r="AG570" s="104"/>
      <c r="AH570" s="104"/>
      <c r="AI570" s="104"/>
      <c r="AJ570" s="104"/>
      <c r="AK570" s="104"/>
      <c r="AL570" s="104"/>
      <c r="AM570" s="104"/>
      <c r="AN570" s="104"/>
      <c r="AO570" s="104"/>
      <c r="AP570" s="104"/>
      <c r="AQ570" s="104"/>
      <c r="AR570" s="104"/>
      <c r="AS570" s="104"/>
      <c r="AT570" s="104"/>
      <c r="AU570" s="104"/>
      <c r="AV570" s="104"/>
      <c r="AW570" s="104"/>
      <c r="AX570" s="104"/>
      <c r="AY570" s="104"/>
      <c r="AZ570" s="104"/>
      <c r="BA570" s="104"/>
      <c r="BB570" s="104"/>
      <c r="BC570" s="104"/>
      <c r="BD570" s="104"/>
      <c r="BE570" s="104"/>
      <c r="BF570" s="104"/>
      <c r="BG570" s="104"/>
      <c r="BH570" s="104"/>
      <c r="BI570" s="104"/>
      <c r="BJ570" s="104"/>
      <c r="BK570" s="104"/>
      <c r="BL570" s="104"/>
      <c r="BM570" s="104"/>
      <c r="BN570" s="104"/>
    </row>
    <row r="571">
      <c r="A571" s="104"/>
      <c r="B571" s="104"/>
      <c r="C571" s="104"/>
      <c r="D571" s="104"/>
      <c r="E571" s="104"/>
      <c r="F571" s="104"/>
      <c r="G571" s="104"/>
      <c r="H571" s="104"/>
      <c r="I571" s="104"/>
      <c r="J571" s="104"/>
      <c r="K571" s="105"/>
      <c r="L571" s="106"/>
      <c r="M571" s="104"/>
      <c r="N571" s="104"/>
      <c r="O571" s="104"/>
      <c r="P571" s="104"/>
      <c r="Q571" s="104"/>
      <c r="R571" s="106"/>
      <c r="S571" s="104"/>
      <c r="T571" s="104"/>
      <c r="U571" s="104"/>
      <c r="V571" s="104"/>
      <c r="W571" s="105"/>
      <c r="X571" s="104"/>
      <c r="Y571" s="104"/>
      <c r="Z571" s="104"/>
      <c r="AA571" s="104"/>
      <c r="AB571" s="104"/>
      <c r="AC571" s="104"/>
      <c r="AD571" s="104"/>
      <c r="AE571" s="104"/>
      <c r="AF571" s="104"/>
      <c r="AG571" s="104"/>
      <c r="AH571" s="104"/>
      <c r="AI571" s="104"/>
      <c r="AJ571" s="104"/>
      <c r="AK571" s="104"/>
      <c r="AL571" s="104"/>
      <c r="AM571" s="104"/>
      <c r="AN571" s="104"/>
      <c r="AO571" s="104"/>
      <c r="AP571" s="104"/>
      <c r="AQ571" s="104"/>
      <c r="AR571" s="104"/>
      <c r="AS571" s="104"/>
      <c r="AT571" s="104"/>
      <c r="AU571" s="104"/>
      <c r="AV571" s="104"/>
      <c r="AW571" s="104"/>
      <c r="AX571" s="104"/>
      <c r="AY571" s="104"/>
      <c r="AZ571" s="104"/>
      <c r="BA571" s="104"/>
      <c r="BB571" s="104"/>
      <c r="BC571" s="104"/>
      <c r="BD571" s="104"/>
      <c r="BE571" s="104"/>
      <c r="BF571" s="104"/>
      <c r="BG571" s="104"/>
      <c r="BH571" s="104"/>
      <c r="BI571" s="104"/>
      <c r="BJ571" s="104"/>
      <c r="BK571" s="104"/>
      <c r="BL571" s="104"/>
      <c r="BM571" s="104"/>
      <c r="BN571" s="104"/>
    </row>
    <row r="572">
      <c r="A572" s="104"/>
      <c r="B572" s="104"/>
      <c r="C572" s="104"/>
      <c r="D572" s="104"/>
      <c r="E572" s="104"/>
      <c r="F572" s="104"/>
      <c r="G572" s="104"/>
      <c r="H572" s="104"/>
      <c r="I572" s="104"/>
      <c r="J572" s="104"/>
      <c r="K572" s="105"/>
      <c r="L572" s="106"/>
      <c r="M572" s="104"/>
      <c r="N572" s="104"/>
      <c r="O572" s="104"/>
      <c r="P572" s="104"/>
      <c r="Q572" s="104"/>
      <c r="R572" s="106"/>
      <c r="S572" s="104"/>
      <c r="T572" s="104"/>
      <c r="U572" s="104"/>
      <c r="V572" s="104"/>
      <c r="W572" s="105"/>
      <c r="X572" s="104"/>
      <c r="Y572" s="104"/>
      <c r="Z572" s="104"/>
      <c r="AA572" s="104"/>
      <c r="AB572" s="104"/>
      <c r="AC572" s="104"/>
      <c r="AD572" s="104"/>
      <c r="AE572" s="104"/>
      <c r="AF572" s="104"/>
      <c r="AG572" s="104"/>
      <c r="AH572" s="104"/>
      <c r="AI572" s="104"/>
      <c r="AJ572" s="104"/>
      <c r="AK572" s="104"/>
      <c r="AL572" s="104"/>
      <c r="AM572" s="104"/>
      <c r="AN572" s="104"/>
      <c r="AO572" s="104"/>
      <c r="AP572" s="104"/>
      <c r="AQ572" s="104"/>
      <c r="AR572" s="104"/>
      <c r="AS572" s="104"/>
      <c r="AT572" s="104"/>
      <c r="AU572" s="104"/>
      <c r="AV572" s="104"/>
      <c r="AW572" s="104"/>
      <c r="AX572" s="104"/>
      <c r="AY572" s="104"/>
      <c r="AZ572" s="104"/>
      <c r="BA572" s="104"/>
      <c r="BB572" s="104"/>
      <c r="BC572" s="104"/>
      <c r="BD572" s="104"/>
      <c r="BE572" s="104"/>
      <c r="BF572" s="104"/>
      <c r="BG572" s="104"/>
      <c r="BH572" s="104"/>
      <c r="BI572" s="104"/>
      <c r="BJ572" s="104"/>
      <c r="BK572" s="104"/>
      <c r="BL572" s="104"/>
      <c r="BM572" s="104"/>
      <c r="BN572" s="104"/>
    </row>
    <row r="573">
      <c r="A573" s="104"/>
      <c r="B573" s="104"/>
      <c r="C573" s="104"/>
      <c r="D573" s="104"/>
      <c r="E573" s="104"/>
      <c r="F573" s="104"/>
      <c r="G573" s="104"/>
      <c r="H573" s="104"/>
      <c r="I573" s="104"/>
      <c r="J573" s="104"/>
      <c r="K573" s="105"/>
      <c r="L573" s="106"/>
      <c r="M573" s="104"/>
      <c r="N573" s="104"/>
      <c r="O573" s="104"/>
      <c r="P573" s="104"/>
      <c r="Q573" s="104"/>
      <c r="R573" s="106"/>
      <c r="S573" s="104"/>
      <c r="T573" s="104"/>
      <c r="U573" s="104"/>
      <c r="V573" s="104"/>
      <c r="W573" s="105"/>
      <c r="X573" s="104"/>
      <c r="Y573" s="104"/>
      <c r="Z573" s="104"/>
      <c r="AA573" s="104"/>
      <c r="AB573" s="104"/>
      <c r="AC573" s="104"/>
      <c r="AD573" s="104"/>
      <c r="AE573" s="104"/>
      <c r="AF573" s="104"/>
      <c r="AG573" s="104"/>
      <c r="AH573" s="104"/>
      <c r="AI573" s="104"/>
      <c r="AJ573" s="104"/>
      <c r="AK573" s="104"/>
      <c r="AL573" s="104"/>
      <c r="AM573" s="104"/>
      <c r="AN573" s="104"/>
      <c r="AO573" s="104"/>
      <c r="AP573" s="104"/>
      <c r="AQ573" s="104"/>
      <c r="AR573" s="104"/>
      <c r="AS573" s="104"/>
      <c r="AT573" s="104"/>
      <c r="AU573" s="104"/>
      <c r="AV573" s="104"/>
      <c r="AW573" s="104"/>
      <c r="AX573" s="104"/>
      <c r="AY573" s="104"/>
      <c r="AZ573" s="104"/>
      <c r="BA573" s="104"/>
      <c r="BB573" s="104"/>
      <c r="BC573" s="104"/>
      <c r="BD573" s="104"/>
      <c r="BE573" s="104"/>
      <c r="BF573" s="104"/>
      <c r="BG573" s="104"/>
      <c r="BH573" s="104"/>
      <c r="BI573" s="104"/>
      <c r="BJ573" s="104"/>
      <c r="BK573" s="104"/>
      <c r="BL573" s="104"/>
      <c r="BM573" s="104"/>
      <c r="BN573" s="104"/>
    </row>
    <row r="574">
      <c r="A574" s="104"/>
      <c r="B574" s="104"/>
      <c r="C574" s="104"/>
      <c r="D574" s="104"/>
      <c r="E574" s="104"/>
      <c r="F574" s="104"/>
      <c r="G574" s="104"/>
      <c r="H574" s="104"/>
      <c r="I574" s="104"/>
      <c r="J574" s="104"/>
      <c r="K574" s="105"/>
      <c r="L574" s="106"/>
      <c r="M574" s="104"/>
      <c r="N574" s="104"/>
      <c r="O574" s="104"/>
      <c r="P574" s="104"/>
      <c r="Q574" s="104"/>
      <c r="R574" s="106"/>
      <c r="S574" s="104"/>
      <c r="T574" s="104"/>
      <c r="U574" s="104"/>
      <c r="V574" s="104"/>
      <c r="W574" s="105"/>
      <c r="X574" s="104"/>
      <c r="Y574" s="104"/>
      <c r="Z574" s="104"/>
      <c r="AA574" s="104"/>
      <c r="AB574" s="104"/>
      <c r="AC574" s="104"/>
      <c r="AD574" s="104"/>
      <c r="AE574" s="104"/>
      <c r="AF574" s="104"/>
      <c r="AG574" s="104"/>
      <c r="AH574" s="104"/>
      <c r="AI574" s="104"/>
      <c r="AJ574" s="104"/>
      <c r="AK574" s="104"/>
      <c r="AL574" s="104"/>
      <c r="AM574" s="104"/>
      <c r="AN574" s="104"/>
      <c r="AO574" s="104"/>
      <c r="AP574" s="104"/>
      <c r="AQ574" s="104"/>
      <c r="AR574" s="104"/>
      <c r="AS574" s="104"/>
      <c r="AT574" s="104"/>
      <c r="AU574" s="104"/>
      <c r="AV574" s="104"/>
      <c r="AW574" s="104"/>
      <c r="AX574" s="104"/>
      <c r="AY574" s="104"/>
      <c r="AZ574" s="104"/>
      <c r="BA574" s="104"/>
      <c r="BB574" s="104"/>
      <c r="BC574" s="104"/>
      <c r="BD574" s="104"/>
      <c r="BE574" s="104"/>
      <c r="BF574" s="104"/>
      <c r="BG574" s="104"/>
      <c r="BH574" s="104"/>
      <c r="BI574" s="104"/>
      <c r="BJ574" s="104"/>
      <c r="BK574" s="104"/>
      <c r="BL574" s="104"/>
      <c r="BM574" s="104"/>
      <c r="BN574" s="104"/>
    </row>
    <row r="575">
      <c r="A575" s="104"/>
      <c r="B575" s="104"/>
      <c r="C575" s="104"/>
      <c r="D575" s="104"/>
      <c r="E575" s="104"/>
      <c r="F575" s="104"/>
      <c r="G575" s="104"/>
      <c r="H575" s="104"/>
      <c r="I575" s="104"/>
      <c r="J575" s="104"/>
      <c r="K575" s="105"/>
      <c r="L575" s="106"/>
      <c r="M575" s="104"/>
      <c r="N575" s="104"/>
      <c r="O575" s="104"/>
      <c r="P575" s="104"/>
      <c r="Q575" s="104"/>
      <c r="R575" s="106"/>
      <c r="S575" s="104"/>
      <c r="T575" s="104"/>
      <c r="U575" s="104"/>
      <c r="V575" s="104"/>
      <c r="W575" s="105"/>
      <c r="X575" s="104"/>
      <c r="Y575" s="104"/>
      <c r="Z575" s="104"/>
      <c r="AA575" s="104"/>
      <c r="AB575" s="104"/>
      <c r="AC575" s="104"/>
      <c r="AD575" s="104"/>
      <c r="AE575" s="104"/>
      <c r="AF575" s="104"/>
      <c r="AG575" s="104"/>
      <c r="AH575" s="104"/>
      <c r="AI575" s="104"/>
      <c r="AJ575" s="104"/>
      <c r="AK575" s="104"/>
      <c r="AL575" s="104"/>
      <c r="AM575" s="104"/>
      <c r="AN575" s="104"/>
      <c r="AO575" s="104"/>
      <c r="AP575" s="104"/>
      <c r="AQ575" s="104"/>
      <c r="AR575" s="104"/>
      <c r="AS575" s="104"/>
      <c r="AT575" s="104"/>
      <c r="AU575" s="104"/>
      <c r="AV575" s="104"/>
      <c r="AW575" s="104"/>
      <c r="AX575" s="104"/>
      <c r="AY575" s="104"/>
      <c r="AZ575" s="104"/>
      <c r="BA575" s="104"/>
      <c r="BB575" s="104"/>
      <c r="BC575" s="104"/>
      <c r="BD575" s="104"/>
      <c r="BE575" s="104"/>
      <c r="BF575" s="104"/>
      <c r="BG575" s="104"/>
      <c r="BH575" s="104"/>
      <c r="BI575" s="104"/>
      <c r="BJ575" s="104"/>
      <c r="BK575" s="104"/>
      <c r="BL575" s="104"/>
      <c r="BM575" s="104"/>
      <c r="BN575" s="104"/>
    </row>
    <row r="576">
      <c r="A576" s="104"/>
      <c r="B576" s="104"/>
      <c r="C576" s="104"/>
      <c r="D576" s="104"/>
      <c r="E576" s="104"/>
      <c r="F576" s="104"/>
      <c r="G576" s="104"/>
      <c r="H576" s="104"/>
      <c r="I576" s="104"/>
      <c r="J576" s="104"/>
      <c r="K576" s="105"/>
      <c r="L576" s="106"/>
      <c r="M576" s="104"/>
      <c r="N576" s="104"/>
      <c r="O576" s="104"/>
      <c r="P576" s="104"/>
      <c r="Q576" s="104"/>
      <c r="R576" s="106"/>
      <c r="S576" s="104"/>
      <c r="T576" s="104"/>
      <c r="U576" s="104"/>
      <c r="V576" s="104"/>
      <c r="W576" s="105"/>
      <c r="X576" s="104"/>
      <c r="Y576" s="104"/>
      <c r="Z576" s="104"/>
      <c r="AA576" s="104"/>
      <c r="AB576" s="104"/>
      <c r="AC576" s="104"/>
      <c r="AD576" s="104"/>
      <c r="AE576" s="104"/>
      <c r="AF576" s="104"/>
      <c r="AG576" s="104"/>
      <c r="AH576" s="104"/>
      <c r="AI576" s="104"/>
      <c r="AJ576" s="104"/>
      <c r="AK576" s="104"/>
      <c r="AL576" s="104"/>
      <c r="AM576" s="104"/>
      <c r="AN576" s="104"/>
      <c r="AO576" s="104"/>
      <c r="AP576" s="104"/>
      <c r="AQ576" s="104"/>
      <c r="AR576" s="104"/>
      <c r="AS576" s="104"/>
      <c r="AT576" s="104"/>
      <c r="AU576" s="104"/>
      <c r="AV576" s="104"/>
      <c r="AW576" s="104"/>
      <c r="AX576" s="104"/>
      <c r="AY576" s="104"/>
      <c r="AZ576" s="104"/>
      <c r="BA576" s="104"/>
      <c r="BB576" s="104"/>
      <c r="BC576" s="104"/>
      <c r="BD576" s="104"/>
      <c r="BE576" s="104"/>
      <c r="BF576" s="104"/>
      <c r="BG576" s="104"/>
      <c r="BH576" s="104"/>
      <c r="BI576" s="104"/>
      <c r="BJ576" s="104"/>
      <c r="BK576" s="104"/>
      <c r="BL576" s="104"/>
      <c r="BM576" s="104"/>
      <c r="BN576" s="104"/>
    </row>
    <row r="577">
      <c r="A577" s="104"/>
      <c r="B577" s="104"/>
      <c r="C577" s="104"/>
      <c r="D577" s="104"/>
      <c r="E577" s="104"/>
      <c r="F577" s="104"/>
      <c r="G577" s="104"/>
      <c r="H577" s="104"/>
      <c r="I577" s="104"/>
      <c r="J577" s="104"/>
      <c r="K577" s="105"/>
      <c r="L577" s="106"/>
      <c r="M577" s="104"/>
      <c r="N577" s="104"/>
      <c r="O577" s="104"/>
      <c r="P577" s="104"/>
      <c r="Q577" s="104"/>
      <c r="R577" s="106"/>
      <c r="S577" s="104"/>
      <c r="T577" s="104"/>
      <c r="U577" s="104"/>
      <c r="V577" s="104"/>
      <c r="W577" s="105"/>
      <c r="X577" s="104"/>
      <c r="Y577" s="104"/>
      <c r="Z577" s="104"/>
      <c r="AA577" s="104"/>
      <c r="AB577" s="104"/>
      <c r="AC577" s="104"/>
      <c r="AD577" s="104"/>
      <c r="AE577" s="104"/>
      <c r="AF577" s="104"/>
      <c r="AG577" s="104"/>
      <c r="AH577" s="104"/>
      <c r="AI577" s="104"/>
      <c r="AJ577" s="104"/>
      <c r="AK577" s="104"/>
      <c r="AL577" s="104"/>
      <c r="AM577" s="104"/>
      <c r="AN577" s="104"/>
      <c r="AO577" s="104"/>
      <c r="AP577" s="104"/>
      <c r="AQ577" s="104"/>
      <c r="AR577" s="104"/>
      <c r="AS577" s="104"/>
      <c r="AT577" s="104"/>
      <c r="AU577" s="104"/>
      <c r="AV577" s="104"/>
      <c r="AW577" s="104"/>
      <c r="AX577" s="104"/>
      <c r="AY577" s="104"/>
      <c r="AZ577" s="104"/>
      <c r="BA577" s="104"/>
      <c r="BB577" s="104"/>
      <c r="BC577" s="104"/>
      <c r="BD577" s="104"/>
      <c r="BE577" s="104"/>
      <c r="BF577" s="104"/>
      <c r="BG577" s="104"/>
      <c r="BH577" s="104"/>
      <c r="BI577" s="104"/>
      <c r="BJ577" s="104"/>
      <c r="BK577" s="104"/>
      <c r="BL577" s="104"/>
      <c r="BM577" s="104"/>
      <c r="BN577" s="104"/>
    </row>
    <row r="578">
      <c r="A578" s="104"/>
      <c r="B578" s="104"/>
      <c r="C578" s="104"/>
      <c r="D578" s="104"/>
      <c r="E578" s="104"/>
      <c r="F578" s="104"/>
      <c r="G578" s="104"/>
      <c r="H578" s="104"/>
      <c r="I578" s="104"/>
      <c r="J578" s="104"/>
      <c r="K578" s="105"/>
      <c r="L578" s="106"/>
      <c r="M578" s="104"/>
      <c r="N578" s="104"/>
      <c r="O578" s="104"/>
      <c r="P578" s="104"/>
      <c r="Q578" s="104"/>
      <c r="R578" s="106"/>
      <c r="S578" s="104"/>
      <c r="T578" s="104"/>
      <c r="U578" s="104"/>
      <c r="V578" s="104"/>
      <c r="W578" s="105"/>
      <c r="X578" s="104"/>
      <c r="Y578" s="104"/>
      <c r="Z578" s="104"/>
      <c r="AA578" s="104"/>
      <c r="AB578" s="104"/>
      <c r="AC578" s="104"/>
      <c r="AD578" s="104"/>
      <c r="AE578" s="104"/>
      <c r="AF578" s="104"/>
      <c r="AG578" s="104"/>
      <c r="AH578" s="104"/>
      <c r="AI578" s="104"/>
      <c r="AJ578" s="104"/>
      <c r="AK578" s="104"/>
      <c r="AL578" s="104"/>
      <c r="AM578" s="104"/>
      <c r="AN578" s="104"/>
      <c r="AO578" s="104"/>
      <c r="AP578" s="104"/>
      <c r="AQ578" s="104"/>
      <c r="AR578" s="104"/>
      <c r="AS578" s="104"/>
      <c r="AT578" s="104"/>
      <c r="AU578" s="104"/>
      <c r="AV578" s="104"/>
      <c r="AW578" s="104"/>
      <c r="AX578" s="104"/>
      <c r="AY578" s="104"/>
      <c r="AZ578" s="104"/>
      <c r="BA578" s="104"/>
      <c r="BB578" s="104"/>
      <c r="BC578" s="104"/>
      <c r="BD578" s="104"/>
      <c r="BE578" s="104"/>
      <c r="BF578" s="104"/>
      <c r="BG578" s="104"/>
      <c r="BH578" s="104"/>
      <c r="BI578" s="104"/>
      <c r="BJ578" s="104"/>
      <c r="BK578" s="104"/>
      <c r="BL578" s="104"/>
      <c r="BM578" s="104"/>
      <c r="BN578" s="104"/>
    </row>
    <row r="579">
      <c r="A579" s="104"/>
      <c r="B579" s="104"/>
      <c r="C579" s="104"/>
      <c r="D579" s="104"/>
      <c r="E579" s="104"/>
      <c r="F579" s="104"/>
      <c r="G579" s="104"/>
      <c r="H579" s="104"/>
      <c r="I579" s="104"/>
      <c r="J579" s="104"/>
      <c r="K579" s="105"/>
      <c r="L579" s="106"/>
      <c r="M579" s="104"/>
      <c r="N579" s="104"/>
      <c r="O579" s="104"/>
      <c r="P579" s="104"/>
      <c r="Q579" s="104"/>
      <c r="R579" s="106"/>
      <c r="S579" s="104"/>
      <c r="T579" s="104"/>
      <c r="U579" s="104"/>
      <c r="V579" s="104"/>
      <c r="W579" s="105"/>
      <c r="X579" s="104"/>
      <c r="Y579" s="104"/>
      <c r="Z579" s="104"/>
      <c r="AA579" s="104"/>
      <c r="AB579" s="104"/>
      <c r="AC579" s="104"/>
      <c r="AD579" s="104"/>
      <c r="AE579" s="104"/>
      <c r="AF579" s="104"/>
      <c r="AG579" s="104"/>
      <c r="AH579" s="104"/>
      <c r="AI579" s="104"/>
      <c r="AJ579" s="104"/>
      <c r="AK579" s="104"/>
      <c r="AL579" s="104"/>
      <c r="AM579" s="104"/>
      <c r="AN579" s="104"/>
      <c r="AO579" s="104"/>
      <c r="AP579" s="104"/>
      <c r="AQ579" s="104"/>
      <c r="AR579" s="104"/>
      <c r="AS579" s="104"/>
      <c r="AT579" s="104"/>
      <c r="AU579" s="104"/>
      <c r="AV579" s="104"/>
      <c r="AW579" s="104"/>
      <c r="AX579" s="104"/>
      <c r="AY579" s="104"/>
      <c r="AZ579" s="104"/>
      <c r="BA579" s="104"/>
      <c r="BB579" s="104"/>
      <c r="BC579" s="104"/>
      <c r="BD579" s="104"/>
      <c r="BE579" s="104"/>
      <c r="BF579" s="104"/>
      <c r="BG579" s="104"/>
      <c r="BH579" s="104"/>
      <c r="BI579" s="104"/>
      <c r="BJ579" s="104"/>
      <c r="BK579" s="104"/>
      <c r="BL579" s="104"/>
      <c r="BM579" s="104"/>
      <c r="BN579" s="104"/>
    </row>
    <row r="580">
      <c r="A580" s="104"/>
      <c r="B580" s="104"/>
      <c r="C580" s="104"/>
      <c r="D580" s="104"/>
      <c r="E580" s="104"/>
      <c r="F580" s="104"/>
      <c r="G580" s="104"/>
      <c r="H580" s="104"/>
      <c r="I580" s="104"/>
      <c r="J580" s="104"/>
      <c r="K580" s="105"/>
      <c r="L580" s="106"/>
      <c r="M580" s="104"/>
      <c r="N580" s="104"/>
      <c r="O580" s="104"/>
      <c r="P580" s="104"/>
      <c r="Q580" s="104"/>
      <c r="R580" s="106"/>
      <c r="S580" s="104"/>
      <c r="T580" s="104"/>
      <c r="U580" s="104"/>
      <c r="V580" s="104"/>
      <c r="W580" s="105"/>
      <c r="X580" s="104"/>
      <c r="Y580" s="104"/>
      <c r="Z580" s="104"/>
      <c r="AA580" s="104"/>
      <c r="AB580" s="104"/>
      <c r="AC580" s="104"/>
      <c r="AD580" s="104"/>
      <c r="AE580" s="104"/>
      <c r="AF580" s="104"/>
      <c r="AG580" s="104"/>
      <c r="AH580" s="104"/>
      <c r="AI580" s="104"/>
      <c r="AJ580" s="104"/>
      <c r="AK580" s="104"/>
      <c r="AL580" s="104"/>
      <c r="AM580" s="104"/>
      <c r="AN580" s="104"/>
      <c r="AO580" s="104"/>
      <c r="AP580" s="104"/>
      <c r="AQ580" s="104"/>
      <c r="AR580" s="104"/>
      <c r="AS580" s="104"/>
      <c r="AT580" s="104"/>
      <c r="AU580" s="104"/>
      <c r="AV580" s="104"/>
      <c r="AW580" s="104"/>
      <c r="AX580" s="104"/>
      <c r="AY580" s="104"/>
      <c r="AZ580" s="104"/>
      <c r="BA580" s="104"/>
      <c r="BB580" s="104"/>
      <c r="BC580" s="104"/>
      <c r="BD580" s="104"/>
      <c r="BE580" s="104"/>
      <c r="BF580" s="104"/>
      <c r="BG580" s="104"/>
      <c r="BH580" s="104"/>
      <c r="BI580" s="104"/>
      <c r="BJ580" s="104"/>
      <c r="BK580" s="104"/>
      <c r="BL580" s="104"/>
      <c r="BM580" s="104"/>
      <c r="BN580" s="104"/>
    </row>
    <row r="581">
      <c r="A581" s="104"/>
      <c r="B581" s="104"/>
      <c r="C581" s="104"/>
      <c r="D581" s="104"/>
      <c r="E581" s="104"/>
      <c r="F581" s="104"/>
      <c r="G581" s="104"/>
      <c r="H581" s="104"/>
      <c r="I581" s="104"/>
      <c r="J581" s="104"/>
      <c r="K581" s="105"/>
      <c r="L581" s="106"/>
      <c r="M581" s="104"/>
      <c r="N581" s="104"/>
      <c r="O581" s="104"/>
      <c r="P581" s="104"/>
      <c r="Q581" s="104"/>
      <c r="R581" s="106"/>
      <c r="S581" s="104"/>
      <c r="T581" s="104"/>
      <c r="U581" s="104"/>
      <c r="V581" s="104"/>
      <c r="W581" s="105"/>
      <c r="X581" s="104"/>
      <c r="Y581" s="104"/>
      <c r="Z581" s="104"/>
      <c r="AA581" s="104"/>
      <c r="AB581" s="104"/>
      <c r="AC581" s="104"/>
      <c r="AD581" s="104"/>
      <c r="AE581" s="104"/>
      <c r="AF581" s="104"/>
      <c r="AG581" s="104"/>
      <c r="AH581" s="104"/>
      <c r="AI581" s="104"/>
      <c r="AJ581" s="104"/>
      <c r="AK581" s="104"/>
      <c r="AL581" s="104"/>
      <c r="AM581" s="104"/>
      <c r="AN581" s="104"/>
      <c r="AO581" s="104"/>
      <c r="AP581" s="104"/>
      <c r="AQ581" s="104"/>
      <c r="AR581" s="104"/>
      <c r="AS581" s="104"/>
      <c r="AT581" s="104"/>
      <c r="AU581" s="104"/>
      <c r="AV581" s="104"/>
      <c r="AW581" s="104"/>
      <c r="AX581" s="104"/>
      <c r="AY581" s="104"/>
      <c r="AZ581" s="104"/>
      <c r="BA581" s="104"/>
      <c r="BB581" s="104"/>
      <c r="BC581" s="104"/>
      <c r="BD581" s="104"/>
      <c r="BE581" s="104"/>
      <c r="BF581" s="104"/>
      <c r="BG581" s="104"/>
      <c r="BH581" s="104"/>
      <c r="BI581" s="104"/>
      <c r="BJ581" s="104"/>
      <c r="BK581" s="104"/>
      <c r="BL581" s="104"/>
      <c r="BM581" s="104"/>
      <c r="BN581" s="104"/>
    </row>
    <row r="582">
      <c r="A582" s="104"/>
      <c r="B582" s="104"/>
      <c r="C582" s="104"/>
      <c r="D582" s="104"/>
      <c r="E582" s="104"/>
      <c r="F582" s="104"/>
      <c r="G582" s="104"/>
      <c r="H582" s="104"/>
      <c r="I582" s="104"/>
      <c r="J582" s="104"/>
      <c r="K582" s="105"/>
      <c r="L582" s="106"/>
      <c r="M582" s="104"/>
      <c r="N582" s="104"/>
      <c r="O582" s="104"/>
      <c r="P582" s="104"/>
      <c r="Q582" s="104"/>
      <c r="R582" s="106"/>
      <c r="S582" s="104"/>
      <c r="T582" s="104"/>
      <c r="U582" s="104"/>
      <c r="V582" s="104"/>
      <c r="W582" s="105"/>
      <c r="X582" s="104"/>
      <c r="Y582" s="104"/>
      <c r="Z582" s="104"/>
      <c r="AA582" s="104"/>
      <c r="AB582" s="104"/>
      <c r="AC582" s="104"/>
      <c r="AD582" s="104"/>
      <c r="AE582" s="104"/>
      <c r="AF582" s="104"/>
      <c r="AG582" s="104"/>
      <c r="AH582" s="104"/>
      <c r="AI582" s="104"/>
      <c r="AJ582" s="104"/>
      <c r="AK582" s="104"/>
      <c r="AL582" s="104"/>
      <c r="AM582" s="104"/>
      <c r="AN582" s="104"/>
      <c r="AO582" s="104"/>
      <c r="AP582" s="104"/>
      <c r="AQ582" s="104"/>
      <c r="AR582" s="104"/>
      <c r="AS582" s="104"/>
      <c r="AT582" s="104"/>
      <c r="AU582" s="104"/>
      <c r="AV582" s="104"/>
      <c r="AW582" s="104"/>
      <c r="AX582" s="104"/>
      <c r="AY582" s="104"/>
      <c r="AZ582" s="104"/>
      <c r="BA582" s="104"/>
      <c r="BB582" s="104"/>
      <c r="BC582" s="104"/>
      <c r="BD582" s="104"/>
      <c r="BE582" s="104"/>
      <c r="BF582" s="104"/>
      <c r="BG582" s="104"/>
      <c r="BH582" s="104"/>
      <c r="BI582" s="104"/>
      <c r="BJ582" s="104"/>
      <c r="BK582" s="104"/>
      <c r="BL582" s="104"/>
      <c r="BM582" s="104"/>
      <c r="BN582" s="104"/>
    </row>
    <row r="583">
      <c r="A583" s="104"/>
      <c r="B583" s="104"/>
      <c r="C583" s="104"/>
      <c r="D583" s="104"/>
      <c r="E583" s="104"/>
      <c r="F583" s="104"/>
      <c r="G583" s="104"/>
      <c r="H583" s="104"/>
      <c r="I583" s="104"/>
      <c r="J583" s="104"/>
      <c r="K583" s="105"/>
      <c r="L583" s="106"/>
      <c r="M583" s="104"/>
      <c r="N583" s="104"/>
      <c r="O583" s="104"/>
      <c r="P583" s="104"/>
      <c r="Q583" s="104"/>
      <c r="R583" s="106"/>
      <c r="S583" s="104"/>
      <c r="T583" s="104"/>
      <c r="U583" s="104"/>
      <c r="V583" s="104"/>
      <c r="W583" s="105"/>
      <c r="X583" s="104"/>
      <c r="Y583" s="104"/>
      <c r="Z583" s="104"/>
      <c r="AA583" s="104"/>
      <c r="AB583" s="104"/>
      <c r="AC583" s="104"/>
      <c r="AD583" s="104"/>
      <c r="AE583" s="104"/>
      <c r="AF583" s="104"/>
      <c r="AG583" s="104"/>
      <c r="AH583" s="104"/>
      <c r="AI583" s="104"/>
      <c r="AJ583" s="104"/>
      <c r="AK583" s="104"/>
      <c r="AL583" s="104"/>
      <c r="AM583" s="104"/>
      <c r="AN583" s="104"/>
      <c r="AO583" s="104"/>
      <c r="AP583" s="104"/>
      <c r="AQ583" s="104"/>
      <c r="AR583" s="104"/>
      <c r="AS583" s="104"/>
      <c r="AT583" s="104"/>
      <c r="AU583" s="104"/>
      <c r="AV583" s="104"/>
      <c r="AW583" s="104"/>
      <c r="AX583" s="104"/>
      <c r="AY583" s="104"/>
      <c r="AZ583" s="104"/>
      <c r="BA583" s="104"/>
      <c r="BB583" s="104"/>
      <c r="BC583" s="104"/>
      <c r="BD583" s="104"/>
      <c r="BE583" s="104"/>
      <c r="BF583" s="104"/>
      <c r="BG583" s="104"/>
      <c r="BH583" s="104"/>
      <c r="BI583" s="104"/>
      <c r="BJ583" s="104"/>
      <c r="BK583" s="104"/>
      <c r="BL583" s="104"/>
      <c r="BM583" s="104"/>
      <c r="BN583" s="104"/>
    </row>
    <row r="584">
      <c r="A584" s="104"/>
      <c r="B584" s="104"/>
      <c r="C584" s="104"/>
      <c r="D584" s="104"/>
      <c r="E584" s="104"/>
      <c r="F584" s="104"/>
      <c r="G584" s="104"/>
      <c r="H584" s="104"/>
      <c r="I584" s="104"/>
      <c r="J584" s="104"/>
      <c r="K584" s="105"/>
      <c r="L584" s="106"/>
      <c r="M584" s="104"/>
      <c r="N584" s="104"/>
      <c r="O584" s="104"/>
      <c r="P584" s="104"/>
      <c r="Q584" s="104"/>
      <c r="R584" s="106"/>
      <c r="S584" s="104"/>
      <c r="T584" s="104"/>
      <c r="U584" s="104"/>
      <c r="V584" s="104"/>
      <c r="W584" s="105"/>
      <c r="X584" s="104"/>
      <c r="Y584" s="104"/>
      <c r="Z584" s="104"/>
      <c r="AA584" s="104"/>
      <c r="AB584" s="104"/>
      <c r="AC584" s="104"/>
      <c r="AD584" s="104"/>
      <c r="AE584" s="104"/>
      <c r="AF584" s="104"/>
      <c r="AG584" s="104"/>
      <c r="AH584" s="104"/>
      <c r="AI584" s="104"/>
      <c r="AJ584" s="104"/>
      <c r="AK584" s="104"/>
      <c r="AL584" s="104"/>
      <c r="AM584" s="104"/>
      <c r="AN584" s="104"/>
      <c r="AO584" s="104"/>
      <c r="AP584" s="104"/>
      <c r="AQ584" s="104"/>
      <c r="AR584" s="104"/>
      <c r="AS584" s="104"/>
      <c r="AT584" s="104"/>
      <c r="AU584" s="104"/>
      <c r="AV584" s="104"/>
      <c r="AW584" s="104"/>
      <c r="AX584" s="104"/>
      <c r="AY584" s="104"/>
      <c r="AZ584" s="104"/>
      <c r="BA584" s="104"/>
      <c r="BB584" s="104"/>
      <c r="BC584" s="104"/>
      <c r="BD584" s="104"/>
      <c r="BE584" s="104"/>
      <c r="BF584" s="104"/>
      <c r="BG584" s="104"/>
      <c r="BH584" s="104"/>
      <c r="BI584" s="104"/>
      <c r="BJ584" s="104"/>
      <c r="BK584" s="104"/>
      <c r="BL584" s="104"/>
      <c r="BM584" s="104"/>
      <c r="BN584" s="104"/>
    </row>
    <row r="585">
      <c r="A585" s="104"/>
      <c r="B585" s="104"/>
      <c r="C585" s="104"/>
      <c r="D585" s="104"/>
      <c r="E585" s="104"/>
      <c r="F585" s="104"/>
      <c r="G585" s="104"/>
      <c r="H585" s="104"/>
      <c r="I585" s="104"/>
      <c r="J585" s="104"/>
      <c r="K585" s="105"/>
      <c r="L585" s="106"/>
      <c r="M585" s="104"/>
      <c r="N585" s="104"/>
      <c r="O585" s="104"/>
      <c r="P585" s="104"/>
      <c r="Q585" s="104"/>
      <c r="R585" s="106"/>
      <c r="S585" s="104"/>
      <c r="T585" s="104"/>
      <c r="U585" s="104"/>
      <c r="V585" s="104"/>
      <c r="W585" s="105"/>
      <c r="X585" s="104"/>
      <c r="Y585" s="104"/>
      <c r="Z585" s="104"/>
      <c r="AA585" s="104"/>
      <c r="AB585" s="104"/>
      <c r="AC585" s="104"/>
      <c r="AD585" s="104"/>
      <c r="AE585" s="104"/>
      <c r="AF585" s="104"/>
      <c r="AG585" s="104"/>
      <c r="AH585" s="104"/>
      <c r="AI585" s="104"/>
      <c r="AJ585" s="104"/>
      <c r="AK585" s="104"/>
      <c r="AL585" s="104"/>
      <c r="AM585" s="104"/>
      <c r="AN585" s="104"/>
      <c r="AO585" s="104"/>
      <c r="AP585" s="104"/>
      <c r="AQ585" s="104"/>
      <c r="AR585" s="104"/>
      <c r="AS585" s="104"/>
      <c r="AT585" s="104"/>
      <c r="AU585" s="104"/>
      <c r="AV585" s="104"/>
      <c r="AW585" s="104"/>
      <c r="AX585" s="104"/>
      <c r="AY585" s="104"/>
      <c r="AZ585" s="104"/>
      <c r="BA585" s="104"/>
      <c r="BB585" s="104"/>
      <c r="BC585" s="104"/>
      <c r="BD585" s="104"/>
      <c r="BE585" s="104"/>
      <c r="BF585" s="104"/>
      <c r="BG585" s="104"/>
      <c r="BH585" s="104"/>
      <c r="BI585" s="104"/>
      <c r="BJ585" s="104"/>
      <c r="BK585" s="104"/>
      <c r="BL585" s="104"/>
      <c r="BM585" s="104"/>
      <c r="BN585" s="104"/>
    </row>
    <row r="586">
      <c r="A586" s="104"/>
      <c r="B586" s="104"/>
      <c r="C586" s="104"/>
      <c r="D586" s="104"/>
      <c r="E586" s="104"/>
      <c r="F586" s="104"/>
      <c r="G586" s="104"/>
      <c r="H586" s="104"/>
      <c r="I586" s="104"/>
      <c r="J586" s="104"/>
      <c r="K586" s="105"/>
      <c r="L586" s="106"/>
      <c r="M586" s="104"/>
      <c r="N586" s="104"/>
      <c r="O586" s="104"/>
      <c r="P586" s="104"/>
      <c r="Q586" s="104"/>
      <c r="R586" s="106"/>
      <c r="S586" s="104"/>
      <c r="T586" s="104"/>
      <c r="U586" s="104"/>
      <c r="V586" s="104"/>
      <c r="W586" s="105"/>
      <c r="X586" s="104"/>
      <c r="Y586" s="104"/>
      <c r="Z586" s="104"/>
      <c r="AA586" s="104"/>
      <c r="AB586" s="104"/>
      <c r="AC586" s="104"/>
      <c r="AD586" s="104"/>
      <c r="AE586" s="104"/>
      <c r="AF586" s="104"/>
      <c r="AG586" s="104"/>
      <c r="AH586" s="104"/>
      <c r="AI586" s="104"/>
      <c r="AJ586" s="104"/>
      <c r="AK586" s="104"/>
      <c r="AL586" s="104"/>
      <c r="AM586" s="104"/>
      <c r="AN586" s="104"/>
      <c r="AO586" s="104"/>
      <c r="AP586" s="104"/>
      <c r="AQ586" s="104"/>
      <c r="AR586" s="104"/>
      <c r="AS586" s="104"/>
      <c r="AT586" s="104"/>
      <c r="AU586" s="104"/>
      <c r="AV586" s="104"/>
      <c r="AW586" s="104"/>
      <c r="AX586" s="104"/>
      <c r="AY586" s="104"/>
      <c r="AZ586" s="104"/>
      <c r="BA586" s="104"/>
      <c r="BB586" s="104"/>
      <c r="BC586" s="104"/>
      <c r="BD586" s="104"/>
      <c r="BE586" s="104"/>
      <c r="BF586" s="104"/>
      <c r="BG586" s="104"/>
      <c r="BH586" s="104"/>
      <c r="BI586" s="104"/>
      <c r="BJ586" s="104"/>
      <c r="BK586" s="104"/>
      <c r="BL586" s="104"/>
      <c r="BM586" s="104"/>
      <c r="BN586" s="104"/>
    </row>
    <row r="587">
      <c r="A587" s="104"/>
      <c r="B587" s="104"/>
      <c r="C587" s="104"/>
      <c r="D587" s="104"/>
      <c r="E587" s="104"/>
      <c r="F587" s="104"/>
      <c r="G587" s="104"/>
      <c r="H587" s="104"/>
      <c r="I587" s="104"/>
      <c r="J587" s="104"/>
      <c r="K587" s="105"/>
      <c r="L587" s="106"/>
      <c r="M587" s="104"/>
      <c r="N587" s="104"/>
      <c r="O587" s="104"/>
      <c r="P587" s="104"/>
      <c r="Q587" s="104"/>
      <c r="R587" s="106"/>
      <c r="S587" s="104"/>
      <c r="T587" s="104"/>
      <c r="U587" s="104"/>
      <c r="V587" s="104"/>
      <c r="W587" s="105"/>
      <c r="X587" s="104"/>
      <c r="Y587" s="104"/>
      <c r="Z587" s="104"/>
      <c r="AA587" s="104"/>
      <c r="AB587" s="104"/>
      <c r="AC587" s="104"/>
      <c r="AD587" s="104"/>
      <c r="AE587" s="104"/>
      <c r="AF587" s="104"/>
      <c r="AG587" s="104"/>
      <c r="AH587" s="104"/>
      <c r="AI587" s="104"/>
      <c r="AJ587" s="104"/>
      <c r="AK587" s="104"/>
      <c r="AL587" s="104"/>
      <c r="AM587" s="104"/>
      <c r="AN587" s="104"/>
      <c r="AO587" s="104"/>
      <c r="AP587" s="104"/>
      <c r="AQ587" s="104"/>
      <c r="AR587" s="104"/>
      <c r="AS587" s="104"/>
      <c r="AT587" s="104"/>
      <c r="AU587" s="104"/>
      <c r="AV587" s="104"/>
      <c r="AW587" s="104"/>
      <c r="AX587" s="104"/>
      <c r="AY587" s="104"/>
      <c r="AZ587" s="104"/>
      <c r="BA587" s="104"/>
      <c r="BB587" s="104"/>
      <c r="BC587" s="104"/>
      <c r="BD587" s="104"/>
      <c r="BE587" s="104"/>
      <c r="BF587" s="104"/>
      <c r="BG587" s="104"/>
      <c r="BH587" s="104"/>
      <c r="BI587" s="104"/>
      <c r="BJ587" s="104"/>
      <c r="BK587" s="104"/>
      <c r="BL587" s="104"/>
      <c r="BM587" s="104"/>
      <c r="BN587" s="104"/>
    </row>
    <row r="588">
      <c r="A588" s="104"/>
      <c r="B588" s="104"/>
      <c r="C588" s="104"/>
      <c r="D588" s="104"/>
      <c r="E588" s="104"/>
      <c r="F588" s="104"/>
      <c r="G588" s="104"/>
      <c r="H588" s="104"/>
      <c r="I588" s="104"/>
      <c r="J588" s="104"/>
      <c r="K588" s="105"/>
      <c r="L588" s="106"/>
      <c r="M588" s="104"/>
      <c r="N588" s="104"/>
      <c r="O588" s="104"/>
      <c r="P588" s="104"/>
      <c r="Q588" s="104"/>
      <c r="R588" s="106"/>
      <c r="S588" s="104"/>
      <c r="T588" s="104"/>
      <c r="U588" s="104"/>
      <c r="V588" s="104"/>
      <c r="W588" s="105"/>
      <c r="X588" s="104"/>
      <c r="Y588" s="104"/>
      <c r="Z588" s="104"/>
      <c r="AA588" s="104"/>
      <c r="AB588" s="104"/>
      <c r="AC588" s="104"/>
      <c r="AD588" s="104"/>
      <c r="AE588" s="104"/>
      <c r="AF588" s="104"/>
      <c r="AG588" s="104"/>
      <c r="AH588" s="104"/>
      <c r="AI588" s="104"/>
      <c r="AJ588" s="104"/>
      <c r="AK588" s="104"/>
      <c r="AL588" s="104"/>
      <c r="AM588" s="104"/>
      <c r="AN588" s="104"/>
      <c r="AO588" s="104"/>
      <c r="AP588" s="104"/>
      <c r="AQ588" s="104"/>
      <c r="AR588" s="104"/>
      <c r="AS588" s="104"/>
      <c r="AT588" s="104"/>
      <c r="AU588" s="104"/>
      <c r="AV588" s="104"/>
      <c r="AW588" s="104"/>
      <c r="AX588" s="104"/>
      <c r="AY588" s="104"/>
      <c r="AZ588" s="104"/>
      <c r="BA588" s="104"/>
      <c r="BB588" s="104"/>
      <c r="BC588" s="104"/>
      <c r="BD588" s="104"/>
      <c r="BE588" s="104"/>
      <c r="BF588" s="104"/>
      <c r="BG588" s="104"/>
      <c r="BH588" s="104"/>
      <c r="BI588" s="104"/>
      <c r="BJ588" s="104"/>
      <c r="BK588" s="104"/>
      <c r="BL588" s="104"/>
      <c r="BM588" s="104"/>
      <c r="BN588" s="104"/>
    </row>
    <row r="589">
      <c r="A589" s="104"/>
      <c r="B589" s="104"/>
      <c r="C589" s="104"/>
      <c r="D589" s="104"/>
      <c r="E589" s="104"/>
      <c r="F589" s="104"/>
      <c r="G589" s="104"/>
      <c r="H589" s="104"/>
      <c r="I589" s="104"/>
      <c r="J589" s="104"/>
      <c r="K589" s="105"/>
      <c r="L589" s="106"/>
      <c r="M589" s="104"/>
      <c r="N589" s="104"/>
      <c r="O589" s="104"/>
      <c r="P589" s="104"/>
      <c r="Q589" s="104"/>
      <c r="R589" s="106"/>
      <c r="S589" s="104"/>
      <c r="T589" s="104"/>
      <c r="U589" s="104"/>
      <c r="V589" s="104"/>
      <c r="W589" s="105"/>
      <c r="X589" s="104"/>
      <c r="Y589" s="104"/>
      <c r="Z589" s="104"/>
      <c r="AA589" s="104"/>
      <c r="AB589" s="104"/>
      <c r="AC589" s="104"/>
      <c r="AD589" s="104"/>
      <c r="AE589" s="104"/>
      <c r="AF589" s="104"/>
      <c r="AG589" s="104"/>
      <c r="AH589" s="104"/>
      <c r="AI589" s="104"/>
      <c r="AJ589" s="104"/>
      <c r="AK589" s="104"/>
      <c r="AL589" s="104"/>
      <c r="AM589" s="104"/>
      <c r="AN589" s="104"/>
      <c r="AO589" s="104"/>
      <c r="AP589" s="104"/>
      <c r="AQ589" s="104"/>
      <c r="AR589" s="104"/>
      <c r="AS589" s="104"/>
      <c r="AT589" s="104"/>
      <c r="AU589" s="104"/>
      <c r="AV589" s="104"/>
      <c r="AW589" s="104"/>
      <c r="AX589" s="104"/>
      <c r="AY589" s="104"/>
      <c r="AZ589" s="104"/>
      <c r="BA589" s="104"/>
      <c r="BB589" s="104"/>
      <c r="BC589" s="104"/>
      <c r="BD589" s="104"/>
      <c r="BE589" s="104"/>
      <c r="BF589" s="104"/>
      <c r="BG589" s="104"/>
      <c r="BH589" s="104"/>
      <c r="BI589" s="104"/>
      <c r="BJ589" s="104"/>
      <c r="BK589" s="104"/>
      <c r="BL589" s="104"/>
      <c r="BM589" s="104"/>
      <c r="BN589" s="104"/>
    </row>
    <row r="590">
      <c r="A590" s="104"/>
      <c r="B590" s="104"/>
      <c r="C590" s="104"/>
      <c r="D590" s="104"/>
      <c r="E590" s="104"/>
      <c r="F590" s="104"/>
      <c r="G590" s="104"/>
      <c r="H590" s="104"/>
      <c r="I590" s="104"/>
      <c r="J590" s="104"/>
      <c r="K590" s="105"/>
      <c r="L590" s="106"/>
      <c r="M590" s="104"/>
      <c r="N590" s="104"/>
      <c r="O590" s="104"/>
      <c r="P590" s="104"/>
      <c r="Q590" s="104"/>
      <c r="R590" s="106"/>
      <c r="S590" s="104"/>
      <c r="T590" s="104"/>
      <c r="U590" s="104"/>
      <c r="V590" s="104"/>
      <c r="W590" s="105"/>
      <c r="X590" s="104"/>
      <c r="Y590" s="104"/>
      <c r="Z590" s="104"/>
      <c r="AA590" s="104"/>
      <c r="AB590" s="104"/>
      <c r="AC590" s="104"/>
      <c r="AD590" s="104"/>
      <c r="AE590" s="104"/>
      <c r="AF590" s="104"/>
      <c r="AG590" s="104"/>
      <c r="AH590" s="104"/>
      <c r="AI590" s="104"/>
      <c r="AJ590" s="104"/>
      <c r="AK590" s="104"/>
      <c r="AL590" s="104"/>
      <c r="AM590" s="104"/>
      <c r="AN590" s="104"/>
      <c r="AO590" s="104"/>
      <c r="AP590" s="104"/>
      <c r="AQ590" s="104"/>
      <c r="AR590" s="104"/>
      <c r="AS590" s="104"/>
      <c r="AT590" s="104"/>
      <c r="AU590" s="104"/>
      <c r="AV590" s="104"/>
      <c r="AW590" s="104"/>
      <c r="AX590" s="104"/>
      <c r="AY590" s="104"/>
      <c r="AZ590" s="104"/>
      <c r="BA590" s="104"/>
      <c r="BB590" s="104"/>
      <c r="BC590" s="104"/>
      <c r="BD590" s="104"/>
      <c r="BE590" s="104"/>
      <c r="BF590" s="104"/>
      <c r="BG590" s="104"/>
      <c r="BH590" s="104"/>
      <c r="BI590" s="104"/>
      <c r="BJ590" s="104"/>
      <c r="BK590" s="104"/>
      <c r="BL590" s="104"/>
      <c r="BM590" s="104"/>
      <c r="BN590" s="104"/>
    </row>
    <row r="591">
      <c r="A591" s="104"/>
      <c r="B591" s="104"/>
      <c r="C591" s="104"/>
      <c r="D591" s="104"/>
      <c r="E591" s="104"/>
      <c r="F591" s="104"/>
      <c r="G591" s="104"/>
      <c r="H591" s="104"/>
      <c r="I591" s="104"/>
      <c r="J591" s="104"/>
      <c r="K591" s="105"/>
      <c r="L591" s="106"/>
      <c r="M591" s="104"/>
      <c r="N591" s="104"/>
      <c r="O591" s="104"/>
      <c r="P591" s="104"/>
      <c r="Q591" s="104"/>
      <c r="R591" s="106"/>
      <c r="S591" s="104"/>
      <c r="T591" s="104"/>
      <c r="U591" s="104"/>
      <c r="V591" s="104"/>
      <c r="W591" s="105"/>
      <c r="X591" s="104"/>
      <c r="Y591" s="104"/>
      <c r="Z591" s="104"/>
      <c r="AA591" s="104"/>
      <c r="AB591" s="104"/>
      <c r="AC591" s="104"/>
      <c r="AD591" s="104"/>
      <c r="AE591" s="104"/>
      <c r="AF591" s="104"/>
      <c r="AG591" s="104"/>
      <c r="AH591" s="104"/>
      <c r="AI591" s="104"/>
      <c r="AJ591" s="104"/>
      <c r="AK591" s="104"/>
      <c r="AL591" s="104"/>
      <c r="AM591" s="104"/>
      <c r="AN591" s="104"/>
      <c r="AO591" s="104"/>
      <c r="AP591" s="104"/>
      <c r="AQ591" s="104"/>
      <c r="AR591" s="104"/>
      <c r="AS591" s="104"/>
      <c r="AT591" s="104"/>
      <c r="AU591" s="104"/>
      <c r="AV591" s="104"/>
      <c r="AW591" s="104"/>
      <c r="AX591" s="104"/>
      <c r="AY591" s="104"/>
      <c r="AZ591" s="104"/>
      <c r="BA591" s="104"/>
      <c r="BB591" s="104"/>
      <c r="BC591" s="104"/>
      <c r="BD591" s="104"/>
      <c r="BE591" s="104"/>
      <c r="BF591" s="104"/>
      <c r="BG591" s="104"/>
      <c r="BH591" s="104"/>
      <c r="BI591" s="104"/>
      <c r="BJ591" s="104"/>
      <c r="BK591" s="104"/>
      <c r="BL591" s="104"/>
      <c r="BM591" s="104"/>
      <c r="BN591" s="104"/>
    </row>
    <row r="592">
      <c r="A592" s="104"/>
      <c r="B592" s="104"/>
      <c r="C592" s="104"/>
      <c r="D592" s="104"/>
      <c r="E592" s="104"/>
      <c r="F592" s="104"/>
      <c r="G592" s="104"/>
      <c r="H592" s="104"/>
      <c r="I592" s="104"/>
      <c r="J592" s="104"/>
      <c r="K592" s="105"/>
      <c r="L592" s="106"/>
      <c r="M592" s="104"/>
      <c r="N592" s="104"/>
      <c r="O592" s="104"/>
      <c r="P592" s="104"/>
      <c r="Q592" s="104"/>
      <c r="R592" s="106"/>
      <c r="S592" s="104"/>
      <c r="T592" s="104"/>
      <c r="U592" s="104"/>
      <c r="V592" s="104"/>
      <c r="W592" s="105"/>
      <c r="X592" s="104"/>
      <c r="Y592" s="104"/>
      <c r="Z592" s="104"/>
      <c r="AA592" s="104"/>
      <c r="AB592" s="104"/>
      <c r="AC592" s="104"/>
      <c r="AD592" s="104"/>
      <c r="AE592" s="104"/>
      <c r="AF592" s="104"/>
      <c r="AG592" s="104"/>
      <c r="AH592" s="104"/>
      <c r="AI592" s="104"/>
      <c r="AJ592" s="104"/>
      <c r="AK592" s="104"/>
      <c r="AL592" s="104"/>
      <c r="AM592" s="104"/>
      <c r="AN592" s="104"/>
      <c r="AO592" s="104"/>
      <c r="AP592" s="104"/>
      <c r="AQ592" s="104"/>
      <c r="AR592" s="104"/>
      <c r="AS592" s="104"/>
      <c r="AT592" s="104"/>
      <c r="AU592" s="104"/>
      <c r="AV592" s="104"/>
      <c r="AW592" s="104"/>
      <c r="AX592" s="104"/>
      <c r="AY592" s="104"/>
      <c r="AZ592" s="104"/>
      <c r="BA592" s="104"/>
      <c r="BB592" s="104"/>
      <c r="BC592" s="104"/>
      <c r="BD592" s="104"/>
      <c r="BE592" s="104"/>
      <c r="BF592" s="104"/>
      <c r="BG592" s="104"/>
      <c r="BH592" s="104"/>
      <c r="BI592" s="104"/>
      <c r="BJ592" s="104"/>
      <c r="BK592" s="104"/>
      <c r="BL592" s="104"/>
      <c r="BM592" s="104"/>
      <c r="BN592" s="104"/>
    </row>
    <row r="593">
      <c r="A593" s="104"/>
      <c r="B593" s="104"/>
      <c r="C593" s="104"/>
      <c r="D593" s="104"/>
      <c r="E593" s="104"/>
      <c r="F593" s="104"/>
      <c r="G593" s="104"/>
      <c r="H593" s="104"/>
      <c r="I593" s="104"/>
      <c r="J593" s="104"/>
      <c r="K593" s="105"/>
      <c r="L593" s="106"/>
      <c r="M593" s="104"/>
      <c r="N593" s="104"/>
      <c r="O593" s="104"/>
      <c r="P593" s="104"/>
      <c r="Q593" s="104"/>
      <c r="R593" s="106"/>
      <c r="S593" s="104"/>
      <c r="T593" s="104"/>
      <c r="U593" s="104"/>
      <c r="V593" s="104"/>
      <c r="W593" s="105"/>
      <c r="X593" s="104"/>
      <c r="Y593" s="104"/>
      <c r="Z593" s="104"/>
      <c r="AA593" s="104"/>
      <c r="AB593" s="104"/>
      <c r="AC593" s="104"/>
      <c r="AD593" s="104"/>
      <c r="AE593" s="104"/>
      <c r="AF593" s="104"/>
      <c r="AG593" s="104"/>
      <c r="AH593" s="104"/>
      <c r="AI593" s="104"/>
      <c r="AJ593" s="104"/>
      <c r="AK593" s="104"/>
      <c r="AL593" s="104"/>
      <c r="AM593" s="104"/>
      <c r="AN593" s="104"/>
      <c r="AO593" s="104"/>
      <c r="AP593" s="104"/>
      <c r="AQ593" s="104"/>
      <c r="AR593" s="104"/>
      <c r="AS593" s="104"/>
      <c r="AT593" s="104"/>
      <c r="AU593" s="104"/>
      <c r="AV593" s="104"/>
      <c r="AW593" s="104"/>
      <c r="AX593" s="104"/>
      <c r="AY593" s="104"/>
      <c r="AZ593" s="104"/>
      <c r="BA593" s="104"/>
      <c r="BB593" s="104"/>
      <c r="BC593" s="104"/>
      <c r="BD593" s="104"/>
      <c r="BE593" s="104"/>
      <c r="BF593" s="104"/>
      <c r="BG593" s="104"/>
      <c r="BH593" s="104"/>
      <c r="BI593" s="104"/>
      <c r="BJ593" s="104"/>
      <c r="BK593" s="104"/>
      <c r="BL593" s="104"/>
      <c r="BM593" s="104"/>
      <c r="BN593" s="104"/>
    </row>
    <row r="594">
      <c r="A594" s="104"/>
      <c r="B594" s="104"/>
      <c r="C594" s="104"/>
      <c r="D594" s="104"/>
      <c r="E594" s="104"/>
      <c r="F594" s="104"/>
      <c r="G594" s="104"/>
      <c r="H594" s="104"/>
      <c r="I594" s="104"/>
      <c r="J594" s="104"/>
      <c r="K594" s="105"/>
      <c r="L594" s="106"/>
      <c r="M594" s="104"/>
      <c r="N594" s="104"/>
      <c r="O594" s="104"/>
      <c r="P594" s="104"/>
      <c r="Q594" s="104"/>
      <c r="R594" s="106"/>
      <c r="S594" s="104"/>
      <c r="T594" s="104"/>
      <c r="U594" s="104"/>
      <c r="V594" s="104"/>
      <c r="W594" s="105"/>
      <c r="X594" s="104"/>
      <c r="Y594" s="104"/>
      <c r="Z594" s="104"/>
      <c r="AA594" s="104"/>
      <c r="AB594" s="104"/>
      <c r="AC594" s="104"/>
      <c r="AD594" s="104"/>
      <c r="AE594" s="104"/>
      <c r="AF594" s="104"/>
      <c r="AG594" s="104"/>
      <c r="AH594" s="104"/>
      <c r="AI594" s="104"/>
      <c r="AJ594" s="104"/>
      <c r="AK594" s="104"/>
      <c r="AL594" s="104"/>
      <c r="AM594" s="104"/>
      <c r="AN594" s="104"/>
      <c r="AO594" s="104"/>
      <c r="AP594" s="104"/>
      <c r="AQ594" s="104"/>
      <c r="AR594" s="104"/>
      <c r="AS594" s="104"/>
      <c r="AT594" s="104"/>
      <c r="AU594" s="104"/>
      <c r="AV594" s="104"/>
      <c r="AW594" s="104"/>
      <c r="AX594" s="104"/>
      <c r="AY594" s="104"/>
      <c r="AZ594" s="104"/>
      <c r="BA594" s="104"/>
      <c r="BB594" s="104"/>
      <c r="BC594" s="104"/>
      <c r="BD594" s="104"/>
      <c r="BE594" s="104"/>
      <c r="BF594" s="104"/>
      <c r="BG594" s="104"/>
      <c r="BH594" s="104"/>
      <c r="BI594" s="104"/>
      <c r="BJ594" s="104"/>
      <c r="BK594" s="104"/>
      <c r="BL594" s="104"/>
      <c r="BM594" s="104"/>
      <c r="BN594" s="104"/>
    </row>
    <row r="595">
      <c r="A595" s="104"/>
      <c r="B595" s="104"/>
      <c r="C595" s="104"/>
      <c r="D595" s="104"/>
      <c r="E595" s="104"/>
      <c r="F595" s="104"/>
      <c r="G595" s="104"/>
      <c r="H595" s="104"/>
      <c r="I595" s="104"/>
      <c r="J595" s="104"/>
      <c r="K595" s="105"/>
      <c r="L595" s="106"/>
      <c r="M595" s="104"/>
      <c r="N595" s="104"/>
      <c r="O595" s="104"/>
      <c r="P595" s="104"/>
      <c r="Q595" s="104"/>
      <c r="R595" s="106"/>
      <c r="S595" s="104"/>
      <c r="T595" s="104"/>
      <c r="U595" s="104"/>
      <c r="V595" s="104"/>
      <c r="W595" s="105"/>
      <c r="X595" s="104"/>
      <c r="Y595" s="104"/>
      <c r="Z595" s="104"/>
      <c r="AA595" s="104"/>
      <c r="AB595" s="104"/>
      <c r="AC595" s="104"/>
      <c r="AD595" s="104"/>
      <c r="AE595" s="104"/>
      <c r="AF595" s="104"/>
      <c r="AG595" s="104"/>
      <c r="AH595" s="104"/>
      <c r="AI595" s="104"/>
      <c r="AJ595" s="104"/>
      <c r="AK595" s="104"/>
      <c r="AL595" s="104"/>
      <c r="AM595" s="104"/>
      <c r="AN595" s="104"/>
      <c r="AO595" s="104"/>
      <c r="AP595" s="104"/>
      <c r="AQ595" s="104"/>
      <c r="AR595" s="104"/>
      <c r="AS595" s="104"/>
      <c r="AT595" s="104"/>
      <c r="AU595" s="104"/>
      <c r="AV595" s="104"/>
      <c r="AW595" s="104"/>
      <c r="AX595" s="104"/>
      <c r="AY595" s="104"/>
      <c r="AZ595" s="104"/>
      <c r="BA595" s="104"/>
      <c r="BB595" s="104"/>
      <c r="BC595" s="104"/>
      <c r="BD595" s="104"/>
      <c r="BE595" s="104"/>
      <c r="BF595" s="104"/>
      <c r="BG595" s="104"/>
      <c r="BH595" s="104"/>
      <c r="BI595" s="104"/>
      <c r="BJ595" s="104"/>
      <c r="BK595" s="104"/>
      <c r="BL595" s="104"/>
      <c r="BM595" s="104"/>
      <c r="BN595" s="104"/>
    </row>
    <row r="596">
      <c r="A596" s="104"/>
      <c r="B596" s="104"/>
      <c r="C596" s="104"/>
      <c r="D596" s="104"/>
      <c r="E596" s="104"/>
      <c r="F596" s="104"/>
      <c r="G596" s="104"/>
      <c r="H596" s="104"/>
      <c r="I596" s="104"/>
      <c r="J596" s="104"/>
      <c r="K596" s="105"/>
      <c r="L596" s="106"/>
      <c r="M596" s="104"/>
      <c r="N596" s="104"/>
      <c r="O596" s="104"/>
      <c r="P596" s="104"/>
      <c r="Q596" s="104"/>
      <c r="R596" s="106"/>
      <c r="S596" s="104"/>
      <c r="T596" s="104"/>
      <c r="U596" s="104"/>
      <c r="V596" s="104"/>
      <c r="W596" s="105"/>
      <c r="X596" s="104"/>
      <c r="Y596" s="104"/>
      <c r="Z596" s="104"/>
      <c r="AA596" s="104"/>
      <c r="AB596" s="104"/>
      <c r="AC596" s="104"/>
      <c r="AD596" s="104"/>
      <c r="AE596" s="104"/>
      <c r="AF596" s="104"/>
      <c r="AG596" s="104"/>
      <c r="AH596" s="104"/>
      <c r="AI596" s="104"/>
      <c r="AJ596" s="104"/>
      <c r="AK596" s="104"/>
      <c r="AL596" s="104"/>
      <c r="AM596" s="104"/>
      <c r="AN596" s="104"/>
      <c r="AO596" s="104"/>
      <c r="AP596" s="104"/>
      <c r="AQ596" s="104"/>
      <c r="AR596" s="104"/>
      <c r="AS596" s="104"/>
      <c r="AT596" s="104"/>
      <c r="AU596" s="104"/>
      <c r="AV596" s="104"/>
      <c r="AW596" s="104"/>
      <c r="AX596" s="104"/>
      <c r="AY596" s="104"/>
      <c r="AZ596" s="104"/>
      <c r="BA596" s="104"/>
      <c r="BB596" s="104"/>
      <c r="BC596" s="104"/>
      <c r="BD596" s="104"/>
      <c r="BE596" s="104"/>
      <c r="BF596" s="104"/>
      <c r="BG596" s="104"/>
      <c r="BH596" s="104"/>
      <c r="BI596" s="104"/>
      <c r="BJ596" s="104"/>
      <c r="BK596" s="104"/>
      <c r="BL596" s="104"/>
      <c r="BM596" s="104"/>
      <c r="BN596" s="104"/>
    </row>
    <row r="597">
      <c r="A597" s="104"/>
      <c r="B597" s="104"/>
      <c r="C597" s="104"/>
      <c r="D597" s="104"/>
      <c r="E597" s="104"/>
      <c r="F597" s="104"/>
      <c r="G597" s="104"/>
      <c r="H597" s="104"/>
      <c r="I597" s="104"/>
      <c r="J597" s="104"/>
      <c r="K597" s="105"/>
      <c r="L597" s="106"/>
      <c r="M597" s="104"/>
      <c r="N597" s="104"/>
      <c r="O597" s="104"/>
      <c r="P597" s="104"/>
      <c r="Q597" s="104"/>
      <c r="R597" s="106"/>
      <c r="S597" s="104"/>
      <c r="T597" s="104"/>
      <c r="U597" s="104"/>
      <c r="V597" s="104"/>
      <c r="W597" s="105"/>
      <c r="X597" s="104"/>
      <c r="Y597" s="104"/>
      <c r="Z597" s="104"/>
      <c r="AA597" s="104"/>
      <c r="AB597" s="104"/>
      <c r="AC597" s="104"/>
      <c r="AD597" s="104"/>
      <c r="AE597" s="104"/>
      <c r="AF597" s="104"/>
      <c r="AG597" s="104"/>
      <c r="AH597" s="104"/>
      <c r="AI597" s="104"/>
      <c r="AJ597" s="104"/>
      <c r="AK597" s="104"/>
      <c r="AL597" s="104"/>
      <c r="AM597" s="104"/>
      <c r="AN597" s="104"/>
      <c r="AO597" s="104"/>
      <c r="AP597" s="104"/>
      <c r="AQ597" s="104"/>
      <c r="AR597" s="104"/>
      <c r="AS597" s="104"/>
      <c r="AT597" s="104"/>
      <c r="AU597" s="104"/>
      <c r="AV597" s="104"/>
      <c r="AW597" s="104"/>
      <c r="AX597" s="104"/>
      <c r="AY597" s="104"/>
      <c r="AZ597" s="104"/>
      <c r="BA597" s="104"/>
      <c r="BB597" s="104"/>
      <c r="BC597" s="104"/>
      <c r="BD597" s="104"/>
      <c r="BE597" s="104"/>
      <c r="BF597" s="104"/>
      <c r="BG597" s="104"/>
      <c r="BH597" s="104"/>
      <c r="BI597" s="104"/>
      <c r="BJ597" s="104"/>
      <c r="BK597" s="104"/>
      <c r="BL597" s="104"/>
      <c r="BM597" s="104"/>
      <c r="BN597" s="104"/>
    </row>
    <row r="598">
      <c r="A598" s="104"/>
      <c r="B598" s="104"/>
      <c r="C598" s="104"/>
      <c r="D598" s="104"/>
      <c r="E598" s="104"/>
      <c r="F598" s="104"/>
      <c r="G598" s="104"/>
      <c r="H598" s="104"/>
      <c r="I598" s="104"/>
      <c r="J598" s="104"/>
      <c r="K598" s="105"/>
      <c r="L598" s="106"/>
      <c r="M598" s="104"/>
      <c r="N598" s="104"/>
      <c r="O598" s="104"/>
      <c r="P598" s="104"/>
      <c r="Q598" s="104"/>
      <c r="R598" s="106"/>
      <c r="S598" s="104"/>
      <c r="T598" s="104"/>
      <c r="U598" s="104"/>
      <c r="V598" s="104"/>
      <c r="W598" s="105"/>
      <c r="X598" s="104"/>
      <c r="Y598" s="104"/>
      <c r="Z598" s="104"/>
      <c r="AA598" s="104"/>
      <c r="AB598" s="104"/>
      <c r="AC598" s="104"/>
      <c r="AD598" s="104"/>
      <c r="AE598" s="104"/>
      <c r="AF598" s="104"/>
      <c r="AG598" s="104"/>
      <c r="AH598" s="104"/>
      <c r="AI598" s="104"/>
      <c r="AJ598" s="104"/>
      <c r="AK598" s="104"/>
      <c r="AL598" s="104"/>
      <c r="AM598" s="104"/>
      <c r="AN598" s="104"/>
      <c r="AO598" s="104"/>
      <c r="AP598" s="104"/>
      <c r="AQ598" s="104"/>
      <c r="AR598" s="104"/>
      <c r="AS598" s="104"/>
      <c r="AT598" s="104"/>
      <c r="AU598" s="104"/>
      <c r="AV598" s="104"/>
      <c r="AW598" s="104"/>
      <c r="AX598" s="104"/>
      <c r="AY598" s="104"/>
      <c r="AZ598" s="104"/>
      <c r="BA598" s="104"/>
      <c r="BB598" s="104"/>
      <c r="BC598" s="104"/>
      <c r="BD598" s="104"/>
      <c r="BE598" s="104"/>
      <c r="BF598" s="104"/>
      <c r="BG598" s="104"/>
      <c r="BH598" s="104"/>
      <c r="BI598" s="104"/>
      <c r="BJ598" s="104"/>
      <c r="BK598" s="104"/>
      <c r="BL598" s="104"/>
      <c r="BM598" s="104"/>
      <c r="BN598" s="104"/>
    </row>
    <row r="599">
      <c r="A599" s="104"/>
      <c r="B599" s="104"/>
      <c r="C599" s="104"/>
      <c r="D599" s="104"/>
      <c r="E599" s="104"/>
      <c r="F599" s="104"/>
      <c r="G599" s="104"/>
      <c r="H599" s="104"/>
      <c r="I599" s="104"/>
      <c r="J599" s="104"/>
      <c r="K599" s="105"/>
      <c r="L599" s="106"/>
      <c r="M599" s="104"/>
      <c r="N599" s="104"/>
      <c r="O599" s="104"/>
      <c r="P599" s="104"/>
      <c r="Q599" s="104"/>
      <c r="R599" s="106"/>
      <c r="S599" s="104"/>
      <c r="T599" s="104"/>
      <c r="U599" s="104"/>
      <c r="V599" s="104"/>
      <c r="W599" s="105"/>
      <c r="X599" s="104"/>
      <c r="Y599" s="104"/>
      <c r="Z599" s="104"/>
      <c r="AA599" s="104"/>
      <c r="AB599" s="104"/>
      <c r="AC599" s="104"/>
      <c r="AD599" s="104"/>
      <c r="AE599" s="104"/>
      <c r="AF599" s="104"/>
      <c r="AG599" s="104"/>
      <c r="AH599" s="104"/>
      <c r="AI599" s="104"/>
      <c r="AJ599" s="104"/>
      <c r="AK599" s="104"/>
      <c r="AL599" s="104"/>
      <c r="AM599" s="104"/>
      <c r="AN599" s="104"/>
      <c r="AO599" s="104"/>
      <c r="AP599" s="104"/>
      <c r="AQ599" s="104"/>
      <c r="AR599" s="104"/>
      <c r="AS599" s="104"/>
      <c r="AT599" s="104"/>
      <c r="AU599" s="104"/>
      <c r="AV599" s="104"/>
      <c r="AW599" s="104"/>
      <c r="AX599" s="104"/>
      <c r="AY599" s="104"/>
      <c r="AZ599" s="104"/>
      <c r="BA599" s="104"/>
      <c r="BB599" s="104"/>
      <c r="BC599" s="104"/>
      <c r="BD599" s="104"/>
      <c r="BE599" s="104"/>
      <c r="BF599" s="104"/>
      <c r="BG599" s="104"/>
      <c r="BH599" s="104"/>
      <c r="BI599" s="104"/>
      <c r="BJ599" s="104"/>
      <c r="BK599" s="104"/>
      <c r="BL599" s="104"/>
      <c r="BM599" s="104"/>
      <c r="BN599" s="104"/>
    </row>
    <row r="600">
      <c r="A600" s="104"/>
      <c r="B600" s="104"/>
      <c r="C600" s="104"/>
      <c r="D600" s="104"/>
      <c r="E600" s="104"/>
      <c r="F600" s="104"/>
      <c r="G600" s="104"/>
      <c r="H600" s="104"/>
      <c r="I600" s="104"/>
      <c r="J600" s="104"/>
      <c r="K600" s="105"/>
      <c r="L600" s="106"/>
      <c r="M600" s="104"/>
      <c r="N600" s="104"/>
      <c r="O600" s="104"/>
      <c r="P600" s="104"/>
      <c r="Q600" s="104"/>
      <c r="R600" s="106"/>
      <c r="S600" s="104"/>
      <c r="T600" s="104"/>
      <c r="U600" s="104"/>
      <c r="V600" s="104"/>
      <c r="W600" s="105"/>
      <c r="X600" s="104"/>
      <c r="Y600" s="104"/>
      <c r="Z600" s="104"/>
      <c r="AA600" s="104"/>
      <c r="AB600" s="104"/>
      <c r="AC600" s="104"/>
      <c r="AD600" s="104"/>
      <c r="AE600" s="104"/>
      <c r="AF600" s="104"/>
      <c r="AG600" s="104"/>
      <c r="AH600" s="104"/>
      <c r="AI600" s="104"/>
      <c r="AJ600" s="104"/>
      <c r="AK600" s="104"/>
      <c r="AL600" s="104"/>
      <c r="AM600" s="104"/>
      <c r="AN600" s="104"/>
      <c r="AO600" s="104"/>
      <c r="AP600" s="104"/>
      <c r="AQ600" s="104"/>
      <c r="AR600" s="104"/>
      <c r="AS600" s="104"/>
      <c r="AT600" s="104"/>
      <c r="AU600" s="104"/>
      <c r="AV600" s="104"/>
      <c r="AW600" s="104"/>
      <c r="AX600" s="104"/>
      <c r="AY600" s="104"/>
      <c r="AZ600" s="104"/>
      <c r="BA600" s="104"/>
      <c r="BB600" s="104"/>
      <c r="BC600" s="104"/>
      <c r="BD600" s="104"/>
      <c r="BE600" s="104"/>
      <c r="BF600" s="104"/>
      <c r="BG600" s="104"/>
      <c r="BH600" s="104"/>
      <c r="BI600" s="104"/>
      <c r="BJ600" s="104"/>
      <c r="BK600" s="104"/>
      <c r="BL600" s="104"/>
      <c r="BM600" s="104"/>
      <c r="BN600" s="104"/>
    </row>
    <row r="601">
      <c r="A601" s="104"/>
      <c r="B601" s="104"/>
      <c r="C601" s="104"/>
      <c r="D601" s="104"/>
      <c r="E601" s="104"/>
      <c r="F601" s="104"/>
      <c r="G601" s="104"/>
      <c r="H601" s="104"/>
      <c r="I601" s="104"/>
      <c r="J601" s="104"/>
      <c r="K601" s="105"/>
      <c r="L601" s="106"/>
      <c r="M601" s="104"/>
      <c r="N601" s="104"/>
      <c r="O601" s="104"/>
      <c r="P601" s="104"/>
      <c r="Q601" s="104"/>
      <c r="R601" s="106"/>
      <c r="S601" s="104"/>
      <c r="T601" s="104"/>
      <c r="U601" s="104"/>
      <c r="V601" s="104"/>
      <c r="W601" s="105"/>
      <c r="X601" s="104"/>
      <c r="Y601" s="104"/>
      <c r="Z601" s="104"/>
      <c r="AA601" s="104"/>
      <c r="AB601" s="104"/>
      <c r="AC601" s="104"/>
      <c r="AD601" s="104"/>
      <c r="AE601" s="104"/>
      <c r="AF601" s="104"/>
      <c r="AG601" s="104"/>
      <c r="AH601" s="104"/>
      <c r="AI601" s="104"/>
      <c r="AJ601" s="104"/>
      <c r="AK601" s="104"/>
      <c r="AL601" s="104"/>
      <c r="AM601" s="104"/>
      <c r="AN601" s="104"/>
      <c r="AO601" s="104"/>
      <c r="AP601" s="104"/>
      <c r="AQ601" s="104"/>
      <c r="AR601" s="104"/>
      <c r="AS601" s="104"/>
      <c r="AT601" s="104"/>
      <c r="AU601" s="104"/>
      <c r="AV601" s="104"/>
      <c r="AW601" s="104"/>
      <c r="AX601" s="104"/>
      <c r="AY601" s="104"/>
      <c r="AZ601" s="104"/>
      <c r="BA601" s="104"/>
      <c r="BB601" s="104"/>
      <c r="BC601" s="104"/>
      <c r="BD601" s="104"/>
      <c r="BE601" s="104"/>
      <c r="BF601" s="104"/>
      <c r="BG601" s="104"/>
      <c r="BH601" s="104"/>
      <c r="BI601" s="104"/>
      <c r="BJ601" s="104"/>
      <c r="BK601" s="104"/>
      <c r="BL601" s="104"/>
      <c r="BM601" s="104"/>
      <c r="BN601" s="104"/>
    </row>
    <row r="602">
      <c r="A602" s="104"/>
      <c r="B602" s="104"/>
      <c r="C602" s="104"/>
      <c r="D602" s="104"/>
      <c r="E602" s="104"/>
      <c r="F602" s="104"/>
      <c r="G602" s="104"/>
      <c r="H602" s="104"/>
      <c r="I602" s="104"/>
      <c r="J602" s="104"/>
      <c r="K602" s="105"/>
      <c r="L602" s="106"/>
      <c r="M602" s="104"/>
      <c r="N602" s="104"/>
      <c r="O602" s="104"/>
      <c r="P602" s="104"/>
      <c r="Q602" s="104"/>
      <c r="R602" s="106"/>
      <c r="S602" s="104"/>
      <c r="T602" s="104"/>
      <c r="U602" s="104"/>
      <c r="V602" s="104"/>
      <c r="W602" s="105"/>
      <c r="X602" s="104"/>
      <c r="Y602" s="104"/>
      <c r="Z602" s="104"/>
      <c r="AA602" s="104"/>
      <c r="AB602" s="104"/>
      <c r="AC602" s="104"/>
      <c r="AD602" s="104"/>
      <c r="AE602" s="104"/>
      <c r="AF602" s="104"/>
      <c r="AG602" s="104"/>
      <c r="AH602" s="104"/>
      <c r="AI602" s="104"/>
      <c r="AJ602" s="104"/>
      <c r="AK602" s="104"/>
      <c r="AL602" s="104"/>
      <c r="AM602" s="104"/>
      <c r="AN602" s="104"/>
      <c r="AO602" s="104"/>
      <c r="AP602" s="104"/>
      <c r="AQ602" s="104"/>
      <c r="AR602" s="104"/>
      <c r="AS602" s="104"/>
      <c r="AT602" s="104"/>
      <c r="AU602" s="104"/>
      <c r="AV602" s="104"/>
      <c r="AW602" s="104"/>
      <c r="AX602" s="104"/>
      <c r="AY602" s="104"/>
      <c r="AZ602" s="104"/>
      <c r="BA602" s="104"/>
      <c r="BB602" s="104"/>
      <c r="BC602" s="104"/>
      <c r="BD602" s="104"/>
      <c r="BE602" s="104"/>
      <c r="BF602" s="104"/>
      <c r="BG602" s="104"/>
      <c r="BH602" s="104"/>
      <c r="BI602" s="104"/>
      <c r="BJ602" s="104"/>
      <c r="BK602" s="104"/>
      <c r="BL602" s="104"/>
      <c r="BM602" s="104"/>
      <c r="BN602" s="104"/>
    </row>
    <row r="603">
      <c r="A603" s="104"/>
      <c r="B603" s="104"/>
      <c r="C603" s="104"/>
      <c r="D603" s="104"/>
      <c r="E603" s="104"/>
      <c r="F603" s="104"/>
      <c r="G603" s="104"/>
      <c r="H603" s="104"/>
      <c r="I603" s="104"/>
      <c r="J603" s="104"/>
      <c r="K603" s="105"/>
      <c r="L603" s="106"/>
      <c r="M603" s="104"/>
      <c r="N603" s="104"/>
      <c r="O603" s="104"/>
      <c r="P603" s="104"/>
      <c r="Q603" s="104"/>
      <c r="R603" s="106"/>
      <c r="S603" s="104"/>
      <c r="T603" s="104"/>
      <c r="U603" s="104"/>
      <c r="V603" s="104"/>
      <c r="W603" s="105"/>
      <c r="X603" s="104"/>
      <c r="Y603" s="104"/>
      <c r="Z603" s="104"/>
      <c r="AA603" s="104"/>
      <c r="AB603" s="104"/>
      <c r="AC603" s="104"/>
      <c r="AD603" s="104"/>
      <c r="AE603" s="104"/>
      <c r="AF603" s="104"/>
      <c r="AG603" s="104"/>
      <c r="AH603" s="104"/>
      <c r="AI603" s="104"/>
      <c r="AJ603" s="104"/>
      <c r="AK603" s="104"/>
      <c r="AL603" s="104"/>
      <c r="AM603" s="104"/>
      <c r="AN603" s="104"/>
      <c r="AO603" s="104"/>
      <c r="AP603" s="104"/>
      <c r="AQ603" s="104"/>
      <c r="AR603" s="104"/>
      <c r="AS603" s="104"/>
      <c r="AT603" s="104"/>
      <c r="AU603" s="104"/>
      <c r="AV603" s="104"/>
      <c r="AW603" s="104"/>
      <c r="AX603" s="104"/>
      <c r="AY603" s="104"/>
      <c r="AZ603" s="104"/>
      <c r="BA603" s="104"/>
      <c r="BB603" s="104"/>
      <c r="BC603" s="104"/>
      <c r="BD603" s="104"/>
      <c r="BE603" s="104"/>
      <c r="BF603" s="104"/>
      <c r="BG603" s="104"/>
      <c r="BH603" s="104"/>
      <c r="BI603" s="104"/>
      <c r="BJ603" s="104"/>
      <c r="BK603" s="104"/>
      <c r="BL603" s="104"/>
      <c r="BM603" s="104"/>
      <c r="BN603" s="104"/>
    </row>
    <row r="604">
      <c r="A604" s="104"/>
      <c r="B604" s="104"/>
      <c r="C604" s="104"/>
      <c r="D604" s="104"/>
      <c r="E604" s="104"/>
      <c r="F604" s="104"/>
      <c r="G604" s="104"/>
      <c r="H604" s="104"/>
      <c r="I604" s="104"/>
      <c r="J604" s="104"/>
      <c r="K604" s="105"/>
      <c r="L604" s="106"/>
      <c r="M604" s="104"/>
      <c r="N604" s="104"/>
      <c r="O604" s="104"/>
      <c r="P604" s="104"/>
      <c r="Q604" s="104"/>
      <c r="R604" s="106"/>
      <c r="S604" s="104"/>
      <c r="T604" s="104"/>
      <c r="U604" s="104"/>
      <c r="V604" s="104"/>
      <c r="W604" s="105"/>
      <c r="X604" s="104"/>
      <c r="Y604" s="104"/>
      <c r="Z604" s="104"/>
      <c r="AA604" s="104"/>
      <c r="AB604" s="104"/>
      <c r="AC604" s="104"/>
      <c r="AD604" s="104"/>
      <c r="AE604" s="104"/>
      <c r="AF604" s="104"/>
      <c r="AG604" s="104"/>
      <c r="AH604" s="104"/>
      <c r="AI604" s="104"/>
      <c r="AJ604" s="104"/>
      <c r="AK604" s="104"/>
      <c r="AL604" s="104"/>
      <c r="AM604" s="104"/>
      <c r="AN604" s="104"/>
      <c r="AO604" s="104"/>
      <c r="AP604" s="104"/>
      <c r="AQ604" s="104"/>
      <c r="AR604" s="104"/>
      <c r="AS604" s="104"/>
      <c r="AT604" s="104"/>
      <c r="AU604" s="104"/>
      <c r="AV604" s="104"/>
      <c r="AW604" s="104"/>
      <c r="AX604" s="104"/>
      <c r="AY604" s="104"/>
      <c r="AZ604" s="104"/>
      <c r="BA604" s="104"/>
      <c r="BB604" s="104"/>
      <c r="BC604" s="104"/>
      <c r="BD604" s="104"/>
      <c r="BE604" s="104"/>
      <c r="BF604" s="104"/>
      <c r="BG604" s="104"/>
      <c r="BH604" s="104"/>
      <c r="BI604" s="104"/>
      <c r="BJ604" s="104"/>
      <c r="BK604" s="104"/>
      <c r="BL604" s="104"/>
      <c r="BM604" s="104"/>
      <c r="BN604" s="104"/>
    </row>
    <row r="605">
      <c r="A605" s="104"/>
      <c r="B605" s="104"/>
      <c r="C605" s="104"/>
      <c r="D605" s="104"/>
      <c r="E605" s="104"/>
      <c r="F605" s="104"/>
      <c r="G605" s="104"/>
      <c r="H605" s="104"/>
      <c r="I605" s="104"/>
      <c r="J605" s="104"/>
      <c r="K605" s="105"/>
      <c r="L605" s="106"/>
      <c r="M605" s="104"/>
      <c r="N605" s="104"/>
      <c r="O605" s="104"/>
      <c r="P605" s="104"/>
      <c r="Q605" s="104"/>
      <c r="R605" s="106"/>
      <c r="S605" s="104"/>
      <c r="T605" s="104"/>
      <c r="U605" s="104"/>
      <c r="V605" s="104"/>
      <c r="W605" s="105"/>
      <c r="X605" s="104"/>
      <c r="Y605" s="104"/>
      <c r="Z605" s="104"/>
      <c r="AA605" s="104"/>
      <c r="AB605" s="104"/>
      <c r="AC605" s="104"/>
      <c r="AD605" s="104"/>
      <c r="AE605" s="104"/>
      <c r="AF605" s="104"/>
      <c r="AG605" s="104"/>
      <c r="AH605" s="104"/>
      <c r="AI605" s="104"/>
      <c r="AJ605" s="104"/>
      <c r="AK605" s="104"/>
      <c r="AL605" s="104"/>
      <c r="AM605" s="104"/>
      <c r="AN605" s="104"/>
      <c r="AO605" s="104"/>
      <c r="AP605" s="104"/>
      <c r="AQ605" s="104"/>
      <c r="AR605" s="104"/>
      <c r="AS605" s="104"/>
      <c r="AT605" s="104"/>
      <c r="AU605" s="104"/>
      <c r="AV605" s="104"/>
      <c r="AW605" s="104"/>
      <c r="AX605" s="104"/>
      <c r="AY605" s="104"/>
      <c r="AZ605" s="104"/>
      <c r="BA605" s="104"/>
      <c r="BB605" s="104"/>
      <c r="BC605" s="104"/>
      <c r="BD605" s="104"/>
      <c r="BE605" s="104"/>
      <c r="BF605" s="104"/>
      <c r="BG605" s="104"/>
      <c r="BH605" s="104"/>
      <c r="BI605" s="104"/>
      <c r="BJ605" s="104"/>
      <c r="BK605" s="104"/>
      <c r="BL605" s="104"/>
      <c r="BM605" s="104"/>
      <c r="BN605" s="104"/>
    </row>
    <row r="606">
      <c r="A606" s="104"/>
      <c r="B606" s="104"/>
      <c r="C606" s="104"/>
      <c r="D606" s="104"/>
      <c r="E606" s="104"/>
      <c r="F606" s="104"/>
      <c r="G606" s="104"/>
      <c r="H606" s="104"/>
      <c r="I606" s="104"/>
      <c r="J606" s="104"/>
      <c r="K606" s="105"/>
      <c r="L606" s="106"/>
      <c r="M606" s="104"/>
      <c r="N606" s="104"/>
      <c r="O606" s="104"/>
      <c r="P606" s="104"/>
      <c r="Q606" s="104"/>
      <c r="R606" s="106"/>
      <c r="S606" s="104"/>
      <c r="T606" s="104"/>
      <c r="U606" s="104"/>
      <c r="V606" s="104"/>
      <c r="W606" s="105"/>
      <c r="X606" s="104"/>
      <c r="Y606" s="104"/>
      <c r="Z606" s="104"/>
      <c r="AA606" s="104"/>
      <c r="AB606" s="104"/>
      <c r="AC606" s="104"/>
      <c r="AD606" s="104"/>
      <c r="AE606" s="104"/>
      <c r="AF606" s="104"/>
      <c r="AG606" s="104"/>
      <c r="AH606" s="104"/>
      <c r="AI606" s="104"/>
      <c r="AJ606" s="104"/>
      <c r="AK606" s="104"/>
      <c r="AL606" s="104"/>
      <c r="AM606" s="104"/>
      <c r="AN606" s="104"/>
      <c r="AO606" s="104"/>
      <c r="AP606" s="104"/>
      <c r="AQ606" s="104"/>
      <c r="AR606" s="104"/>
      <c r="AS606" s="104"/>
      <c r="AT606" s="104"/>
      <c r="AU606" s="104"/>
      <c r="AV606" s="104"/>
      <c r="AW606" s="104"/>
      <c r="AX606" s="104"/>
      <c r="AY606" s="104"/>
      <c r="AZ606" s="104"/>
      <c r="BA606" s="104"/>
      <c r="BB606" s="104"/>
      <c r="BC606" s="104"/>
      <c r="BD606" s="104"/>
      <c r="BE606" s="104"/>
      <c r="BF606" s="104"/>
      <c r="BG606" s="104"/>
      <c r="BH606" s="104"/>
      <c r="BI606" s="104"/>
      <c r="BJ606" s="104"/>
      <c r="BK606" s="104"/>
      <c r="BL606" s="104"/>
      <c r="BM606" s="104"/>
      <c r="BN606" s="104"/>
    </row>
    <row r="607">
      <c r="A607" s="104"/>
      <c r="B607" s="104"/>
      <c r="C607" s="104"/>
      <c r="D607" s="104"/>
      <c r="E607" s="104"/>
      <c r="F607" s="104"/>
      <c r="G607" s="104"/>
      <c r="H607" s="104"/>
      <c r="I607" s="104"/>
      <c r="J607" s="104"/>
      <c r="K607" s="105"/>
      <c r="L607" s="106"/>
      <c r="M607" s="104"/>
      <c r="N607" s="104"/>
      <c r="O607" s="104"/>
      <c r="P607" s="104"/>
      <c r="Q607" s="104"/>
      <c r="R607" s="106"/>
      <c r="S607" s="104"/>
      <c r="T607" s="104"/>
      <c r="U607" s="104"/>
      <c r="V607" s="104"/>
      <c r="W607" s="105"/>
      <c r="X607" s="104"/>
      <c r="Y607" s="104"/>
      <c r="Z607" s="104"/>
      <c r="AA607" s="104"/>
      <c r="AB607" s="104"/>
      <c r="AC607" s="104"/>
      <c r="AD607" s="104"/>
      <c r="AE607" s="104"/>
      <c r="AF607" s="104"/>
      <c r="AG607" s="104"/>
      <c r="AH607" s="104"/>
      <c r="AI607" s="104"/>
      <c r="AJ607" s="104"/>
      <c r="AK607" s="104"/>
      <c r="AL607" s="104"/>
      <c r="AM607" s="104"/>
      <c r="AN607" s="104"/>
      <c r="AO607" s="104"/>
      <c r="AP607" s="104"/>
      <c r="AQ607" s="104"/>
      <c r="AR607" s="104"/>
      <c r="AS607" s="104"/>
      <c r="AT607" s="104"/>
      <c r="AU607" s="104"/>
      <c r="AV607" s="104"/>
      <c r="AW607" s="104"/>
      <c r="AX607" s="104"/>
      <c r="AY607" s="104"/>
      <c r="AZ607" s="104"/>
      <c r="BA607" s="104"/>
      <c r="BB607" s="104"/>
      <c r="BC607" s="104"/>
      <c r="BD607" s="104"/>
      <c r="BE607" s="104"/>
      <c r="BF607" s="104"/>
      <c r="BG607" s="104"/>
      <c r="BH607" s="104"/>
      <c r="BI607" s="104"/>
      <c r="BJ607" s="104"/>
      <c r="BK607" s="104"/>
      <c r="BL607" s="104"/>
      <c r="BM607" s="104"/>
      <c r="BN607" s="104"/>
    </row>
    <row r="608">
      <c r="A608" s="104"/>
      <c r="B608" s="104"/>
      <c r="C608" s="104"/>
      <c r="D608" s="104"/>
      <c r="E608" s="104"/>
      <c r="F608" s="104"/>
      <c r="G608" s="104"/>
      <c r="H608" s="104"/>
      <c r="I608" s="104"/>
      <c r="J608" s="104"/>
      <c r="K608" s="105"/>
      <c r="L608" s="106"/>
      <c r="M608" s="104"/>
      <c r="N608" s="104"/>
      <c r="O608" s="104"/>
      <c r="P608" s="104"/>
      <c r="Q608" s="104"/>
      <c r="R608" s="106"/>
      <c r="S608" s="104"/>
      <c r="T608" s="104"/>
      <c r="U608" s="104"/>
      <c r="V608" s="104"/>
      <c r="W608" s="105"/>
      <c r="X608" s="104"/>
      <c r="Y608" s="104"/>
      <c r="Z608" s="104"/>
      <c r="AA608" s="104"/>
      <c r="AB608" s="104"/>
      <c r="AC608" s="104"/>
      <c r="AD608" s="104"/>
      <c r="AE608" s="104"/>
      <c r="AF608" s="104"/>
      <c r="AG608" s="104"/>
      <c r="AH608" s="104"/>
      <c r="AI608" s="104"/>
      <c r="AJ608" s="104"/>
      <c r="AK608" s="104"/>
      <c r="AL608" s="104"/>
      <c r="AM608" s="104"/>
      <c r="AN608" s="104"/>
      <c r="AO608" s="104"/>
      <c r="AP608" s="104"/>
      <c r="AQ608" s="104"/>
      <c r="AR608" s="104"/>
      <c r="AS608" s="104"/>
      <c r="AT608" s="104"/>
      <c r="AU608" s="104"/>
      <c r="AV608" s="104"/>
      <c r="AW608" s="104"/>
      <c r="AX608" s="104"/>
      <c r="AY608" s="104"/>
      <c r="AZ608" s="104"/>
      <c r="BA608" s="104"/>
      <c r="BB608" s="104"/>
      <c r="BC608" s="104"/>
      <c r="BD608" s="104"/>
      <c r="BE608" s="104"/>
      <c r="BF608" s="104"/>
      <c r="BG608" s="104"/>
      <c r="BH608" s="104"/>
      <c r="BI608" s="104"/>
      <c r="BJ608" s="104"/>
      <c r="BK608" s="104"/>
      <c r="BL608" s="104"/>
      <c r="BM608" s="104"/>
      <c r="BN608" s="104"/>
    </row>
    <row r="609">
      <c r="A609" s="104"/>
      <c r="B609" s="104"/>
      <c r="C609" s="104"/>
      <c r="D609" s="104"/>
      <c r="E609" s="104"/>
      <c r="F609" s="104"/>
      <c r="G609" s="104"/>
      <c r="H609" s="104"/>
      <c r="I609" s="104"/>
      <c r="J609" s="104"/>
      <c r="K609" s="105"/>
      <c r="L609" s="106"/>
      <c r="M609" s="104"/>
      <c r="N609" s="104"/>
      <c r="O609" s="104"/>
      <c r="P609" s="104"/>
      <c r="Q609" s="104"/>
      <c r="R609" s="106"/>
      <c r="S609" s="104"/>
      <c r="T609" s="104"/>
      <c r="U609" s="104"/>
      <c r="V609" s="104"/>
      <c r="W609" s="105"/>
      <c r="X609" s="104"/>
      <c r="Y609" s="104"/>
      <c r="Z609" s="104"/>
      <c r="AA609" s="104"/>
      <c r="AB609" s="104"/>
      <c r="AC609" s="104"/>
      <c r="AD609" s="104"/>
      <c r="AE609" s="104"/>
      <c r="AF609" s="104"/>
      <c r="AG609" s="104"/>
      <c r="AH609" s="104"/>
      <c r="AI609" s="104"/>
      <c r="AJ609" s="104"/>
      <c r="AK609" s="104"/>
      <c r="AL609" s="104"/>
      <c r="AM609" s="104"/>
      <c r="AN609" s="104"/>
      <c r="AO609" s="104"/>
      <c r="AP609" s="104"/>
      <c r="AQ609" s="104"/>
      <c r="AR609" s="104"/>
      <c r="AS609" s="104"/>
      <c r="AT609" s="104"/>
      <c r="AU609" s="104"/>
      <c r="AV609" s="104"/>
      <c r="AW609" s="104"/>
      <c r="AX609" s="104"/>
      <c r="AY609" s="104"/>
      <c r="AZ609" s="104"/>
      <c r="BA609" s="104"/>
      <c r="BB609" s="104"/>
      <c r="BC609" s="104"/>
      <c r="BD609" s="104"/>
      <c r="BE609" s="104"/>
      <c r="BF609" s="104"/>
      <c r="BG609" s="104"/>
      <c r="BH609" s="104"/>
      <c r="BI609" s="104"/>
      <c r="BJ609" s="104"/>
      <c r="BK609" s="104"/>
      <c r="BL609" s="104"/>
      <c r="BM609" s="104"/>
      <c r="BN609" s="104"/>
    </row>
    <row r="610">
      <c r="A610" s="104"/>
      <c r="B610" s="104"/>
      <c r="C610" s="104"/>
      <c r="D610" s="104"/>
      <c r="E610" s="104"/>
      <c r="F610" s="104"/>
      <c r="G610" s="104"/>
      <c r="H610" s="104"/>
      <c r="I610" s="104"/>
      <c r="J610" s="104"/>
      <c r="K610" s="105"/>
      <c r="L610" s="106"/>
      <c r="M610" s="104"/>
      <c r="N610" s="104"/>
      <c r="O610" s="104"/>
      <c r="P610" s="104"/>
      <c r="Q610" s="104"/>
      <c r="R610" s="106"/>
      <c r="S610" s="104"/>
      <c r="T610" s="104"/>
      <c r="U610" s="104"/>
      <c r="V610" s="104"/>
      <c r="W610" s="105"/>
      <c r="X610" s="104"/>
      <c r="Y610" s="104"/>
      <c r="Z610" s="104"/>
      <c r="AA610" s="104"/>
      <c r="AB610" s="104"/>
      <c r="AC610" s="104"/>
      <c r="AD610" s="104"/>
      <c r="AE610" s="104"/>
      <c r="AF610" s="104"/>
      <c r="AG610" s="104"/>
      <c r="AH610" s="104"/>
      <c r="AI610" s="104"/>
      <c r="AJ610" s="104"/>
      <c r="AK610" s="104"/>
      <c r="AL610" s="104"/>
      <c r="AM610" s="104"/>
      <c r="AN610" s="104"/>
      <c r="AO610" s="104"/>
      <c r="AP610" s="104"/>
      <c r="AQ610" s="104"/>
      <c r="AR610" s="104"/>
      <c r="AS610" s="104"/>
      <c r="AT610" s="104"/>
      <c r="AU610" s="104"/>
      <c r="AV610" s="104"/>
      <c r="AW610" s="104"/>
      <c r="AX610" s="104"/>
      <c r="AY610" s="104"/>
      <c r="AZ610" s="104"/>
      <c r="BA610" s="104"/>
      <c r="BB610" s="104"/>
      <c r="BC610" s="104"/>
      <c r="BD610" s="104"/>
      <c r="BE610" s="104"/>
      <c r="BF610" s="104"/>
      <c r="BG610" s="104"/>
      <c r="BH610" s="104"/>
      <c r="BI610" s="104"/>
      <c r="BJ610" s="104"/>
      <c r="BK610" s="104"/>
      <c r="BL610" s="104"/>
      <c r="BM610" s="104"/>
      <c r="BN610" s="104"/>
    </row>
    <row r="611">
      <c r="A611" s="104"/>
      <c r="B611" s="104"/>
      <c r="C611" s="104"/>
      <c r="D611" s="104"/>
      <c r="E611" s="104"/>
      <c r="F611" s="104"/>
      <c r="G611" s="104"/>
      <c r="H611" s="104"/>
      <c r="I611" s="104"/>
      <c r="J611" s="104"/>
      <c r="K611" s="105"/>
      <c r="L611" s="106"/>
      <c r="M611" s="104"/>
      <c r="N611" s="104"/>
      <c r="O611" s="104"/>
      <c r="P611" s="104"/>
      <c r="Q611" s="104"/>
      <c r="R611" s="106"/>
      <c r="S611" s="104"/>
      <c r="T611" s="104"/>
      <c r="U611" s="104"/>
      <c r="V611" s="104"/>
      <c r="W611" s="105"/>
      <c r="X611" s="104"/>
      <c r="Y611" s="104"/>
      <c r="Z611" s="104"/>
      <c r="AA611" s="104"/>
      <c r="AB611" s="104"/>
      <c r="AC611" s="104"/>
      <c r="AD611" s="104"/>
      <c r="AE611" s="104"/>
      <c r="AF611" s="104"/>
      <c r="AG611" s="104"/>
      <c r="AH611" s="104"/>
      <c r="AI611" s="104"/>
      <c r="AJ611" s="104"/>
      <c r="AK611" s="104"/>
      <c r="AL611" s="104"/>
      <c r="AM611" s="104"/>
      <c r="AN611" s="104"/>
      <c r="AO611" s="104"/>
      <c r="AP611" s="104"/>
      <c r="AQ611" s="104"/>
      <c r="AR611" s="104"/>
      <c r="AS611" s="104"/>
      <c r="AT611" s="104"/>
      <c r="AU611" s="104"/>
      <c r="AV611" s="104"/>
      <c r="AW611" s="104"/>
      <c r="AX611" s="104"/>
      <c r="AY611" s="104"/>
      <c r="AZ611" s="104"/>
      <c r="BA611" s="104"/>
      <c r="BB611" s="104"/>
      <c r="BC611" s="104"/>
      <c r="BD611" s="104"/>
      <c r="BE611" s="104"/>
      <c r="BF611" s="104"/>
      <c r="BG611" s="104"/>
      <c r="BH611" s="104"/>
      <c r="BI611" s="104"/>
      <c r="BJ611" s="104"/>
      <c r="BK611" s="104"/>
      <c r="BL611" s="104"/>
      <c r="BM611" s="104"/>
      <c r="BN611" s="104"/>
    </row>
    <row r="612">
      <c r="A612" s="104"/>
      <c r="B612" s="104"/>
      <c r="C612" s="104"/>
      <c r="D612" s="104"/>
      <c r="E612" s="104"/>
      <c r="F612" s="104"/>
      <c r="G612" s="104"/>
      <c r="H612" s="104"/>
      <c r="I612" s="104"/>
      <c r="J612" s="104"/>
      <c r="K612" s="105"/>
      <c r="L612" s="106"/>
      <c r="M612" s="104"/>
      <c r="N612" s="104"/>
      <c r="O612" s="104"/>
      <c r="P612" s="104"/>
      <c r="Q612" s="104"/>
      <c r="R612" s="106"/>
      <c r="S612" s="104"/>
      <c r="T612" s="104"/>
      <c r="U612" s="104"/>
      <c r="V612" s="104"/>
      <c r="W612" s="105"/>
      <c r="X612" s="104"/>
      <c r="Y612" s="104"/>
      <c r="Z612" s="104"/>
      <c r="AA612" s="104"/>
      <c r="AB612" s="104"/>
      <c r="AC612" s="104"/>
      <c r="AD612" s="104"/>
      <c r="AE612" s="104"/>
      <c r="AF612" s="104"/>
      <c r="AG612" s="104"/>
      <c r="AH612" s="104"/>
      <c r="AI612" s="104"/>
      <c r="AJ612" s="104"/>
      <c r="AK612" s="104"/>
      <c r="AL612" s="104"/>
      <c r="AM612" s="104"/>
      <c r="AN612" s="104"/>
      <c r="AO612" s="104"/>
      <c r="AP612" s="104"/>
      <c r="AQ612" s="104"/>
      <c r="AR612" s="104"/>
      <c r="AS612" s="104"/>
      <c r="AT612" s="104"/>
      <c r="AU612" s="104"/>
      <c r="AV612" s="104"/>
      <c r="AW612" s="104"/>
      <c r="AX612" s="104"/>
      <c r="AY612" s="104"/>
      <c r="AZ612" s="104"/>
      <c r="BA612" s="104"/>
      <c r="BB612" s="104"/>
      <c r="BC612" s="104"/>
      <c r="BD612" s="104"/>
      <c r="BE612" s="104"/>
      <c r="BF612" s="104"/>
      <c r="BG612" s="104"/>
      <c r="BH612" s="104"/>
      <c r="BI612" s="104"/>
      <c r="BJ612" s="104"/>
      <c r="BK612" s="104"/>
      <c r="BL612" s="104"/>
      <c r="BM612" s="104"/>
      <c r="BN612" s="104"/>
    </row>
    <row r="613">
      <c r="A613" s="104"/>
      <c r="B613" s="104"/>
      <c r="C613" s="104"/>
      <c r="D613" s="104"/>
      <c r="E613" s="104"/>
      <c r="F613" s="104"/>
      <c r="G613" s="104"/>
      <c r="H613" s="104"/>
      <c r="I613" s="104"/>
      <c r="J613" s="104"/>
      <c r="K613" s="105"/>
      <c r="L613" s="106"/>
      <c r="M613" s="104"/>
      <c r="N613" s="104"/>
      <c r="O613" s="104"/>
      <c r="P613" s="104"/>
      <c r="Q613" s="104"/>
      <c r="R613" s="106"/>
      <c r="S613" s="104"/>
      <c r="T613" s="104"/>
      <c r="U613" s="104"/>
      <c r="V613" s="104"/>
      <c r="W613" s="105"/>
      <c r="X613" s="104"/>
      <c r="Y613" s="104"/>
      <c r="Z613" s="104"/>
      <c r="AA613" s="104"/>
      <c r="AB613" s="104"/>
      <c r="AC613" s="104"/>
      <c r="AD613" s="104"/>
      <c r="AE613" s="104"/>
      <c r="AF613" s="104"/>
      <c r="AG613" s="104"/>
      <c r="AH613" s="104"/>
      <c r="AI613" s="104"/>
      <c r="AJ613" s="104"/>
      <c r="AK613" s="104"/>
      <c r="AL613" s="104"/>
      <c r="AM613" s="104"/>
      <c r="AN613" s="104"/>
      <c r="AO613" s="104"/>
      <c r="AP613" s="104"/>
      <c r="AQ613" s="104"/>
      <c r="AR613" s="104"/>
      <c r="AS613" s="104"/>
      <c r="AT613" s="104"/>
      <c r="AU613" s="104"/>
      <c r="AV613" s="104"/>
      <c r="AW613" s="104"/>
      <c r="AX613" s="104"/>
      <c r="AY613" s="104"/>
      <c r="AZ613" s="104"/>
      <c r="BA613" s="104"/>
      <c r="BB613" s="104"/>
      <c r="BC613" s="104"/>
      <c r="BD613" s="104"/>
      <c r="BE613" s="104"/>
      <c r="BF613" s="104"/>
      <c r="BG613" s="104"/>
      <c r="BH613" s="104"/>
      <c r="BI613" s="104"/>
      <c r="BJ613" s="104"/>
      <c r="BK613" s="104"/>
      <c r="BL613" s="104"/>
      <c r="BM613" s="104"/>
      <c r="BN613" s="104"/>
    </row>
    <row r="614">
      <c r="A614" s="104"/>
      <c r="B614" s="104"/>
      <c r="C614" s="104"/>
      <c r="D614" s="104"/>
      <c r="E614" s="104"/>
      <c r="F614" s="104"/>
      <c r="G614" s="104"/>
      <c r="H614" s="104"/>
      <c r="I614" s="104"/>
      <c r="J614" s="104"/>
      <c r="K614" s="105"/>
      <c r="L614" s="106"/>
      <c r="M614" s="104"/>
      <c r="N614" s="104"/>
      <c r="O614" s="104"/>
      <c r="P614" s="104"/>
      <c r="Q614" s="104"/>
      <c r="R614" s="106"/>
      <c r="S614" s="104"/>
      <c r="T614" s="104"/>
      <c r="U614" s="104"/>
      <c r="V614" s="104"/>
      <c r="W614" s="105"/>
      <c r="X614" s="104"/>
      <c r="Y614" s="104"/>
      <c r="Z614" s="104"/>
      <c r="AA614" s="104"/>
      <c r="AB614" s="104"/>
      <c r="AC614" s="104"/>
      <c r="AD614" s="104"/>
      <c r="AE614" s="104"/>
      <c r="AF614" s="104"/>
      <c r="AG614" s="104"/>
      <c r="AH614" s="104"/>
      <c r="AI614" s="104"/>
      <c r="AJ614" s="104"/>
      <c r="AK614" s="104"/>
      <c r="AL614" s="104"/>
      <c r="AM614" s="104"/>
      <c r="AN614" s="104"/>
      <c r="AO614" s="104"/>
      <c r="AP614" s="104"/>
      <c r="AQ614" s="104"/>
      <c r="AR614" s="104"/>
      <c r="AS614" s="104"/>
      <c r="AT614" s="104"/>
      <c r="AU614" s="104"/>
      <c r="AV614" s="104"/>
      <c r="AW614" s="104"/>
      <c r="AX614" s="104"/>
      <c r="AY614" s="104"/>
      <c r="AZ614" s="104"/>
      <c r="BA614" s="104"/>
      <c r="BB614" s="104"/>
      <c r="BC614" s="104"/>
      <c r="BD614" s="104"/>
      <c r="BE614" s="104"/>
      <c r="BF614" s="104"/>
      <c r="BG614" s="104"/>
      <c r="BH614" s="104"/>
      <c r="BI614" s="104"/>
      <c r="BJ614" s="104"/>
      <c r="BK614" s="104"/>
      <c r="BL614" s="104"/>
      <c r="BM614" s="104"/>
      <c r="BN614" s="104"/>
    </row>
    <row r="615">
      <c r="A615" s="104"/>
      <c r="B615" s="104"/>
      <c r="C615" s="104"/>
      <c r="D615" s="104"/>
      <c r="E615" s="104"/>
      <c r="F615" s="104"/>
      <c r="G615" s="104"/>
      <c r="H615" s="104"/>
      <c r="I615" s="104"/>
      <c r="J615" s="104"/>
      <c r="K615" s="105"/>
      <c r="L615" s="106"/>
      <c r="M615" s="104"/>
      <c r="N615" s="104"/>
      <c r="O615" s="104"/>
      <c r="P615" s="104"/>
      <c r="Q615" s="104"/>
      <c r="R615" s="106"/>
      <c r="S615" s="104"/>
      <c r="T615" s="104"/>
      <c r="U615" s="104"/>
      <c r="V615" s="104"/>
      <c r="W615" s="105"/>
      <c r="X615" s="104"/>
      <c r="Y615" s="104"/>
      <c r="Z615" s="104"/>
      <c r="AA615" s="104"/>
      <c r="AB615" s="104"/>
      <c r="AC615" s="104"/>
      <c r="AD615" s="104"/>
      <c r="AE615" s="104"/>
      <c r="AF615" s="104"/>
      <c r="AG615" s="104"/>
      <c r="AH615" s="104"/>
      <c r="AI615" s="104"/>
      <c r="AJ615" s="104"/>
      <c r="AK615" s="104"/>
      <c r="AL615" s="104"/>
      <c r="AM615" s="104"/>
      <c r="AN615" s="104"/>
      <c r="AO615" s="104"/>
      <c r="AP615" s="104"/>
      <c r="AQ615" s="104"/>
      <c r="AR615" s="104"/>
      <c r="AS615" s="104"/>
      <c r="AT615" s="104"/>
      <c r="AU615" s="104"/>
      <c r="AV615" s="104"/>
      <c r="AW615" s="104"/>
      <c r="AX615" s="104"/>
      <c r="AY615" s="104"/>
      <c r="AZ615" s="104"/>
      <c r="BA615" s="104"/>
      <c r="BB615" s="104"/>
      <c r="BC615" s="104"/>
      <c r="BD615" s="104"/>
      <c r="BE615" s="104"/>
      <c r="BF615" s="104"/>
      <c r="BG615" s="104"/>
      <c r="BH615" s="104"/>
      <c r="BI615" s="104"/>
      <c r="BJ615" s="104"/>
      <c r="BK615" s="104"/>
      <c r="BL615" s="104"/>
      <c r="BM615" s="104"/>
      <c r="BN615" s="104"/>
    </row>
    <row r="616">
      <c r="A616" s="104"/>
      <c r="B616" s="104"/>
      <c r="C616" s="104"/>
      <c r="D616" s="104"/>
      <c r="E616" s="104"/>
      <c r="F616" s="104"/>
      <c r="G616" s="104"/>
      <c r="H616" s="104"/>
      <c r="I616" s="104"/>
      <c r="J616" s="104"/>
      <c r="K616" s="105"/>
      <c r="L616" s="106"/>
      <c r="M616" s="104"/>
      <c r="N616" s="104"/>
      <c r="O616" s="104"/>
      <c r="P616" s="104"/>
      <c r="Q616" s="104"/>
      <c r="R616" s="106"/>
      <c r="S616" s="104"/>
      <c r="T616" s="104"/>
      <c r="U616" s="104"/>
      <c r="V616" s="104"/>
      <c r="W616" s="105"/>
      <c r="X616" s="104"/>
      <c r="Y616" s="104"/>
      <c r="Z616" s="104"/>
      <c r="AA616" s="104"/>
      <c r="AB616" s="104"/>
      <c r="AC616" s="104"/>
      <c r="AD616" s="104"/>
      <c r="AE616" s="104"/>
      <c r="AF616" s="104"/>
      <c r="AG616" s="104"/>
      <c r="AH616" s="104"/>
      <c r="AI616" s="104"/>
      <c r="AJ616" s="104"/>
      <c r="AK616" s="104"/>
      <c r="AL616" s="104"/>
      <c r="AM616" s="104"/>
      <c r="AN616" s="104"/>
      <c r="AO616" s="104"/>
      <c r="AP616" s="104"/>
      <c r="AQ616" s="104"/>
      <c r="AR616" s="104"/>
      <c r="AS616" s="104"/>
      <c r="AT616" s="104"/>
      <c r="AU616" s="104"/>
      <c r="AV616" s="104"/>
      <c r="AW616" s="104"/>
      <c r="AX616" s="104"/>
      <c r="AY616" s="104"/>
      <c r="AZ616" s="104"/>
      <c r="BA616" s="104"/>
      <c r="BB616" s="104"/>
      <c r="BC616" s="104"/>
      <c r="BD616" s="104"/>
      <c r="BE616" s="104"/>
      <c r="BF616" s="104"/>
      <c r="BG616" s="104"/>
      <c r="BH616" s="104"/>
      <c r="BI616" s="104"/>
      <c r="BJ616" s="104"/>
      <c r="BK616" s="104"/>
      <c r="BL616" s="104"/>
      <c r="BM616" s="104"/>
      <c r="BN616" s="104"/>
    </row>
    <row r="617">
      <c r="A617" s="104"/>
      <c r="B617" s="104"/>
      <c r="C617" s="104"/>
      <c r="D617" s="104"/>
      <c r="E617" s="104"/>
      <c r="F617" s="104"/>
      <c r="G617" s="104"/>
      <c r="H617" s="104"/>
      <c r="I617" s="104"/>
      <c r="J617" s="104"/>
      <c r="K617" s="105"/>
      <c r="L617" s="106"/>
      <c r="M617" s="104"/>
      <c r="N617" s="104"/>
      <c r="O617" s="104"/>
      <c r="P617" s="104"/>
      <c r="Q617" s="104"/>
      <c r="R617" s="106"/>
      <c r="S617" s="104"/>
      <c r="T617" s="104"/>
      <c r="U617" s="104"/>
      <c r="V617" s="104"/>
      <c r="W617" s="105"/>
      <c r="X617" s="104"/>
      <c r="Y617" s="104"/>
      <c r="Z617" s="104"/>
      <c r="AA617" s="104"/>
      <c r="AB617" s="104"/>
      <c r="AC617" s="104"/>
      <c r="AD617" s="104"/>
      <c r="AE617" s="104"/>
      <c r="AF617" s="104"/>
      <c r="AG617" s="104"/>
      <c r="AH617" s="104"/>
      <c r="AI617" s="104"/>
      <c r="AJ617" s="104"/>
      <c r="AK617" s="104"/>
      <c r="AL617" s="104"/>
      <c r="AM617" s="104"/>
      <c r="AN617" s="104"/>
      <c r="AO617" s="104"/>
      <c r="AP617" s="104"/>
      <c r="AQ617" s="104"/>
      <c r="AR617" s="104"/>
      <c r="AS617" s="104"/>
      <c r="AT617" s="104"/>
      <c r="AU617" s="104"/>
      <c r="AV617" s="104"/>
      <c r="AW617" s="104"/>
      <c r="AX617" s="104"/>
      <c r="AY617" s="104"/>
      <c r="AZ617" s="104"/>
      <c r="BA617" s="104"/>
      <c r="BB617" s="104"/>
      <c r="BC617" s="104"/>
      <c r="BD617" s="104"/>
      <c r="BE617" s="104"/>
      <c r="BF617" s="104"/>
      <c r="BG617" s="104"/>
      <c r="BH617" s="104"/>
      <c r="BI617" s="104"/>
      <c r="BJ617" s="104"/>
      <c r="BK617" s="104"/>
      <c r="BL617" s="104"/>
      <c r="BM617" s="104"/>
      <c r="BN617" s="104"/>
    </row>
    <row r="618">
      <c r="A618" s="104"/>
      <c r="B618" s="104"/>
      <c r="C618" s="104"/>
      <c r="D618" s="104"/>
      <c r="E618" s="104"/>
      <c r="F618" s="104"/>
      <c r="G618" s="104"/>
      <c r="H618" s="104"/>
      <c r="I618" s="104"/>
      <c r="J618" s="104"/>
      <c r="K618" s="105"/>
      <c r="L618" s="106"/>
      <c r="M618" s="104"/>
      <c r="N618" s="104"/>
      <c r="O618" s="104"/>
      <c r="P618" s="104"/>
      <c r="Q618" s="104"/>
      <c r="R618" s="106"/>
      <c r="S618" s="104"/>
      <c r="T618" s="104"/>
      <c r="U618" s="104"/>
      <c r="V618" s="104"/>
      <c r="W618" s="105"/>
      <c r="X618" s="104"/>
      <c r="Y618" s="104"/>
      <c r="Z618" s="104"/>
      <c r="AA618" s="104"/>
      <c r="AB618" s="104"/>
      <c r="AC618" s="104"/>
      <c r="AD618" s="104"/>
      <c r="AE618" s="104"/>
      <c r="AF618" s="104"/>
      <c r="AG618" s="104"/>
      <c r="AH618" s="104"/>
      <c r="AI618" s="104"/>
      <c r="AJ618" s="104"/>
      <c r="AK618" s="104"/>
      <c r="AL618" s="104"/>
      <c r="AM618" s="104"/>
      <c r="AN618" s="104"/>
      <c r="AO618" s="104"/>
      <c r="AP618" s="104"/>
      <c r="AQ618" s="104"/>
      <c r="AR618" s="104"/>
      <c r="AS618" s="104"/>
      <c r="AT618" s="104"/>
      <c r="AU618" s="104"/>
      <c r="AV618" s="104"/>
      <c r="AW618" s="104"/>
      <c r="AX618" s="104"/>
      <c r="AY618" s="104"/>
      <c r="AZ618" s="104"/>
      <c r="BA618" s="104"/>
      <c r="BB618" s="104"/>
      <c r="BC618" s="104"/>
      <c r="BD618" s="104"/>
      <c r="BE618" s="104"/>
      <c r="BF618" s="104"/>
      <c r="BG618" s="104"/>
      <c r="BH618" s="104"/>
      <c r="BI618" s="104"/>
      <c r="BJ618" s="104"/>
      <c r="BK618" s="104"/>
      <c r="BL618" s="104"/>
      <c r="BM618" s="104"/>
      <c r="BN618" s="104"/>
    </row>
    <row r="619">
      <c r="A619" s="104"/>
      <c r="B619" s="104"/>
      <c r="C619" s="104"/>
      <c r="D619" s="104"/>
      <c r="E619" s="104"/>
      <c r="F619" s="104"/>
      <c r="G619" s="104"/>
      <c r="H619" s="104"/>
      <c r="I619" s="104"/>
      <c r="J619" s="104"/>
      <c r="K619" s="105"/>
      <c r="L619" s="106"/>
      <c r="M619" s="104"/>
      <c r="N619" s="104"/>
      <c r="O619" s="104"/>
      <c r="P619" s="104"/>
      <c r="Q619" s="104"/>
      <c r="R619" s="106"/>
      <c r="S619" s="104"/>
      <c r="T619" s="104"/>
      <c r="U619" s="104"/>
      <c r="V619" s="104"/>
      <c r="W619" s="105"/>
      <c r="X619" s="104"/>
      <c r="Y619" s="104"/>
      <c r="Z619" s="104"/>
      <c r="AA619" s="104"/>
      <c r="AB619" s="104"/>
      <c r="AC619" s="104"/>
      <c r="AD619" s="104"/>
      <c r="AE619" s="104"/>
      <c r="AF619" s="104"/>
      <c r="AG619" s="104"/>
      <c r="AH619" s="104"/>
      <c r="AI619" s="104"/>
      <c r="AJ619" s="104"/>
      <c r="AK619" s="104"/>
      <c r="AL619" s="104"/>
      <c r="AM619" s="104"/>
      <c r="AN619" s="104"/>
      <c r="AO619" s="104"/>
      <c r="AP619" s="104"/>
      <c r="AQ619" s="104"/>
      <c r="AR619" s="104"/>
      <c r="AS619" s="104"/>
      <c r="AT619" s="104"/>
      <c r="AU619" s="104"/>
      <c r="AV619" s="104"/>
      <c r="AW619" s="104"/>
      <c r="AX619" s="104"/>
      <c r="AY619" s="104"/>
      <c r="AZ619" s="104"/>
      <c r="BA619" s="104"/>
      <c r="BB619" s="104"/>
      <c r="BC619" s="104"/>
      <c r="BD619" s="104"/>
      <c r="BE619" s="104"/>
      <c r="BF619" s="104"/>
      <c r="BG619" s="104"/>
      <c r="BH619" s="104"/>
      <c r="BI619" s="104"/>
      <c r="BJ619" s="104"/>
      <c r="BK619" s="104"/>
      <c r="BL619" s="104"/>
      <c r="BM619" s="104"/>
      <c r="BN619" s="104"/>
    </row>
    <row r="620">
      <c r="A620" s="104"/>
      <c r="B620" s="104"/>
      <c r="C620" s="104"/>
      <c r="D620" s="104"/>
      <c r="E620" s="104"/>
      <c r="F620" s="104"/>
      <c r="G620" s="104"/>
      <c r="H620" s="104"/>
      <c r="I620" s="104"/>
      <c r="J620" s="104"/>
      <c r="K620" s="105"/>
      <c r="L620" s="106"/>
      <c r="M620" s="104"/>
      <c r="N620" s="104"/>
      <c r="O620" s="104"/>
      <c r="P620" s="104"/>
      <c r="Q620" s="104"/>
      <c r="R620" s="106"/>
      <c r="S620" s="104"/>
      <c r="T620" s="104"/>
      <c r="U620" s="104"/>
      <c r="V620" s="104"/>
      <c r="W620" s="105"/>
      <c r="X620" s="104"/>
      <c r="Y620" s="104"/>
      <c r="Z620" s="104"/>
      <c r="AA620" s="104"/>
      <c r="AB620" s="104"/>
      <c r="AC620" s="104"/>
      <c r="AD620" s="104"/>
      <c r="AE620" s="104"/>
      <c r="AF620" s="104"/>
      <c r="AG620" s="104"/>
      <c r="AH620" s="104"/>
      <c r="AI620" s="104"/>
      <c r="AJ620" s="104"/>
      <c r="AK620" s="104"/>
      <c r="AL620" s="104"/>
      <c r="AM620" s="104"/>
      <c r="AN620" s="104"/>
      <c r="AO620" s="104"/>
      <c r="AP620" s="104"/>
      <c r="AQ620" s="104"/>
      <c r="AR620" s="104"/>
      <c r="AS620" s="104"/>
      <c r="AT620" s="104"/>
      <c r="AU620" s="104"/>
      <c r="AV620" s="104"/>
      <c r="AW620" s="104"/>
      <c r="AX620" s="104"/>
      <c r="AY620" s="104"/>
      <c r="AZ620" s="104"/>
      <c r="BA620" s="104"/>
      <c r="BB620" s="104"/>
      <c r="BC620" s="104"/>
      <c r="BD620" s="104"/>
      <c r="BE620" s="104"/>
      <c r="BF620" s="104"/>
      <c r="BG620" s="104"/>
      <c r="BH620" s="104"/>
      <c r="BI620" s="104"/>
      <c r="BJ620" s="104"/>
      <c r="BK620" s="104"/>
      <c r="BL620" s="104"/>
      <c r="BM620" s="104"/>
      <c r="BN620" s="104"/>
    </row>
    <row r="621">
      <c r="A621" s="104"/>
      <c r="B621" s="104"/>
      <c r="C621" s="104"/>
      <c r="D621" s="104"/>
      <c r="E621" s="104"/>
      <c r="F621" s="104"/>
      <c r="G621" s="104"/>
      <c r="H621" s="104"/>
      <c r="I621" s="104"/>
      <c r="J621" s="104"/>
      <c r="K621" s="105"/>
      <c r="L621" s="106"/>
      <c r="M621" s="104"/>
      <c r="N621" s="104"/>
      <c r="O621" s="104"/>
      <c r="P621" s="104"/>
      <c r="Q621" s="104"/>
      <c r="R621" s="106"/>
      <c r="S621" s="104"/>
      <c r="T621" s="104"/>
      <c r="U621" s="104"/>
      <c r="V621" s="104"/>
      <c r="W621" s="105"/>
      <c r="X621" s="104"/>
      <c r="Y621" s="104"/>
      <c r="Z621" s="104"/>
      <c r="AA621" s="104"/>
      <c r="AB621" s="104"/>
      <c r="AC621" s="104"/>
      <c r="AD621" s="104"/>
      <c r="AE621" s="104"/>
      <c r="AF621" s="104"/>
      <c r="AG621" s="104"/>
      <c r="AH621" s="104"/>
      <c r="AI621" s="104"/>
      <c r="AJ621" s="104"/>
      <c r="AK621" s="104"/>
      <c r="AL621" s="104"/>
      <c r="AM621" s="104"/>
      <c r="AN621" s="104"/>
      <c r="AO621" s="104"/>
      <c r="AP621" s="104"/>
      <c r="AQ621" s="104"/>
      <c r="AR621" s="104"/>
      <c r="AS621" s="104"/>
      <c r="AT621" s="104"/>
      <c r="AU621" s="104"/>
      <c r="AV621" s="104"/>
      <c r="AW621" s="104"/>
      <c r="AX621" s="104"/>
      <c r="AY621" s="104"/>
      <c r="AZ621" s="104"/>
      <c r="BA621" s="104"/>
      <c r="BB621" s="104"/>
      <c r="BC621" s="104"/>
      <c r="BD621" s="104"/>
      <c r="BE621" s="104"/>
      <c r="BF621" s="104"/>
      <c r="BG621" s="104"/>
      <c r="BH621" s="104"/>
      <c r="BI621" s="104"/>
      <c r="BJ621" s="104"/>
      <c r="BK621" s="104"/>
      <c r="BL621" s="104"/>
      <c r="BM621" s="104"/>
      <c r="BN621" s="104"/>
    </row>
    <row r="622">
      <c r="A622" s="104"/>
      <c r="B622" s="104"/>
      <c r="C622" s="104"/>
      <c r="D622" s="104"/>
      <c r="E622" s="104"/>
      <c r="F622" s="104"/>
      <c r="G622" s="104"/>
      <c r="H622" s="104"/>
      <c r="I622" s="104"/>
      <c r="J622" s="104"/>
      <c r="K622" s="105"/>
      <c r="L622" s="106"/>
      <c r="M622" s="104"/>
      <c r="N622" s="104"/>
      <c r="O622" s="104"/>
      <c r="P622" s="104"/>
      <c r="Q622" s="104"/>
      <c r="R622" s="106"/>
      <c r="S622" s="104"/>
      <c r="T622" s="104"/>
      <c r="U622" s="104"/>
      <c r="V622" s="104"/>
      <c r="W622" s="105"/>
      <c r="X622" s="104"/>
      <c r="Y622" s="104"/>
      <c r="Z622" s="104"/>
      <c r="AA622" s="104"/>
      <c r="AB622" s="104"/>
      <c r="AC622" s="104"/>
      <c r="AD622" s="104"/>
      <c r="AE622" s="104"/>
      <c r="AF622" s="104"/>
      <c r="AG622" s="104"/>
      <c r="AH622" s="104"/>
      <c r="AI622" s="104"/>
      <c r="AJ622" s="104"/>
      <c r="AK622" s="104"/>
      <c r="AL622" s="104"/>
      <c r="AM622" s="104"/>
      <c r="AN622" s="104"/>
      <c r="AO622" s="104"/>
      <c r="AP622" s="104"/>
      <c r="AQ622" s="104"/>
      <c r="AR622" s="104"/>
      <c r="AS622" s="104"/>
      <c r="AT622" s="104"/>
      <c r="AU622" s="104"/>
      <c r="AV622" s="104"/>
      <c r="AW622" s="104"/>
      <c r="AX622" s="104"/>
      <c r="AY622" s="104"/>
      <c r="AZ622" s="104"/>
      <c r="BA622" s="104"/>
      <c r="BB622" s="104"/>
      <c r="BC622" s="104"/>
      <c r="BD622" s="104"/>
      <c r="BE622" s="104"/>
      <c r="BF622" s="104"/>
      <c r="BG622" s="104"/>
      <c r="BH622" s="104"/>
      <c r="BI622" s="104"/>
      <c r="BJ622" s="104"/>
      <c r="BK622" s="104"/>
      <c r="BL622" s="104"/>
      <c r="BM622" s="104"/>
      <c r="BN622" s="104"/>
    </row>
    <row r="623">
      <c r="A623" s="104"/>
      <c r="B623" s="104"/>
      <c r="C623" s="104"/>
      <c r="D623" s="104"/>
      <c r="E623" s="104"/>
      <c r="F623" s="104"/>
      <c r="G623" s="104"/>
      <c r="H623" s="104"/>
      <c r="I623" s="104"/>
      <c r="J623" s="104"/>
      <c r="K623" s="105"/>
      <c r="L623" s="106"/>
      <c r="M623" s="104"/>
      <c r="N623" s="104"/>
      <c r="O623" s="104"/>
      <c r="P623" s="104"/>
      <c r="Q623" s="104"/>
      <c r="R623" s="106"/>
      <c r="S623" s="104"/>
      <c r="T623" s="104"/>
      <c r="U623" s="104"/>
      <c r="V623" s="104"/>
      <c r="W623" s="105"/>
      <c r="X623" s="104"/>
      <c r="Y623" s="104"/>
      <c r="Z623" s="104"/>
      <c r="AA623" s="104"/>
      <c r="AB623" s="104"/>
      <c r="AC623" s="104"/>
      <c r="AD623" s="104"/>
      <c r="AE623" s="104"/>
      <c r="AF623" s="104"/>
      <c r="AG623" s="104"/>
      <c r="AH623" s="104"/>
      <c r="AI623" s="104"/>
      <c r="AJ623" s="104"/>
      <c r="AK623" s="104"/>
      <c r="AL623" s="104"/>
      <c r="AM623" s="104"/>
      <c r="AN623" s="104"/>
      <c r="AO623" s="104"/>
      <c r="AP623" s="104"/>
      <c r="AQ623" s="104"/>
      <c r="AR623" s="104"/>
      <c r="AS623" s="104"/>
      <c r="AT623" s="104"/>
      <c r="AU623" s="104"/>
      <c r="AV623" s="104"/>
      <c r="AW623" s="104"/>
      <c r="AX623" s="104"/>
      <c r="AY623" s="104"/>
      <c r="AZ623" s="104"/>
      <c r="BA623" s="104"/>
      <c r="BB623" s="104"/>
      <c r="BC623" s="104"/>
      <c r="BD623" s="104"/>
      <c r="BE623" s="104"/>
      <c r="BF623" s="104"/>
      <c r="BG623" s="104"/>
      <c r="BH623" s="104"/>
      <c r="BI623" s="104"/>
      <c r="BJ623" s="104"/>
      <c r="BK623" s="104"/>
      <c r="BL623" s="104"/>
      <c r="BM623" s="104"/>
      <c r="BN623" s="104"/>
    </row>
    <row r="624">
      <c r="A624" s="104"/>
      <c r="B624" s="104"/>
      <c r="C624" s="104"/>
      <c r="D624" s="104"/>
      <c r="E624" s="104"/>
      <c r="F624" s="104"/>
      <c r="G624" s="104"/>
      <c r="H624" s="104"/>
      <c r="I624" s="104"/>
      <c r="J624" s="104"/>
      <c r="K624" s="105"/>
      <c r="L624" s="106"/>
      <c r="M624" s="104"/>
      <c r="N624" s="104"/>
      <c r="O624" s="104"/>
      <c r="P624" s="104"/>
      <c r="Q624" s="104"/>
      <c r="R624" s="106"/>
      <c r="S624" s="104"/>
      <c r="T624" s="104"/>
      <c r="U624" s="104"/>
      <c r="V624" s="104"/>
      <c r="W624" s="105"/>
      <c r="X624" s="104"/>
      <c r="Y624" s="104"/>
      <c r="Z624" s="104"/>
      <c r="AA624" s="104"/>
      <c r="AB624" s="104"/>
      <c r="AC624" s="104"/>
      <c r="AD624" s="104"/>
      <c r="AE624" s="104"/>
      <c r="AF624" s="104"/>
      <c r="AG624" s="104"/>
      <c r="AH624" s="104"/>
      <c r="AI624" s="104"/>
      <c r="AJ624" s="104"/>
      <c r="AK624" s="104"/>
      <c r="AL624" s="104"/>
      <c r="AM624" s="104"/>
      <c r="AN624" s="104"/>
      <c r="AO624" s="104"/>
      <c r="AP624" s="104"/>
      <c r="AQ624" s="104"/>
      <c r="AR624" s="104"/>
      <c r="AS624" s="104"/>
      <c r="AT624" s="104"/>
      <c r="AU624" s="104"/>
      <c r="AV624" s="104"/>
      <c r="AW624" s="104"/>
      <c r="AX624" s="104"/>
      <c r="AY624" s="104"/>
      <c r="AZ624" s="104"/>
      <c r="BA624" s="104"/>
      <c r="BB624" s="104"/>
      <c r="BC624" s="104"/>
      <c r="BD624" s="104"/>
      <c r="BE624" s="104"/>
      <c r="BF624" s="104"/>
      <c r="BG624" s="104"/>
      <c r="BH624" s="104"/>
      <c r="BI624" s="104"/>
      <c r="BJ624" s="104"/>
      <c r="BK624" s="104"/>
      <c r="BL624" s="104"/>
      <c r="BM624" s="104"/>
      <c r="BN624" s="104"/>
    </row>
    <row r="625">
      <c r="A625" s="104"/>
      <c r="B625" s="104"/>
      <c r="C625" s="104"/>
      <c r="D625" s="104"/>
      <c r="E625" s="104"/>
      <c r="F625" s="104"/>
      <c r="G625" s="104"/>
      <c r="H625" s="104"/>
      <c r="I625" s="104"/>
      <c r="J625" s="104"/>
      <c r="K625" s="105"/>
      <c r="L625" s="106"/>
      <c r="M625" s="104"/>
      <c r="N625" s="104"/>
      <c r="O625" s="104"/>
      <c r="P625" s="104"/>
      <c r="Q625" s="104"/>
      <c r="R625" s="106"/>
      <c r="S625" s="104"/>
      <c r="T625" s="104"/>
      <c r="U625" s="104"/>
      <c r="V625" s="104"/>
      <c r="W625" s="105"/>
      <c r="X625" s="104"/>
      <c r="Y625" s="104"/>
      <c r="Z625" s="104"/>
      <c r="AA625" s="104"/>
      <c r="AB625" s="104"/>
      <c r="AC625" s="104"/>
      <c r="AD625" s="104"/>
      <c r="AE625" s="104"/>
      <c r="AF625" s="104"/>
      <c r="AG625" s="104"/>
      <c r="AH625" s="104"/>
      <c r="AI625" s="104"/>
      <c r="AJ625" s="104"/>
      <c r="AK625" s="104"/>
      <c r="AL625" s="104"/>
      <c r="AM625" s="104"/>
      <c r="AN625" s="104"/>
      <c r="AO625" s="104"/>
      <c r="AP625" s="104"/>
      <c r="AQ625" s="104"/>
      <c r="AR625" s="104"/>
      <c r="AS625" s="104"/>
      <c r="AT625" s="104"/>
      <c r="AU625" s="104"/>
      <c r="AV625" s="104"/>
      <c r="AW625" s="104"/>
      <c r="AX625" s="104"/>
      <c r="AY625" s="104"/>
      <c r="AZ625" s="104"/>
      <c r="BA625" s="104"/>
      <c r="BB625" s="104"/>
      <c r="BC625" s="104"/>
      <c r="BD625" s="104"/>
      <c r="BE625" s="104"/>
      <c r="BF625" s="104"/>
      <c r="BG625" s="104"/>
      <c r="BH625" s="104"/>
      <c r="BI625" s="104"/>
      <c r="BJ625" s="104"/>
      <c r="BK625" s="104"/>
      <c r="BL625" s="104"/>
      <c r="BM625" s="104"/>
      <c r="BN625" s="104"/>
    </row>
    <row r="626">
      <c r="A626" s="104"/>
      <c r="B626" s="104"/>
      <c r="C626" s="104"/>
      <c r="D626" s="104"/>
      <c r="E626" s="104"/>
      <c r="F626" s="104"/>
      <c r="G626" s="104"/>
      <c r="H626" s="104"/>
      <c r="I626" s="104"/>
      <c r="J626" s="104"/>
      <c r="K626" s="105"/>
      <c r="L626" s="106"/>
      <c r="M626" s="104"/>
      <c r="N626" s="104"/>
      <c r="O626" s="104"/>
      <c r="P626" s="104"/>
      <c r="Q626" s="104"/>
      <c r="R626" s="106"/>
      <c r="S626" s="104"/>
      <c r="T626" s="104"/>
      <c r="U626" s="104"/>
      <c r="V626" s="104"/>
      <c r="W626" s="105"/>
      <c r="X626" s="104"/>
      <c r="Y626" s="104"/>
      <c r="Z626" s="104"/>
      <c r="AA626" s="104"/>
      <c r="AB626" s="104"/>
      <c r="AC626" s="104"/>
      <c r="AD626" s="104"/>
      <c r="AE626" s="104"/>
      <c r="AF626" s="104"/>
      <c r="AG626" s="104"/>
      <c r="AH626" s="104"/>
      <c r="AI626" s="104"/>
      <c r="AJ626" s="104"/>
      <c r="AK626" s="104"/>
      <c r="AL626" s="104"/>
      <c r="AM626" s="104"/>
      <c r="AN626" s="104"/>
      <c r="AO626" s="104"/>
      <c r="AP626" s="104"/>
      <c r="AQ626" s="104"/>
      <c r="AR626" s="104"/>
      <c r="AS626" s="104"/>
      <c r="AT626" s="104"/>
      <c r="AU626" s="104"/>
      <c r="AV626" s="104"/>
      <c r="AW626" s="104"/>
      <c r="AX626" s="104"/>
      <c r="AY626" s="104"/>
      <c r="AZ626" s="104"/>
      <c r="BA626" s="104"/>
      <c r="BB626" s="104"/>
      <c r="BC626" s="104"/>
      <c r="BD626" s="104"/>
      <c r="BE626" s="104"/>
      <c r="BF626" s="104"/>
      <c r="BG626" s="104"/>
      <c r="BH626" s="104"/>
      <c r="BI626" s="104"/>
      <c r="BJ626" s="104"/>
      <c r="BK626" s="104"/>
      <c r="BL626" s="104"/>
      <c r="BM626" s="104"/>
      <c r="BN626" s="104"/>
    </row>
    <row r="627">
      <c r="A627" s="104"/>
      <c r="B627" s="104"/>
      <c r="C627" s="104"/>
      <c r="D627" s="104"/>
      <c r="E627" s="104"/>
      <c r="F627" s="104"/>
      <c r="G627" s="104"/>
      <c r="H627" s="104"/>
      <c r="I627" s="104"/>
      <c r="J627" s="104"/>
      <c r="K627" s="105"/>
      <c r="L627" s="106"/>
      <c r="M627" s="104"/>
      <c r="N627" s="104"/>
      <c r="O627" s="104"/>
      <c r="P627" s="104"/>
      <c r="Q627" s="104"/>
      <c r="R627" s="106"/>
      <c r="S627" s="104"/>
      <c r="T627" s="104"/>
      <c r="U627" s="104"/>
      <c r="V627" s="104"/>
      <c r="W627" s="105"/>
      <c r="X627" s="104"/>
      <c r="Y627" s="104"/>
      <c r="Z627" s="104"/>
      <c r="AA627" s="104"/>
      <c r="AB627" s="104"/>
      <c r="AC627" s="104"/>
      <c r="AD627" s="104"/>
      <c r="AE627" s="104"/>
      <c r="AF627" s="104"/>
      <c r="AG627" s="104"/>
      <c r="AH627" s="104"/>
      <c r="AI627" s="104"/>
      <c r="AJ627" s="104"/>
      <c r="AK627" s="104"/>
      <c r="AL627" s="104"/>
      <c r="AM627" s="104"/>
      <c r="AN627" s="104"/>
      <c r="AO627" s="104"/>
      <c r="AP627" s="104"/>
      <c r="AQ627" s="104"/>
      <c r="AR627" s="104"/>
      <c r="AS627" s="104"/>
      <c r="AT627" s="104"/>
      <c r="AU627" s="104"/>
      <c r="AV627" s="104"/>
      <c r="AW627" s="104"/>
      <c r="AX627" s="104"/>
      <c r="AY627" s="104"/>
      <c r="AZ627" s="104"/>
      <c r="BA627" s="104"/>
      <c r="BB627" s="104"/>
      <c r="BC627" s="104"/>
      <c r="BD627" s="104"/>
      <c r="BE627" s="104"/>
      <c r="BF627" s="104"/>
      <c r="BG627" s="104"/>
      <c r="BH627" s="104"/>
      <c r="BI627" s="104"/>
      <c r="BJ627" s="104"/>
      <c r="BK627" s="104"/>
      <c r="BL627" s="104"/>
      <c r="BM627" s="104"/>
      <c r="BN627" s="104"/>
    </row>
    <row r="628">
      <c r="A628" s="104"/>
      <c r="B628" s="104"/>
      <c r="C628" s="104"/>
      <c r="D628" s="104"/>
      <c r="E628" s="104"/>
      <c r="F628" s="104"/>
      <c r="G628" s="104"/>
      <c r="H628" s="104"/>
      <c r="I628" s="104"/>
      <c r="J628" s="104"/>
      <c r="K628" s="105"/>
      <c r="L628" s="106"/>
      <c r="M628" s="104"/>
      <c r="N628" s="104"/>
      <c r="O628" s="104"/>
      <c r="P628" s="104"/>
      <c r="Q628" s="104"/>
      <c r="R628" s="106"/>
      <c r="S628" s="104"/>
      <c r="T628" s="104"/>
      <c r="U628" s="104"/>
      <c r="V628" s="104"/>
      <c r="W628" s="105"/>
      <c r="X628" s="104"/>
      <c r="Y628" s="104"/>
      <c r="Z628" s="104"/>
      <c r="AA628" s="104"/>
      <c r="AB628" s="104"/>
      <c r="AC628" s="104"/>
      <c r="AD628" s="104"/>
      <c r="AE628" s="104"/>
      <c r="AF628" s="104"/>
      <c r="AG628" s="104"/>
      <c r="AH628" s="104"/>
      <c r="AI628" s="104"/>
      <c r="AJ628" s="104"/>
      <c r="AK628" s="104"/>
      <c r="AL628" s="104"/>
      <c r="AM628" s="104"/>
      <c r="AN628" s="104"/>
      <c r="AO628" s="104"/>
      <c r="AP628" s="104"/>
      <c r="AQ628" s="104"/>
      <c r="AR628" s="104"/>
      <c r="AS628" s="104"/>
      <c r="AT628" s="104"/>
      <c r="AU628" s="104"/>
      <c r="AV628" s="104"/>
      <c r="AW628" s="104"/>
      <c r="AX628" s="104"/>
      <c r="AY628" s="104"/>
      <c r="AZ628" s="104"/>
      <c r="BA628" s="104"/>
      <c r="BB628" s="104"/>
      <c r="BC628" s="104"/>
      <c r="BD628" s="104"/>
      <c r="BE628" s="104"/>
      <c r="BF628" s="104"/>
      <c r="BG628" s="104"/>
      <c r="BH628" s="104"/>
      <c r="BI628" s="104"/>
      <c r="BJ628" s="104"/>
      <c r="BK628" s="104"/>
      <c r="BL628" s="104"/>
      <c r="BM628" s="104"/>
      <c r="BN628" s="104"/>
    </row>
    <row r="629">
      <c r="A629" s="104"/>
      <c r="B629" s="104"/>
      <c r="C629" s="104"/>
      <c r="D629" s="104"/>
      <c r="E629" s="104"/>
      <c r="F629" s="104"/>
      <c r="G629" s="104"/>
      <c r="H629" s="104"/>
      <c r="I629" s="104"/>
      <c r="J629" s="104"/>
      <c r="K629" s="105"/>
      <c r="L629" s="106"/>
      <c r="M629" s="104"/>
      <c r="N629" s="104"/>
      <c r="O629" s="104"/>
      <c r="P629" s="104"/>
      <c r="Q629" s="104"/>
      <c r="R629" s="106"/>
      <c r="S629" s="104"/>
      <c r="T629" s="104"/>
      <c r="U629" s="104"/>
      <c r="V629" s="104"/>
      <c r="W629" s="105"/>
      <c r="X629" s="104"/>
      <c r="Y629" s="104"/>
      <c r="Z629" s="104"/>
      <c r="AA629" s="104"/>
      <c r="AB629" s="104"/>
      <c r="AC629" s="104"/>
      <c r="AD629" s="104"/>
      <c r="AE629" s="104"/>
      <c r="AF629" s="104"/>
      <c r="AG629" s="104"/>
      <c r="AH629" s="104"/>
      <c r="AI629" s="104"/>
      <c r="AJ629" s="104"/>
      <c r="AK629" s="104"/>
      <c r="AL629" s="104"/>
      <c r="AM629" s="104"/>
      <c r="AN629" s="104"/>
      <c r="AO629" s="104"/>
      <c r="AP629" s="104"/>
      <c r="AQ629" s="104"/>
      <c r="AR629" s="104"/>
      <c r="AS629" s="104"/>
      <c r="AT629" s="104"/>
      <c r="AU629" s="104"/>
      <c r="AV629" s="104"/>
      <c r="AW629" s="104"/>
      <c r="AX629" s="104"/>
      <c r="AY629" s="104"/>
      <c r="AZ629" s="104"/>
      <c r="BA629" s="104"/>
      <c r="BB629" s="104"/>
      <c r="BC629" s="104"/>
      <c r="BD629" s="104"/>
      <c r="BE629" s="104"/>
      <c r="BF629" s="104"/>
      <c r="BG629" s="104"/>
      <c r="BH629" s="104"/>
      <c r="BI629" s="104"/>
      <c r="BJ629" s="104"/>
      <c r="BK629" s="104"/>
      <c r="BL629" s="104"/>
      <c r="BM629" s="104"/>
      <c r="BN629" s="104"/>
    </row>
    <row r="630">
      <c r="A630" s="104"/>
      <c r="B630" s="104"/>
      <c r="C630" s="104"/>
      <c r="D630" s="104"/>
      <c r="E630" s="104"/>
      <c r="F630" s="104"/>
      <c r="G630" s="104"/>
      <c r="H630" s="104"/>
      <c r="I630" s="104"/>
      <c r="J630" s="104"/>
      <c r="K630" s="105"/>
      <c r="L630" s="106"/>
      <c r="M630" s="104"/>
      <c r="N630" s="104"/>
      <c r="O630" s="104"/>
      <c r="P630" s="104"/>
      <c r="Q630" s="104"/>
      <c r="R630" s="106"/>
      <c r="S630" s="104"/>
      <c r="T630" s="104"/>
      <c r="U630" s="104"/>
      <c r="V630" s="104"/>
      <c r="W630" s="105"/>
      <c r="X630" s="104"/>
      <c r="Y630" s="104"/>
      <c r="Z630" s="104"/>
      <c r="AA630" s="104"/>
      <c r="AB630" s="104"/>
      <c r="AC630" s="104"/>
      <c r="AD630" s="104"/>
      <c r="AE630" s="104"/>
      <c r="AF630" s="104"/>
      <c r="AG630" s="104"/>
      <c r="AH630" s="104"/>
      <c r="AI630" s="104"/>
      <c r="AJ630" s="104"/>
      <c r="AK630" s="104"/>
      <c r="AL630" s="104"/>
      <c r="AM630" s="104"/>
      <c r="AN630" s="104"/>
      <c r="AO630" s="104"/>
      <c r="AP630" s="104"/>
      <c r="AQ630" s="104"/>
      <c r="AR630" s="104"/>
      <c r="AS630" s="104"/>
      <c r="AT630" s="104"/>
      <c r="AU630" s="104"/>
      <c r="AV630" s="104"/>
      <c r="AW630" s="104"/>
      <c r="AX630" s="104"/>
      <c r="AY630" s="104"/>
      <c r="AZ630" s="104"/>
      <c r="BA630" s="104"/>
      <c r="BB630" s="104"/>
      <c r="BC630" s="104"/>
      <c r="BD630" s="104"/>
      <c r="BE630" s="104"/>
      <c r="BF630" s="104"/>
      <c r="BG630" s="104"/>
      <c r="BH630" s="104"/>
      <c r="BI630" s="104"/>
      <c r="BJ630" s="104"/>
      <c r="BK630" s="104"/>
      <c r="BL630" s="104"/>
      <c r="BM630" s="104"/>
      <c r="BN630" s="104"/>
    </row>
    <row r="631">
      <c r="A631" s="104"/>
      <c r="B631" s="104"/>
      <c r="C631" s="104"/>
      <c r="D631" s="104"/>
      <c r="E631" s="104"/>
      <c r="F631" s="104"/>
      <c r="G631" s="104"/>
      <c r="H631" s="104"/>
      <c r="I631" s="104"/>
      <c r="J631" s="104"/>
      <c r="K631" s="105"/>
      <c r="L631" s="106"/>
      <c r="M631" s="104"/>
      <c r="N631" s="104"/>
      <c r="O631" s="104"/>
      <c r="P631" s="104"/>
      <c r="Q631" s="104"/>
      <c r="R631" s="106"/>
      <c r="S631" s="104"/>
      <c r="T631" s="104"/>
      <c r="U631" s="104"/>
      <c r="V631" s="104"/>
      <c r="W631" s="105"/>
      <c r="X631" s="104"/>
      <c r="Y631" s="104"/>
      <c r="Z631" s="104"/>
      <c r="AA631" s="104"/>
      <c r="AB631" s="104"/>
      <c r="AC631" s="104"/>
      <c r="AD631" s="104"/>
      <c r="AE631" s="104"/>
      <c r="AF631" s="104"/>
      <c r="AG631" s="104"/>
      <c r="AH631" s="104"/>
      <c r="AI631" s="104"/>
      <c r="AJ631" s="104"/>
      <c r="AK631" s="104"/>
      <c r="AL631" s="104"/>
      <c r="AM631" s="104"/>
      <c r="AN631" s="104"/>
      <c r="AO631" s="104"/>
      <c r="AP631" s="104"/>
      <c r="AQ631" s="104"/>
      <c r="AR631" s="104"/>
      <c r="AS631" s="104"/>
      <c r="AT631" s="104"/>
      <c r="AU631" s="104"/>
      <c r="AV631" s="104"/>
      <c r="AW631" s="104"/>
      <c r="AX631" s="104"/>
      <c r="AY631" s="104"/>
      <c r="AZ631" s="104"/>
      <c r="BA631" s="104"/>
      <c r="BB631" s="104"/>
      <c r="BC631" s="104"/>
      <c r="BD631" s="104"/>
      <c r="BE631" s="104"/>
      <c r="BF631" s="104"/>
      <c r="BG631" s="104"/>
      <c r="BH631" s="104"/>
      <c r="BI631" s="104"/>
      <c r="BJ631" s="104"/>
      <c r="BK631" s="104"/>
      <c r="BL631" s="104"/>
      <c r="BM631" s="104"/>
      <c r="BN631" s="104"/>
    </row>
    <row r="632">
      <c r="A632" s="104"/>
      <c r="B632" s="104"/>
      <c r="C632" s="104"/>
      <c r="D632" s="104"/>
      <c r="E632" s="104"/>
      <c r="F632" s="104"/>
      <c r="G632" s="104"/>
      <c r="H632" s="104"/>
      <c r="I632" s="104"/>
      <c r="J632" s="104"/>
      <c r="K632" s="105"/>
      <c r="L632" s="106"/>
      <c r="M632" s="104"/>
      <c r="N632" s="104"/>
      <c r="O632" s="104"/>
      <c r="P632" s="104"/>
      <c r="Q632" s="104"/>
      <c r="R632" s="106"/>
      <c r="S632" s="104"/>
      <c r="T632" s="104"/>
      <c r="U632" s="104"/>
      <c r="V632" s="104"/>
      <c r="W632" s="105"/>
      <c r="X632" s="104"/>
      <c r="Y632" s="104"/>
      <c r="Z632" s="104"/>
      <c r="AA632" s="104"/>
      <c r="AB632" s="104"/>
      <c r="AC632" s="104"/>
      <c r="AD632" s="104"/>
      <c r="AE632" s="104"/>
      <c r="AF632" s="104"/>
      <c r="AG632" s="104"/>
      <c r="AH632" s="104"/>
      <c r="AI632" s="104"/>
      <c r="AJ632" s="104"/>
      <c r="AK632" s="104"/>
      <c r="AL632" s="104"/>
      <c r="AM632" s="104"/>
      <c r="AN632" s="104"/>
      <c r="AO632" s="104"/>
      <c r="AP632" s="104"/>
      <c r="AQ632" s="104"/>
      <c r="AR632" s="104"/>
      <c r="AS632" s="104"/>
      <c r="AT632" s="104"/>
      <c r="AU632" s="104"/>
      <c r="AV632" s="104"/>
      <c r="AW632" s="104"/>
      <c r="AX632" s="104"/>
      <c r="AY632" s="104"/>
      <c r="AZ632" s="104"/>
      <c r="BA632" s="104"/>
      <c r="BB632" s="104"/>
      <c r="BC632" s="104"/>
      <c r="BD632" s="104"/>
      <c r="BE632" s="104"/>
      <c r="BF632" s="104"/>
      <c r="BG632" s="104"/>
      <c r="BH632" s="104"/>
      <c r="BI632" s="104"/>
      <c r="BJ632" s="104"/>
      <c r="BK632" s="104"/>
      <c r="BL632" s="104"/>
      <c r="BM632" s="104"/>
      <c r="BN632" s="104"/>
    </row>
    <row r="633">
      <c r="A633" s="104"/>
      <c r="B633" s="104"/>
      <c r="C633" s="104"/>
      <c r="D633" s="104"/>
      <c r="E633" s="104"/>
      <c r="F633" s="104"/>
      <c r="G633" s="104"/>
      <c r="H633" s="104"/>
      <c r="I633" s="104"/>
      <c r="J633" s="104"/>
      <c r="K633" s="105"/>
      <c r="L633" s="106"/>
      <c r="M633" s="104"/>
      <c r="N633" s="104"/>
      <c r="O633" s="104"/>
      <c r="P633" s="104"/>
      <c r="Q633" s="104"/>
      <c r="R633" s="106"/>
      <c r="S633" s="104"/>
      <c r="T633" s="104"/>
      <c r="U633" s="104"/>
      <c r="V633" s="104"/>
      <c r="W633" s="105"/>
      <c r="X633" s="104"/>
      <c r="Y633" s="104"/>
      <c r="Z633" s="104"/>
      <c r="AA633" s="104"/>
      <c r="AB633" s="104"/>
      <c r="AC633" s="104"/>
      <c r="AD633" s="104"/>
      <c r="AE633" s="104"/>
      <c r="AF633" s="104"/>
      <c r="AG633" s="104"/>
      <c r="AH633" s="104"/>
      <c r="AI633" s="104"/>
      <c r="AJ633" s="104"/>
      <c r="AK633" s="104"/>
      <c r="AL633" s="104"/>
      <c r="AM633" s="104"/>
      <c r="AN633" s="104"/>
      <c r="AO633" s="104"/>
      <c r="AP633" s="104"/>
      <c r="AQ633" s="104"/>
      <c r="AR633" s="104"/>
      <c r="AS633" s="104"/>
      <c r="AT633" s="104"/>
      <c r="AU633" s="104"/>
      <c r="AV633" s="104"/>
      <c r="AW633" s="104"/>
      <c r="AX633" s="104"/>
      <c r="AY633" s="104"/>
      <c r="AZ633" s="104"/>
      <c r="BA633" s="104"/>
      <c r="BB633" s="104"/>
      <c r="BC633" s="104"/>
      <c r="BD633" s="104"/>
      <c r="BE633" s="104"/>
      <c r="BF633" s="104"/>
      <c r="BG633" s="104"/>
      <c r="BH633" s="104"/>
      <c r="BI633" s="104"/>
      <c r="BJ633" s="104"/>
      <c r="BK633" s="104"/>
      <c r="BL633" s="104"/>
      <c r="BM633" s="104"/>
      <c r="BN633" s="104"/>
    </row>
    <row r="634">
      <c r="A634" s="104"/>
      <c r="B634" s="104"/>
      <c r="C634" s="104"/>
      <c r="D634" s="104"/>
      <c r="E634" s="104"/>
      <c r="F634" s="104"/>
      <c r="G634" s="104"/>
      <c r="H634" s="104"/>
      <c r="I634" s="104"/>
      <c r="J634" s="104"/>
      <c r="K634" s="105"/>
      <c r="L634" s="106"/>
      <c r="M634" s="104"/>
      <c r="N634" s="104"/>
      <c r="O634" s="104"/>
      <c r="P634" s="104"/>
      <c r="Q634" s="104"/>
      <c r="R634" s="106"/>
      <c r="S634" s="104"/>
      <c r="T634" s="104"/>
      <c r="U634" s="104"/>
      <c r="V634" s="104"/>
      <c r="W634" s="105"/>
      <c r="X634" s="104"/>
      <c r="Y634" s="104"/>
      <c r="Z634" s="104"/>
      <c r="AA634" s="104"/>
      <c r="AB634" s="104"/>
      <c r="AC634" s="104"/>
      <c r="AD634" s="104"/>
      <c r="AE634" s="104"/>
      <c r="AF634" s="104"/>
      <c r="AG634" s="104"/>
      <c r="AH634" s="104"/>
      <c r="AI634" s="104"/>
      <c r="AJ634" s="104"/>
      <c r="AK634" s="104"/>
      <c r="AL634" s="104"/>
      <c r="AM634" s="104"/>
      <c r="AN634" s="104"/>
      <c r="AO634" s="104"/>
      <c r="AP634" s="104"/>
      <c r="AQ634" s="104"/>
      <c r="AR634" s="104"/>
      <c r="AS634" s="104"/>
      <c r="AT634" s="104"/>
      <c r="AU634" s="104"/>
      <c r="AV634" s="104"/>
      <c r="AW634" s="104"/>
      <c r="AX634" s="104"/>
      <c r="AY634" s="104"/>
      <c r="AZ634" s="104"/>
      <c r="BA634" s="104"/>
      <c r="BB634" s="104"/>
      <c r="BC634" s="104"/>
      <c r="BD634" s="104"/>
      <c r="BE634" s="104"/>
      <c r="BF634" s="104"/>
      <c r="BG634" s="104"/>
      <c r="BH634" s="104"/>
      <c r="BI634" s="104"/>
      <c r="BJ634" s="104"/>
      <c r="BK634" s="104"/>
      <c r="BL634" s="104"/>
      <c r="BM634" s="104"/>
      <c r="BN634" s="104"/>
    </row>
    <row r="635">
      <c r="A635" s="104"/>
      <c r="B635" s="104"/>
      <c r="C635" s="104"/>
      <c r="D635" s="104"/>
      <c r="E635" s="104"/>
      <c r="F635" s="104"/>
      <c r="G635" s="104"/>
      <c r="H635" s="104"/>
      <c r="I635" s="104"/>
      <c r="J635" s="104"/>
      <c r="K635" s="105"/>
      <c r="L635" s="106"/>
      <c r="M635" s="104"/>
      <c r="N635" s="104"/>
      <c r="O635" s="104"/>
      <c r="P635" s="104"/>
      <c r="Q635" s="104"/>
      <c r="R635" s="106"/>
      <c r="S635" s="104"/>
      <c r="T635" s="104"/>
      <c r="U635" s="104"/>
      <c r="V635" s="104"/>
      <c r="W635" s="105"/>
      <c r="X635" s="104"/>
      <c r="Y635" s="104"/>
      <c r="Z635" s="104"/>
      <c r="AA635" s="104"/>
      <c r="AB635" s="104"/>
      <c r="AC635" s="104"/>
      <c r="AD635" s="104"/>
      <c r="AE635" s="104"/>
      <c r="AF635" s="104"/>
      <c r="AG635" s="104"/>
      <c r="AH635" s="104"/>
      <c r="AI635" s="104"/>
      <c r="AJ635" s="104"/>
      <c r="AK635" s="104"/>
      <c r="AL635" s="104"/>
      <c r="AM635" s="104"/>
      <c r="AN635" s="104"/>
      <c r="AO635" s="104"/>
      <c r="AP635" s="104"/>
      <c r="AQ635" s="104"/>
      <c r="AR635" s="104"/>
      <c r="AS635" s="104"/>
      <c r="AT635" s="104"/>
      <c r="AU635" s="104"/>
      <c r="AV635" s="104"/>
      <c r="AW635" s="104"/>
      <c r="AX635" s="104"/>
      <c r="AY635" s="104"/>
      <c r="AZ635" s="104"/>
      <c r="BA635" s="104"/>
      <c r="BB635" s="104"/>
      <c r="BC635" s="104"/>
      <c r="BD635" s="104"/>
      <c r="BE635" s="104"/>
      <c r="BF635" s="104"/>
      <c r="BG635" s="104"/>
      <c r="BH635" s="104"/>
      <c r="BI635" s="104"/>
      <c r="BJ635" s="104"/>
      <c r="BK635" s="104"/>
      <c r="BL635" s="104"/>
      <c r="BM635" s="104"/>
      <c r="BN635" s="104"/>
    </row>
    <row r="636">
      <c r="A636" s="104"/>
      <c r="B636" s="104"/>
      <c r="C636" s="104"/>
      <c r="D636" s="104"/>
      <c r="E636" s="104"/>
      <c r="F636" s="104"/>
      <c r="G636" s="104"/>
      <c r="H636" s="104"/>
      <c r="I636" s="104"/>
      <c r="J636" s="104"/>
      <c r="K636" s="105"/>
      <c r="L636" s="106"/>
      <c r="M636" s="104"/>
      <c r="N636" s="104"/>
      <c r="O636" s="104"/>
      <c r="P636" s="104"/>
      <c r="Q636" s="104"/>
      <c r="R636" s="106"/>
      <c r="S636" s="104"/>
      <c r="T636" s="104"/>
      <c r="U636" s="104"/>
      <c r="V636" s="104"/>
      <c r="W636" s="105"/>
      <c r="X636" s="104"/>
      <c r="Y636" s="104"/>
      <c r="Z636" s="104"/>
      <c r="AA636" s="104"/>
      <c r="AB636" s="104"/>
      <c r="AC636" s="104"/>
      <c r="AD636" s="104"/>
      <c r="AE636" s="104"/>
      <c r="AF636" s="104"/>
      <c r="AG636" s="104"/>
      <c r="AH636" s="104"/>
      <c r="AI636" s="104"/>
      <c r="AJ636" s="104"/>
      <c r="AK636" s="104"/>
      <c r="AL636" s="104"/>
      <c r="AM636" s="104"/>
      <c r="AN636" s="104"/>
      <c r="AO636" s="104"/>
      <c r="AP636" s="104"/>
      <c r="AQ636" s="104"/>
      <c r="AR636" s="104"/>
      <c r="AS636" s="104"/>
      <c r="AT636" s="104"/>
      <c r="AU636" s="104"/>
      <c r="AV636" s="104"/>
      <c r="AW636" s="104"/>
      <c r="AX636" s="104"/>
      <c r="AY636" s="104"/>
      <c r="AZ636" s="104"/>
      <c r="BA636" s="104"/>
      <c r="BB636" s="104"/>
      <c r="BC636" s="104"/>
      <c r="BD636" s="104"/>
      <c r="BE636" s="104"/>
      <c r="BF636" s="104"/>
      <c r="BG636" s="104"/>
      <c r="BH636" s="104"/>
      <c r="BI636" s="104"/>
      <c r="BJ636" s="104"/>
      <c r="BK636" s="104"/>
      <c r="BL636" s="104"/>
      <c r="BM636" s="104"/>
      <c r="BN636" s="104"/>
    </row>
    <row r="637">
      <c r="A637" s="104"/>
      <c r="B637" s="104"/>
      <c r="C637" s="104"/>
      <c r="D637" s="104"/>
      <c r="E637" s="104"/>
      <c r="F637" s="104"/>
      <c r="G637" s="104"/>
      <c r="H637" s="104"/>
      <c r="I637" s="104"/>
      <c r="J637" s="104"/>
      <c r="K637" s="105"/>
      <c r="L637" s="106"/>
      <c r="M637" s="104"/>
      <c r="N637" s="104"/>
      <c r="O637" s="104"/>
      <c r="P637" s="104"/>
      <c r="Q637" s="104"/>
      <c r="R637" s="106"/>
      <c r="S637" s="104"/>
      <c r="T637" s="104"/>
      <c r="U637" s="104"/>
      <c r="V637" s="104"/>
      <c r="W637" s="105"/>
      <c r="X637" s="104"/>
      <c r="Y637" s="104"/>
      <c r="Z637" s="104"/>
      <c r="AA637" s="104"/>
      <c r="AB637" s="104"/>
      <c r="AC637" s="104"/>
      <c r="AD637" s="104"/>
      <c r="AE637" s="104"/>
      <c r="AF637" s="104"/>
      <c r="AG637" s="104"/>
      <c r="AH637" s="104"/>
      <c r="AI637" s="104"/>
      <c r="AJ637" s="104"/>
      <c r="AK637" s="104"/>
      <c r="AL637" s="104"/>
      <c r="AM637" s="104"/>
      <c r="AN637" s="104"/>
      <c r="AO637" s="104"/>
      <c r="AP637" s="104"/>
      <c r="AQ637" s="104"/>
      <c r="AR637" s="104"/>
      <c r="AS637" s="104"/>
      <c r="AT637" s="104"/>
      <c r="AU637" s="104"/>
      <c r="AV637" s="104"/>
      <c r="AW637" s="104"/>
      <c r="AX637" s="104"/>
      <c r="AY637" s="104"/>
      <c r="AZ637" s="104"/>
      <c r="BA637" s="104"/>
      <c r="BB637" s="104"/>
      <c r="BC637" s="104"/>
      <c r="BD637" s="104"/>
      <c r="BE637" s="104"/>
      <c r="BF637" s="104"/>
      <c r="BG637" s="104"/>
      <c r="BH637" s="104"/>
      <c r="BI637" s="104"/>
      <c r="BJ637" s="104"/>
      <c r="BK637" s="104"/>
      <c r="BL637" s="104"/>
      <c r="BM637" s="104"/>
      <c r="BN637" s="104"/>
    </row>
    <row r="638">
      <c r="A638" s="104"/>
      <c r="B638" s="104"/>
      <c r="C638" s="104"/>
      <c r="D638" s="104"/>
      <c r="E638" s="104"/>
      <c r="F638" s="104"/>
      <c r="G638" s="104"/>
      <c r="H638" s="104"/>
      <c r="I638" s="104"/>
      <c r="J638" s="104"/>
      <c r="K638" s="105"/>
      <c r="L638" s="106"/>
      <c r="M638" s="104"/>
      <c r="N638" s="104"/>
      <c r="O638" s="104"/>
      <c r="P638" s="104"/>
      <c r="Q638" s="104"/>
      <c r="R638" s="106"/>
      <c r="S638" s="104"/>
      <c r="T638" s="104"/>
      <c r="U638" s="104"/>
      <c r="V638" s="104"/>
      <c r="W638" s="105"/>
      <c r="X638" s="104"/>
      <c r="Y638" s="104"/>
      <c r="Z638" s="104"/>
      <c r="AA638" s="104"/>
      <c r="AB638" s="104"/>
      <c r="AC638" s="104"/>
      <c r="AD638" s="104"/>
      <c r="AE638" s="104"/>
      <c r="AF638" s="104"/>
      <c r="AG638" s="104"/>
      <c r="AH638" s="104"/>
      <c r="AI638" s="104"/>
      <c r="AJ638" s="104"/>
      <c r="AK638" s="104"/>
      <c r="AL638" s="104"/>
      <c r="AM638" s="104"/>
      <c r="AN638" s="104"/>
      <c r="AO638" s="104"/>
      <c r="AP638" s="104"/>
      <c r="AQ638" s="104"/>
      <c r="AR638" s="104"/>
      <c r="AS638" s="104"/>
      <c r="AT638" s="104"/>
      <c r="AU638" s="104"/>
      <c r="AV638" s="104"/>
      <c r="AW638" s="104"/>
      <c r="AX638" s="104"/>
      <c r="AY638" s="104"/>
      <c r="AZ638" s="104"/>
      <c r="BA638" s="104"/>
      <c r="BB638" s="104"/>
      <c r="BC638" s="104"/>
      <c r="BD638" s="104"/>
      <c r="BE638" s="104"/>
      <c r="BF638" s="104"/>
      <c r="BG638" s="104"/>
      <c r="BH638" s="104"/>
      <c r="BI638" s="104"/>
      <c r="BJ638" s="104"/>
      <c r="BK638" s="104"/>
      <c r="BL638" s="104"/>
      <c r="BM638" s="104"/>
      <c r="BN638" s="104"/>
    </row>
    <row r="639">
      <c r="A639" s="104"/>
      <c r="B639" s="104"/>
      <c r="C639" s="104"/>
      <c r="D639" s="104"/>
      <c r="E639" s="104"/>
      <c r="F639" s="104"/>
      <c r="G639" s="104"/>
      <c r="H639" s="104"/>
      <c r="I639" s="104"/>
      <c r="J639" s="104"/>
      <c r="K639" s="105"/>
      <c r="L639" s="106"/>
      <c r="M639" s="104"/>
      <c r="N639" s="104"/>
      <c r="O639" s="104"/>
      <c r="P639" s="104"/>
      <c r="Q639" s="104"/>
      <c r="R639" s="106"/>
      <c r="S639" s="104"/>
      <c r="T639" s="104"/>
      <c r="U639" s="104"/>
      <c r="V639" s="104"/>
      <c r="W639" s="105"/>
      <c r="X639" s="104"/>
      <c r="Y639" s="104"/>
      <c r="Z639" s="104"/>
      <c r="AA639" s="104"/>
      <c r="AB639" s="104"/>
      <c r="AC639" s="104"/>
      <c r="AD639" s="104"/>
      <c r="AE639" s="104"/>
      <c r="AF639" s="104"/>
      <c r="AG639" s="104"/>
      <c r="AH639" s="104"/>
      <c r="AI639" s="104"/>
      <c r="AJ639" s="104"/>
      <c r="AK639" s="104"/>
      <c r="AL639" s="104"/>
      <c r="AM639" s="104"/>
      <c r="AN639" s="104"/>
      <c r="AO639" s="104"/>
      <c r="AP639" s="104"/>
      <c r="AQ639" s="104"/>
      <c r="AR639" s="104"/>
      <c r="AS639" s="104"/>
      <c r="AT639" s="104"/>
      <c r="AU639" s="104"/>
      <c r="AV639" s="104"/>
      <c r="AW639" s="104"/>
      <c r="AX639" s="104"/>
      <c r="AY639" s="104"/>
      <c r="AZ639" s="104"/>
      <c r="BA639" s="104"/>
      <c r="BB639" s="104"/>
      <c r="BC639" s="104"/>
      <c r="BD639" s="104"/>
      <c r="BE639" s="104"/>
      <c r="BF639" s="104"/>
      <c r="BG639" s="104"/>
      <c r="BH639" s="104"/>
      <c r="BI639" s="104"/>
      <c r="BJ639" s="104"/>
      <c r="BK639" s="104"/>
      <c r="BL639" s="104"/>
      <c r="BM639" s="104"/>
      <c r="BN639" s="104"/>
    </row>
    <row r="640">
      <c r="A640" s="104"/>
      <c r="B640" s="104"/>
      <c r="C640" s="104"/>
      <c r="D640" s="104"/>
      <c r="E640" s="104"/>
      <c r="F640" s="104"/>
      <c r="G640" s="104"/>
      <c r="H640" s="104"/>
      <c r="I640" s="104"/>
      <c r="J640" s="104"/>
      <c r="K640" s="105"/>
      <c r="L640" s="106"/>
      <c r="M640" s="104"/>
      <c r="N640" s="104"/>
      <c r="O640" s="104"/>
      <c r="P640" s="104"/>
      <c r="Q640" s="104"/>
      <c r="R640" s="106"/>
      <c r="S640" s="104"/>
      <c r="T640" s="104"/>
      <c r="U640" s="104"/>
      <c r="V640" s="104"/>
      <c r="W640" s="105"/>
      <c r="X640" s="104"/>
      <c r="Y640" s="104"/>
      <c r="Z640" s="104"/>
      <c r="AA640" s="104"/>
      <c r="AB640" s="104"/>
      <c r="AC640" s="104"/>
      <c r="AD640" s="104"/>
      <c r="AE640" s="104"/>
      <c r="AF640" s="104"/>
      <c r="AG640" s="104"/>
      <c r="AH640" s="104"/>
      <c r="AI640" s="104"/>
      <c r="AJ640" s="104"/>
      <c r="AK640" s="104"/>
      <c r="AL640" s="104"/>
      <c r="AM640" s="104"/>
      <c r="AN640" s="104"/>
      <c r="AO640" s="104"/>
      <c r="AP640" s="104"/>
      <c r="AQ640" s="104"/>
      <c r="AR640" s="104"/>
      <c r="AS640" s="104"/>
      <c r="AT640" s="104"/>
      <c r="AU640" s="104"/>
      <c r="AV640" s="104"/>
      <c r="AW640" s="104"/>
      <c r="AX640" s="104"/>
      <c r="AY640" s="104"/>
      <c r="AZ640" s="104"/>
      <c r="BA640" s="104"/>
      <c r="BB640" s="104"/>
      <c r="BC640" s="104"/>
      <c r="BD640" s="104"/>
      <c r="BE640" s="104"/>
      <c r="BF640" s="104"/>
      <c r="BG640" s="104"/>
      <c r="BH640" s="104"/>
      <c r="BI640" s="104"/>
      <c r="BJ640" s="104"/>
      <c r="BK640" s="104"/>
      <c r="BL640" s="104"/>
      <c r="BM640" s="104"/>
      <c r="BN640" s="104"/>
    </row>
    <row r="641">
      <c r="A641" s="104"/>
      <c r="B641" s="104"/>
      <c r="C641" s="104"/>
      <c r="D641" s="104"/>
      <c r="E641" s="104"/>
      <c r="F641" s="104"/>
      <c r="G641" s="104"/>
      <c r="H641" s="104"/>
      <c r="I641" s="104"/>
      <c r="J641" s="104"/>
      <c r="K641" s="105"/>
      <c r="L641" s="106"/>
      <c r="M641" s="104"/>
      <c r="N641" s="104"/>
      <c r="O641" s="104"/>
      <c r="P641" s="104"/>
      <c r="Q641" s="104"/>
      <c r="R641" s="106"/>
      <c r="S641" s="104"/>
      <c r="T641" s="104"/>
      <c r="U641" s="104"/>
      <c r="V641" s="104"/>
      <c r="W641" s="105"/>
      <c r="X641" s="104"/>
      <c r="Y641" s="104"/>
      <c r="Z641" s="104"/>
      <c r="AA641" s="104"/>
      <c r="AB641" s="104"/>
      <c r="AC641" s="104"/>
      <c r="AD641" s="104"/>
      <c r="AE641" s="104"/>
      <c r="AF641" s="104"/>
      <c r="AG641" s="104"/>
      <c r="AH641" s="104"/>
      <c r="AI641" s="104"/>
      <c r="AJ641" s="104"/>
      <c r="AK641" s="104"/>
      <c r="AL641" s="104"/>
      <c r="AM641" s="104"/>
      <c r="AN641" s="104"/>
      <c r="AO641" s="104"/>
      <c r="AP641" s="104"/>
      <c r="AQ641" s="104"/>
      <c r="AR641" s="104"/>
      <c r="AS641" s="104"/>
      <c r="AT641" s="104"/>
      <c r="AU641" s="104"/>
      <c r="AV641" s="104"/>
      <c r="AW641" s="104"/>
      <c r="AX641" s="104"/>
      <c r="AY641" s="104"/>
      <c r="AZ641" s="104"/>
      <c r="BA641" s="104"/>
      <c r="BB641" s="104"/>
      <c r="BC641" s="104"/>
      <c r="BD641" s="104"/>
      <c r="BE641" s="104"/>
      <c r="BF641" s="104"/>
      <c r="BG641" s="104"/>
      <c r="BH641" s="104"/>
      <c r="BI641" s="104"/>
      <c r="BJ641" s="104"/>
      <c r="BK641" s="104"/>
      <c r="BL641" s="104"/>
      <c r="BM641" s="104"/>
      <c r="BN641" s="104"/>
    </row>
    <row r="642">
      <c r="A642" s="104"/>
      <c r="B642" s="104"/>
      <c r="C642" s="104"/>
      <c r="D642" s="104"/>
      <c r="E642" s="104"/>
      <c r="F642" s="104"/>
      <c r="G642" s="104"/>
      <c r="H642" s="104"/>
      <c r="I642" s="104"/>
      <c r="J642" s="104"/>
      <c r="K642" s="105"/>
      <c r="L642" s="106"/>
      <c r="M642" s="104"/>
      <c r="N642" s="104"/>
      <c r="O642" s="104"/>
      <c r="P642" s="104"/>
      <c r="Q642" s="104"/>
      <c r="R642" s="106"/>
      <c r="S642" s="104"/>
      <c r="T642" s="104"/>
      <c r="U642" s="104"/>
      <c r="V642" s="104"/>
      <c r="W642" s="105"/>
      <c r="X642" s="104"/>
      <c r="Y642" s="104"/>
      <c r="Z642" s="104"/>
      <c r="AA642" s="104"/>
      <c r="AB642" s="104"/>
      <c r="AC642" s="104"/>
      <c r="AD642" s="104"/>
      <c r="AE642" s="104"/>
      <c r="AF642" s="104"/>
      <c r="AG642" s="104"/>
      <c r="AH642" s="104"/>
      <c r="AI642" s="104"/>
      <c r="AJ642" s="104"/>
      <c r="AK642" s="104"/>
      <c r="AL642" s="104"/>
      <c r="AM642" s="104"/>
      <c r="AN642" s="104"/>
      <c r="AO642" s="104"/>
      <c r="AP642" s="104"/>
      <c r="AQ642" s="104"/>
      <c r="AR642" s="104"/>
      <c r="AS642" s="104"/>
      <c r="AT642" s="104"/>
      <c r="AU642" s="104"/>
      <c r="AV642" s="104"/>
      <c r="AW642" s="104"/>
      <c r="AX642" s="104"/>
      <c r="AY642" s="104"/>
      <c r="AZ642" s="104"/>
      <c r="BA642" s="104"/>
      <c r="BB642" s="104"/>
      <c r="BC642" s="104"/>
      <c r="BD642" s="104"/>
      <c r="BE642" s="104"/>
      <c r="BF642" s="104"/>
      <c r="BG642" s="104"/>
      <c r="BH642" s="104"/>
      <c r="BI642" s="104"/>
      <c r="BJ642" s="104"/>
      <c r="BK642" s="104"/>
      <c r="BL642" s="104"/>
      <c r="BM642" s="104"/>
      <c r="BN642" s="104"/>
    </row>
    <row r="643">
      <c r="A643" s="104"/>
      <c r="B643" s="104"/>
      <c r="C643" s="104"/>
      <c r="D643" s="104"/>
      <c r="E643" s="104"/>
      <c r="F643" s="104"/>
      <c r="G643" s="104"/>
      <c r="H643" s="104"/>
      <c r="I643" s="104"/>
      <c r="J643" s="104"/>
      <c r="K643" s="105"/>
      <c r="L643" s="106"/>
      <c r="M643" s="104"/>
      <c r="N643" s="104"/>
      <c r="O643" s="104"/>
      <c r="P643" s="104"/>
      <c r="Q643" s="104"/>
      <c r="R643" s="106"/>
      <c r="S643" s="104"/>
      <c r="T643" s="104"/>
      <c r="U643" s="104"/>
      <c r="V643" s="104"/>
      <c r="W643" s="105"/>
      <c r="X643" s="104"/>
      <c r="Y643" s="104"/>
      <c r="Z643" s="104"/>
      <c r="AA643" s="104"/>
      <c r="AB643" s="104"/>
      <c r="AC643" s="104"/>
      <c r="AD643" s="104"/>
      <c r="AE643" s="104"/>
      <c r="AF643" s="104"/>
      <c r="AG643" s="104"/>
      <c r="AH643" s="104"/>
      <c r="AI643" s="104"/>
      <c r="AJ643" s="104"/>
      <c r="AK643" s="104"/>
      <c r="AL643" s="104"/>
      <c r="AM643" s="104"/>
      <c r="AN643" s="104"/>
      <c r="AO643" s="104"/>
      <c r="AP643" s="104"/>
      <c r="AQ643" s="104"/>
      <c r="AR643" s="104"/>
      <c r="AS643" s="104"/>
      <c r="AT643" s="104"/>
      <c r="AU643" s="104"/>
      <c r="AV643" s="104"/>
      <c r="AW643" s="104"/>
      <c r="AX643" s="104"/>
      <c r="AY643" s="104"/>
      <c r="AZ643" s="104"/>
      <c r="BA643" s="104"/>
      <c r="BB643" s="104"/>
      <c r="BC643" s="104"/>
      <c r="BD643" s="104"/>
      <c r="BE643" s="104"/>
      <c r="BF643" s="104"/>
      <c r="BG643" s="104"/>
      <c r="BH643" s="104"/>
      <c r="BI643" s="104"/>
      <c r="BJ643" s="104"/>
      <c r="BK643" s="104"/>
      <c r="BL643" s="104"/>
      <c r="BM643" s="104"/>
      <c r="BN643" s="104"/>
    </row>
    <row r="644">
      <c r="A644" s="104"/>
      <c r="B644" s="104"/>
      <c r="C644" s="104"/>
      <c r="D644" s="104"/>
      <c r="E644" s="104"/>
      <c r="F644" s="104"/>
      <c r="G644" s="104"/>
      <c r="H644" s="104"/>
      <c r="I644" s="104"/>
      <c r="J644" s="104"/>
      <c r="K644" s="105"/>
      <c r="L644" s="106"/>
      <c r="M644" s="104"/>
      <c r="N644" s="104"/>
      <c r="O644" s="104"/>
      <c r="P644" s="104"/>
      <c r="Q644" s="104"/>
      <c r="R644" s="106"/>
      <c r="S644" s="104"/>
      <c r="T644" s="104"/>
      <c r="U644" s="104"/>
      <c r="V644" s="104"/>
      <c r="W644" s="105"/>
      <c r="X644" s="104"/>
      <c r="Y644" s="104"/>
      <c r="Z644" s="104"/>
      <c r="AA644" s="104"/>
      <c r="AB644" s="104"/>
      <c r="AC644" s="104"/>
      <c r="AD644" s="104"/>
      <c r="AE644" s="104"/>
      <c r="AF644" s="104"/>
      <c r="AG644" s="104"/>
      <c r="AH644" s="104"/>
      <c r="AI644" s="104"/>
      <c r="AJ644" s="104"/>
      <c r="AK644" s="104"/>
      <c r="AL644" s="104"/>
      <c r="AM644" s="104"/>
      <c r="AN644" s="104"/>
      <c r="AO644" s="104"/>
      <c r="AP644" s="104"/>
      <c r="AQ644" s="104"/>
      <c r="AR644" s="104"/>
      <c r="AS644" s="104"/>
      <c r="AT644" s="104"/>
      <c r="AU644" s="104"/>
      <c r="AV644" s="104"/>
      <c r="AW644" s="104"/>
      <c r="AX644" s="104"/>
      <c r="AY644" s="104"/>
      <c r="AZ644" s="104"/>
      <c r="BA644" s="104"/>
      <c r="BB644" s="104"/>
      <c r="BC644" s="104"/>
      <c r="BD644" s="104"/>
      <c r="BE644" s="104"/>
      <c r="BF644" s="104"/>
      <c r="BG644" s="104"/>
      <c r="BH644" s="104"/>
      <c r="BI644" s="104"/>
      <c r="BJ644" s="104"/>
      <c r="BK644" s="104"/>
      <c r="BL644" s="104"/>
      <c r="BM644" s="104"/>
      <c r="BN644" s="104"/>
    </row>
    <row r="645">
      <c r="A645" s="104"/>
      <c r="B645" s="104"/>
      <c r="C645" s="104"/>
      <c r="D645" s="104"/>
      <c r="E645" s="104"/>
      <c r="F645" s="104"/>
      <c r="G645" s="104"/>
      <c r="H645" s="104"/>
      <c r="I645" s="104"/>
      <c r="J645" s="104"/>
      <c r="K645" s="105"/>
      <c r="L645" s="106"/>
      <c r="M645" s="104"/>
      <c r="N645" s="104"/>
      <c r="O645" s="104"/>
      <c r="P645" s="104"/>
      <c r="Q645" s="104"/>
      <c r="R645" s="106"/>
      <c r="S645" s="104"/>
      <c r="T645" s="104"/>
      <c r="U645" s="104"/>
      <c r="V645" s="104"/>
      <c r="W645" s="105"/>
      <c r="X645" s="104"/>
      <c r="Y645" s="104"/>
      <c r="Z645" s="104"/>
      <c r="AA645" s="104"/>
      <c r="AB645" s="104"/>
      <c r="AC645" s="104"/>
      <c r="AD645" s="104"/>
      <c r="AE645" s="104"/>
      <c r="AF645" s="104"/>
      <c r="AG645" s="104"/>
      <c r="AH645" s="104"/>
      <c r="AI645" s="104"/>
      <c r="AJ645" s="104"/>
      <c r="AK645" s="104"/>
      <c r="AL645" s="104"/>
      <c r="AM645" s="104"/>
      <c r="AN645" s="104"/>
      <c r="AO645" s="104"/>
      <c r="AP645" s="104"/>
      <c r="AQ645" s="104"/>
      <c r="AR645" s="104"/>
      <c r="AS645" s="104"/>
      <c r="AT645" s="104"/>
      <c r="AU645" s="104"/>
      <c r="AV645" s="104"/>
      <c r="AW645" s="104"/>
      <c r="AX645" s="104"/>
      <c r="AY645" s="104"/>
      <c r="AZ645" s="104"/>
      <c r="BA645" s="104"/>
      <c r="BB645" s="104"/>
      <c r="BC645" s="104"/>
      <c r="BD645" s="104"/>
      <c r="BE645" s="104"/>
      <c r="BF645" s="104"/>
      <c r="BG645" s="104"/>
      <c r="BH645" s="104"/>
      <c r="BI645" s="104"/>
      <c r="BJ645" s="104"/>
      <c r="BK645" s="104"/>
      <c r="BL645" s="104"/>
      <c r="BM645" s="104"/>
      <c r="BN645" s="104"/>
    </row>
    <row r="646">
      <c r="A646" s="104"/>
      <c r="B646" s="104"/>
      <c r="C646" s="104"/>
      <c r="D646" s="104"/>
      <c r="E646" s="104"/>
      <c r="F646" s="104"/>
      <c r="G646" s="104"/>
      <c r="H646" s="104"/>
      <c r="I646" s="104"/>
      <c r="J646" s="104"/>
      <c r="K646" s="105"/>
      <c r="L646" s="106"/>
      <c r="M646" s="104"/>
      <c r="N646" s="104"/>
      <c r="O646" s="104"/>
      <c r="P646" s="104"/>
      <c r="Q646" s="104"/>
      <c r="R646" s="106"/>
      <c r="S646" s="104"/>
      <c r="T646" s="104"/>
      <c r="U646" s="104"/>
      <c r="V646" s="104"/>
      <c r="W646" s="105"/>
      <c r="X646" s="104"/>
      <c r="Y646" s="104"/>
      <c r="Z646" s="104"/>
      <c r="AA646" s="104"/>
      <c r="AB646" s="104"/>
      <c r="AC646" s="104"/>
      <c r="AD646" s="104"/>
      <c r="AE646" s="104"/>
      <c r="AF646" s="104"/>
      <c r="AG646" s="104"/>
      <c r="AH646" s="104"/>
      <c r="AI646" s="104"/>
      <c r="AJ646" s="104"/>
      <c r="AK646" s="104"/>
      <c r="AL646" s="104"/>
      <c r="AM646" s="104"/>
      <c r="AN646" s="104"/>
      <c r="AO646" s="104"/>
      <c r="AP646" s="104"/>
      <c r="AQ646" s="104"/>
      <c r="AR646" s="104"/>
      <c r="AS646" s="104"/>
      <c r="AT646" s="104"/>
      <c r="AU646" s="104"/>
      <c r="AV646" s="104"/>
      <c r="AW646" s="104"/>
      <c r="AX646" s="104"/>
      <c r="AY646" s="104"/>
      <c r="AZ646" s="104"/>
      <c r="BA646" s="104"/>
      <c r="BB646" s="104"/>
      <c r="BC646" s="104"/>
      <c r="BD646" s="104"/>
      <c r="BE646" s="104"/>
      <c r="BF646" s="104"/>
      <c r="BG646" s="104"/>
      <c r="BH646" s="104"/>
      <c r="BI646" s="104"/>
      <c r="BJ646" s="104"/>
      <c r="BK646" s="104"/>
      <c r="BL646" s="104"/>
      <c r="BM646" s="104"/>
      <c r="BN646" s="104"/>
    </row>
    <row r="647">
      <c r="A647" s="104"/>
      <c r="B647" s="104"/>
      <c r="C647" s="104"/>
      <c r="D647" s="104"/>
      <c r="E647" s="104"/>
      <c r="F647" s="104"/>
      <c r="G647" s="104"/>
      <c r="H647" s="104"/>
      <c r="I647" s="104"/>
      <c r="J647" s="104"/>
      <c r="K647" s="105"/>
      <c r="L647" s="106"/>
      <c r="M647" s="104"/>
      <c r="N647" s="104"/>
      <c r="O647" s="104"/>
      <c r="P647" s="104"/>
      <c r="Q647" s="104"/>
      <c r="R647" s="106"/>
      <c r="S647" s="104"/>
      <c r="T647" s="104"/>
      <c r="U647" s="104"/>
      <c r="V647" s="104"/>
      <c r="W647" s="105"/>
      <c r="X647" s="104"/>
      <c r="Y647" s="104"/>
      <c r="Z647" s="104"/>
      <c r="AA647" s="104"/>
      <c r="AB647" s="104"/>
      <c r="AC647" s="104"/>
      <c r="AD647" s="104"/>
      <c r="AE647" s="104"/>
      <c r="AF647" s="104"/>
      <c r="AG647" s="104"/>
      <c r="AH647" s="104"/>
      <c r="AI647" s="104"/>
      <c r="AJ647" s="104"/>
      <c r="AK647" s="104"/>
      <c r="AL647" s="104"/>
      <c r="AM647" s="104"/>
      <c r="AN647" s="104"/>
      <c r="AO647" s="104"/>
      <c r="AP647" s="104"/>
      <c r="AQ647" s="104"/>
      <c r="AR647" s="104"/>
      <c r="AS647" s="104"/>
      <c r="AT647" s="104"/>
      <c r="AU647" s="104"/>
      <c r="AV647" s="104"/>
      <c r="AW647" s="104"/>
      <c r="AX647" s="104"/>
      <c r="AY647" s="104"/>
      <c r="AZ647" s="104"/>
      <c r="BA647" s="104"/>
      <c r="BB647" s="104"/>
      <c r="BC647" s="104"/>
      <c r="BD647" s="104"/>
      <c r="BE647" s="104"/>
      <c r="BF647" s="104"/>
      <c r="BG647" s="104"/>
      <c r="BH647" s="104"/>
      <c r="BI647" s="104"/>
      <c r="BJ647" s="104"/>
      <c r="BK647" s="104"/>
      <c r="BL647" s="104"/>
      <c r="BM647" s="104"/>
      <c r="BN647" s="104"/>
    </row>
    <row r="648">
      <c r="A648" s="104"/>
      <c r="B648" s="104"/>
      <c r="C648" s="104"/>
      <c r="D648" s="104"/>
      <c r="E648" s="104"/>
      <c r="F648" s="104"/>
      <c r="G648" s="104"/>
      <c r="H648" s="104"/>
      <c r="I648" s="104"/>
      <c r="J648" s="104"/>
      <c r="K648" s="105"/>
      <c r="L648" s="106"/>
      <c r="M648" s="104"/>
      <c r="N648" s="104"/>
      <c r="O648" s="104"/>
      <c r="P648" s="104"/>
      <c r="Q648" s="104"/>
      <c r="R648" s="106"/>
      <c r="S648" s="104"/>
      <c r="T648" s="104"/>
      <c r="U648" s="104"/>
      <c r="V648" s="104"/>
      <c r="W648" s="105"/>
      <c r="X648" s="104"/>
      <c r="Y648" s="104"/>
      <c r="Z648" s="104"/>
      <c r="AA648" s="104"/>
      <c r="AB648" s="104"/>
      <c r="AC648" s="104"/>
      <c r="AD648" s="104"/>
      <c r="AE648" s="104"/>
      <c r="AF648" s="104"/>
      <c r="AG648" s="104"/>
      <c r="AH648" s="104"/>
      <c r="AI648" s="104"/>
      <c r="AJ648" s="104"/>
      <c r="AK648" s="104"/>
      <c r="AL648" s="104"/>
      <c r="AM648" s="104"/>
      <c r="AN648" s="104"/>
      <c r="AO648" s="104"/>
      <c r="AP648" s="104"/>
      <c r="AQ648" s="104"/>
      <c r="AR648" s="104"/>
      <c r="AS648" s="104"/>
      <c r="AT648" s="104"/>
      <c r="AU648" s="104"/>
      <c r="AV648" s="104"/>
      <c r="AW648" s="104"/>
      <c r="AX648" s="104"/>
      <c r="AY648" s="104"/>
      <c r="AZ648" s="104"/>
      <c r="BA648" s="104"/>
      <c r="BB648" s="104"/>
      <c r="BC648" s="104"/>
      <c r="BD648" s="104"/>
      <c r="BE648" s="104"/>
      <c r="BF648" s="104"/>
      <c r="BG648" s="104"/>
      <c r="BH648" s="104"/>
      <c r="BI648" s="104"/>
      <c r="BJ648" s="104"/>
      <c r="BK648" s="104"/>
      <c r="BL648" s="104"/>
      <c r="BM648" s="104"/>
      <c r="BN648" s="104"/>
    </row>
    <row r="649">
      <c r="A649" s="104"/>
      <c r="B649" s="104"/>
      <c r="C649" s="104"/>
      <c r="D649" s="104"/>
      <c r="E649" s="104"/>
      <c r="F649" s="104"/>
      <c r="G649" s="104"/>
      <c r="H649" s="104"/>
      <c r="I649" s="104"/>
      <c r="J649" s="104"/>
      <c r="K649" s="105"/>
      <c r="L649" s="106"/>
      <c r="M649" s="104"/>
      <c r="N649" s="104"/>
      <c r="O649" s="104"/>
      <c r="P649" s="104"/>
      <c r="Q649" s="104"/>
      <c r="R649" s="106"/>
      <c r="S649" s="104"/>
      <c r="T649" s="104"/>
      <c r="U649" s="104"/>
      <c r="V649" s="104"/>
      <c r="W649" s="105"/>
      <c r="X649" s="104"/>
      <c r="Y649" s="104"/>
      <c r="Z649" s="104"/>
      <c r="AA649" s="104"/>
      <c r="AB649" s="104"/>
      <c r="AC649" s="104"/>
      <c r="AD649" s="104"/>
      <c r="AE649" s="104"/>
      <c r="AF649" s="104"/>
      <c r="AG649" s="104"/>
      <c r="AH649" s="104"/>
      <c r="AI649" s="104"/>
      <c r="AJ649" s="104"/>
      <c r="AK649" s="104"/>
      <c r="AL649" s="104"/>
      <c r="AM649" s="104"/>
      <c r="AN649" s="104"/>
      <c r="AO649" s="104"/>
      <c r="AP649" s="104"/>
      <c r="AQ649" s="104"/>
      <c r="AR649" s="104"/>
      <c r="AS649" s="104"/>
      <c r="AT649" s="104"/>
      <c r="AU649" s="104"/>
      <c r="AV649" s="104"/>
      <c r="AW649" s="104"/>
      <c r="AX649" s="104"/>
      <c r="AY649" s="104"/>
      <c r="AZ649" s="104"/>
      <c r="BA649" s="104"/>
      <c r="BB649" s="104"/>
      <c r="BC649" s="104"/>
      <c r="BD649" s="104"/>
      <c r="BE649" s="104"/>
      <c r="BF649" s="104"/>
      <c r="BG649" s="104"/>
      <c r="BH649" s="104"/>
      <c r="BI649" s="104"/>
      <c r="BJ649" s="104"/>
      <c r="BK649" s="104"/>
      <c r="BL649" s="104"/>
      <c r="BM649" s="104"/>
      <c r="BN649" s="104"/>
    </row>
    <row r="650">
      <c r="A650" s="104"/>
      <c r="B650" s="104"/>
      <c r="C650" s="104"/>
      <c r="D650" s="104"/>
      <c r="E650" s="104"/>
      <c r="F650" s="104"/>
      <c r="G650" s="104"/>
      <c r="H650" s="104"/>
      <c r="I650" s="104"/>
      <c r="J650" s="104"/>
      <c r="K650" s="105"/>
      <c r="L650" s="106"/>
      <c r="M650" s="104"/>
      <c r="N650" s="104"/>
      <c r="O650" s="104"/>
      <c r="P650" s="104"/>
      <c r="Q650" s="104"/>
      <c r="R650" s="106"/>
      <c r="S650" s="104"/>
      <c r="T650" s="104"/>
      <c r="U650" s="104"/>
      <c r="V650" s="104"/>
      <c r="W650" s="105"/>
      <c r="X650" s="104"/>
      <c r="Y650" s="104"/>
      <c r="Z650" s="104"/>
      <c r="AA650" s="104"/>
      <c r="AB650" s="104"/>
      <c r="AC650" s="104"/>
      <c r="AD650" s="104"/>
      <c r="AE650" s="104"/>
      <c r="AF650" s="104"/>
      <c r="AG650" s="104"/>
      <c r="AH650" s="104"/>
      <c r="AI650" s="104"/>
      <c r="AJ650" s="104"/>
      <c r="AK650" s="104"/>
      <c r="AL650" s="104"/>
      <c r="AM650" s="104"/>
      <c r="AN650" s="104"/>
      <c r="AO650" s="104"/>
      <c r="AP650" s="104"/>
      <c r="AQ650" s="104"/>
      <c r="AR650" s="104"/>
      <c r="AS650" s="104"/>
      <c r="AT650" s="104"/>
      <c r="AU650" s="104"/>
      <c r="AV650" s="104"/>
      <c r="AW650" s="104"/>
      <c r="AX650" s="104"/>
      <c r="AY650" s="104"/>
      <c r="AZ650" s="104"/>
      <c r="BA650" s="104"/>
      <c r="BB650" s="104"/>
      <c r="BC650" s="104"/>
      <c r="BD650" s="104"/>
      <c r="BE650" s="104"/>
      <c r="BF650" s="104"/>
      <c r="BG650" s="104"/>
      <c r="BH650" s="104"/>
      <c r="BI650" s="104"/>
      <c r="BJ650" s="104"/>
      <c r="BK650" s="104"/>
      <c r="BL650" s="104"/>
      <c r="BM650" s="104"/>
      <c r="BN650" s="104"/>
    </row>
    <row r="651">
      <c r="A651" s="104"/>
      <c r="B651" s="104"/>
      <c r="C651" s="104"/>
      <c r="D651" s="104"/>
      <c r="E651" s="104"/>
      <c r="F651" s="104"/>
      <c r="G651" s="104"/>
      <c r="H651" s="104"/>
      <c r="I651" s="104"/>
      <c r="J651" s="104"/>
      <c r="K651" s="105"/>
      <c r="L651" s="106"/>
      <c r="M651" s="104"/>
      <c r="N651" s="104"/>
      <c r="O651" s="104"/>
      <c r="P651" s="104"/>
      <c r="Q651" s="104"/>
      <c r="R651" s="106"/>
      <c r="S651" s="104"/>
      <c r="T651" s="104"/>
      <c r="U651" s="104"/>
      <c r="V651" s="104"/>
      <c r="W651" s="105"/>
      <c r="X651" s="104"/>
      <c r="Y651" s="104"/>
      <c r="Z651" s="104"/>
      <c r="AA651" s="104"/>
      <c r="AB651" s="104"/>
      <c r="AC651" s="104"/>
      <c r="AD651" s="104"/>
      <c r="AE651" s="104"/>
      <c r="AF651" s="104"/>
      <c r="AG651" s="104"/>
      <c r="AH651" s="104"/>
      <c r="AI651" s="104"/>
      <c r="AJ651" s="104"/>
      <c r="AK651" s="104"/>
      <c r="AL651" s="104"/>
      <c r="AM651" s="104"/>
      <c r="AN651" s="104"/>
      <c r="AO651" s="104"/>
      <c r="AP651" s="104"/>
      <c r="AQ651" s="104"/>
      <c r="AR651" s="104"/>
      <c r="AS651" s="104"/>
      <c r="AT651" s="104"/>
      <c r="AU651" s="104"/>
      <c r="AV651" s="104"/>
      <c r="AW651" s="104"/>
      <c r="AX651" s="104"/>
      <c r="AY651" s="104"/>
      <c r="AZ651" s="104"/>
      <c r="BA651" s="104"/>
      <c r="BB651" s="104"/>
      <c r="BC651" s="104"/>
      <c r="BD651" s="104"/>
      <c r="BE651" s="104"/>
      <c r="BF651" s="104"/>
      <c r="BG651" s="104"/>
      <c r="BH651" s="104"/>
      <c r="BI651" s="104"/>
      <c r="BJ651" s="104"/>
      <c r="BK651" s="104"/>
      <c r="BL651" s="104"/>
      <c r="BM651" s="104"/>
      <c r="BN651" s="104"/>
    </row>
    <row r="652">
      <c r="A652" s="104"/>
      <c r="B652" s="104"/>
      <c r="C652" s="104"/>
      <c r="D652" s="104"/>
      <c r="E652" s="104"/>
      <c r="F652" s="104"/>
      <c r="G652" s="104"/>
      <c r="H652" s="104"/>
      <c r="I652" s="104"/>
      <c r="J652" s="104"/>
      <c r="K652" s="105"/>
      <c r="L652" s="106"/>
      <c r="M652" s="104"/>
      <c r="N652" s="104"/>
      <c r="O652" s="104"/>
      <c r="P652" s="104"/>
      <c r="Q652" s="104"/>
      <c r="R652" s="106"/>
      <c r="S652" s="104"/>
      <c r="T652" s="104"/>
      <c r="U652" s="104"/>
      <c r="V652" s="104"/>
      <c r="W652" s="105"/>
      <c r="X652" s="104"/>
      <c r="Y652" s="104"/>
      <c r="Z652" s="104"/>
      <c r="AA652" s="104"/>
      <c r="AB652" s="104"/>
      <c r="AC652" s="104"/>
      <c r="AD652" s="104"/>
      <c r="AE652" s="104"/>
      <c r="AF652" s="104"/>
      <c r="AG652" s="104"/>
      <c r="AH652" s="104"/>
      <c r="AI652" s="104"/>
      <c r="AJ652" s="104"/>
      <c r="AK652" s="104"/>
      <c r="AL652" s="104"/>
      <c r="AM652" s="104"/>
      <c r="AN652" s="104"/>
      <c r="AO652" s="104"/>
      <c r="AP652" s="104"/>
      <c r="AQ652" s="104"/>
      <c r="AR652" s="104"/>
      <c r="AS652" s="104"/>
      <c r="AT652" s="104"/>
      <c r="AU652" s="104"/>
      <c r="AV652" s="104"/>
      <c r="AW652" s="104"/>
      <c r="AX652" s="104"/>
      <c r="AY652" s="104"/>
      <c r="AZ652" s="104"/>
      <c r="BA652" s="104"/>
      <c r="BB652" s="104"/>
      <c r="BC652" s="104"/>
      <c r="BD652" s="104"/>
      <c r="BE652" s="104"/>
      <c r="BF652" s="104"/>
      <c r="BG652" s="104"/>
      <c r="BH652" s="104"/>
      <c r="BI652" s="104"/>
      <c r="BJ652" s="104"/>
      <c r="BK652" s="104"/>
      <c r="BL652" s="104"/>
      <c r="BM652" s="104"/>
      <c r="BN652" s="104"/>
    </row>
    <row r="653">
      <c r="A653" s="104"/>
      <c r="B653" s="104"/>
      <c r="C653" s="104"/>
      <c r="D653" s="104"/>
      <c r="E653" s="104"/>
      <c r="F653" s="104"/>
      <c r="G653" s="104"/>
      <c r="H653" s="104"/>
      <c r="I653" s="104"/>
      <c r="J653" s="104"/>
      <c r="K653" s="105"/>
      <c r="L653" s="106"/>
      <c r="M653" s="104"/>
      <c r="N653" s="104"/>
      <c r="O653" s="104"/>
      <c r="P653" s="104"/>
      <c r="Q653" s="104"/>
      <c r="R653" s="106"/>
      <c r="S653" s="104"/>
      <c r="T653" s="104"/>
      <c r="U653" s="104"/>
      <c r="V653" s="104"/>
      <c r="W653" s="105"/>
      <c r="X653" s="104"/>
      <c r="Y653" s="104"/>
      <c r="Z653" s="104"/>
      <c r="AA653" s="104"/>
      <c r="AB653" s="104"/>
      <c r="AC653" s="104"/>
      <c r="AD653" s="104"/>
      <c r="AE653" s="104"/>
      <c r="AF653" s="104"/>
      <c r="AG653" s="104"/>
      <c r="AH653" s="104"/>
      <c r="AI653" s="104"/>
      <c r="AJ653" s="104"/>
      <c r="AK653" s="104"/>
      <c r="AL653" s="104"/>
      <c r="AM653" s="104"/>
      <c r="AN653" s="104"/>
      <c r="AO653" s="104"/>
      <c r="AP653" s="104"/>
      <c r="AQ653" s="104"/>
      <c r="AR653" s="104"/>
      <c r="AS653" s="104"/>
      <c r="AT653" s="104"/>
      <c r="AU653" s="104"/>
      <c r="AV653" s="104"/>
      <c r="AW653" s="104"/>
      <c r="AX653" s="104"/>
      <c r="AY653" s="104"/>
      <c r="AZ653" s="104"/>
      <c r="BA653" s="104"/>
      <c r="BB653" s="104"/>
      <c r="BC653" s="104"/>
      <c r="BD653" s="104"/>
      <c r="BE653" s="104"/>
      <c r="BF653" s="104"/>
      <c r="BG653" s="104"/>
      <c r="BH653" s="104"/>
      <c r="BI653" s="104"/>
      <c r="BJ653" s="104"/>
      <c r="BK653" s="104"/>
      <c r="BL653" s="104"/>
      <c r="BM653" s="104"/>
      <c r="BN653" s="104"/>
    </row>
    <row r="654">
      <c r="A654" s="104"/>
      <c r="B654" s="104"/>
      <c r="C654" s="104"/>
      <c r="D654" s="104"/>
      <c r="E654" s="104"/>
      <c r="F654" s="104"/>
      <c r="G654" s="104"/>
      <c r="H654" s="104"/>
      <c r="I654" s="104"/>
      <c r="J654" s="104"/>
      <c r="K654" s="105"/>
      <c r="L654" s="106"/>
      <c r="M654" s="104"/>
      <c r="N654" s="104"/>
      <c r="O654" s="104"/>
      <c r="P654" s="104"/>
      <c r="Q654" s="104"/>
      <c r="R654" s="106"/>
      <c r="S654" s="104"/>
      <c r="T654" s="104"/>
      <c r="U654" s="104"/>
      <c r="V654" s="104"/>
      <c r="W654" s="105"/>
      <c r="X654" s="104"/>
      <c r="Y654" s="104"/>
      <c r="Z654" s="104"/>
      <c r="AA654" s="104"/>
      <c r="AB654" s="104"/>
      <c r="AC654" s="104"/>
      <c r="AD654" s="104"/>
      <c r="AE654" s="104"/>
      <c r="AF654" s="104"/>
      <c r="AG654" s="104"/>
      <c r="AH654" s="104"/>
      <c r="AI654" s="104"/>
      <c r="AJ654" s="104"/>
      <c r="AK654" s="104"/>
      <c r="AL654" s="104"/>
      <c r="AM654" s="104"/>
      <c r="AN654" s="104"/>
      <c r="AO654" s="104"/>
      <c r="AP654" s="104"/>
      <c r="AQ654" s="104"/>
      <c r="AR654" s="104"/>
      <c r="AS654" s="104"/>
      <c r="AT654" s="104"/>
      <c r="AU654" s="104"/>
      <c r="AV654" s="104"/>
      <c r="AW654" s="104"/>
      <c r="AX654" s="104"/>
      <c r="AY654" s="104"/>
      <c r="AZ654" s="104"/>
      <c r="BA654" s="104"/>
      <c r="BB654" s="104"/>
      <c r="BC654" s="104"/>
      <c r="BD654" s="104"/>
      <c r="BE654" s="104"/>
      <c r="BF654" s="104"/>
      <c r="BG654" s="104"/>
      <c r="BH654" s="104"/>
      <c r="BI654" s="104"/>
      <c r="BJ654" s="104"/>
      <c r="BK654" s="104"/>
      <c r="BL654" s="104"/>
      <c r="BM654" s="104"/>
      <c r="BN654" s="104"/>
    </row>
    <row r="655">
      <c r="A655" s="104"/>
      <c r="B655" s="104"/>
      <c r="C655" s="104"/>
      <c r="D655" s="104"/>
      <c r="E655" s="104"/>
      <c r="F655" s="104"/>
      <c r="G655" s="104"/>
      <c r="H655" s="104"/>
      <c r="I655" s="104"/>
      <c r="J655" s="104"/>
      <c r="K655" s="105"/>
      <c r="L655" s="106"/>
      <c r="M655" s="104"/>
      <c r="N655" s="104"/>
      <c r="O655" s="104"/>
      <c r="P655" s="104"/>
      <c r="Q655" s="104"/>
      <c r="R655" s="106"/>
      <c r="S655" s="104"/>
      <c r="T655" s="104"/>
      <c r="U655" s="104"/>
      <c r="V655" s="104"/>
      <c r="W655" s="105"/>
      <c r="X655" s="104"/>
      <c r="Y655" s="104"/>
      <c r="Z655" s="104"/>
      <c r="AA655" s="104"/>
      <c r="AB655" s="104"/>
      <c r="AC655" s="104"/>
      <c r="AD655" s="104"/>
      <c r="AE655" s="104"/>
      <c r="AF655" s="104"/>
      <c r="AG655" s="104"/>
      <c r="AH655" s="104"/>
      <c r="AI655" s="104"/>
      <c r="AJ655" s="104"/>
      <c r="AK655" s="104"/>
      <c r="AL655" s="104"/>
      <c r="AM655" s="104"/>
      <c r="AN655" s="104"/>
      <c r="AO655" s="104"/>
      <c r="AP655" s="104"/>
      <c r="AQ655" s="104"/>
      <c r="AR655" s="104"/>
      <c r="AS655" s="104"/>
      <c r="AT655" s="104"/>
      <c r="AU655" s="104"/>
      <c r="AV655" s="104"/>
      <c r="AW655" s="104"/>
      <c r="AX655" s="104"/>
      <c r="AY655" s="104"/>
      <c r="AZ655" s="104"/>
      <c r="BA655" s="104"/>
      <c r="BB655" s="104"/>
      <c r="BC655" s="104"/>
      <c r="BD655" s="104"/>
      <c r="BE655" s="104"/>
      <c r="BF655" s="104"/>
      <c r="BG655" s="104"/>
      <c r="BH655" s="104"/>
      <c r="BI655" s="104"/>
      <c r="BJ655" s="104"/>
      <c r="BK655" s="104"/>
      <c r="BL655" s="104"/>
      <c r="BM655" s="104"/>
      <c r="BN655" s="104"/>
    </row>
    <row r="656">
      <c r="A656" s="104"/>
      <c r="B656" s="104"/>
      <c r="C656" s="104"/>
      <c r="D656" s="104"/>
      <c r="E656" s="104"/>
      <c r="F656" s="104"/>
      <c r="G656" s="104"/>
      <c r="H656" s="104"/>
      <c r="I656" s="104"/>
      <c r="J656" s="104"/>
      <c r="K656" s="105"/>
      <c r="L656" s="106"/>
      <c r="M656" s="104"/>
      <c r="N656" s="104"/>
      <c r="O656" s="104"/>
      <c r="P656" s="104"/>
      <c r="Q656" s="104"/>
      <c r="R656" s="106"/>
      <c r="S656" s="104"/>
      <c r="T656" s="104"/>
      <c r="U656" s="104"/>
      <c r="V656" s="104"/>
      <c r="W656" s="105"/>
      <c r="X656" s="104"/>
      <c r="Y656" s="104"/>
      <c r="Z656" s="104"/>
      <c r="AA656" s="104"/>
      <c r="AB656" s="104"/>
      <c r="AC656" s="104"/>
      <c r="AD656" s="104"/>
      <c r="AE656" s="104"/>
      <c r="AF656" s="104"/>
      <c r="AG656" s="104"/>
      <c r="AH656" s="104"/>
      <c r="AI656" s="104"/>
      <c r="AJ656" s="104"/>
      <c r="AK656" s="104"/>
      <c r="AL656" s="104"/>
      <c r="AM656" s="104"/>
      <c r="AN656" s="104"/>
      <c r="AO656" s="104"/>
      <c r="AP656" s="104"/>
      <c r="AQ656" s="104"/>
      <c r="AR656" s="104"/>
      <c r="AS656" s="104"/>
      <c r="AT656" s="104"/>
      <c r="AU656" s="104"/>
      <c r="AV656" s="104"/>
      <c r="AW656" s="104"/>
      <c r="AX656" s="104"/>
      <c r="AY656" s="104"/>
      <c r="AZ656" s="104"/>
      <c r="BA656" s="104"/>
      <c r="BB656" s="104"/>
      <c r="BC656" s="104"/>
      <c r="BD656" s="104"/>
      <c r="BE656" s="104"/>
      <c r="BF656" s="104"/>
      <c r="BG656" s="104"/>
      <c r="BH656" s="104"/>
      <c r="BI656" s="104"/>
      <c r="BJ656" s="104"/>
      <c r="BK656" s="104"/>
      <c r="BL656" s="104"/>
      <c r="BM656" s="104"/>
      <c r="BN656" s="104"/>
    </row>
    <row r="657">
      <c r="A657" s="104"/>
      <c r="B657" s="104"/>
      <c r="C657" s="104"/>
      <c r="D657" s="104"/>
      <c r="E657" s="104"/>
      <c r="F657" s="104"/>
      <c r="G657" s="104"/>
      <c r="H657" s="104"/>
      <c r="I657" s="104"/>
      <c r="J657" s="104"/>
      <c r="K657" s="105"/>
      <c r="L657" s="106"/>
      <c r="M657" s="104"/>
      <c r="N657" s="104"/>
      <c r="O657" s="104"/>
      <c r="P657" s="104"/>
      <c r="Q657" s="104"/>
      <c r="R657" s="106"/>
      <c r="S657" s="104"/>
      <c r="T657" s="104"/>
      <c r="U657" s="104"/>
      <c r="V657" s="104"/>
      <c r="W657" s="105"/>
      <c r="X657" s="104"/>
      <c r="Y657" s="104"/>
      <c r="Z657" s="104"/>
      <c r="AA657" s="104"/>
      <c r="AB657" s="104"/>
      <c r="AC657" s="104"/>
      <c r="AD657" s="104"/>
      <c r="AE657" s="104"/>
      <c r="AF657" s="104"/>
      <c r="AG657" s="104"/>
      <c r="AH657" s="104"/>
      <c r="AI657" s="104"/>
      <c r="AJ657" s="104"/>
      <c r="AK657" s="104"/>
      <c r="AL657" s="104"/>
      <c r="AM657" s="104"/>
      <c r="AN657" s="104"/>
      <c r="AO657" s="104"/>
      <c r="AP657" s="104"/>
      <c r="AQ657" s="104"/>
      <c r="AR657" s="104"/>
      <c r="AS657" s="104"/>
      <c r="AT657" s="104"/>
      <c r="AU657" s="104"/>
      <c r="AV657" s="104"/>
      <c r="AW657" s="104"/>
      <c r="AX657" s="104"/>
      <c r="AY657" s="104"/>
      <c r="AZ657" s="104"/>
      <c r="BA657" s="104"/>
      <c r="BB657" s="104"/>
      <c r="BC657" s="104"/>
      <c r="BD657" s="104"/>
      <c r="BE657" s="104"/>
      <c r="BF657" s="104"/>
      <c r="BG657" s="104"/>
      <c r="BH657" s="104"/>
      <c r="BI657" s="104"/>
      <c r="BJ657" s="104"/>
      <c r="BK657" s="104"/>
      <c r="BL657" s="104"/>
      <c r="BM657" s="104"/>
      <c r="BN657" s="104"/>
    </row>
    <row r="658">
      <c r="A658" s="104"/>
      <c r="B658" s="104"/>
      <c r="C658" s="104"/>
      <c r="D658" s="104"/>
      <c r="E658" s="104"/>
      <c r="F658" s="104"/>
      <c r="G658" s="104"/>
      <c r="H658" s="104"/>
      <c r="I658" s="104"/>
      <c r="J658" s="104"/>
      <c r="K658" s="105"/>
      <c r="L658" s="106"/>
      <c r="M658" s="104"/>
      <c r="N658" s="104"/>
      <c r="O658" s="104"/>
      <c r="P658" s="104"/>
      <c r="Q658" s="104"/>
      <c r="R658" s="106"/>
      <c r="S658" s="104"/>
      <c r="T658" s="104"/>
      <c r="U658" s="104"/>
      <c r="V658" s="104"/>
      <c r="W658" s="105"/>
      <c r="X658" s="104"/>
      <c r="Y658" s="104"/>
      <c r="Z658" s="104"/>
      <c r="AA658" s="104"/>
      <c r="AB658" s="104"/>
      <c r="AC658" s="104"/>
      <c r="AD658" s="104"/>
      <c r="AE658" s="104"/>
      <c r="AF658" s="104"/>
      <c r="AG658" s="104"/>
      <c r="AH658" s="104"/>
      <c r="AI658" s="104"/>
      <c r="AJ658" s="104"/>
      <c r="AK658" s="104"/>
      <c r="AL658" s="104"/>
      <c r="AM658" s="104"/>
      <c r="AN658" s="104"/>
      <c r="AO658" s="104"/>
      <c r="AP658" s="104"/>
      <c r="AQ658" s="104"/>
      <c r="AR658" s="104"/>
      <c r="AS658" s="104"/>
      <c r="AT658" s="104"/>
      <c r="AU658" s="104"/>
      <c r="AV658" s="104"/>
      <c r="AW658" s="104"/>
      <c r="AX658" s="104"/>
      <c r="AY658" s="104"/>
      <c r="AZ658" s="104"/>
      <c r="BA658" s="104"/>
      <c r="BB658" s="104"/>
      <c r="BC658" s="104"/>
      <c r="BD658" s="104"/>
      <c r="BE658" s="104"/>
      <c r="BF658" s="104"/>
      <c r="BG658" s="104"/>
      <c r="BH658" s="104"/>
      <c r="BI658" s="104"/>
      <c r="BJ658" s="104"/>
      <c r="BK658" s="104"/>
      <c r="BL658" s="104"/>
      <c r="BM658" s="104"/>
      <c r="BN658" s="104"/>
    </row>
    <row r="659">
      <c r="A659" s="104"/>
      <c r="B659" s="104"/>
      <c r="C659" s="104"/>
      <c r="D659" s="104"/>
      <c r="E659" s="104"/>
      <c r="F659" s="104"/>
      <c r="G659" s="104"/>
      <c r="H659" s="104"/>
      <c r="I659" s="104"/>
      <c r="J659" s="104"/>
      <c r="K659" s="105"/>
      <c r="L659" s="106"/>
      <c r="M659" s="104"/>
      <c r="N659" s="104"/>
      <c r="O659" s="104"/>
      <c r="P659" s="104"/>
      <c r="Q659" s="104"/>
      <c r="R659" s="106"/>
      <c r="S659" s="104"/>
      <c r="T659" s="104"/>
      <c r="U659" s="104"/>
      <c r="V659" s="104"/>
      <c r="W659" s="105"/>
      <c r="X659" s="104"/>
      <c r="Y659" s="104"/>
      <c r="Z659" s="104"/>
      <c r="AA659" s="104"/>
      <c r="AB659" s="104"/>
      <c r="AC659" s="104"/>
      <c r="AD659" s="104"/>
      <c r="AE659" s="104"/>
      <c r="AF659" s="104"/>
      <c r="AG659" s="104"/>
      <c r="AH659" s="104"/>
      <c r="AI659" s="104"/>
      <c r="AJ659" s="104"/>
      <c r="AK659" s="104"/>
      <c r="AL659" s="104"/>
      <c r="AM659" s="104"/>
      <c r="AN659" s="104"/>
      <c r="AO659" s="104"/>
      <c r="AP659" s="104"/>
      <c r="AQ659" s="104"/>
      <c r="AR659" s="104"/>
      <c r="AS659" s="104"/>
      <c r="AT659" s="104"/>
      <c r="AU659" s="104"/>
      <c r="AV659" s="104"/>
      <c r="AW659" s="104"/>
      <c r="AX659" s="104"/>
      <c r="AY659" s="104"/>
      <c r="AZ659" s="104"/>
      <c r="BA659" s="104"/>
      <c r="BB659" s="104"/>
      <c r="BC659" s="104"/>
      <c r="BD659" s="104"/>
      <c r="BE659" s="104"/>
      <c r="BF659" s="104"/>
      <c r="BG659" s="104"/>
      <c r="BH659" s="104"/>
      <c r="BI659" s="104"/>
      <c r="BJ659" s="104"/>
      <c r="BK659" s="104"/>
      <c r="BL659" s="104"/>
      <c r="BM659" s="104"/>
      <c r="BN659" s="104"/>
    </row>
    <row r="660">
      <c r="A660" s="104"/>
      <c r="B660" s="104"/>
      <c r="C660" s="104"/>
      <c r="D660" s="104"/>
      <c r="E660" s="104"/>
      <c r="F660" s="104"/>
      <c r="G660" s="104"/>
      <c r="H660" s="104"/>
      <c r="I660" s="104"/>
      <c r="J660" s="104"/>
      <c r="K660" s="105"/>
      <c r="L660" s="106"/>
      <c r="M660" s="104"/>
      <c r="N660" s="104"/>
      <c r="O660" s="104"/>
      <c r="P660" s="104"/>
      <c r="Q660" s="104"/>
      <c r="R660" s="106"/>
      <c r="S660" s="104"/>
      <c r="T660" s="104"/>
      <c r="U660" s="104"/>
      <c r="V660" s="104"/>
      <c r="W660" s="105"/>
      <c r="X660" s="104"/>
      <c r="Y660" s="104"/>
      <c r="Z660" s="104"/>
      <c r="AA660" s="104"/>
      <c r="AB660" s="104"/>
      <c r="AC660" s="104"/>
      <c r="AD660" s="104"/>
      <c r="AE660" s="104"/>
      <c r="AF660" s="104"/>
      <c r="AG660" s="104"/>
      <c r="AH660" s="104"/>
      <c r="AI660" s="104"/>
      <c r="AJ660" s="104"/>
      <c r="AK660" s="104"/>
      <c r="AL660" s="104"/>
      <c r="AM660" s="104"/>
      <c r="AN660" s="104"/>
      <c r="AO660" s="104"/>
      <c r="AP660" s="104"/>
      <c r="AQ660" s="104"/>
      <c r="AR660" s="104"/>
      <c r="AS660" s="104"/>
      <c r="AT660" s="104"/>
      <c r="AU660" s="104"/>
      <c r="AV660" s="104"/>
      <c r="AW660" s="104"/>
      <c r="AX660" s="104"/>
      <c r="AY660" s="104"/>
      <c r="AZ660" s="104"/>
      <c r="BA660" s="104"/>
      <c r="BB660" s="104"/>
      <c r="BC660" s="104"/>
      <c r="BD660" s="104"/>
      <c r="BE660" s="104"/>
      <c r="BF660" s="104"/>
      <c r="BG660" s="104"/>
      <c r="BH660" s="104"/>
      <c r="BI660" s="104"/>
      <c r="BJ660" s="104"/>
      <c r="BK660" s="104"/>
      <c r="BL660" s="104"/>
      <c r="BM660" s="104"/>
      <c r="BN660" s="104"/>
    </row>
    <row r="661">
      <c r="A661" s="104"/>
      <c r="B661" s="104"/>
      <c r="C661" s="104"/>
      <c r="D661" s="104"/>
      <c r="E661" s="104"/>
      <c r="F661" s="104"/>
      <c r="G661" s="104"/>
      <c r="H661" s="104"/>
      <c r="I661" s="104"/>
      <c r="J661" s="104"/>
      <c r="K661" s="105"/>
      <c r="L661" s="106"/>
      <c r="M661" s="104"/>
      <c r="N661" s="104"/>
      <c r="O661" s="104"/>
      <c r="P661" s="104"/>
      <c r="Q661" s="104"/>
      <c r="R661" s="106"/>
      <c r="S661" s="104"/>
      <c r="T661" s="104"/>
      <c r="U661" s="104"/>
      <c r="V661" s="104"/>
      <c r="W661" s="105"/>
      <c r="X661" s="104"/>
      <c r="Y661" s="104"/>
      <c r="Z661" s="104"/>
      <c r="AA661" s="104"/>
      <c r="AB661" s="104"/>
      <c r="AC661" s="104"/>
      <c r="AD661" s="104"/>
      <c r="AE661" s="104"/>
      <c r="AF661" s="104"/>
      <c r="AG661" s="104"/>
      <c r="AH661" s="104"/>
      <c r="AI661" s="104"/>
      <c r="AJ661" s="104"/>
      <c r="AK661" s="104"/>
      <c r="AL661" s="104"/>
      <c r="AM661" s="104"/>
      <c r="AN661" s="104"/>
      <c r="AO661" s="104"/>
      <c r="AP661" s="104"/>
      <c r="AQ661" s="104"/>
      <c r="AR661" s="104"/>
      <c r="AS661" s="104"/>
      <c r="AT661" s="104"/>
      <c r="AU661" s="104"/>
      <c r="AV661" s="104"/>
      <c r="AW661" s="104"/>
      <c r="AX661" s="104"/>
      <c r="AY661" s="104"/>
      <c r="AZ661" s="104"/>
      <c r="BA661" s="104"/>
      <c r="BB661" s="104"/>
      <c r="BC661" s="104"/>
      <c r="BD661" s="104"/>
      <c r="BE661" s="104"/>
      <c r="BF661" s="104"/>
      <c r="BG661" s="104"/>
      <c r="BH661" s="104"/>
      <c r="BI661" s="104"/>
      <c r="BJ661" s="104"/>
      <c r="BK661" s="104"/>
      <c r="BL661" s="104"/>
      <c r="BM661" s="104"/>
      <c r="BN661" s="104"/>
    </row>
    <row r="662">
      <c r="A662" s="104"/>
      <c r="B662" s="104"/>
      <c r="C662" s="104"/>
      <c r="D662" s="104"/>
      <c r="E662" s="104"/>
      <c r="F662" s="104"/>
      <c r="G662" s="104"/>
      <c r="H662" s="104"/>
      <c r="I662" s="104"/>
      <c r="J662" s="104"/>
      <c r="K662" s="105"/>
      <c r="L662" s="106"/>
      <c r="M662" s="104"/>
      <c r="N662" s="104"/>
      <c r="O662" s="104"/>
      <c r="P662" s="104"/>
      <c r="Q662" s="104"/>
      <c r="R662" s="106"/>
      <c r="S662" s="104"/>
      <c r="T662" s="104"/>
      <c r="U662" s="104"/>
      <c r="V662" s="104"/>
      <c r="W662" s="105"/>
      <c r="X662" s="104"/>
      <c r="Y662" s="104"/>
      <c r="Z662" s="104"/>
      <c r="AA662" s="104"/>
      <c r="AB662" s="104"/>
      <c r="AC662" s="104"/>
      <c r="AD662" s="104"/>
      <c r="AE662" s="104"/>
      <c r="AF662" s="104"/>
      <c r="AG662" s="104"/>
      <c r="AH662" s="104"/>
      <c r="AI662" s="104"/>
      <c r="AJ662" s="104"/>
      <c r="AK662" s="104"/>
      <c r="AL662" s="104"/>
      <c r="AM662" s="104"/>
      <c r="AN662" s="104"/>
      <c r="AO662" s="104"/>
      <c r="AP662" s="104"/>
      <c r="AQ662" s="104"/>
      <c r="AR662" s="104"/>
      <c r="AS662" s="104"/>
      <c r="AT662" s="104"/>
      <c r="AU662" s="104"/>
      <c r="AV662" s="104"/>
      <c r="AW662" s="104"/>
      <c r="AX662" s="104"/>
      <c r="AY662" s="104"/>
      <c r="AZ662" s="104"/>
      <c r="BA662" s="104"/>
      <c r="BB662" s="104"/>
      <c r="BC662" s="104"/>
      <c r="BD662" s="104"/>
      <c r="BE662" s="104"/>
      <c r="BF662" s="104"/>
      <c r="BG662" s="104"/>
      <c r="BH662" s="104"/>
      <c r="BI662" s="104"/>
      <c r="BJ662" s="104"/>
      <c r="BK662" s="104"/>
      <c r="BL662" s="104"/>
      <c r="BM662" s="104"/>
      <c r="BN662" s="104"/>
    </row>
    <row r="663">
      <c r="A663" s="104"/>
      <c r="B663" s="104"/>
      <c r="C663" s="104"/>
      <c r="D663" s="104"/>
      <c r="E663" s="104"/>
      <c r="F663" s="104"/>
      <c r="G663" s="104"/>
      <c r="H663" s="104"/>
      <c r="I663" s="104"/>
      <c r="J663" s="104"/>
      <c r="K663" s="105"/>
      <c r="L663" s="106"/>
      <c r="M663" s="104"/>
      <c r="N663" s="104"/>
      <c r="O663" s="104"/>
      <c r="P663" s="104"/>
      <c r="Q663" s="104"/>
      <c r="R663" s="106"/>
      <c r="S663" s="104"/>
      <c r="T663" s="104"/>
      <c r="U663" s="104"/>
      <c r="V663" s="104"/>
      <c r="W663" s="105"/>
      <c r="X663" s="104"/>
      <c r="Y663" s="104"/>
      <c r="Z663" s="104"/>
      <c r="AA663" s="104"/>
      <c r="AB663" s="104"/>
      <c r="AC663" s="104"/>
      <c r="AD663" s="104"/>
      <c r="AE663" s="104"/>
      <c r="AF663" s="104"/>
      <c r="AG663" s="104"/>
      <c r="AH663" s="104"/>
      <c r="AI663" s="104"/>
      <c r="AJ663" s="104"/>
      <c r="AK663" s="104"/>
      <c r="AL663" s="104"/>
      <c r="AM663" s="104"/>
      <c r="AN663" s="104"/>
      <c r="AO663" s="104"/>
      <c r="AP663" s="104"/>
      <c r="AQ663" s="104"/>
      <c r="AR663" s="104"/>
      <c r="AS663" s="104"/>
      <c r="AT663" s="104"/>
      <c r="AU663" s="104"/>
      <c r="AV663" s="104"/>
      <c r="AW663" s="104"/>
      <c r="AX663" s="104"/>
      <c r="AY663" s="104"/>
      <c r="AZ663" s="104"/>
      <c r="BA663" s="104"/>
      <c r="BB663" s="104"/>
      <c r="BC663" s="104"/>
      <c r="BD663" s="104"/>
      <c r="BE663" s="104"/>
      <c r="BF663" s="104"/>
      <c r="BG663" s="104"/>
      <c r="BH663" s="104"/>
      <c r="BI663" s="104"/>
      <c r="BJ663" s="104"/>
      <c r="BK663" s="104"/>
      <c r="BL663" s="104"/>
      <c r="BM663" s="104"/>
      <c r="BN663" s="104"/>
    </row>
    <row r="664">
      <c r="A664" s="104"/>
      <c r="B664" s="104"/>
      <c r="C664" s="104"/>
      <c r="D664" s="104"/>
      <c r="E664" s="104"/>
      <c r="F664" s="104"/>
      <c r="G664" s="104"/>
      <c r="H664" s="104"/>
      <c r="I664" s="104"/>
      <c r="J664" s="104"/>
      <c r="K664" s="105"/>
      <c r="L664" s="106"/>
      <c r="M664" s="104"/>
      <c r="N664" s="104"/>
      <c r="O664" s="104"/>
      <c r="P664" s="104"/>
      <c r="Q664" s="104"/>
      <c r="R664" s="106"/>
      <c r="S664" s="104"/>
      <c r="T664" s="104"/>
      <c r="U664" s="104"/>
      <c r="V664" s="104"/>
      <c r="W664" s="105"/>
      <c r="X664" s="104"/>
      <c r="Y664" s="104"/>
      <c r="Z664" s="104"/>
      <c r="AA664" s="104"/>
      <c r="AB664" s="104"/>
      <c r="AC664" s="104"/>
      <c r="AD664" s="104"/>
      <c r="AE664" s="104"/>
      <c r="AF664" s="104"/>
      <c r="AG664" s="104"/>
      <c r="AH664" s="104"/>
      <c r="AI664" s="104"/>
      <c r="AJ664" s="104"/>
      <c r="AK664" s="104"/>
      <c r="AL664" s="104"/>
      <c r="AM664" s="104"/>
      <c r="AN664" s="104"/>
      <c r="AO664" s="104"/>
      <c r="AP664" s="104"/>
      <c r="AQ664" s="104"/>
      <c r="AR664" s="104"/>
      <c r="AS664" s="104"/>
      <c r="AT664" s="104"/>
      <c r="AU664" s="104"/>
      <c r="AV664" s="104"/>
      <c r="AW664" s="104"/>
      <c r="AX664" s="104"/>
      <c r="AY664" s="104"/>
      <c r="AZ664" s="104"/>
      <c r="BA664" s="104"/>
      <c r="BB664" s="104"/>
      <c r="BC664" s="104"/>
      <c r="BD664" s="104"/>
      <c r="BE664" s="104"/>
      <c r="BF664" s="104"/>
      <c r="BG664" s="104"/>
      <c r="BH664" s="104"/>
      <c r="BI664" s="104"/>
      <c r="BJ664" s="104"/>
      <c r="BK664" s="104"/>
      <c r="BL664" s="104"/>
      <c r="BM664" s="104"/>
      <c r="BN664" s="104"/>
    </row>
    <row r="665">
      <c r="A665" s="104"/>
      <c r="B665" s="104"/>
      <c r="C665" s="104"/>
      <c r="D665" s="104"/>
      <c r="E665" s="104"/>
      <c r="F665" s="104"/>
      <c r="G665" s="104"/>
      <c r="H665" s="104"/>
      <c r="I665" s="104"/>
      <c r="J665" s="104"/>
      <c r="K665" s="105"/>
      <c r="L665" s="106"/>
      <c r="M665" s="104"/>
      <c r="N665" s="104"/>
      <c r="O665" s="104"/>
      <c r="P665" s="104"/>
      <c r="Q665" s="104"/>
      <c r="R665" s="106"/>
      <c r="S665" s="104"/>
      <c r="T665" s="104"/>
      <c r="U665" s="104"/>
      <c r="V665" s="104"/>
      <c r="W665" s="105"/>
      <c r="X665" s="104"/>
      <c r="Y665" s="104"/>
      <c r="Z665" s="104"/>
      <c r="AA665" s="104"/>
      <c r="AB665" s="104"/>
      <c r="AC665" s="104"/>
      <c r="AD665" s="104"/>
      <c r="AE665" s="104"/>
      <c r="AF665" s="104"/>
      <c r="AG665" s="104"/>
      <c r="AH665" s="104"/>
      <c r="AI665" s="104"/>
      <c r="AJ665" s="104"/>
      <c r="AK665" s="104"/>
      <c r="AL665" s="104"/>
      <c r="AM665" s="104"/>
      <c r="AN665" s="104"/>
      <c r="AO665" s="104"/>
      <c r="AP665" s="104"/>
      <c r="AQ665" s="104"/>
      <c r="AR665" s="104"/>
      <c r="AS665" s="104"/>
      <c r="AT665" s="104"/>
      <c r="AU665" s="104"/>
      <c r="AV665" s="104"/>
      <c r="AW665" s="104"/>
      <c r="AX665" s="104"/>
      <c r="AY665" s="104"/>
      <c r="AZ665" s="104"/>
      <c r="BA665" s="104"/>
      <c r="BB665" s="104"/>
      <c r="BC665" s="104"/>
      <c r="BD665" s="104"/>
      <c r="BE665" s="104"/>
      <c r="BF665" s="104"/>
      <c r="BG665" s="104"/>
      <c r="BH665" s="104"/>
      <c r="BI665" s="104"/>
      <c r="BJ665" s="104"/>
      <c r="BK665" s="104"/>
      <c r="BL665" s="104"/>
      <c r="BM665" s="104"/>
      <c r="BN665" s="104"/>
    </row>
    <row r="666">
      <c r="A666" s="104"/>
      <c r="B666" s="104"/>
      <c r="C666" s="104"/>
      <c r="D666" s="104"/>
      <c r="E666" s="104"/>
      <c r="F666" s="104"/>
      <c r="G666" s="104"/>
      <c r="H666" s="104"/>
      <c r="I666" s="104"/>
      <c r="J666" s="104"/>
      <c r="K666" s="105"/>
      <c r="L666" s="106"/>
      <c r="M666" s="104"/>
      <c r="N666" s="104"/>
      <c r="O666" s="104"/>
      <c r="P666" s="104"/>
      <c r="Q666" s="104"/>
      <c r="R666" s="106"/>
      <c r="S666" s="104"/>
      <c r="T666" s="104"/>
      <c r="U666" s="104"/>
      <c r="V666" s="104"/>
      <c r="W666" s="105"/>
      <c r="X666" s="104"/>
      <c r="Y666" s="104"/>
      <c r="Z666" s="104"/>
      <c r="AA666" s="104"/>
      <c r="AB666" s="104"/>
      <c r="AC666" s="104"/>
      <c r="AD666" s="104"/>
      <c r="AE666" s="104"/>
      <c r="AF666" s="104"/>
      <c r="AG666" s="104"/>
      <c r="AH666" s="104"/>
      <c r="AI666" s="104"/>
      <c r="AJ666" s="104"/>
      <c r="AK666" s="104"/>
      <c r="AL666" s="104"/>
      <c r="AM666" s="104"/>
      <c r="AN666" s="104"/>
      <c r="AO666" s="104"/>
      <c r="AP666" s="104"/>
      <c r="AQ666" s="104"/>
      <c r="AR666" s="104"/>
      <c r="AS666" s="104"/>
      <c r="AT666" s="104"/>
      <c r="AU666" s="104"/>
      <c r="AV666" s="104"/>
      <c r="AW666" s="104"/>
      <c r="AX666" s="104"/>
      <c r="AY666" s="104"/>
      <c r="AZ666" s="104"/>
      <c r="BA666" s="104"/>
      <c r="BB666" s="104"/>
      <c r="BC666" s="104"/>
      <c r="BD666" s="104"/>
      <c r="BE666" s="104"/>
      <c r="BF666" s="104"/>
      <c r="BG666" s="104"/>
      <c r="BH666" s="104"/>
      <c r="BI666" s="104"/>
      <c r="BJ666" s="104"/>
      <c r="BK666" s="104"/>
      <c r="BL666" s="104"/>
      <c r="BM666" s="104"/>
      <c r="BN666" s="104"/>
    </row>
    <row r="667">
      <c r="A667" s="104"/>
      <c r="B667" s="104"/>
      <c r="C667" s="104"/>
      <c r="D667" s="104"/>
      <c r="E667" s="104"/>
      <c r="F667" s="104"/>
      <c r="G667" s="104"/>
      <c r="H667" s="104"/>
      <c r="I667" s="104"/>
      <c r="J667" s="104"/>
      <c r="K667" s="105"/>
      <c r="L667" s="106"/>
      <c r="M667" s="104"/>
      <c r="N667" s="104"/>
      <c r="O667" s="104"/>
      <c r="P667" s="104"/>
      <c r="Q667" s="104"/>
      <c r="R667" s="106"/>
      <c r="S667" s="104"/>
      <c r="T667" s="104"/>
      <c r="U667" s="104"/>
      <c r="V667" s="104"/>
      <c r="W667" s="105"/>
      <c r="X667" s="104"/>
      <c r="Y667" s="104"/>
      <c r="Z667" s="104"/>
      <c r="AA667" s="104"/>
      <c r="AB667" s="104"/>
      <c r="AC667" s="104"/>
      <c r="AD667" s="104"/>
      <c r="AE667" s="104"/>
      <c r="AF667" s="104"/>
      <c r="AG667" s="104"/>
      <c r="AH667" s="104"/>
      <c r="AI667" s="104"/>
      <c r="AJ667" s="104"/>
      <c r="AK667" s="104"/>
      <c r="AL667" s="104"/>
      <c r="AM667" s="104"/>
      <c r="AN667" s="104"/>
      <c r="AO667" s="104"/>
      <c r="AP667" s="104"/>
      <c r="AQ667" s="104"/>
      <c r="AR667" s="104"/>
      <c r="AS667" s="104"/>
      <c r="AT667" s="104"/>
      <c r="AU667" s="104"/>
      <c r="AV667" s="104"/>
      <c r="AW667" s="104"/>
      <c r="AX667" s="104"/>
      <c r="AY667" s="104"/>
      <c r="AZ667" s="104"/>
      <c r="BA667" s="104"/>
      <c r="BB667" s="104"/>
      <c r="BC667" s="104"/>
      <c r="BD667" s="104"/>
      <c r="BE667" s="104"/>
      <c r="BF667" s="104"/>
      <c r="BG667" s="104"/>
      <c r="BH667" s="104"/>
      <c r="BI667" s="104"/>
      <c r="BJ667" s="104"/>
      <c r="BK667" s="104"/>
      <c r="BL667" s="104"/>
      <c r="BM667" s="104"/>
      <c r="BN667" s="104"/>
    </row>
    <row r="668">
      <c r="A668" s="104"/>
      <c r="B668" s="104"/>
      <c r="C668" s="104"/>
      <c r="D668" s="104"/>
      <c r="E668" s="104"/>
      <c r="F668" s="104"/>
      <c r="G668" s="104"/>
      <c r="H668" s="104"/>
      <c r="I668" s="104"/>
      <c r="J668" s="104"/>
      <c r="K668" s="105"/>
      <c r="L668" s="106"/>
      <c r="M668" s="104"/>
      <c r="N668" s="104"/>
      <c r="O668" s="104"/>
      <c r="P668" s="104"/>
      <c r="Q668" s="104"/>
      <c r="R668" s="106"/>
      <c r="S668" s="104"/>
      <c r="T668" s="104"/>
      <c r="U668" s="104"/>
      <c r="V668" s="104"/>
      <c r="W668" s="105"/>
      <c r="X668" s="104"/>
      <c r="Y668" s="104"/>
      <c r="Z668" s="104"/>
      <c r="AA668" s="104"/>
      <c r="AB668" s="104"/>
      <c r="AC668" s="104"/>
      <c r="AD668" s="104"/>
      <c r="AE668" s="104"/>
      <c r="AF668" s="104"/>
      <c r="AG668" s="104"/>
      <c r="AH668" s="104"/>
      <c r="AI668" s="104"/>
      <c r="AJ668" s="104"/>
      <c r="AK668" s="104"/>
      <c r="AL668" s="104"/>
      <c r="AM668" s="104"/>
      <c r="AN668" s="104"/>
      <c r="AO668" s="104"/>
      <c r="AP668" s="104"/>
      <c r="AQ668" s="104"/>
      <c r="AR668" s="104"/>
      <c r="AS668" s="104"/>
      <c r="AT668" s="104"/>
      <c r="AU668" s="104"/>
      <c r="AV668" s="104"/>
      <c r="AW668" s="104"/>
      <c r="AX668" s="104"/>
      <c r="AY668" s="104"/>
      <c r="AZ668" s="104"/>
      <c r="BA668" s="104"/>
      <c r="BB668" s="104"/>
      <c r="BC668" s="104"/>
      <c r="BD668" s="104"/>
      <c r="BE668" s="104"/>
      <c r="BF668" s="104"/>
      <c r="BG668" s="104"/>
      <c r="BH668" s="104"/>
      <c r="BI668" s="104"/>
      <c r="BJ668" s="104"/>
      <c r="BK668" s="104"/>
      <c r="BL668" s="104"/>
      <c r="BM668" s="104"/>
      <c r="BN668" s="104"/>
    </row>
    <row r="669">
      <c r="A669" s="104"/>
      <c r="B669" s="104"/>
      <c r="C669" s="104"/>
      <c r="D669" s="104"/>
      <c r="E669" s="104"/>
      <c r="F669" s="104"/>
      <c r="G669" s="104"/>
      <c r="H669" s="104"/>
      <c r="I669" s="104"/>
      <c r="J669" s="104"/>
      <c r="K669" s="105"/>
      <c r="L669" s="106"/>
      <c r="M669" s="104"/>
      <c r="N669" s="104"/>
      <c r="O669" s="104"/>
      <c r="P669" s="104"/>
      <c r="Q669" s="104"/>
      <c r="R669" s="106"/>
      <c r="S669" s="104"/>
      <c r="T669" s="104"/>
      <c r="U669" s="104"/>
      <c r="V669" s="104"/>
      <c r="W669" s="105"/>
      <c r="X669" s="104"/>
      <c r="Y669" s="104"/>
      <c r="Z669" s="104"/>
      <c r="AA669" s="104"/>
      <c r="AB669" s="104"/>
      <c r="AC669" s="104"/>
      <c r="AD669" s="104"/>
      <c r="AE669" s="104"/>
      <c r="AF669" s="104"/>
      <c r="AG669" s="104"/>
      <c r="AH669" s="104"/>
      <c r="AI669" s="104"/>
      <c r="AJ669" s="104"/>
      <c r="AK669" s="104"/>
      <c r="AL669" s="104"/>
      <c r="AM669" s="104"/>
      <c r="AN669" s="104"/>
      <c r="AO669" s="104"/>
      <c r="AP669" s="104"/>
      <c r="AQ669" s="104"/>
      <c r="AR669" s="104"/>
      <c r="AS669" s="104"/>
      <c r="AT669" s="104"/>
      <c r="AU669" s="104"/>
      <c r="AV669" s="104"/>
      <c r="AW669" s="104"/>
      <c r="AX669" s="104"/>
      <c r="AY669" s="104"/>
      <c r="AZ669" s="104"/>
      <c r="BA669" s="104"/>
      <c r="BB669" s="104"/>
      <c r="BC669" s="104"/>
      <c r="BD669" s="104"/>
      <c r="BE669" s="104"/>
      <c r="BF669" s="104"/>
      <c r="BG669" s="104"/>
      <c r="BH669" s="104"/>
      <c r="BI669" s="104"/>
      <c r="BJ669" s="104"/>
      <c r="BK669" s="104"/>
      <c r="BL669" s="104"/>
      <c r="BM669" s="104"/>
      <c r="BN669" s="104"/>
    </row>
    <row r="670">
      <c r="A670" s="104"/>
      <c r="B670" s="104"/>
      <c r="C670" s="104"/>
      <c r="D670" s="104"/>
      <c r="E670" s="104"/>
      <c r="F670" s="104"/>
      <c r="G670" s="104"/>
      <c r="H670" s="104"/>
      <c r="I670" s="104"/>
      <c r="J670" s="104"/>
      <c r="K670" s="105"/>
      <c r="L670" s="106"/>
      <c r="M670" s="104"/>
      <c r="N670" s="104"/>
      <c r="O670" s="104"/>
      <c r="P670" s="104"/>
      <c r="Q670" s="104"/>
      <c r="R670" s="106"/>
      <c r="S670" s="104"/>
      <c r="T670" s="104"/>
      <c r="U670" s="104"/>
      <c r="V670" s="104"/>
      <c r="W670" s="105"/>
      <c r="X670" s="104"/>
      <c r="Y670" s="104"/>
      <c r="Z670" s="104"/>
      <c r="AA670" s="104"/>
      <c r="AB670" s="104"/>
      <c r="AC670" s="104"/>
      <c r="AD670" s="104"/>
      <c r="AE670" s="104"/>
      <c r="AF670" s="104"/>
      <c r="AG670" s="104"/>
      <c r="AH670" s="104"/>
      <c r="AI670" s="104"/>
      <c r="AJ670" s="104"/>
      <c r="AK670" s="104"/>
      <c r="AL670" s="104"/>
      <c r="AM670" s="104"/>
      <c r="AN670" s="104"/>
      <c r="AO670" s="104"/>
      <c r="AP670" s="104"/>
      <c r="AQ670" s="104"/>
      <c r="AR670" s="104"/>
      <c r="AS670" s="104"/>
      <c r="AT670" s="104"/>
      <c r="AU670" s="104"/>
      <c r="AV670" s="104"/>
      <c r="AW670" s="104"/>
      <c r="AX670" s="104"/>
      <c r="AY670" s="104"/>
      <c r="AZ670" s="104"/>
      <c r="BA670" s="104"/>
      <c r="BB670" s="104"/>
      <c r="BC670" s="104"/>
      <c r="BD670" s="104"/>
      <c r="BE670" s="104"/>
      <c r="BF670" s="104"/>
      <c r="BG670" s="104"/>
      <c r="BH670" s="104"/>
      <c r="BI670" s="104"/>
      <c r="BJ670" s="104"/>
      <c r="BK670" s="104"/>
      <c r="BL670" s="104"/>
      <c r="BM670" s="104"/>
      <c r="BN670" s="104"/>
    </row>
    <row r="671">
      <c r="A671" s="104"/>
      <c r="B671" s="104"/>
      <c r="C671" s="104"/>
      <c r="D671" s="104"/>
      <c r="E671" s="104"/>
      <c r="F671" s="104"/>
      <c r="G671" s="104"/>
      <c r="H671" s="104"/>
      <c r="I671" s="104"/>
      <c r="J671" s="104"/>
      <c r="K671" s="105"/>
      <c r="L671" s="106"/>
      <c r="M671" s="104"/>
      <c r="N671" s="104"/>
      <c r="O671" s="104"/>
      <c r="P671" s="104"/>
      <c r="Q671" s="104"/>
      <c r="R671" s="106"/>
      <c r="S671" s="104"/>
      <c r="T671" s="104"/>
      <c r="U671" s="104"/>
      <c r="V671" s="104"/>
      <c r="W671" s="105"/>
      <c r="X671" s="104"/>
      <c r="Y671" s="104"/>
      <c r="Z671" s="104"/>
      <c r="AA671" s="104"/>
      <c r="AB671" s="104"/>
      <c r="AC671" s="104"/>
      <c r="AD671" s="104"/>
      <c r="AE671" s="104"/>
      <c r="AF671" s="104"/>
      <c r="AG671" s="104"/>
      <c r="AH671" s="104"/>
      <c r="AI671" s="104"/>
      <c r="AJ671" s="104"/>
      <c r="AK671" s="104"/>
      <c r="AL671" s="104"/>
      <c r="AM671" s="104"/>
      <c r="AN671" s="104"/>
      <c r="AO671" s="104"/>
      <c r="AP671" s="104"/>
      <c r="AQ671" s="104"/>
      <c r="AR671" s="104"/>
      <c r="AS671" s="104"/>
      <c r="AT671" s="104"/>
      <c r="AU671" s="104"/>
      <c r="AV671" s="104"/>
      <c r="AW671" s="104"/>
      <c r="AX671" s="104"/>
      <c r="AY671" s="104"/>
      <c r="AZ671" s="104"/>
      <c r="BA671" s="104"/>
      <c r="BB671" s="104"/>
      <c r="BC671" s="104"/>
      <c r="BD671" s="104"/>
      <c r="BE671" s="104"/>
      <c r="BF671" s="104"/>
      <c r="BG671" s="104"/>
      <c r="BH671" s="104"/>
      <c r="BI671" s="104"/>
      <c r="BJ671" s="104"/>
      <c r="BK671" s="104"/>
      <c r="BL671" s="104"/>
      <c r="BM671" s="104"/>
      <c r="BN671" s="104"/>
    </row>
    <row r="672">
      <c r="A672" s="104"/>
      <c r="B672" s="104"/>
      <c r="C672" s="104"/>
      <c r="D672" s="104"/>
      <c r="E672" s="104"/>
      <c r="F672" s="104"/>
      <c r="G672" s="104"/>
      <c r="H672" s="104"/>
      <c r="I672" s="104"/>
      <c r="J672" s="104"/>
      <c r="K672" s="105"/>
      <c r="L672" s="106"/>
      <c r="M672" s="104"/>
      <c r="N672" s="104"/>
      <c r="O672" s="104"/>
      <c r="P672" s="104"/>
      <c r="Q672" s="104"/>
      <c r="R672" s="106"/>
      <c r="S672" s="104"/>
      <c r="T672" s="104"/>
      <c r="U672" s="104"/>
      <c r="V672" s="104"/>
      <c r="W672" s="105"/>
      <c r="X672" s="104"/>
      <c r="Y672" s="104"/>
      <c r="Z672" s="104"/>
      <c r="AA672" s="104"/>
      <c r="AB672" s="104"/>
      <c r="AC672" s="104"/>
      <c r="AD672" s="104"/>
      <c r="AE672" s="104"/>
      <c r="AF672" s="104"/>
      <c r="AG672" s="104"/>
      <c r="AH672" s="104"/>
      <c r="AI672" s="104"/>
      <c r="AJ672" s="104"/>
      <c r="AK672" s="104"/>
      <c r="AL672" s="104"/>
      <c r="AM672" s="104"/>
      <c r="AN672" s="104"/>
      <c r="AO672" s="104"/>
      <c r="AP672" s="104"/>
      <c r="AQ672" s="104"/>
      <c r="AR672" s="104"/>
      <c r="AS672" s="104"/>
      <c r="AT672" s="104"/>
      <c r="AU672" s="104"/>
      <c r="AV672" s="104"/>
      <c r="AW672" s="104"/>
      <c r="AX672" s="104"/>
      <c r="AY672" s="104"/>
      <c r="AZ672" s="104"/>
      <c r="BA672" s="104"/>
      <c r="BB672" s="104"/>
      <c r="BC672" s="104"/>
      <c r="BD672" s="104"/>
      <c r="BE672" s="104"/>
      <c r="BF672" s="104"/>
      <c r="BG672" s="104"/>
      <c r="BH672" s="104"/>
      <c r="BI672" s="104"/>
      <c r="BJ672" s="104"/>
      <c r="BK672" s="104"/>
      <c r="BL672" s="104"/>
      <c r="BM672" s="104"/>
      <c r="BN672" s="104"/>
    </row>
    <row r="673">
      <c r="A673" s="104"/>
      <c r="B673" s="104"/>
      <c r="C673" s="104"/>
      <c r="D673" s="104"/>
      <c r="E673" s="104"/>
      <c r="F673" s="104"/>
      <c r="G673" s="104"/>
      <c r="H673" s="104"/>
      <c r="I673" s="104"/>
      <c r="J673" s="104"/>
      <c r="K673" s="105"/>
      <c r="L673" s="106"/>
      <c r="M673" s="104"/>
      <c r="N673" s="104"/>
      <c r="O673" s="104"/>
      <c r="P673" s="104"/>
      <c r="Q673" s="104"/>
      <c r="R673" s="106"/>
      <c r="S673" s="104"/>
      <c r="T673" s="104"/>
      <c r="U673" s="104"/>
      <c r="V673" s="104"/>
      <c r="W673" s="105"/>
      <c r="X673" s="104"/>
      <c r="Y673" s="104"/>
      <c r="Z673" s="104"/>
      <c r="AA673" s="104"/>
      <c r="AB673" s="104"/>
      <c r="AC673" s="104"/>
      <c r="AD673" s="104"/>
      <c r="AE673" s="104"/>
      <c r="AF673" s="104"/>
      <c r="AG673" s="104"/>
      <c r="AH673" s="104"/>
      <c r="AI673" s="104"/>
      <c r="AJ673" s="104"/>
      <c r="AK673" s="104"/>
      <c r="AL673" s="104"/>
      <c r="AM673" s="104"/>
      <c r="AN673" s="104"/>
      <c r="AO673" s="104"/>
      <c r="AP673" s="104"/>
      <c r="AQ673" s="104"/>
      <c r="AR673" s="104"/>
      <c r="AS673" s="104"/>
      <c r="AT673" s="104"/>
      <c r="AU673" s="104"/>
      <c r="AV673" s="104"/>
      <c r="AW673" s="104"/>
      <c r="AX673" s="104"/>
      <c r="AY673" s="104"/>
      <c r="AZ673" s="104"/>
      <c r="BA673" s="104"/>
      <c r="BB673" s="104"/>
      <c r="BC673" s="104"/>
      <c r="BD673" s="104"/>
      <c r="BE673" s="104"/>
      <c r="BF673" s="104"/>
      <c r="BG673" s="104"/>
      <c r="BH673" s="104"/>
      <c r="BI673" s="104"/>
      <c r="BJ673" s="104"/>
      <c r="BK673" s="104"/>
      <c r="BL673" s="104"/>
      <c r="BM673" s="104"/>
      <c r="BN673" s="104"/>
    </row>
    <row r="674">
      <c r="A674" s="104"/>
      <c r="B674" s="104"/>
      <c r="C674" s="104"/>
      <c r="D674" s="104"/>
      <c r="E674" s="104"/>
      <c r="F674" s="104"/>
      <c r="G674" s="104"/>
      <c r="H674" s="104"/>
      <c r="I674" s="104"/>
      <c r="J674" s="104"/>
      <c r="K674" s="105"/>
      <c r="L674" s="106"/>
      <c r="M674" s="104"/>
      <c r="N674" s="104"/>
      <c r="O674" s="104"/>
      <c r="P674" s="104"/>
      <c r="Q674" s="104"/>
      <c r="R674" s="106"/>
      <c r="S674" s="104"/>
      <c r="T674" s="104"/>
      <c r="U674" s="104"/>
      <c r="V674" s="104"/>
      <c r="W674" s="105"/>
      <c r="X674" s="104"/>
      <c r="Y674" s="104"/>
      <c r="Z674" s="104"/>
      <c r="AA674" s="104"/>
      <c r="AB674" s="104"/>
      <c r="AC674" s="104"/>
      <c r="AD674" s="104"/>
      <c r="AE674" s="104"/>
      <c r="AF674" s="104"/>
      <c r="AG674" s="104"/>
      <c r="AH674" s="104"/>
      <c r="AI674" s="104"/>
      <c r="AJ674" s="104"/>
      <c r="AK674" s="104"/>
      <c r="AL674" s="104"/>
      <c r="AM674" s="104"/>
      <c r="AN674" s="104"/>
      <c r="AO674" s="104"/>
      <c r="AP674" s="104"/>
      <c r="AQ674" s="104"/>
      <c r="AR674" s="104"/>
      <c r="AS674" s="104"/>
      <c r="AT674" s="104"/>
      <c r="AU674" s="104"/>
      <c r="AV674" s="104"/>
      <c r="AW674" s="104"/>
      <c r="AX674" s="104"/>
      <c r="AY674" s="104"/>
      <c r="AZ674" s="104"/>
      <c r="BA674" s="104"/>
      <c r="BB674" s="104"/>
      <c r="BC674" s="104"/>
      <c r="BD674" s="104"/>
      <c r="BE674" s="104"/>
      <c r="BF674" s="104"/>
      <c r="BG674" s="104"/>
      <c r="BH674" s="104"/>
      <c r="BI674" s="104"/>
      <c r="BJ674" s="104"/>
      <c r="BK674" s="104"/>
      <c r="BL674" s="104"/>
      <c r="BM674" s="104"/>
      <c r="BN674" s="104"/>
    </row>
    <row r="675">
      <c r="A675" s="104"/>
      <c r="B675" s="104"/>
      <c r="C675" s="104"/>
      <c r="D675" s="104"/>
      <c r="E675" s="104"/>
      <c r="F675" s="104"/>
      <c r="G675" s="104"/>
      <c r="H675" s="104"/>
      <c r="I675" s="104"/>
      <c r="J675" s="104"/>
      <c r="K675" s="105"/>
      <c r="L675" s="106"/>
      <c r="M675" s="104"/>
      <c r="N675" s="104"/>
      <c r="O675" s="104"/>
      <c r="P675" s="104"/>
      <c r="Q675" s="104"/>
      <c r="R675" s="106"/>
      <c r="S675" s="104"/>
      <c r="T675" s="104"/>
      <c r="U675" s="104"/>
      <c r="V675" s="104"/>
      <c r="W675" s="105"/>
      <c r="X675" s="104"/>
      <c r="Y675" s="104"/>
      <c r="Z675" s="104"/>
      <c r="AA675" s="104"/>
      <c r="AB675" s="104"/>
      <c r="AC675" s="104"/>
      <c r="AD675" s="104"/>
      <c r="AE675" s="104"/>
      <c r="AF675" s="104"/>
      <c r="AG675" s="104"/>
      <c r="AH675" s="104"/>
      <c r="AI675" s="104"/>
      <c r="AJ675" s="104"/>
      <c r="AK675" s="104"/>
      <c r="AL675" s="104"/>
      <c r="AM675" s="104"/>
      <c r="AN675" s="104"/>
      <c r="AO675" s="104"/>
      <c r="AP675" s="104"/>
      <c r="AQ675" s="104"/>
      <c r="AR675" s="104"/>
      <c r="AS675" s="104"/>
      <c r="AT675" s="104"/>
      <c r="AU675" s="104"/>
      <c r="AV675" s="104"/>
      <c r="AW675" s="104"/>
      <c r="AX675" s="104"/>
      <c r="AY675" s="104"/>
      <c r="AZ675" s="104"/>
      <c r="BA675" s="104"/>
      <c r="BB675" s="104"/>
      <c r="BC675" s="104"/>
      <c r="BD675" s="104"/>
      <c r="BE675" s="104"/>
      <c r="BF675" s="104"/>
      <c r="BG675" s="104"/>
      <c r="BH675" s="104"/>
      <c r="BI675" s="104"/>
      <c r="BJ675" s="104"/>
      <c r="BK675" s="104"/>
      <c r="BL675" s="104"/>
      <c r="BM675" s="104"/>
      <c r="BN675" s="104"/>
    </row>
    <row r="676">
      <c r="A676" s="104"/>
      <c r="B676" s="104"/>
      <c r="C676" s="104"/>
      <c r="D676" s="104"/>
      <c r="E676" s="104"/>
      <c r="F676" s="104"/>
      <c r="G676" s="104"/>
      <c r="H676" s="104"/>
      <c r="I676" s="104"/>
      <c r="J676" s="104"/>
      <c r="K676" s="105"/>
      <c r="L676" s="106"/>
      <c r="M676" s="104"/>
      <c r="N676" s="104"/>
      <c r="O676" s="104"/>
      <c r="P676" s="104"/>
      <c r="Q676" s="104"/>
      <c r="R676" s="106"/>
      <c r="S676" s="104"/>
      <c r="T676" s="104"/>
      <c r="U676" s="104"/>
      <c r="V676" s="104"/>
      <c r="W676" s="105"/>
      <c r="X676" s="104"/>
      <c r="Y676" s="104"/>
      <c r="Z676" s="104"/>
      <c r="AA676" s="104"/>
      <c r="AB676" s="104"/>
      <c r="AC676" s="104"/>
      <c r="AD676" s="104"/>
      <c r="AE676" s="104"/>
      <c r="AF676" s="104"/>
      <c r="AG676" s="104"/>
      <c r="AH676" s="104"/>
      <c r="AI676" s="104"/>
      <c r="AJ676" s="104"/>
      <c r="AK676" s="104"/>
      <c r="AL676" s="104"/>
      <c r="AM676" s="104"/>
      <c r="AN676" s="104"/>
      <c r="AO676" s="104"/>
      <c r="AP676" s="104"/>
      <c r="AQ676" s="104"/>
      <c r="AR676" s="104"/>
      <c r="AS676" s="104"/>
      <c r="AT676" s="104"/>
      <c r="AU676" s="104"/>
      <c r="AV676" s="104"/>
      <c r="AW676" s="104"/>
      <c r="AX676" s="104"/>
      <c r="AY676" s="104"/>
      <c r="AZ676" s="104"/>
      <c r="BA676" s="104"/>
      <c r="BB676" s="104"/>
      <c r="BC676" s="104"/>
      <c r="BD676" s="104"/>
      <c r="BE676" s="104"/>
      <c r="BF676" s="104"/>
      <c r="BG676" s="104"/>
      <c r="BH676" s="104"/>
      <c r="BI676" s="104"/>
      <c r="BJ676" s="104"/>
      <c r="BK676" s="104"/>
      <c r="BL676" s="104"/>
      <c r="BM676" s="104"/>
      <c r="BN676" s="104"/>
    </row>
    <row r="677">
      <c r="A677" s="104"/>
      <c r="B677" s="104"/>
      <c r="C677" s="104"/>
      <c r="D677" s="104"/>
      <c r="E677" s="104"/>
      <c r="F677" s="104"/>
      <c r="G677" s="104"/>
      <c r="H677" s="104"/>
      <c r="I677" s="104"/>
      <c r="J677" s="104"/>
      <c r="K677" s="105"/>
      <c r="L677" s="106"/>
      <c r="M677" s="104"/>
      <c r="N677" s="104"/>
      <c r="O677" s="104"/>
      <c r="P677" s="104"/>
      <c r="Q677" s="104"/>
      <c r="R677" s="106"/>
      <c r="S677" s="104"/>
      <c r="T677" s="104"/>
      <c r="U677" s="104"/>
      <c r="V677" s="104"/>
      <c r="W677" s="105"/>
      <c r="X677" s="104"/>
      <c r="Y677" s="104"/>
      <c r="Z677" s="104"/>
      <c r="AA677" s="104"/>
      <c r="AB677" s="104"/>
      <c r="AC677" s="104"/>
      <c r="AD677" s="104"/>
      <c r="AE677" s="104"/>
      <c r="AF677" s="104"/>
      <c r="AG677" s="104"/>
      <c r="AH677" s="104"/>
      <c r="AI677" s="104"/>
      <c r="AJ677" s="104"/>
      <c r="AK677" s="104"/>
      <c r="AL677" s="104"/>
      <c r="AM677" s="104"/>
      <c r="AN677" s="104"/>
      <c r="AO677" s="104"/>
      <c r="AP677" s="104"/>
      <c r="AQ677" s="104"/>
      <c r="AR677" s="104"/>
      <c r="AS677" s="104"/>
      <c r="AT677" s="104"/>
      <c r="AU677" s="104"/>
      <c r="AV677" s="104"/>
      <c r="AW677" s="104"/>
      <c r="AX677" s="104"/>
      <c r="AY677" s="104"/>
      <c r="AZ677" s="104"/>
      <c r="BA677" s="104"/>
      <c r="BB677" s="104"/>
      <c r="BC677" s="104"/>
      <c r="BD677" s="104"/>
      <c r="BE677" s="104"/>
      <c r="BF677" s="104"/>
      <c r="BG677" s="104"/>
      <c r="BH677" s="104"/>
      <c r="BI677" s="104"/>
      <c r="BJ677" s="104"/>
      <c r="BK677" s="104"/>
      <c r="BL677" s="104"/>
      <c r="BM677" s="104"/>
      <c r="BN677" s="104"/>
    </row>
    <row r="678">
      <c r="A678" s="104"/>
      <c r="B678" s="104"/>
      <c r="C678" s="104"/>
      <c r="D678" s="104"/>
      <c r="E678" s="104"/>
      <c r="F678" s="104"/>
      <c r="G678" s="104"/>
      <c r="H678" s="104"/>
      <c r="I678" s="104"/>
      <c r="J678" s="104"/>
      <c r="K678" s="105"/>
      <c r="L678" s="106"/>
      <c r="M678" s="104"/>
      <c r="N678" s="104"/>
      <c r="O678" s="104"/>
      <c r="P678" s="104"/>
      <c r="Q678" s="104"/>
      <c r="R678" s="106"/>
      <c r="S678" s="104"/>
      <c r="T678" s="104"/>
      <c r="U678" s="104"/>
      <c r="V678" s="104"/>
      <c r="W678" s="105"/>
      <c r="X678" s="104"/>
      <c r="Y678" s="104"/>
      <c r="Z678" s="104"/>
      <c r="AA678" s="104"/>
      <c r="AB678" s="104"/>
      <c r="AC678" s="104"/>
      <c r="AD678" s="104"/>
      <c r="AE678" s="104"/>
      <c r="AF678" s="104"/>
      <c r="AG678" s="104"/>
      <c r="AH678" s="104"/>
      <c r="AI678" s="104"/>
      <c r="AJ678" s="104"/>
      <c r="AK678" s="104"/>
      <c r="AL678" s="104"/>
      <c r="AM678" s="104"/>
      <c r="AN678" s="104"/>
      <c r="AO678" s="104"/>
      <c r="AP678" s="104"/>
      <c r="AQ678" s="104"/>
      <c r="AR678" s="104"/>
      <c r="AS678" s="104"/>
      <c r="AT678" s="104"/>
      <c r="AU678" s="104"/>
      <c r="AV678" s="104"/>
      <c r="AW678" s="104"/>
      <c r="AX678" s="104"/>
      <c r="AY678" s="104"/>
      <c r="AZ678" s="104"/>
      <c r="BA678" s="104"/>
      <c r="BB678" s="104"/>
      <c r="BC678" s="104"/>
      <c r="BD678" s="104"/>
      <c r="BE678" s="104"/>
      <c r="BF678" s="104"/>
      <c r="BG678" s="104"/>
      <c r="BH678" s="104"/>
      <c r="BI678" s="104"/>
      <c r="BJ678" s="104"/>
      <c r="BK678" s="104"/>
      <c r="BL678" s="104"/>
      <c r="BM678" s="104"/>
      <c r="BN678" s="104"/>
    </row>
    <row r="679">
      <c r="A679" s="104"/>
      <c r="B679" s="104"/>
      <c r="C679" s="104"/>
      <c r="D679" s="104"/>
      <c r="E679" s="104"/>
      <c r="F679" s="104"/>
      <c r="G679" s="104"/>
      <c r="H679" s="104"/>
      <c r="I679" s="104"/>
      <c r="J679" s="104"/>
      <c r="K679" s="105"/>
      <c r="L679" s="106"/>
      <c r="M679" s="104"/>
      <c r="N679" s="104"/>
      <c r="O679" s="104"/>
      <c r="P679" s="104"/>
      <c r="Q679" s="104"/>
      <c r="R679" s="106"/>
      <c r="S679" s="104"/>
      <c r="T679" s="104"/>
      <c r="U679" s="104"/>
      <c r="V679" s="104"/>
      <c r="W679" s="105"/>
      <c r="X679" s="104"/>
      <c r="Y679" s="104"/>
      <c r="Z679" s="104"/>
      <c r="AA679" s="104"/>
      <c r="AB679" s="104"/>
      <c r="AC679" s="104"/>
      <c r="AD679" s="104"/>
      <c r="AE679" s="104"/>
      <c r="AF679" s="104"/>
      <c r="AG679" s="104"/>
      <c r="AH679" s="104"/>
      <c r="AI679" s="104"/>
      <c r="AJ679" s="104"/>
      <c r="AK679" s="104"/>
      <c r="AL679" s="104"/>
      <c r="AM679" s="104"/>
      <c r="AN679" s="104"/>
      <c r="AO679" s="104"/>
      <c r="AP679" s="104"/>
      <c r="AQ679" s="104"/>
      <c r="AR679" s="104"/>
      <c r="AS679" s="104"/>
      <c r="AT679" s="104"/>
      <c r="AU679" s="104"/>
      <c r="AV679" s="104"/>
      <c r="AW679" s="104"/>
      <c r="AX679" s="104"/>
      <c r="AY679" s="104"/>
      <c r="AZ679" s="104"/>
      <c r="BA679" s="104"/>
      <c r="BB679" s="104"/>
      <c r="BC679" s="104"/>
      <c r="BD679" s="104"/>
      <c r="BE679" s="104"/>
      <c r="BF679" s="104"/>
      <c r="BG679" s="104"/>
      <c r="BH679" s="104"/>
      <c r="BI679" s="104"/>
      <c r="BJ679" s="104"/>
      <c r="BK679" s="104"/>
      <c r="BL679" s="104"/>
      <c r="BM679" s="104"/>
      <c r="BN679" s="104"/>
    </row>
    <row r="680">
      <c r="A680" s="104"/>
      <c r="B680" s="104"/>
      <c r="C680" s="104"/>
      <c r="D680" s="104"/>
      <c r="E680" s="104"/>
      <c r="F680" s="104"/>
      <c r="G680" s="104"/>
      <c r="H680" s="104"/>
      <c r="I680" s="104"/>
      <c r="J680" s="104"/>
      <c r="K680" s="105"/>
      <c r="L680" s="106"/>
      <c r="M680" s="104"/>
      <c r="N680" s="104"/>
      <c r="O680" s="104"/>
      <c r="P680" s="104"/>
      <c r="Q680" s="104"/>
      <c r="R680" s="106"/>
      <c r="S680" s="104"/>
      <c r="T680" s="104"/>
      <c r="U680" s="104"/>
      <c r="V680" s="104"/>
      <c r="W680" s="105"/>
      <c r="X680" s="104"/>
      <c r="Y680" s="104"/>
      <c r="Z680" s="104"/>
      <c r="AA680" s="104"/>
      <c r="AB680" s="104"/>
      <c r="AC680" s="104"/>
      <c r="AD680" s="104"/>
      <c r="AE680" s="104"/>
      <c r="AF680" s="104"/>
      <c r="AG680" s="104"/>
      <c r="AH680" s="104"/>
      <c r="AI680" s="104"/>
      <c r="AJ680" s="104"/>
      <c r="AK680" s="104"/>
      <c r="AL680" s="104"/>
      <c r="AM680" s="104"/>
      <c r="AN680" s="104"/>
      <c r="AO680" s="104"/>
      <c r="AP680" s="104"/>
      <c r="AQ680" s="104"/>
      <c r="AR680" s="104"/>
      <c r="AS680" s="104"/>
      <c r="AT680" s="104"/>
      <c r="AU680" s="104"/>
      <c r="AV680" s="104"/>
      <c r="AW680" s="104"/>
      <c r="AX680" s="104"/>
      <c r="AY680" s="104"/>
      <c r="AZ680" s="104"/>
      <c r="BA680" s="104"/>
      <c r="BB680" s="104"/>
      <c r="BC680" s="104"/>
      <c r="BD680" s="104"/>
      <c r="BE680" s="104"/>
      <c r="BF680" s="104"/>
      <c r="BG680" s="104"/>
      <c r="BH680" s="104"/>
      <c r="BI680" s="104"/>
      <c r="BJ680" s="104"/>
      <c r="BK680" s="104"/>
      <c r="BL680" s="104"/>
      <c r="BM680" s="104"/>
      <c r="BN680" s="104"/>
    </row>
    <row r="681">
      <c r="A681" s="104"/>
      <c r="B681" s="104"/>
      <c r="C681" s="104"/>
      <c r="D681" s="104"/>
      <c r="E681" s="104"/>
      <c r="F681" s="104"/>
      <c r="G681" s="104"/>
      <c r="H681" s="104"/>
      <c r="I681" s="104"/>
      <c r="J681" s="104"/>
      <c r="K681" s="105"/>
      <c r="L681" s="106"/>
      <c r="M681" s="104"/>
      <c r="N681" s="104"/>
      <c r="O681" s="104"/>
      <c r="P681" s="104"/>
      <c r="Q681" s="104"/>
      <c r="R681" s="106"/>
      <c r="S681" s="104"/>
      <c r="T681" s="104"/>
      <c r="U681" s="104"/>
      <c r="V681" s="104"/>
      <c r="W681" s="105"/>
      <c r="X681" s="104"/>
      <c r="Y681" s="104"/>
      <c r="Z681" s="104"/>
      <c r="AA681" s="104"/>
      <c r="AB681" s="104"/>
      <c r="AC681" s="104"/>
      <c r="AD681" s="104"/>
      <c r="AE681" s="104"/>
      <c r="AF681" s="104"/>
      <c r="AG681" s="104"/>
      <c r="AH681" s="104"/>
      <c r="AI681" s="104"/>
      <c r="AJ681" s="104"/>
      <c r="AK681" s="104"/>
      <c r="AL681" s="104"/>
      <c r="AM681" s="104"/>
      <c r="AN681" s="104"/>
      <c r="AO681" s="104"/>
      <c r="AP681" s="104"/>
      <c r="AQ681" s="104"/>
      <c r="AR681" s="104"/>
      <c r="AS681" s="104"/>
      <c r="AT681" s="104"/>
      <c r="AU681" s="104"/>
      <c r="AV681" s="104"/>
      <c r="AW681" s="104"/>
      <c r="AX681" s="104"/>
      <c r="AY681" s="104"/>
      <c r="AZ681" s="104"/>
      <c r="BA681" s="104"/>
      <c r="BB681" s="104"/>
      <c r="BC681" s="104"/>
      <c r="BD681" s="104"/>
      <c r="BE681" s="104"/>
      <c r="BF681" s="104"/>
      <c r="BG681" s="104"/>
      <c r="BH681" s="104"/>
      <c r="BI681" s="104"/>
      <c r="BJ681" s="104"/>
      <c r="BK681" s="104"/>
      <c r="BL681" s="104"/>
      <c r="BM681" s="104"/>
      <c r="BN681" s="104"/>
    </row>
    <row r="682">
      <c r="A682" s="104"/>
      <c r="B682" s="104"/>
      <c r="C682" s="104"/>
      <c r="D682" s="104"/>
      <c r="E682" s="104"/>
      <c r="F682" s="104"/>
      <c r="G682" s="104"/>
      <c r="H682" s="104"/>
      <c r="I682" s="104"/>
      <c r="J682" s="104"/>
      <c r="K682" s="105"/>
      <c r="L682" s="106"/>
      <c r="M682" s="104"/>
      <c r="N682" s="104"/>
      <c r="O682" s="104"/>
      <c r="P682" s="104"/>
      <c r="Q682" s="104"/>
      <c r="R682" s="106"/>
      <c r="S682" s="104"/>
      <c r="T682" s="104"/>
      <c r="U682" s="104"/>
      <c r="V682" s="104"/>
      <c r="W682" s="105"/>
      <c r="X682" s="104"/>
      <c r="Y682" s="104"/>
      <c r="Z682" s="104"/>
      <c r="AA682" s="104"/>
      <c r="AB682" s="104"/>
      <c r="AC682" s="104"/>
      <c r="AD682" s="104"/>
      <c r="AE682" s="104"/>
      <c r="AF682" s="104"/>
      <c r="AG682" s="104"/>
      <c r="AH682" s="104"/>
      <c r="AI682" s="104"/>
      <c r="AJ682" s="104"/>
      <c r="AK682" s="104"/>
      <c r="AL682" s="104"/>
      <c r="AM682" s="104"/>
      <c r="AN682" s="104"/>
      <c r="AO682" s="104"/>
      <c r="AP682" s="104"/>
      <c r="AQ682" s="104"/>
      <c r="AR682" s="104"/>
      <c r="AS682" s="104"/>
      <c r="AT682" s="104"/>
      <c r="AU682" s="104"/>
      <c r="AV682" s="104"/>
      <c r="AW682" s="104"/>
      <c r="AX682" s="104"/>
      <c r="AY682" s="104"/>
      <c r="AZ682" s="104"/>
      <c r="BA682" s="104"/>
      <c r="BB682" s="104"/>
      <c r="BC682" s="104"/>
      <c r="BD682" s="104"/>
      <c r="BE682" s="104"/>
      <c r="BF682" s="104"/>
      <c r="BG682" s="104"/>
      <c r="BH682" s="104"/>
      <c r="BI682" s="104"/>
      <c r="BJ682" s="104"/>
      <c r="BK682" s="104"/>
      <c r="BL682" s="104"/>
      <c r="BM682" s="104"/>
      <c r="BN682" s="104"/>
    </row>
    <row r="683">
      <c r="A683" s="104"/>
      <c r="B683" s="104"/>
      <c r="C683" s="104"/>
      <c r="D683" s="104"/>
      <c r="E683" s="104"/>
      <c r="F683" s="104"/>
      <c r="G683" s="104"/>
      <c r="H683" s="104"/>
      <c r="I683" s="104"/>
      <c r="J683" s="104"/>
      <c r="K683" s="105"/>
      <c r="L683" s="106"/>
      <c r="M683" s="104"/>
      <c r="N683" s="104"/>
      <c r="O683" s="104"/>
      <c r="P683" s="104"/>
      <c r="Q683" s="104"/>
      <c r="R683" s="106"/>
      <c r="S683" s="104"/>
      <c r="T683" s="104"/>
      <c r="U683" s="104"/>
      <c r="V683" s="104"/>
      <c r="W683" s="105"/>
      <c r="X683" s="104"/>
      <c r="Y683" s="104"/>
      <c r="Z683" s="104"/>
      <c r="AA683" s="104"/>
      <c r="AB683" s="104"/>
      <c r="AC683" s="104"/>
      <c r="AD683" s="104"/>
      <c r="AE683" s="104"/>
      <c r="AF683" s="104"/>
      <c r="AG683" s="104"/>
      <c r="AH683" s="104"/>
      <c r="AI683" s="104"/>
      <c r="AJ683" s="104"/>
      <c r="AK683" s="104"/>
      <c r="AL683" s="104"/>
      <c r="AM683" s="104"/>
      <c r="AN683" s="104"/>
      <c r="AO683" s="104"/>
      <c r="AP683" s="104"/>
      <c r="AQ683" s="104"/>
      <c r="AR683" s="104"/>
      <c r="AS683" s="104"/>
      <c r="AT683" s="104"/>
      <c r="AU683" s="104"/>
      <c r="AV683" s="104"/>
      <c r="AW683" s="104"/>
      <c r="AX683" s="104"/>
      <c r="AY683" s="104"/>
      <c r="AZ683" s="104"/>
      <c r="BA683" s="104"/>
      <c r="BB683" s="104"/>
      <c r="BC683" s="104"/>
      <c r="BD683" s="104"/>
      <c r="BE683" s="104"/>
      <c r="BF683" s="104"/>
      <c r="BG683" s="104"/>
      <c r="BH683" s="104"/>
      <c r="BI683" s="104"/>
      <c r="BJ683" s="104"/>
      <c r="BK683" s="104"/>
      <c r="BL683" s="104"/>
      <c r="BM683" s="104"/>
      <c r="BN683" s="104"/>
    </row>
    <row r="684">
      <c r="A684" s="104"/>
      <c r="B684" s="104"/>
      <c r="C684" s="104"/>
      <c r="D684" s="104"/>
      <c r="E684" s="104"/>
      <c r="F684" s="104"/>
      <c r="G684" s="104"/>
      <c r="H684" s="104"/>
      <c r="I684" s="104"/>
      <c r="J684" s="104"/>
      <c r="K684" s="105"/>
      <c r="L684" s="106"/>
      <c r="M684" s="104"/>
      <c r="N684" s="104"/>
      <c r="O684" s="104"/>
      <c r="P684" s="104"/>
      <c r="Q684" s="104"/>
      <c r="R684" s="106"/>
      <c r="S684" s="104"/>
      <c r="T684" s="104"/>
      <c r="U684" s="104"/>
      <c r="V684" s="104"/>
      <c r="W684" s="105"/>
      <c r="X684" s="104"/>
      <c r="Y684" s="104"/>
      <c r="Z684" s="104"/>
      <c r="AA684" s="104"/>
      <c r="AB684" s="104"/>
      <c r="AC684" s="104"/>
      <c r="AD684" s="104"/>
      <c r="AE684" s="104"/>
      <c r="AF684" s="104"/>
      <c r="AG684" s="104"/>
      <c r="AH684" s="104"/>
      <c r="AI684" s="104"/>
      <c r="AJ684" s="104"/>
      <c r="AK684" s="104"/>
      <c r="AL684" s="104"/>
      <c r="AM684" s="104"/>
      <c r="AN684" s="104"/>
      <c r="AO684" s="104"/>
      <c r="AP684" s="104"/>
      <c r="AQ684" s="104"/>
      <c r="AR684" s="104"/>
      <c r="AS684" s="104"/>
      <c r="AT684" s="104"/>
      <c r="AU684" s="104"/>
      <c r="AV684" s="104"/>
      <c r="AW684" s="104"/>
      <c r="AX684" s="104"/>
      <c r="AY684" s="104"/>
      <c r="AZ684" s="104"/>
      <c r="BA684" s="104"/>
      <c r="BB684" s="104"/>
      <c r="BC684" s="104"/>
      <c r="BD684" s="104"/>
      <c r="BE684" s="104"/>
      <c r="BF684" s="104"/>
      <c r="BG684" s="104"/>
      <c r="BH684" s="104"/>
      <c r="BI684" s="104"/>
      <c r="BJ684" s="104"/>
      <c r="BK684" s="104"/>
      <c r="BL684" s="104"/>
      <c r="BM684" s="104"/>
      <c r="BN684" s="104"/>
    </row>
    <row r="685">
      <c r="A685" s="104"/>
      <c r="B685" s="104"/>
      <c r="C685" s="104"/>
      <c r="D685" s="104"/>
      <c r="E685" s="104"/>
      <c r="F685" s="104"/>
      <c r="G685" s="104"/>
      <c r="H685" s="104"/>
      <c r="I685" s="104"/>
      <c r="J685" s="104"/>
      <c r="K685" s="105"/>
      <c r="L685" s="106"/>
      <c r="M685" s="104"/>
      <c r="N685" s="104"/>
      <c r="O685" s="104"/>
      <c r="P685" s="104"/>
      <c r="Q685" s="104"/>
      <c r="R685" s="106"/>
      <c r="S685" s="104"/>
      <c r="T685" s="104"/>
      <c r="U685" s="104"/>
      <c r="V685" s="104"/>
      <c r="W685" s="105"/>
      <c r="X685" s="104"/>
      <c r="Y685" s="104"/>
      <c r="Z685" s="104"/>
      <c r="AA685" s="104"/>
      <c r="AB685" s="104"/>
      <c r="AC685" s="104"/>
      <c r="AD685" s="104"/>
      <c r="AE685" s="104"/>
      <c r="AF685" s="104"/>
      <c r="AG685" s="104"/>
      <c r="AH685" s="104"/>
      <c r="AI685" s="104"/>
      <c r="AJ685" s="104"/>
      <c r="AK685" s="104"/>
      <c r="AL685" s="104"/>
      <c r="AM685" s="104"/>
      <c r="AN685" s="104"/>
      <c r="AO685" s="104"/>
      <c r="AP685" s="104"/>
      <c r="AQ685" s="104"/>
      <c r="AR685" s="104"/>
      <c r="AS685" s="104"/>
      <c r="AT685" s="104"/>
      <c r="AU685" s="104"/>
      <c r="AV685" s="104"/>
      <c r="AW685" s="104"/>
      <c r="AX685" s="104"/>
      <c r="AY685" s="104"/>
      <c r="AZ685" s="104"/>
      <c r="BA685" s="104"/>
      <c r="BB685" s="104"/>
      <c r="BC685" s="104"/>
      <c r="BD685" s="104"/>
      <c r="BE685" s="104"/>
      <c r="BF685" s="104"/>
      <c r="BG685" s="104"/>
      <c r="BH685" s="104"/>
      <c r="BI685" s="104"/>
      <c r="BJ685" s="104"/>
      <c r="BK685" s="104"/>
      <c r="BL685" s="104"/>
      <c r="BM685" s="104"/>
      <c r="BN685" s="104"/>
    </row>
    <row r="686">
      <c r="A686" s="104"/>
      <c r="B686" s="104"/>
      <c r="C686" s="104"/>
      <c r="D686" s="104"/>
      <c r="E686" s="104"/>
      <c r="F686" s="104"/>
      <c r="G686" s="104"/>
      <c r="H686" s="104"/>
      <c r="I686" s="104"/>
      <c r="J686" s="104"/>
      <c r="K686" s="105"/>
      <c r="L686" s="106"/>
      <c r="M686" s="104"/>
      <c r="N686" s="104"/>
      <c r="O686" s="104"/>
      <c r="P686" s="104"/>
      <c r="Q686" s="104"/>
      <c r="R686" s="106"/>
      <c r="S686" s="104"/>
      <c r="T686" s="104"/>
      <c r="U686" s="104"/>
      <c r="V686" s="104"/>
      <c r="W686" s="105"/>
      <c r="X686" s="104"/>
      <c r="Y686" s="104"/>
      <c r="Z686" s="104"/>
      <c r="AA686" s="104"/>
      <c r="AB686" s="104"/>
      <c r="AC686" s="104"/>
      <c r="AD686" s="104"/>
      <c r="AE686" s="104"/>
      <c r="AF686" s="104"/>
      <c r="AG686" s="104"/>
      <c r="AH686" s="104"/>
      <c r="AI686" s="104"/>
      <c r="AJ686" s="104"/>
      <c r="AK686" s="104"/>
      <c r="AL686" s="104"/>
      <c r="AM686" s="104"/>
      <c r="AN686" s="104"/>
      <c r="AO686" s="104"/>
      <c r="AP686" s="104"/>
      <c r="AQ686" s="104"/>
      <c r="AR686" s="104"/>
      <c r="AS686" s="104"/>
      <c r="AT686" s="104"/>
      <c r="AU686" s="104"/>
      <c r="AV686" s="104"/>
      <c r="AW686" s="104"/>
      <c r="AX686" s="104"/>
      <c r="AY686" s="104"/>
      <c r="AZ686" s="104"/>
      <c r="BA686" s="104"/>
      <c r="BB686" s="104"/>
      <c r="BC686" s="104"/>
      <c r="BD686" s="104"/>
      <c r="BE686" s="104"/>
      <c r="BF686" s="104"/>
      <c r="BG686" s="104"/>
      <c r="BH686" s="104"/>
      <c r="BI686" s="104"/>
      <c r="BJ686" s="104"/>
      <c r="BK686" s="104"/>
      <c r="BL686" s="104"/>
      <c r="BM686" s="104"/>
      <c r="BN686" s="104"/>
    </row>
    <row r="687">
      <c r="A687" s="104"/>
      <c r="B687" s="104"/>
      <c r="C687" s="104"/>
      <c r="D687" s="104"/>
      <c r="E687" s="104"/>
      <c r="F687" s="104"/>
      <c r="G687" s="104"/>
      <c r="H687" s="104"/>
      <c r="I687" s="104"/>
      <c r="J687" s="104"/>
      <c r="K687" s="105"/>
      <c r="L687" s="106"/>
      <c r="M687" s="104"/>
      <c r="N687" s="104"/>
      <c r="O687" s="104"/>
      <c r="P687" s="104"/>
      <c r="Q687" s="104"/>
      <c r="R687" s="106"/>
      <c r="S687" s="104"/>
      <c r="T687" s="104"/>
      <c r="U687" s="104"/>
      <c r="V687" s="104"/>
      <c r="W687" s="105"/>
      <c r="X687" s="104"/>
      <c r="Y687" s="104"/>
      <c r="Z687" s="104"/>
      <c r="AA687" s="104"/>
      <c r="AB687" s="104"/>
      <c r="AC687" s="104"/>
      <c r="AD687" s="104"/>
      <c r="AE687" s="104"/>
      <c r="AF687" s="104"/>
      <c r="AG687" s="104"/>
      <c r="AH687" s="104"/>
      <c r="AI687" s="104"/>
      <c r="AJ687" s="104"/>
      <c r="AK687" s="104"/>
      <c r="AL687" s="104"/>
      <c r="AM687" s="104"/>
      <c r="AN687" s="104"/>
      <c r="AO687" s="104"/>
      <c r="AP687" s="104"/>
      <c r="AQ687" s="104"/>
      <c r="AR687" s="104"/>
      <c r="AS687" s="104"/>
      <c r="AT687" s="104"/>
      <c r="AU687" s="104"/>
      <c r="AV687" s="104"/>
      <c r="AW687" s="104"/>
      <c r="AX687" s="104"/>
      <c r="AY687" s="104"/>
      <c r="AZ687" s="104"/>
      <c r="BA687" s="104"/>
      <c r="BB687" s="104"/>
      <c r="BC687" s="104"/>
      <c r="BD687" s="104"/>
      <c r="BE687" s="104"/>
      <c r="BF687" s="104"/>
      <c r="BG687" s="104"/>
      <c r="BH687" s="104"/>
      <c r="BI687" s="104"/>
      <c r="BJ687" s="104"/>
      <c r="BK687" s="104"/>
      <c r="BL687" s="104"/>
      <c r="BM687" s="104"/>
      <c r="BN687" s="104"/>
    </row>
    <row r="688">
      <c r="A688" s="104"/>
      <c r="B688" s="104"/>
      <c r="C688" s="104"/>
      <c r="D688" s="104"/>
      <c r="E688" s="104"/>
      <c r="F688" s="104"/>
      <c r="G688" s="104"/>
      <c r="H688" s="104"/>
      <c r="I688" s="104"/>
      <c r="J688" s="104"/>
      <c r="K688" s="105"/>
      <c r="L688" s="106"/>
      <c r="M688" s="104"/>
      <c r="N688" s="104"/>
      <c r="O688" s="104"/>
      <c r="P688" s="104"/>
      <c r="Q688" s="104"/>
      <c r="R688" s="106"/>
      <c r="S688" s="104"/>
      <c r="T688" s="104"/>
      <c r="U688" s="104"/>
      <c r="V688" s="104"/>
      <c r="W688" s="105"/>
      <c r="X688" s="104"/>
      <c r="Y688" s="104"/>
      <c r="Z688" s="104"/>
      <c r="AA688" s="104"/>
      <c r="AB688" s="104"/>
      <c r="AC688" s="104"/>
      <c r="AD688" s="104"/>
      <c r="AE688" s="104"/>
      <c r="AF688" s="104"/>
      <c r="AG688" s="104"/>
      <c r="AH688" s="104"/>
      <c r="AI688" s="104"/>
      <c r="AJ688" s="104"/>
      <c r="AK688" s="104"/>
      <c r="AL688" s="104"/>
      <c r="AM688" s="104"/>
      <c r="AN688" s="104"/>
      <c r="AO688" s="104"/>
      <c r="AP688" s="104"/>
      <c r="AQ688" s="104"/>
      <c r="AR688" s="104"/>
      <c r="AS688" s="104"/>
      <c r="AT688" s="104"/>
      <c r="AU688" s="104"/>
      <c r="AV688" s="104"/>
      <c r="AW688" s="104"/>
      <c r="AX688" s="104"/>
      <c r="AY688" s="104"/>
      <c r="AZ688" s="104"/>
      <c r="BA688" s="104"/>
      <c r="BB688" s="104"/>
      <c r="BC688" s="104"/>
      <c r="BD688" s="104"/>
      <c r="BE688" s="104"/>
      <c r="BF688" s="104"/>
      <c r="BG688" s="104"/>
      <c r="BH688" s="104"/>
      <c r="BI688" s="104"/>
      <c r="BJ688" s="104"/>
      <c r="BK688" s="104"/>
      <c r="BL688" s="104"/>
      <c r="BM688" s="104"/>
      <c r="BN688" s="104"/>
    </row>
    <row r="689">
      <c r="A689" s="104"/>
      <c r="B689" s="104"/>
      <c r="C689" s="104"/>
      <c r="D689" s="104"/>
      <c r="E689" s="104"/>
      <c r="F689" s="104"/>
      <c r="G689" s="104"/>
      <c r="H689" s="104"/>
      <c r="I689" s="104"/>
      <c r="J689" s="104"/>
      <c r="K689" s="105"/>
      <c r="L689" s="106"/>
      <c r="M689" s="104"/>
      <c r="N689" s="104"/>
      <c r="O689" s="104"/>
      <c r="P689" s="104"/>
      <c r="Q689" s="104"/>
      <c r="R689" s="106"/>
      <c r="S689" s="104"/>
      <c r="T689" s="104"/>
      <c r="U689" s="104"/>
      <c r="V689" s="104"/>
      <c r="W689" s="105"/>
      <c r="X689" s="104"/>
      <c r="Y689" s="104"/>
      <c r="Z689" s="104"/>
      <c r="AA689" s="104"/>
      <c r="AB689" s="104"/>
      <c r="AC689" s="104"/>
      <c r="AD689" s="104"/>
      <c r="AE689" s="104"/>
      <c r="AF689" s="104"/>
      <c r="AG689" s="104"/>
      <c r="AH689" s="104"/>
      <c r="AI689" s="104"/>
      <c r="AJ689" s="104"/>
      <c r="AK689" s="104"/>
      <c r="AL689" s="104"/>
      <c r="AM689" s="104"/>
      <c r="AN689" s="104"/>
      <c r="AO689" s="104"/>
      <c r="AP689" s="104"/>
      <c r="AQ689" s="104"/>
      <c r="AR689" s="104"/>
      <c r="AS689" s="104"/>
      <c r="AT689" s="104"/>
      <c r="AU689" s="104"/>
      <c r="AV689" s="104"/>
      <c r="AW689" s="104"/>
      <c r="AX689" s="104"/>
      <c r="AY689" s="104"/>
      <c r="AZ689" s="104"/>
      <c r="BA689" s="104"/>
      <c r="BB689" s="104"/>
      <c r="BC689" s="104"/>
      <c r="BD689" s="104"/>
      <c r="BE689" s="104"/>
      <c r="BF689" s="104"/>
      <c r="BG689" s="104"/>
      <c r="BH689" s="104"/>
      <c r="BI689" s="104"/>
      <c r="BJ689" s="104"/>
      <c r="BK689" s="104"/>
      <c r="BL689" s="104"/>
      <c r="BM689" s="104"/>
      <c r="BN689" s="104"/>
    </row>
    <row r="690">
      <c r="A690" s="104"/>
      <c r="B690" s="104"/>
      <c r="C690" s="104"/>
      <c r="D690" s="104"/>
      <c r="E690" s="104"/>
      <c r="F690" s="104"/>
      <c r="G690" s="104"/>
      <c r="H690" s="104"/>
      <c r="I690" s="104"/>
      <c r="J690" s="104"/>
      <c r="K690" s="105"/>
      <c r="L690" s="106"/>
      <c r="M690" s="104"/>
      <c r="N690" s="104"/>
      <c r="O690" s="104"/>
      <c r="P690" s="104"/>
      <c r="Q690" s="104"/>
      <c r="R690" s="106"/>
      <c r="S690" s="104"/>
      <c r="T690" s="104"/>
      <c r="U690" s="104"/>
      <c r="V690" s="104"/>
      <c r="W690" s="105"/>
      <c r="X690" s="104"/>
      <c r="Y690" s="104"/>
      <c r="Z690" s="104"/>
      <c r="AA690" s="104"/>
      <c r="AB690" s="104"/>
      <c r="AC690" s="104"/>
      <c r="AD690" s="104"/>
      <c r="AE690" s="104"/>
      <c r="AF690" s="104"/>
      <c r="AG690" s="104"/>
      <c r="AH690" s="104"/>
      <c r="AI690" s="104"/>
      <c r="AJ690" s="104"/>
      <c r="AK690" s="104"/>
      <c r="AL690" s="104"/>
      <c r="AM690" s="104"/>
      <c r="AN690" s="104"/>
      <c r="AO690" s="104"/>
      <c r="AP690" s="104"/>
      <c r="AQ690" s="104"/>
      <c r="AR690" s="104"/>
      <c r="AS690" s="104"/>
      <c r="AT690" s="104"/>
      <c r="AU690" s="104"/>
      <c r="AV690" s="104"/>
      <c r="AW690" s="104"/>
      <c r="AX690" s="104"/>
      <c r="AY690" s="104"/>
      <c r="AZ690" s="104"/>
      <c r="BA690" s="104"/>
      <c r="BB690" s="104"/>
      <c r="BC690" s="104"/>
      <c r="BD690" s="104"/>
      <c r="BE690" s="104"/>
      <c r="BF690" s="104"/>
      <c r="BG690" s="104"/>
      <c r="BH690" s="104"/>
      <c r="BI690" s="104"/>
      <c r="BJ690" s="104"/>
      <c r="BK690" s="104"/>
      <c r="BL690" s="104"/>
      <c r="BM690" s="104"/>
      <c r="BN690" s="104"/>
    </row>
    <row r="691">
      <c r="A691" s="104"/>
      <c r="B691" s="104"/>
      <c r="C691" s="104"/>
      <c r="D691" s="104"/>
      <c r="E691" s="104"/>
      <c r="F691" s="104"/>
      <c r="G691" s="104"/>
      <c r="H691" s="104"/>
      <c r="I691" s="104"/>
      <c r="J691" s="104"/>
      <c r="K691" s="105"/>
      <c r="L691" s="106"/>
      <c r="M691" s="104"/>
      <c r="N691" s="104"/>
      <c r="O691" s="104"/>
      <c r="P691" s="104"/>
      <c r="Q691" s="104"/>
      <c r="R691" s="106"/>
      <c r="S691" s="104"/>
      <c r="T691" s="104"/>
      <c r="U691" s="104"/>
      <c r="V691" s="104"/>
      <c r="W691" s="105"/>
      <c r="X691" s="104"/>
      <c r="Y691" s="104"/>
      <c r="Z691" s="104"/>
      <c r="AA691" s="104"/>
      <c r="AB691" s="104"/>
      <c r="AC691" s="104"/>
      <c r="AD691" s="104"/>
      <c r="AE691" s="104"/>
      <c r="AF691" s="104"/>
      <c r="AG691" s="104"/>
      <c r="AH691" s="104"/>
      <c r="AI691" s="104"/>
      <c r="AJ691" s="104"/>
      <c r="AK691" s="104"/>
      <c r="AL691" s="104"/>
      <c r="AM691" s="104"/>
      <c r="AN691" s="104"/>
      <c r="AO691" s="104"/>
      <c r="AP691" s="104"/>
      <c r="AQ691" s="104"/>
      <c r="AR691" s="104"/>
      <c r="AS691" s="104"/>
      <c r="AT691" s="104"/>
      <c r="AU691" s="104"/>
      <c r="AV691" s="104"/>
      <c r="AW691" s="104"/>
      <c r="AX691" s="104"/>
      <c r="AY691" s="104"/>
      <c r="AZ691" s="104"/>
      <c r="BA691" s="104"/>
      <c r="BB691" s="104"/>
      <c r="BC691" s="104"/>
      <c r="BD691" s="104"/>
      <c r="BE691" s="104"/>
      <c r="BF691" s="104"/>
      <c r="BG691" s="104"/>
      <c r="BH691" s="104"/>
      <c r="BI691" s="104"/>
      <c r="BJ691" s="104"/>
      <c r="BK691" s="104"/>
      <c r="BL691" s="104"/>
      <c r="BM691" s="104"/>
      <c r="BN691" s="104"/>
    </row>
    <row r="692">
      <c r="A692" s="104"/>
      <c r="B692" s="104"/>
      <c r="C692" s="104"/>
      <c r="D692" s="104"/>
      <c r="E692" s="104"/>
      <c r="F692" s="104"/>
      <c r="G692" s="104"/>
      <c r="H692" s="104"/>
      <c r="I692" s="104"/>
      <c r="J692" s="104"/>
      <c r="K692" s="105"/>
      <c r="L692" s="106"/>
      <c r="M692" s="104"/>
      <c r="N692" s="104"/>
      <c r="O692" s="104"/>
      <c r="P692" s="104"/>
      <c r="Q692" s="104"/>
      <c r="R692" s="106"/>
      <c r="S692" s="104"/>
      <c r="T692" s="104"/>
      <c r="U692" s="104"/>
      <c r="V692" s="104"/>
      <c r="W692" s="105"/>
      <c r="X692" s="104"/>
      <c r="Y692" s="104"/>
      <c r="Z692" s="104"/>
      <c r="AA692" s="104"/>
      <c r="AB692" s="104"/>
      <c r="AC692" s="104"/>
      <c r="AD692" s="104"/>
      <c r="AE692" s="104"/>
      <c r="AF692" s="104"/>
      <c r="AG692" s="104"/>
      <c r="AH692" s="104"/>
      <c r="AI692" s="104"/>
      <c r="AJ692" s="104"/>
      <c r="AK692" s="104"/>
      <c r="AL692" s="104"/>
      <c r="AM692" s="104"/>
      <c r="AN692" s="104"/>
      <c r="AO692" s="104"/>
      <c r="AP692" s="104"/>
      <c r="AQ692" s="104"/>
      <c r="AR692" s="104"/>
      <c r="AS692" s="104"/>
      <c r="AT692" s="104"/>
      <c r="AU692" s="104"/>
      <c r="AV692" s="104"/>
      <c r="AW692" s="104"/>
      <c r="AX692" s="104"/>
      <c r="AY692" s="104"/>
      <c r="AZ692" s="104"/>
      <c r="BA692" s="104"/>
      <c r="BB692" s="104"/>
      <c r="BC692" s="104"/>
      <c r="BD692" s="104"/>
      <c r="BE692" s="104"/>
      <c r="BF692" s="104"/>
      <c r="BG692" s="104"/>
      <c r="BH692" s="104"/>
      <c r="BI692" s="104"/>
      <c r="BJ692" s="104"/>
      <c r="BK692" s="104"/>
      <c r="BL692" s="104"/>
      <c r="BM692" s="104"/>
      <c r="BN692" s="104"/>
    </row>
    <row r="693">
      <c r="A693" s="104"/>
      <c r="B693" s="104"/>
      <c r="C693" s="104"/>
      <c r="D693" s="104"/>
      <c r="E693" s="104"/>
      <c r="F693" s="104"/>
      <c r="G693" s="104"/>
      <c r="H693" s="104"/>
      <c r="I693" s="104"/>
      <c r="J693" s="104"/>
      <c r="K693" s="105"/>
      <c r="L693" s="106"/>
      <c r="M693" s="104"/>
      <c r="N693" s="104"/>
      <c r="O693" s="104"/>
      <c r="P693" s="104"/>
      <c r="Q693" s="104"/>
      <c r="R693" s="106"/>
      <c r="S693" s="104"/>
      <c r="T693" s="104"/>
      <c r="U693" s="104"/>
      <c r="V693" s="104"/>
      <c r="W693" s="105"/>
      <c r="X693" s="104"/>
      <c r="Y693" s="104"/>
      <c r="Z693" s="104"/>
      <c r="AA693" s="104"/>
      <c r="AB693" s="104"/>
      <c r="AC693" s="104"/>
      <c r="AD693" s="104"/>
      <c r="AE693" s="104"/>
      <c r="AF693" s="104"/>
      <c r="AG693" s="104"/>
      <c r="AH693" s="104"/>
      <c r="AI693" s="104"/>
      <c r="AJ693" s="104"/>
      <c r="AK693" s="104"/>
      <c r="AL693" s="104"/>
      <c r="AM693" s="104"/>
      <c r="AN693" s="104"/>
      <c r="AO693" s="104"/>
      <c r="AP693" s="104"/>
      <c r="AQ693" s="104"/>
      <c r="AR693" s="104"/>
      <c r="AS693" s="104"/>
      <c r="AT693" s="104"/>
      <c r="AU693" s="104"/>
      <c r="AV693" s="104"/>
      <c r="AW693" s="104"/>
      <c r="AX693" s="104"/>
      <c r="AY693" s="104"/>
      <c r="AZ693" s="104"/>
      <c r="BA693" s="104"/>
      <c r="BB693" s="104"/>
      <c r="BC693" s="104"/>
      <c r="BD693" s="104"/>
      <c r="BE693" s="104"/>
      <c r="BF693" s="104"/>
      <c r="BG693" s="104"/>
      <c r="BH693" s="104"/>
      <c r="BI693" s="104"/>
      <c r="BJ693" s="104"/>
      <c r="BK693" s="104"/>
      <c r="BL693" s="104"/>
      <c r="BM693" s="104"/>
      <c r="BN693" s="104"/>
    </row>
    <row r="694">
      <c r="A694" s="104"/>
      <c r="B694" s="104"/>
      <c r="C694" s="104"/>
      <c r="D694" s="104"/>
      <c r="E694" s="104"/>
      <c r="F694" s="104"/>
      <c r="G694" s="104"/>
      <c r="H694" s="104"/>
      <c r="I694" s="104"/>
      <c r="J694" s="104"/>
      <c r="K694" s="105"/>
      <c r="L694" s="106"/>
      <c r="M694" s="104"/>
      <c r="N694" s="104"/>
      <c r="O694" s="104"/>
      <c r="P694" s="104"/>
      <c r="Q694" s="104"/>
      <c r="R694" s="106"/>
      <c r="S694" s="104"/>
      <c r="T694" s="104"/>
      <c r="U694" s="104"/>
      <c r="V694" s="104"/>
      <c r="W694" s="105"/>
      <c r="X694" s="104"/>
      <c r="Y694" s="104"/>
      <c r="Z694" s="104"/>
      <c r="AA694" s="104"/>
      <c r="AB694" s="104"/>
      <c r="AC694" s="104"/>
      <c r="AD694" s="104"/>
      <c r="AE694" s="104"/>
      <c r="AF694" s="104"/>
      <c r="AG694" s="104"/>
      <c r="AH694" s="104"/>
      <c r="AI694" s="104"/>
      <c r="AJ694" s="104"/>
      <c r="AK694" s="104"/>
      <c r="AL694" s="104"/>
      <c r="AM694" s="104"/>
      <c r="AN694" s="104"/>
      <c r="AO694" s="104"/>
      <c r="AP694" s="104"/>
      <c r="AQ694" s="104"/>
      <c r="AR694" s="104"/>
      <c r="AS694" s="104"/>
      <c r="AT694" s="104"/>
      <c r="AU694" s="104"/>
      <c r="AV694" s="104"/>
      <c r="AW694" s="104"/>
      <c r="AX694" s="104"/>
      <c r="AY694" s="104"/>
      <c r="AZ694" s="104"/>
      <c r="BA694" s="104"/>
      <c r="BB694" s="104"/>
      <c r="BC694" s="104"/>
      <c r="BD694" s="104"/>
      <c r="BE694" s="104"/>
      <c r="BF694" s="104"/>
      <c r="BG694" s="104"/>
      <c r="BH694" s="104"/>
      <c r="BI694" s="104"/>
      <c r="BJ694" s="104"/>
      <c r="BK694" s="104"/>
      <c r="BL694" s="104"/>
      <c r="BM694" s="104"/>
      <c r="BN694" s="104"/>
    </row>
    <row r="695">
      <c r="A695" s="104"/>
      <c r="B695" s="104"/>
      <c r="C695" s="104"/>
      <c r="D695" s="104"/>
      <c r="E695" s="104"/>
      <c r="F695" s="104"/>
      <c r="G695" s="104"/>
      <c r="H695" s="104"/>
      <c r="I695" s="104"/>
      <c r="J695" s="104"/>
      <c r="K695" s="105"/>
      <c r="L695" s="106"/>
      <c r="M695" s="104"/>
      <c r="N695" s="104"/>
      <c r="O695" s="104"/>
      <c r="P695" s="104"/>
      <c r="Q695" s="104"/>
      <c r="R695" s="106"/>
      <c r="S695" s="104"/>
      <c r="T695" s="104"/>
      <c r="U695" s="104"/>
      <c r="V695" s="104"/>
      <c r="W695" s="105"/>
      <c r="X695" s="104"/>
      <c r="Y695" s="104"/>
      <c r="Z695" s="104"/>
      <c r="AA695" s="104"/>
      <c r="AB695" s="104"/>
      <c r="AC695" s="104"/>
      <c r="AD695" s="104"/>
      <c r="AE695" s="104"/>
      <c r="AF695" s="104"/>
      <c r="AG695" s="104"/>
      <c r="AH695" s="104"/>
      <c r="AI695" s="104"/>
      <c r="AJ695" s="104"/>
      <c r="AK695" s="104"/>
      <c r="AL695" s="104"/>
      <c r="AM695" s="104"/>
      <c r="AN695" s="104"/>
      <c r="AO695" s="104"/>
      <c r="AP695" s="104"/>
      <c r="AQ695" s="104"/>
      <c r="AR695" s="104"/>
      <c r="AS695" s="104"/>
      <c r="AT695" s="104"/>
      <c r="AU695" s="104"/>
      <c r="AV695" s="104"/>
      <c r="AW695" s="104"/>
      <c r="AX695" s="104"/>
      <c r="AY695" s="104"/>
      <c r="AZ695" s="104"/>
      <c r="BA695" s="104"/>
      <c r="BB695" s="104"/>
      <c r="BC695" s="104"/>
      <c r="BD695" s="104"/>
      <c r="BE695" s="104"/>
      <c r="BF695" s="104"/>
      <c r="BG695" s="104"/>
      <c r="BH695" s="104"/>
      <c r="BI695" s="104"/>
      <c r="BJ695" s="104"/>
      <c r="BK695" s="104"/>
      <c r="BL695" s="104"/>
      <c r="BM695" s="104"/>
      <c r="BN695" s="104"/>
    </row>
    <row r="696">
      <c r="A696" s="104"/>
      <c r="B696" s="104"/>
      <c r="C696" s="104"/>
      <c r="D696" s="104"/>
      <c r="E696" s="104"/>
      <c r="F696" s="104"/>
      <c r="G696" s="104"/>
      <c r="H696" s="104"/>
      <c r="I696" s="104"/>
      <c r="J696" s="104"/>
      <c r="K696" s="105"/>
      <c r="L696" s="106"/>
      <c r="M696" s="104"/>
      <c r="N696" s="104"/>
      <c r="O696" s="104"/>
      <c r="P696" s="104"/>
      <c r="Q696" s="104"/>
      <c r="R696" s="106"/>
      <c r="S696" s="104"/>
      <c r="T696" s="104"/>
      <c r="U696" s="104"/>
      <c r="V696" s="104"/>
      <c r="W696" s="105"/>
      <c r="X696" s="104"/>
      <c r="Y696" s="104"/>
      <c r="Z696" s="104"/>
      <c r="AA696" s="104"/>
      <c r="AB696" s="104"/>
      <c r="AC696" s="104"/>
      <c r="AD696" s="104"/>
      <c r="AE696" s="104"/>
      <c r="AF696" s="104"/>
      <c r="AG696" s="104"/>
      <c r="AH696" s="104"/>
      <c r="AI696" s="104"/>
      <c r="AJ696" s="104"/>
      <c r="AK696" s="104"/>
      <c r="AL696" s="104"/>
      <c r="AM696" s="104"/>
      <c r="AN696" s="104"/>
      <c r="AO696" s="104"/>
      <c r="AP696" s="104"/>
      <c r="AQ696" s="104"/>
      <c r="AR696" s="104"/>
      <c r="AS696" s="104"/>
      <c r="AT696" s="104"/>
      <c r="AU696" s="104"/>
      <c r="AV696" s="104"/>
      <c r="AW696" s="104"/>
      <c r="AX696" s="104"/>
      <c r="AY696" s="104"/>
      <c r="AZ696" s="104"/>
      <c r="BA696" s="104"/>
      <c r="BB696" s="104"/>
      <c r="BC696" s="104"/>
      <c r="BD696" s="104"/>
      <c r="BE696" s="104"/>
      <c r="BF696" s="104"/>
      <c r="BG696" s="104"/>
      <c r="BH696" s="104"/>
      <c r="BI696" s="104"/>
      <c r="BJ696" s="104"/>
      <c r="BK696" s="104"/>
      <c r="BL696" s="104"/>
      <c r="BM696" s="104"/>
      <c r="BN696" s="104"/>
    </row>
    <row r="697">
      <c r="A697" s="104"/>
      <c r="B697" s="104"/>
      <c r="C697" s="104"/>
      <c r="D697" s="104"/>
      <c r="E697" s="104"/>
      <c r="F697" s="104"/>
      <c r="G697" s="104"/>
      <c r="H697" s="104"/>
      <c r="I697" s="104"/>
      <c r="J697" s="104"/>
      <c r="K697" s="105"/>
      <c r="L697" s="106"/>
      <c r="M697" s="104"/>
      <c r="N697" s="104"/>
      <c r="O697" s="104"/>
      <c r="P697" s="104"/>
      <c r="Q697" s="104"/>
      <c r="R697" s="106"/>
      <c r="S697" s="104"/>
      <c r="T697" s="104"/>
      <c r="U697" s="104"/>
      <c r="V697" s="104"/>
      <c r="W697" s="105"/>
      <c r="X697" s="104"/>
      <c r="Y697" s="104"/>
      <c r="Z697" s="104"/>
      <c r="AA697" s="104"/>
      <c r="AB697" s="104"/>
      <c r="AC697" s="104"/>
      <c r="AD697" s="104"/>
      <c r="AE697" s="104"/>
      <c r="AF697" s="104"/>
      <c r="AG697" s="104"/>
      <c r="AH697" s="104"/>
      <c r="AI697" s="104"/>
      <c r="AJ697" s="104"/>
      <c r="AK697" s="104"/>
      <c r="AL697" s="104"/>
      <c r="AM697" s="104"/>
      <c r="AN697" s="104"/>
      <c r="AO697" s="104"/>
      <c r="AP697" s="104"/>
      <c r="AQ697" s="104"/>
      <c r="AR697" s="104"/>
      <c r="AS697" s="104"/>
      <c r="AT697" s="104"/>
      <c r="AU697" s="104"/>
      <c r="AV697" s="104"/>
      <c r="AW697" s="104"/>
      <c r="AX697" s="104"/>
      <c r="AY697" s="104"/>
      <c r="AZ697" s="104"/>
      <c r="BA697" s="104"/>
      <c r="BB697" s="104"/>
      <c r="BC697" s="104"/>
      <c r="BD697" s="104"/>
      <c r="BE697" s="104"/>
      <c r="BF697" s="104"/>
      <c r="BG697" s="104"/>
      <c r="BH697" s="104"/>
      <c r="BI697" s="104"/>
      <c r="BJ697" s="104"/>
      <c r="BK697" s="104"/>
      <c r="BL697" s="104"/>
      <c r="BM697" s="104"/>
      <c r="BN697" s="104"/>
    </row>
    <row r="698">
      <c r="A698" s="104"/>
      <c r="B698" s="104"/>
      <c r="C698" s="104"/>
      <c r="D698" s="104"/>
      <c r="E698" s="104"/>
      <c r="F698" s="104"/>
      <c r="G698" s="104"/>
      <c r="H698" s="104"/>
      <c r="I698" s="104"/>
      <c r="J698" s="104"/>
      <c r="K698" s="105"/>
      <c r="L698" s="106"/>
      <c r="M698" s="104"/>
      <c r="N698" s="104"/>
      <c r="O698" s="104"/>
      <c r="P698" s="104"/>
      <c r="Q698" s="104"/>
      <c r="R698" s="106"/>
      <c r="S698" s="104"/>
      <c r="T698" s="104"/>
      <c r="U698" s="104"/>
      <c r="V698" s="104"/>
      <c r="W698" s="105"/>
      <c r="X698" s="104"/>
      <c r="Y698" s="104"/>
      <c r="Z698" s="104"/>
      <c r="AA698" s="104"/>
      <c r="AB698" s="104"/>
      <c r="AC698" s="104"/>
      <c r="AD698" s="104"/>
      <c r="AE698" s="104"/>
      <c r="AF698" s="104"/>
      <c r="AG698" s="104"/>
      <c r="AH698" s="104"/>
      <c r="AI698" s="104"/>
      <c r="AJ698" s="104"/>
      <c r="AK698" s="104"/>
      <c r="AL698" s="104"/>
      <c r="AM698" s="104"/>
      <c r="AN698" s="104"/>
      <c r="AO698" s="104"/>
      <c r="AP698" s="104"/>
      <c r="AQ698" s="104"/>
      <c r="AR698" s="104"/>
      <c r="AS698" s="104"/>
      <c r="AT698" s="104"/>
      <c r="AU698" s="104"/>
      <c r="AV698" s="104"/>
      <c r="AW698" s="104"/>
      <c r="AX698" s="104"/>
      <c r="AY698" s="104"/>
      <c r="AZ698" s="104"/>
      <c r="BA698" s="104"/>
      <c r="BB698" s="104"/>
      <c r="BC698" s="104"/>
      <c r="BD698" s="104"/>
      <c r="BE698" s="104"/>
      <c r="BF698" s="104"/>
      <c r="BG698" s="104"/>
      <c r="BH698" s="104"/>
      <c r="BI698" s="104"/>
      <c r="BJ698" s="104"/>
      <c r="BK698" s="104"/>
      <c r="BL698" s="104"/>
      <c r="BM698" s="104"/>
      <c r="BN698" s="104"/>
    </row>
    <row r="699">
      <c r="A699" s="104"/>
      <c r="B699" s="104"/>
      <c r="C699" s="104"/>
      <c r="D699" s="104"/>
      <c r="E699" s="104"/>
      <c r="F699" s="104"/>
      <c r="G699" s="104"/>
      <c r="H699" s="104"/>
      <c r="I699" s="104"/>
      <c r="J699" s="104"/>
      <c r="K699" s="105"/>
      <c r="L699" s="106"/>
      <c r="M699" s="104"/>
      <c r="N699" s="104"/>
      <c r="O699" s="104"/>
      <c r="P699" s="104"/>
      <c r="Q699" s="104"/>
      <c r="R699" s="106"/>
      <c r="S699" s="104"/>
      <c r="T699" s="104"/>
      <c r="U699" s="104"/>
      <c r="V699" s="104"/>
      <c r="W699" s="105"/>
      <c r="X699" s="104"/>
      <c r="Y699" s="104"/>
      <c r="Z699" s="104"/>
      <c r="AA699" s="104"/>
      <c r="AB699" s="104"/>
      <c r="AC699" s="104"/>
      <c r="AD699" s="104"/>
      <c r="AE699" s="104"/>
      <c r="AF699" s="104"/>
      <c r="AG699" s="104"/>
      <c r="AH699" s="104"/>
      <c r="AI699" s="104"/>
      <c r="AJ699" s="104"/>
      <c r="AK699" s="104"/>
      <c r="AL699" s="104"/>
      <c r="AM699" s="104"/>
      <c r="AN699" s="104"/>
      <c r="AO699" s="104"/>
      <c r="AP699" s="104"/>
      <c r="AQ699" s="104"/>
      <c r="AR699" s="104"/>
      <c r="AS699" s="104"/>
      <c r="AT699" s="104"/>
      <c r="AU699" s="104"/>
      <c r="AV699" s="104"/>
      <c r="AW699" s="104"/>
      <c r="AX699" s="104"/>
      <c r="AY699" s="104"/>
      <c r="AZ699" s="104"/>
      <c r="BA699" s="104"/>
      <c r="BB699" s="104"/>
      <c r="BC699" s="104"/>
      <c r="BD699" s="104"/>
      <c r="BE699" s="104"/>
      <c r="BF699" s="104"/>
      <c r="BG699" s="104"/>
      <c r="BH699" s="104"/>
      <c r="BI699" s="104"/>
      <c r="BJ699" s="104"/>
      <c r="BK699" s="104"/>
      <c r="BL699" s="104"/>
      <c r="BM699" s="104"/>
      <c r="BN699" s="104"/>
    </row>
    <row r="700">
      <c r="A700" s="104"/>
      <c r="B700" s="104"/>
      <c r="C700" s="104"/>
      <c r="D700" s="104"/>
      <c r="E700" s="104"/>
      <c r="F700" s="104"/>
      <c r="G700" s="104"/>
      <c r="H700" s="104"/>
      <c r="I700" s="104"/>
      <c r="J700" s="104"/>
      <c r="K700" s="105"/>
      <c r="L700" s="106"/>
      <c r="M700" s="104"/>
      <c r="N700" s="104"/>
      <c r="O700" s="104"/>
      <c r="P700" s="104"/>
      <c r="Q700" s="104"/>
      <c r="R700" s="106"/>
      <c r="S700" s="104"/>
      <c r="T700" s="104"/>
      <c r="U700" s="104"/>
      <c r="V700" s="104"/>
      <c r="W700" s="105"/>
      <c r="X700" s="104"/>
      <c r="Y700" s="104"/>
      <c r="Z700" s="104"/>
      <c r="AA700" s="104"/>
      <c r="AB700" s="104"/>
      <c r="AC700" s="104"/>
      <c r="AD700" s="104"/>
      <c r="AE700" s="104"/>
      <c r="AF700" s="104"/>
      <c r="AG700" s="104"/>
      <c r="AH700" s="104"/>
      <c r="AI700" s="104"/>
      <c r="AJ700" s="104"/>
      <c r="AK700" s="104"/>
      <c r="AL700" s="104"/>
      <c r="AM700" s="104"/>
      <c r="AN700" s="104"/>
      <c r="AO700" s="104"/>
      <c r="AP700" s="104"/>
      <c r="AQ700" s="104"/>
      <c r="AR700" s="104"/>
      <c r="AS700" s="104"/>
      <c r="AT700" s="104"/>
      <c r="AU700" s="104"/>
      <c r="AV700" s="104"/>
      <c r="AW700" s="104"/>
      <c r="AX700" s="104"/>
      <c r="AY700" s="104"/>
      <c r="AZ700" s="104"/>
      <c r="BA700" s="104"/>
      <c r="BB700" s="104"/>
      <c r="BC700" s="104"/>
      <c r="BD700" s="104"/>
      <c r="BE700" s="104"/>
      <c r="BF700" s="104"/>
      <c r="BG700" s="104"/>
      <c r="BH700" s="104"/>
      <c r="BI700" s="104"/>
      <c r="BJ700" s="104"/>
      <c r="BK700" s="104"/>
      <c r="BL700" s="104"/>
      <c r="BM700" s="104"/>
      <c r="BN700" s="104"/>
    </row>
    <row r="701">
      <c r="A701" s="104"/>
      <c r="B701" s="104"/>
      <c r="C701" s="104"/>
      <c r="D701" s="104"/>
      <c r="E701" s="104"/>
      <c r="F701" s="104"/>
      <c r="G701" s="104"/>
      <c r="H701" s="104"/>
      <c r="I701" s="104"/>
      <c r="J701" s="104"/>
      <c r="K701" s="105"/>
      <c r="L701" s="106"/>
      <c r="M701" s="104"/>
      <c r="N701" s="104"/>
      <c r="O701" s="104"/>
      <c r="P701" s="104"/>
      <c r="Q701" s="104"/>
      <c r="R701" s="106"/>
      <c r="S701" s="104"/>
      <c r="T701" s="104"/>
      <c r="U701" s="104"/>
      <c r="V701" s="104"/>
      <c r="W701" s="105"/>
      <c r="X701" s="104"/>
      <c r="Y701" s="104"/>
      <c r="Z701" s="104"/>
      <c r="AA701" s="104"/>
      <c r="AB701" s="104"/>
      <c r="AC701" s="104"/>
      <c r="AD701" s="104"/>
      <c r="AE701" s="104"/>
      <c r="AF701" s="104"/>
      <c r="AG701" s="104"/>
      <c r="AH701" s="104"/>
      <c r="AI701" s="104"/>
      <c r="AJ701" s="104"/>
      <c r="AK701" s="104"/>
      <c r="AL701" s="104"/>
      <c r="AM701" s="104"/>
      <c r="AN701" s="104"/>
      <c r="AO701" s="104"/>
      <c r="AP701" s="104"/>
      <c r="AQ701" s="104"/>
      <c r="AR701" s="104"/>
      <c r="AS701" s="104"/>
      <c r="AT701" s="104"/>
      <c r="AU701" s="104"/>
      <c r="AV701" s="104"/>
      <c r="AW701" s="104"/>
      <c r="AX701" s="104"/>
      <c r="AY701" s="104"/>
      <c r="AZ701" s="104"/>
      <c r="BA701" s="104"/>
      <c r="BB701" s="104"/>
      <c r="BC701" s="104"/>
      <c r="BD701" s="104"/>
      <c r="BE701" s="104"/>
      <c r="BF701" s="104"/>
      <c r="BG701" s="104"/>
      <c r="BH701" s="104"/>
      <c r="BI701" s="104"/>
      <c r="BJ701" s="104"/>
      <c r="BK701" s="104"/>
      <c r="BL701" s="104"/>
      <c r="BM701" s="104"/>
      <c r="BN701" s="104"/>
    </row>
    <row r="702">
      <c r="A702" s="104"/>
      <c r="B702" s="104"/>
      <c r="C702" s="104"/>
      <c r="D702" s="104"/>
      <c r="E702" s="104"/>
      <c r="F702" s="104"/>
      <c r="G702" s="104"/>
      <c r="H702" s="104"/>
      <c r="I702" s="104"/>
      <c r="J702" s="104"/>
      <c r="K702" s="105"/>
      <c r="L702" s="106"/>
      <c r="M702" s="104"/>
      <c r="N702" s="104"/>
      <c r="O702" s="104"/>
      <c r="P702" s="104"/>
      <c r="Q702" s="104"/>
      <c r="R702" s="106"/>
      <c r="S702" s="104"/>
      <c r="T702" s="104"/>
      <c r="U702" s="104"/>
      <c r="V702" s="104"/>
      <c r="W702" s="105"/>
      <c r="X702" s="104"/>
      <c r="Y702" s="104"/>
      <c r="Z702" s="104"/>
      <c r="AA702" s="104"/>
      <c r="AB702" s="104"/>
      <c r="AC702" s="104"/>
      <c r="AD702" s="104"/>
      <c r="AE702" s="104"/>
      <c r="AF702" s="104"/>
      <c r="AG702" s="104"/>
      <c r="AH702" s="104"/>
      <c r="AI702" s="104"/>
      <c r="AJ702" s="104"/>
      <c r="AK702" s="104"/>
      <c r="AL702" s="104"/>
      <c r="AM702" s="104"/>
      <c r="AN702" s="104"/>
      <c r="AO702" s="104"/>
      <c r="AP702" s="104"/>
      <c r="AQ702" s="104"/>
      <c r="AR702" s="104"/>
      <c r="AS702" s="104"/>
      <c r="AT702" s="104"/>
      <c r="AU702" s="104"/>
      <c r="AV702" s="104"/>
      <c r="AW702" s="104"/>
      <c r="AX702" s="104"/>
      <c r="AY702" s="104"/>
      <c r="AZ702" s="104"/>
      <c r="BA702" s="104"/>
      <c r="BB702" s="104"/>
      <c r="BC702" s="104"/>
      <c r="BD702" s="104"/>
      <c r="BE702" s="104"/>
      <c r="BF702" s="104"/>
      <c r="BG702" s="104"/>
      <c r="BH702" s="104"/>
      <c r="BI702" s="104"/>
      <c r="BJ702" s="104"/>
      <c r="BK702" s="104"/>
      <c r="BL702" s="104"/>
      <c r="BM702" s="104"/>
      <c r="BN702" s="104"/>
    </row>
    <row r="703">
      <c r="A703" s="104"/>
      <c r="B703" s="104"/>
      <c r="C703" s="104"/>
      <c r="D703" s="104"/>
      <c r="E703" s="104"/>
      <c r="F703" s="104"/>
      <c r="G703" s="104"/>
      <c r="H703" s="104"/>
      <c r="I703" s="104"/>
      <c r="J703" s="104"/>
      <c r="K703" s="105"/>
      <c r="L703" s="106"/>
      <c r="M703" s="104"/>
      <c r="N703" s="104"/>
      <c r="O703" s="104"/>
      <c r="P703" s="104"/>
      <c r="Q703" s="104"/>
      <c r="R703" s="106"/>
      <c r="S703" s="104"/>
      <c r="T703" s="104"/>
      <c r="U703" s="104"/>
      <c r="V703" s="104"/>
      <c r="W703" s="105"/>
      <c r="X703" s="104"/>
      <c r="Y703" s="104"/>
      <c r="Z703" s="104"/>
      <c r="AA703" s="104"/>
      <c r="AB703" s="104"/>
      <c r="AC703" s="104"/>
      <c r="AD703" s="104"/>
      <c r="AE703" s="104"/>
      <c r="AF703" s="104"/>
      <c r="AG703" s="104"/>
      <c r="AH703" s="104"/>
      <c r="AI703" s="104"/>
      <c r="AJ703" s="104"/>
      <c r="AK703" s="104"/>
      <c r="AL703" s="104"/>
      <c r="AM703" s="104"/>
      <c r="AN703" s="104"/>
      <c r="AO703" s="104"/>
      <c r="AP703" s="104"/>
      <c r="AQ703" s="104"/>
      <c r="AR703" s="104"/>
      <c r="AS703" s="104"/>
      <c r="AT703" s="104"/>
      <c r="AU703" s="104"/>
      <c r="AV703" s="104"/>
      <c r="AW703" s="104"/>
      <c r="AX703" s="104"/>
      <c r="AY703" s="104"/>
      <c r="AZ703" s="104"/>
      <c r="BA703" s="104"/>
      <c r="BB703" s="104"/>
      <c r="BC703" s="104"/>
      <c r="BD703" s="104"/>
      <c r="BE703" s="104"/>
      <c r="BF703" s="104"/>
      <c r="BG703" s="104"/>
      <c r="BH703" s="104"/>
      <c r="BI703" s="104"/>
      <c r="BJ703" s="104"/>
      <c r="BK703" s="104"/>
      <c r="BL703" s="104"/>
      <c r="BM703" s="104"/>
      <c r="BN703" s="104"/>
    </row>
    <row r="704">
      <c r="A704" s="104"/>
      <c r="B704" s="104"/>
      <c r="C704" s="104"/>
      <c r="D704" s="104"/>
      <c r="E704" s="104"/>
      <c r="F704" s="104"/>
      <c r="G704" s="104"/>
      <c r="H704" s="104"/>
      <c r="I704" s="104"/>
      <c r="J704" s="104"/>
      <c r="K704" s="105"/>
      <c r="L704" s="106"/>
      <c r="M704" s="104"/>
      <c r="N704" s="104"/>
      <c r="O704" s="104"/>
      <c r="P704" s="104"/>
      <c r="Q704" s="104"/>
      <c r="R704" s="106"/>
      <c r="S704" s="104"/>
      <c r="T704" s="104"/>
      <c r="U704" s="104"/>
      <c r="V704" s="104"/>
      <c r="W704" s="105"/>
      <c r="X704" s="104"/>
      <c r="Y704" s="104"/>
      <c r="Z704" s="104"/>
      <c r="AA704" s="104"/>
      <c r="AB704" s="104"/>
      <c r="AC704" s="104"/>
      <c r="AD704" s="104"/>
      <c r="AE704" s="104"/>
      <c r="AF704" s="104"/>
      <c r="AG704" s="104"/>
      <c r="AH704" s="104"/>
      <c r="AI704" s="104"/>
      <c r="AJ704" s="104"/>
      <c r="AK704" s="104"/>
      <c r="AL704" s="104"/>
      <c r="AM704" s="104"/>
      <c r="AN704" s="104"/>
      <c r="AO704" s="104"/>
      <c r="AP704" s="104"/>
      <c r="AQ704" s="104"/>
      <c r="AR704" s="104"/>
      <c r="AS704" s="104"/>
      <c r="AT704" s="104"/>
      <c r="AU704" s="104"/>
      <c r="AV704" s="104"/>
      <c r="AW704" s="104"/>
      <c r="AX704" s="104"/>
      <c r="AY704" s="104"/>
      <c r="AZ704" s="104"/>
      <c r="BA704" s="104"/>
      <c r="BB704" s="104"/>
      <c r="BC704" s="104"/>
      <c r="BD704" s="104"/>
      <c r="BE704" s="104"/>
      <c r="BF704" s="104"/>
      <c r="BG704" s="104"/>
      <c r="BH704" s="104"/>
      <c r="BI704" s="104"/>
      <c r="BJ704" s="104"/>
      <c r="BK704" s="104"/>
      <c r="BL704" s="104"/>
      <c r="BM704" s="104"/>
      <c r="BN704" s="104"/>
    </row>
    <row r="705">
      <c r="A705" s="104"/>
      <c r="B705" s="104"/>
      <c r="C705" s="104"/>
      <c r="D705" s="104"/>
      <c r="E705" s="104"/>
      <c r="F705" s="104"/>
      <c r="G705" s="104"/>
      <c r="H705" s="104"/>
      <c r="I705" s="104"/>
      <c r="J705" s="104"/>
      <c r="K705" s="105"/>
      <c r="L705" s="106"/>
      <c r="M705" s="104"/>
      <c r="N705" s="104"/>
      <c r="O705" s="104"/>
      <c r="P705" s="104"/>
      <c r="Q705" s="104"/>
      <c r="R705" s="106"/>
      <c r="S705" s="104"/>
      <c r="T705" s="104"/>
      <c r="U705" s="104"/>
      <c r="V705" s="104"/>
      <c r="W705" s="105"/>
      <c r="X705" s="104"/>
      <c r="Y705" s="104"/>
      <c r="Z705" s="104"/>
      <c r="AA705" s="104"/>
      <c r="AB705" s="104"/>
      <c r="AC705" s="104"/>
      <c r="AD705" s="104"/>
      <c r="AE705" s="104"/>
      <c r="AF705" s="104"/>
      <c r="AG705" s="104"/>
      <c r="AH705" s="104"/>
      <c r="AI705" s="104"/>
      <c r="AJ705" s="104"/>
      <c r="AK705" s="104"/>
      <c r="AL705" s="104"/>
      <c r="AM705" s="104"/>
      <c r="AN705" s="104"/>
      <c r="AO705" s="104"/>
      <c r="AP705" s="104"/>
      <c r="AQ705" s="104"/>
      <c r="AR705" s="104"/>
      <c r="AS705" s="104"/>
      <c r="AT705" s="104"/>
      <c r="AU705" s="104"/>
      <c r="AV705" s="104"/>
      <c r="AW705" s="104"/>
      <c r="AX705" s="104"/>
      <c r="AY705" s="104"/>
      <c r="AZ705" s="104"/>
      <c r="BA705" s="104"/>
      <c r="BB705" s="104"/>
      <c r="BC705" s="104"/>
      <c r="BD705" s="104"/>
      <c r="BE705" s="104"/>
      <c r="BF705" s="104"/>
      <c r="BG705" s="104"/>
      <c r="BH705" s="104"/>
      <c r="BI705" s="104"/>
      <c r="BJ705" s="104"/>
      <c r="BK705" s="104"/>
      <c r="BL705" s="104"/>
      <c r="BM705" s="104"/>
      <c r="BN705" s="104"/>
    </row>
    <row r="706">
      <c r="A706" s="104"/>
      <c r="B706" s="104"/>
      <c r="C706" s="104"/>
      <c r="D706" s="104"/>
      <c r="E706" s="104"/>
      <c r="F706" s="104"/>
      <c r="G706" s="104"/>
      <c r="H706" s="104"/>
      <c r="I706" s="104"/>
      <c r="J706" s="104"/>
      <c r="K706" s="105"/>
      <c r="L706" s="106"/>
      <c r="M706" s="104"/>
      <c r="N706" s="104"/>
      <c r="O706" s="104"/>
      <c r="P706" s="104"/>
      <c r="Q706" s="104"/>
      <c r="R706" s="106"/>
      <c r="S706" s="104"/>
      <c r="T706" s="104"/>
      <c r="U706" s="104"/>
      <c r="V706" s="104"/>
      <c r="W706" s="105"/>
      <c r="X706" s="104"/>
      <c r="Y706" s="104"/>
      <c r="Z706" s="104"/>
      <c r="AA706" s="104"/>
      <c r="AB706" s="104"/>
      <c r="AC706" s="104"/>
      <c r="AD706" s="104"/>
      <c r="AE706" s="104"/>
      <c r="AF706" s="104"/>
      <c r="AG706" s="104"/>
      <c r="AH706" s="104"/>
      <c r="AI706" s="104"/>
      <c r="AJ706" s="104"/>
      <c r="AK706" s="104"/>
      <c r="AL706" s="104"/>
      <c r="AM706" s="104"/>
      <c r="AN706" s="104"/>
      <c r="AO706" s="104"/>
      <c r="AP706" s="104"/>
      <c r="AQ706" s="104"/>
      <c r="AR706" s="104"/>
      <c r="AS706" s="104"/>
      <c r="AT706" s="104"/>
      <c r="AU706" s="104"/>
      <c r="AV706" s="104"/>
      <c r="AW706" s="104"/>
      <c r="AX706" s="104"/>
      <c r="AY706" s="104"/>
      <c r="AZ706" s="104"/>
      <c r="BA706" s="104"/>
      <c r="BB706" s="104"/>
      <c r="BC706" s="104"/>
      <c r="BD706" s="104"/>
      <c r="BE706" s="104"/>
      <c r="BF706" s="104"/>
      <c r="BG706" s="104"/>
      <c r="BH706" s="104"/>
      <c r="BI706" s="104"/>
      <c r="BJ706" s="104"/>
      <c r="BK706" s="104"/>
      <c r="BL706" s="104"/>
      <c r="BM706" s="104"/>
      <c r="BN706" s="104"/>
    </row>
    <row r="707">
      <c r="A707" s="104"/>
      <c r="B707" s="104"/>
      <c r="C707" s="104"/>
      <c r="D707" s="104"/>
      <c r="E707" s="104"/>
      <c r="F707" s="104"/>
      <c r="G707" s="104"/>
      <c r="H707" s="104"/>
      <c r="I707" s="104"/>
      <c r="J707" s="104"/>
      <c r="K707" s="105"/>
      <c r="L707" s="106"/>
      <c r="M707" s="104"/>
      <c r="N707" s="104"/>
      <c r="O707" s="104"/>
      <c r="P707" s="104"/>
      <c r="Q707" s="104"/>
      <c r="R707" s="106"/>
      <c r="S707" s="104"/>
      <c r="T707" s="104"/>
      <c r="U707" s="104"/>
      <c r="V707" s="104"/>
      <c r="W707" s="105"/>
      <c r="X707" s="104"/>
      <c r="Y707" s="104"/>
      <c r="Z707" s="104"/>
      <c r="AA707" s="104"/>
      <c r="AB707" s="104"/>
      <c r="AC707" s="104"/>
      <c r="AD707" s="104"/>
      <c r="AE707" s="104"/>
      <c r="AF707" s="104"/>
      <c r="AG707" s="104"/>
      <c r="AH707" s="104"/>
      <c r="AI707" s="104"/>
      <c r="AJ707" s="104"/>
      <c r="AK707" s="104"/>
      <c r="AL707" s="104"/>
      <c r="AM707" s="104"/>
      <c r="AN707" s="104"/>
      <c r="AO707" s="104"/>
      <c r="AP707" s="104"/>
      <c r="AQ707" s="104"/>
      <c r="AR707" s="104"/>
      <c r="AS707" s="104"/>
      <c r="AT707" s="104"/>
      <c r="AU707" s="104"/>
      <c r="AV707" s="104"/>
      <c r="AW707" s="104"/>
      <c r="AX707" s="104"/>
      <c r="AY707" s="104"/>
      <c r="AZ707" s="104"/>
      <c r="BA707" s="104"/>
      <c r="BB707" s="104"/>
      <c r="BC707" s="104"/>
      <c r="BD707" s="104"/>
      <c r="BE707" s="104"/>
      <c r="BF707" s="104"/>
      <c r="BG707" s="104"/>
      <c r="BH707" s="104"/>
      <c r="BI707" s="104"/>
      <c r="BJ707" s="104"/>
      <c r="BK707" s="104"/>
      <c r="BL707" s="104"/>
      <c r="BM707" s="104"/>
      <c r="BN707" s="104"/>
    </row>
    <row r="708">
      <c r="A708" s="104"/>
      <c r="B708" s="104"/>
      <c r="C708" s="104"/>
      <c r="D708" s="104"/>
      <c r="E708" s="104"/>
      <c r="F708" s="104"/>
      <c r="G708" s="104"/>
      <c r="H708" s="104"/>
      <c r="I708" s="104"/>
      <c r="J708" s="104"/>
      <c r="K708" s="105"/>
      <c r="L708" s="106"/>
      <c r="M708" s="104"/>
      <c r="N708" s="104"/>
      <c r="O708" s="104"/>
      <c r="P708" s="104"/>
      <c r="Q708" s="104"/>
      <c r="R708" s="106"/>
      <c r="S708" s="104"/>
      <c r="T708" s="104"/>
      <c r="U708" s="104"/>
      <c r="V708" s="104"/>
      <c r="W708" s="105"/>
      <c r="X708" s="104"/>
      <c r="Y708" s="104"/>
      <c r="Z708" s="104"/>
      <c r="AA708" s="104"/>
      <c r="AB708" s="104"/>
      <c r="AC708" s="104"/>
      <c r="AD708" s="104"/>
      <c r="AE708" s="104"/>
      <c r="AF708" s="104"/>
      <c r="AG708" s="104"/>
      <c r="AH708" s="104"/>
      <c r="AI708" s="104"/>
      <c r="AJ708" s="104"/>
      <c r="AK708" s="104"/>
      <c r="AL708" s="104"/>
      <c r="AM708" s="104"/>
      <c r="AN708" s="104"/>
      <c r="AO708" s="104"/>
      <c r="AP708" s="104"/>
      <c r="AQ708" s="104"/>
      <c r="AR708" s="104"/>
      <c r="AS708" s="104"/>
      <c r="AT708" s="104"/>
      <c r="AU708" s="104"/>
      <c r="AV708" s="104"/>
      <c r="AW708" s="104"/>
      <c r="AX708" s="104"/>
      <c r="AY708" s="104"/>
      <c r="AZ708" s="104"/>
      <c r="BA708" s="104"/>
      <c r="BB708" s="104"/>
      <c r="BC708" s="104"/>
      <c r="BD708" s="104"/>
      <c r="BE708" s="104"/>
      <c r="BF708" s="104"/>
      <c r="BG708" s="104"/>
      <c r="BH708" s="104"/>
      <c r="BI708" s="104"/>
      <c r="BJ708" s="104"/>
      <c r="BK708" s="104"/>
      <c r="BL708" s="104"/>
      <c r="BM708" s="104"/>
      <c r="BN708" s="104"/>
    </row>
    <row r="709">
      <c r="A709" s="104"/>
      <c r="B709" s="104"/>
      <c r="C709" s="104"/>
      <c r="D709" s="104"/>
      <c r="E709" s="104"/>
      <c r="F709" s="104"/>
      <c r="G709" s="104"/>
      <c r="H709" s="104"/>
      <c r="I709" s="104"/>
      <c r="J709" s="104"/>
      <c r="K709" s="105"/>
      <c r="L709" s="106"/>
      <c r="M709" s="104"/>
      <c r="N709" s="104"/>
      <c r="O709" s="104"/>
      <c r="P709" s="104"/>
      <c r="Q709" s="104"/>
      <c r="R709" s="106"/>
      <c r="S709" s="104"/>
      <c r="T709" s="104"/>
      <c r="U709" s="104"/>
      <c r="V709" s="104"/>
      <c r="W709" s="105"/>
      <c r="X709" s="104"/>
      <c r="Y709" s="104"/>
      <c r="Z709" s="104"/>
      <c r="AA709" s="104"/>
      <c r="AB709" s="104"/>
      <c r="AC709" s="104"/>
      <c r="AD709" s="104"/>
      <c r="AE709" s="104"/>
      <c r="AF709" s="104"/>
      <c r="AG709" s="104"/>
      <c r="AH709" s="104"/>
      <c r="AI709" s="104"/>
      <c r="AJ709" s="104"/>
      <c r="AK709" s="104"/>
      <c r="AL709" s="104"/>
      <c r="AM709" s="104"/>
      <c r="AN709" s="104"/>
      <c r="AO709" s="104"/>
      <c r="AP709" s="104"/>
      <c r="AQ709" s="104"/>
      <c r="AR709" s="104"/>
      <c r="AS709" s="104"/>
      <c r="AT709" s="104"/>
      <c r="AU709" s="104"/>
      <c r="AV709" s="104"/>
      <c r="AW709" s="104"/>
      <c r="AX709" s="104"/>
      <c r="AY709" s="104"/>
      <c r="AZ709" s="104"/>
      <c r="BA709" s="104"/>
      <c r="BB709" s="104"/>
      <c r="BC709" s="104"/>
      <c r="BD709" s="104"/>
      <c r="BE709" s="104"/>
      <c r="BF709" s="104"/>
      <c r="BG709" s="104"/>
      <c r="BH709" s="104"/>
      <c r="BI709" s="104"/>
      <c r="BJ709" s="104"/>
      <c r="BK709" s="104"/>
      <c r="BL709" s="104"/>
      <c r="BM709" s="104"/>
      <c r="BN709" s="104"/>
    </row>
    <row r="710">
      <c r="A710" s="104"/>
      <c r="B710" s="104"/>
      <c r="C710" s="104"/>
      <c r="D710" s="104"/>
      <c r="E710" s="104"/>
      <c r="F710" s="104"/>
      <c r="G710" s="104"/>
      <c r="H710" s="104"/>
      <c r="I710" s="104"/>
      <c r="J710" s="104"/>
      <c r="K710" s="105"/>
      <c r="L710" s="106"/>
      <c r="M710" s="104"/>
      <c r="N710" s="104"/>
      <c r="O710" s="104"/>
      <c r="P710" s="104"/>
      <c r="Q710" s="104"/>
      <c r="R710" s="106"/>
      <c r="S710" s="104"/>
      <c r="T710" s="104"/>
      <c r="U710" s="104"/>
      <c r="V710" s="104"/>
      <c r="W710" s="105"/>
      <c r="X710" s="104"/>
      <c r="Y710" s="104"/>
      <c r="Z710" s="104"/>
      <c r="AA710" s="104"/>
      <c r="AB710" s="104"/>
      <c r="AC710" s="104"/>
      <c r="AD710" s="104"/>
      <c r="AE710" s="104"/>
      <c r="AF710" s="104"/>
      <c r="AG710" s="104"/>
      <c r="AH710" s="104"/>
      <c r="AI710" s="104"/>
      <c r="AJ710" s="104"/>
      <c r="AK710" s="104"/>
      <c r="AL710" s="104"/>
      <c r="AM710" s="104"/>
      <c r="AN710" s="104"/>
      <c r="AO710" s="104"/>
      <c r="AP710" s="104"/>
      <c r="AQ710" s="104"/>
      <c r="AR710" s="104"/>
      <c r="AS710" s="104"/>
      <c r="AT710" s="104"/>
      <c r="AU710" s="104"/>
      <c r="AV710" s="104"/>
      <c r="AW710" s="104"/>
      <c r="AX710" s="104"/>
      <c r="AY710" s="104"/>
      <c r="AZ710" s="104"/>
      <c r="BA710" s="104"/>
      <c r="BB710" s="104"/>
      <c r="BC710" s="104"/>
      <c r="BD710" s="104"/>
      <c r="BE710" s="104"/>
      <c r="BF710" s="104"/>
      <c r="BG710" s="104"/>
      <c r="BH710" s="104"/>
      <c r="BI710" s="104"/>
      <c r="BJ710" s="104"/>
      <c r="BK710" s="104"/>
      <c r="BL710" s="104"/>
      <c r="BM710" s="104"/>
      <c r="BN710" s="104"/>
    </row>
    <row r="711">
      <c r="A711" s="104"/>
      <c r="B711" s="104"/>
      <c r="C711" s="104"/>
      <c r="D711" s="104"/>
      <c r="E711" s="104"/>
      <c r="F711" s="104"/>
      <c r="G711" s="104"/>
      <c r="H711" s="104"/>
      <c r="I711" s="104"/>
      <c r="J711" s="104"/>
      <c r="K711" s="105"/>
      <c r="L711" s="106"/>
      <c r="M711" s="104"/>
      <c r="N711" s="104"/>
      <c r="O711" s="104"/>
      <c r="P711" s="104"/>
      <c r="Q711" s="104"/>
      <c r="R711" s="106"/>
      <c r="S711" s="104"/>
      <c r="T711" s="104"/>
      <c r="U711" s="104"/>
      <c r="V711" s="104"/>
      <c r="W711" s="105"/>
      <c r="X711" s="104"/>
      <c r="Y711" s="104"/>
      <c r="Z711" s="104"/>
      <c r="AA711" s="104"/>
      <c r="AB711" s="104"/>
      <c r="AC711" s="104"/>
      <c r="AD711" s="104"/>
      <c r="AE711" s="104"/>
      <c r="AF711" s="104"/>
      <c r="AG711" s="104"/>
      <c r="AH711" s="104"/>
      <c r="AI711" s="104"/>
      <c r="AJ711" s="104"/>
      <c r="AK711" s="104"/>
      <c r="AL711" s="104"/>
      <c r="AM711" s="104"/>
      <c r="AN711" s="104"/>
      <c r="AO711" s="104"/>
      <c r="AP711" s="104"/>
      <c r="AQ711" s="104"/>
      <c r="AR711" s="104"/>
      <c r="AS711" s="104"/>
      <c r="AT711" s="104"/>
      <c r="AU711" s="104"/>
      <c r="AV711" s="104"/>
      <c r="AW711" s="104"/>
      <c r="AX711" s="104"/>
      <c r="AY711" s="104"/>
      <c r="AZ711" s="104"/>
      <c r="BA711" s="104"/>
      <c r="BB711" s="104"/>
      <c r="BC711" s="104"/>
      <c r="BD711" s="104"/>
      <c r="BE711" s="104"/>
      <c r="BF711" s="104"/>
      <c r="BG711" s="104"/>
      <c r="BH711" s="104"/>
      <c r="BI711" s="104"/>
      <c r="BJ711" s="104"/>
      <c r="BK711" s="104"/>
      <c r="BL711" s="104"/>
      <c r="BM711" s="104"/>
      <c r="BN711" s="104"/>
    </row>
    <row r="712">
      <c r="A712" s="104"/>
      <c r="B712" s="104"/>
      <c r="C712" s="104"/>
      <c r="D712" s="104"/>
      <c r="E712" s="104"/>
      <c r="F712" s="104"/>
      <c r="G712" s="104"/>
      <c r="H712" s="104"/>
      <c r="I712" s="104"/>
      <c r="J712" s="104"/>
      <c r="K712" s="105"/>
      <c r="L712" s="106"/>
      <c r="M712" s="104"/>
      <c r="N712" s="104"/>
      <c r="O712" s="104"/>
      <c r="P712" s="104"/>
      <c r="Q712" s="104"/>
      <c r="R712" s="106"/>
      <c r="S712" s="104"/>
      <c r="T712" s="104"/>
      <c r="U712" s="104"/>
      <c r="V712" s="104"/>
      <c r="W712" s="105"/>
      <c r="X712" s="104"/>
      <c r="Y712" s="104"/>
      <c r="Z712" s="104"/>
      <c r="AA712" s="104"/>
      <c r="AB712" s="104"/>
      <c r="AC712" s="104"/>
      <c r="AD712" s="104"/>
      <c r="AE712" s="104"/>
      <c r="AF712" s="104"/>
      <c r="AG712" s="104"/>
      <c r="AH712" s="104"/>
      <c r="AI712" s="104"/>
      <c r="AJ712" s="104"/>
      <c r="AK712" s="104"/>
      <c r="AL712" s="104"/>
      <c r="AM712" s="104"/>
      <c r="AN712" s="104"/>
      <c r="AO712" s="104"/>
      <c r="AP712" s="104"/>
      <c r="AQ712" s="104"/>
      <c r="AR712" s="104"/>
      <c r="AS712" s="104"/>
      <c r="AT712" s="104"/>
      <c r="AU712" s="104"/>
      <c r="AV712" s="104"/>
      <c r="AW712" s="104"/>
      <c r="AX712" s="104"/>
      <c r="AY712" s="104"/>
      <c r="AZ712" s="104"/>
      <c r="BA712" s="104"/>
      <c r="BB712" s="104"/>
      <c r="BC712" s="104"/>
      <c r="BD712" s="104"/>
      <c r="BE712" s="104"/>
      <c r="BF712" s="104"/>
      <c r="BG712" s="104"/>
      <c r="BH712" s="104"/>
      <c r="BI712" s="104"/>
      <c r="BJ712" s="104"/>
      <c r="BK712" s="104"/>
      <c r="BL712" s="104"/>
      <c r="BM712" s="104"/>
      <c r="BN712" s="104"/>
    </row>
    <row r="713">
      <c r="A713" s="104"/>
      <c r="B713" s="104"/>
      <c r="C713" s="104"/>
      <c r="D713" s="104"/>
      <c r="E713" s="104"/>
      <c r="F713" s="104"/>
      <c r="G713" s="104"/>
      <c r="H713" s="104"/>
      <c r="I713" s="104"/>
      <c r="J713" s="104"/>
      <c r="K713" s="105"/>
      <c r="L713" s="106"/>
      <c r="M713" s="104"/>
      <c r="N713" s="104"/>
      <c r="O713" s="104"/>
      <c r="P713" s="104"/>
      <c r="Q713" s="104"/>
      <c r="R713" s="106"/>
      <c r="S713" s="104"/>
      <c r="T713" s="104"/>
      <c r="U713" s="104"/>
      <c r="V713" s="104"/>
      <c r="W713" s="105"/>
      <c r="X713" s="104"/>
      <c r="Y713" s="104"/>
      <c r="Z713" s="104"/>
      <c r="AA713" s="104"/>
      <c r="AB713" s="104"/>
      <c r="AC713" s="104"/>
      <c r="AD713" s="104"/>
      <c r="AE713" s="104"/>
      <c r="AF713" s="104"/>
      <c r="AG713" s="104"/>
      <c r="AH713" s="104"/>
      <c r="AI713" s="104"/>
      <c r="AJ713" s="104"/>
      <c r="AK713" s="104"/>
      <c r="AL713" s="104"/>
      <c r="AM713" s="104"/>
      <c r="AN713" s="104"/>
      <c r="AO713" s="104"/>
      <c r="AP713" s="104"/>
      <c r="AQ713" s="104"/>
      <c r="AR713" s="104"/>
      <c r="AS713" s="104"/>
      <c r="AT713" s="104"/>
      <c r="AU713" s="104"/>
      <c r="AV713" s="104"/>
      <c r="AW713" s="104"/>
      <c r="AX713" s="104"/>
      <c r="AY713" s="104"/>
      <c r="AZ713" s="104"/>
      <c r="BA713" s="104"/>
      <c r="BB713" s="104"/>
      <c r="BC713" s="104"/>
      <c r="BD713" s="104"/>
      <c r="BE713" s="104"/>
      <c r="BF713" s="104"/>
      <c r="BG713" s="104"/>
      <c r="BH713" s="104"/>
      <c r="BI713" s="104"/>
      <c r="BJ713" s="104"/>
      <c r="BK713" s="104"/>
      <c r="BL713" s="104"/>
      <c r="BM713" s="104"/>
      <c r="BN713" s="104"/>
    </row>
    <row r="714">
      <c r="A714" s="104"/>
      <c r="B714" s="104"/>
      <c r="C714" s="104"/>
      <c r="D714" s="104"/>
      <c r="E714" s="104"/>
      <c r="F714" s="104"/>
      <c r="G714" s="104"/>
      <c r="H714" s="104"/>
      <c r="I714" s="104"/>
      <c r="J714" s="104"/>
      <c r="K714" s="105"/>
      <c r="L714" s="106"/>
      <c r="M714" s="104"/>
      <c r="N714" s="104"/>
      <c r="O714" s="104"/>
      <c r="P714" s="104"/>
      <c r="Q714" s="104"/>
      <c r="R714" s="106"/>
      <c r="S714" s="104"/>
      <c r="T714" s="104"/>
      <c r="U714" s="104"/>
      <c r="V714" s="104"/>
      <c r="W714" s="105"/>
      <c r="X714" s="104"/>
      <c r="Y714" s="104"/>
      <c r="Z714" s="104"/>
      <c r="AA714" s="104"/>
      <c r="AB714" s="104"/>
      <c r="AC714" s="104"/>
      <c r="AD714" s="104"/>
      <c r="AE714" s="104"/>
      <c r="AF714" s="104"/>
      <c r="AG714" s="104"/>
      <c r="AH714" s="104"/>
      <c r="AI714" s="104"/>
      <c r="AJ714" s="104"/>
      <c r="AK714" s="104"/>
      <c r="AL714" s="104"/>
      <c r="AM714" s="104"/>
      <c r="AN714" s="104"/>
      <c r="AO714" s="104"/>
      <c r="AP714" s="104"/>
      <c r="AQ714" s="104"/>
      <c r="AR714" s="104"/>
      <c r="AS714" s="104"/>
      <c r="AT714" s="104"/>
      <c r="AU714" s="104"/>
      <c r="AV714" s="104"/>
      <c r="AW714" s="104"/>
      <c r="AX714" s="104"/>
      <c r="AY714" s="104"/>
      <c r="AZ714" s="104"/>
      <c r="BA714" s="104"/>
      <c r="BB714" s="104"/>
      <c r="BC714" s="104"/>
      <c r="BD714" s="104"/>
      <c r="BE714" s="104"/>
      <c r="BF714" s="104"/>
      <c r="BG714" s="104"/>
      <c r="BH714" s="104"/>
      <c r="BI714" s="104"/>
      <c r="BJ714" s="104"/>
      <c r="BK714" s="104"/>
      <c r="BL714" s="104"/>
      <c r="BM714" s="104"/>
      <c r="BN714" s="104"/>
    </row>
    <row r="715">
      <c r="A715" s="104"/>
      <c r="B715" s="104"/>
      <c r="C715" s="104"/>
      <c r="D715" s="104"/>
      <c r="E715" s="104"/>
      <c r="F715" s="104"/>
      <c r="G715" s="104"/>
      <c r="H715" s="104"/>
      <c r="I715" s="104"/>
      <c r="J715" s="104"/>
      <c r="K715" s="105"/>
      <c r="L715" s="106"/>
      <c r="M715" s="104"/>
      <c r="N715" s="104"/>
      <c r="O715" s="104"/>
      <c r="P715" s="104"/>
      <c r="Q715" s="104"/>
      <c r="R715" s="106"/>
      <c r="S715" s="104"/>
      <c r="T715" s="104"/>
      <c r="U715" s="104"/>
      <c r="V715" s="104"/>
      <c r="W715" s="105"/>
      <c r="X715" s="104"/>
      <c r="Y715" s="104"/>
      <c r="Z715" s="104"/>
      <c r="AA715" s="104"/>
      <c r="AB715" s="104"/>
      <c r="AC715" s="104"/>
      <c r="AD715" s="104"/>
      <c r="AE715" s="104"/>
      <c r="AF715" s="104"/>
      <c r="AG715" s="104"/>
      <c r="AH715" s="104"/>
      <c r="AI715" s="104"/>
      <c r="AJ715" s="104"/>
      <c r="AK715" s="104"/>
      <c r="AL715" s="104"/>
      <c r="AM715" s="104"/>
      <c r="AN715" s="104"/>
      <c r="AO715" s="104"/>
      <c r="AP715" s="104"/>
      <c r="AQ715" s="104"/>
      <c r="AR715" s="104"/>
      <c r="AS715" s="104"/>
      <c r="AT715" s="104"/>
      <c r="AU715" s="104"/>
      <c r="AV715" s="104"/>
      <c r="AW715" s="104"/>
      <c r="AX715" s="104"/>
      <c r="AY715" s="104"/>
      <c r="AZ715" s="104"/>
      <c r="BA715" s="104"/>
      <c r="BB715" s="104"/>
      <c r="BC715" s="104"/>
      <c r="BD715" s="104"/>
      <c r="BE715" s="104"/>
      <c r="BF715" s="104"/>
      <c r="BG715" s="104"/>
      <c r="BH715" s="104"/>
      <c r="BI715" s="104"/>
      <c r="BJ715" s="104"/>
      <c r="BK715" s="104"/>
      <c r="BL715" s="104"/>
      <c r="BM715" s="104"/>
      <c r="BN715" s="104"/>
    </row>
    <row r="716">
      <c r="A716" s="104"/>
      <c r="B716" s="104"/>
      <c r="C716" s="104"/>
      <c r="D716" s="104"/>
      <c r="E716" s="104"/>
      <c r="F716" s="104"/>
      <c r="G716" s="104"/>
      <c r="H716" s="104"/>
      <c r="I716" s="104"/>
      <c r="J716" s="104"/>
      <c r="K716" s="105"/>
      <c r="L716" s="106"/>
      <c r="M716" s="104"/>
      <c r="N716" s="104"/>
      <c r="O716" s="104"/>
      <c r="P716" s="104"/>
      <c r="Q716" s="104"/>
      <c r="R716" s="106"/>
      <c r="S716" s="104"/>
      <c r="T716" s="104"/>
      <c r="U716" s="104"/>
      <c r="V716" s="104"/>
      <c r="W716" s="105"/>
      <c r="X716" s="104"/>
      <c r="Y716" s="104"/>
      <c r="Z716" s="104"/>
      <c r="AA716" s="104"/>
      <c r="AB716" s="104"/>
      <c r="AC716" s="104"/>
      <c r="AD716" s="104"/>
      <c r="AE716" s="104"/>
      <c r="AF716" s="104"/>
      <c r="AG716" s="104"/>
      <c r="AH716" s="104"/>
      <c r="AI716" s="104"/>
      <c r="AJ716" s="104"/>
      <c r="AK716" s="104"/>
      <c r="AL716" s="104"/>
      <c r="AM716" s="104"/>
      <c r="AN716" s="104"/>
      <c r="AO716" s="104"/>
      <c r="AP716" s="104"/>
      <c r="AQ716" s="104"/>
      <c r="AR716" s="104"/>
      <c r="AS716" s="104"/>
      <c r="AT716" s="104"/>
      <c r="AU716" s="104"/>
      <c r="AV716" s="104"/>
      <c r="AW716" s="104"/>
      <c r="AX716" s="104"/>
      <c r="AY716" s="104"/>
      <c r="AZ716" s="104"/>
      <c r="BA716" s="104"/>
      <c r="BB716" s="104"/>
      <c r="BC716" s="104"/>
      <c r="BD716" s="104"/>
      <c r="BE716" s="104"/>
      <c r="BF716" s="104"/>
      <c r="BG716" s="104"/>
      <c r="BH716" s="104"/>
      <c r="BI716" s="104"/>
      <c r="BJ716" s="104"/>
      <c r="BK716" s="104"/>
      <c r="BL716" s="104"/>
      <c r="BM716" s="104"/>
      <c r="BN716" s="104"/>
    </row>
    <row r="717">
      <c r="A717" s="104"/>
      <c r="B717" s="104"/>
      <c r="C717" s="104"/>
      <c r="D717" s="104"/>
      <c r="E717" s="104"/>
      <c r="F717" s="104"/>
      <c r="G717" s="104"/>
      <c r="H717" s="104"/>
      <c r="I717" s="104"/>
      <c r="J717" s="104"/>
      <c r="K717" s="105"/>
      <c r="L717" s="106"/>
      <c r="M717" s="104"/>
      <c r="N717" s="104"/>
      <c r="O717" s="104"/>
      <c r="P717" s="104"/>
      <c r="Q717" s="104"/>
      <c r="R717" s="106"/>
      <c r="S717" s="104"/>
      <c r="T717" s="104"/>
      <c r="U717" s="104"/>
      <c r="V717" s="104"/>
      <c r="W717" s="105"/>
      <c r="X717" s="104"/>
      <c r="Y717" s="104"/>
      <c r="Z717" s="104"/>
      <c r="AA717" s="104"/>
      <c r="AB717" s="104"/>
      <c r="AC717" s="104"/>
      <c r="AD717" s="104"/>
      <c r="AE717" s="104"/>
      <c r="AF717" s="104"/>
      <c r="AG717" s="104"/>
      <c r="AH717" s="104"/>
      <c r="AI717" s="104"/>
      <c r="AJ717" s="104"/>
      <c r="AK717" s="104"/>
      <c r="AL717" s="104"/>
      <c r="AM717" s="104"/>
      <c r="AN717" s="104"/>
      <c r="AO717" s="104"/>
      <c r="AP717" s="104"/>
      <c r="AQ717" s="104"/>
      <c r="AR717" s="104"/>
      <c r="AS717" s="104"/>
      <c r="AT717" s="104"/>
      <c r="AU717" s="104"/>
      <c r="AV717" s="104"/>
      <c r="AW717" s="104"/>
      <c r="AX717" s="104"/>
      <c r="AY717" s="104"/>
      <c r="AZ717" s="104"/>
      <c r="BA717" s="104"/>
      <c r="BB717" s="104"/>
      <c r="BC717" s="104"/>
      <c r="BD717" s="104"/>
      <c r="BE717" s="104"/>
      <c r="BF717" s="104"/>
      <c r="BG717" s="104"/>
      <c r="BH717" s="104"/>
      <c r="BI717" s="104"/>
      <c r="BJ717" s="104"/>
      <c r="BK717" s="104"/>
      <c r="BL717" s="104"/>
      <c r="BM717" s="104"/>
      <c r="BN717" s="104"/>
    </row>
    <row r="718">
      <c r="A718" s="104"/>
      <c r="B718" s="104"/>
      <c r="C718" s="104"/>
      <c r="D718" s="104"/>
      <c r="E718" s="104"/>
      <c r="F718" s="104"/>
      <c r="G718" s="104"/>
      <c r="H718" s="104"/>
      <c r="I718" s="104"/>
      <c r="J718" s="104"/>
      <c r="K718" s="105"/>
      <c r="L718" s="106"/>
      <c r="M718" s="104"/>
      <c r="N718" s="104"/>
      <c r="O718" s="104"/>
      <c r="P718" s="104"/>
      <c r="Q718" s="104"/>
      <c r="R718" s="106"/>
      <c r="S718" s="104"/>
      <c r="T718" s="104"/>
      <c r="U718" s="104"/>
      <c r="V718" s="104"/>
      <c r="W718" s="105"/>
      <c r="X718" s="104"/>
      <c r="Y718" s="104"/>
      <c r="Z718" s="104"/>
      <c r="AA718" s="104"/>
      <c r="AB718" s="104"/>
      <c r="AC718" s="104"/>
      <c r="AD718" s="104"/>
      <c r="AE718" s="104"/>
      <c r="AF718" s="104"/>
      <c r="AG718" s="104"/>
      <c r="AH718" s="104"/>
      <c r="AI718" s="104"/>
      <c r="AJ718" s="104"/>
      <c r="AK718" s="104"/>
      <c r="AL718" s="104"/>
      <c r="AM718" s="104"/>
      <c r="AN718" s="104"/>
      <c r="AO718" s="104"/>
      <c r="AP718" s="104"/>
      <c r="AQ718" s="104"/>
      <c r="AR718" s="104"/>
      <c r="AS718" s="104"/>
      <c r="AT718" s="104"/>
      <c r="AU718" s="104"/>
      <c r="AV718" s="104"/>
      <c r="AW718" s="104"/>
      <c r="AX718" s="104"/>
      <c r="AY718" s="104"/>
      <c r="AZ718" s="104"/>
      <c r="BA718" s="104"/>
      <c r="BB718" s="104"/>
      <c r="BC718" s="104"/>
      <c r="BD718" s="104"/>
      <c r="BE718" s="104"/>
      <c r="BF718" s="104"/>
      <c r="BG718" s="104"/>
      <c r="BH718" s="104"/>
      <c r="BI718" s="104"/>
      <c r="BJ718" s="104"/>
      <c r="BK718" s="104"/>
      <c r="BL718" s="104"/>
      <c r="BM718" s="104"/>
      <c r="BN718" s="104"/>
    </row>
    <row r="719">
      <c r="A719" s="104"/>
      <c r="B719" s="104"/>
      <c r="C719" s="104"/>
      <c r="D719" s="104"/>
      <c r="E719" s="104"/>
      <c r="F719" s="104"/>
      <c r="G719" s="104"/>
      <c r="H719" s="104"/>
      <c r="I719" s="104"/>
      <c r="J719" s="104"/>
      <c r="K719" s="105"/>
      <c r="L719" s="106"/>
      <c r="M719" s="104"/>
      <c r="N719" s="104"/>
      <c r="O719" s="104"/>
      <c r="P719" s="104"/>
      <c r="Q719" s="104"/>
      <c r="R719" s="106"/>
      <c r="S719" s="104"/>
      <c r="T719" s="104"/>
      <c r="U719" s="104"/>
      <c r="V719" s="104"/>
      <c r="W719" s="105"/>
      <c r="X719" s="104"/>
      <c r="Y719" s="104"/>
      <c r="Z719" s="104"/>
      <c r="AA719" s="104"/>
      <c r="AB719" s="104"/>
      <c r="AC719" s="104"/>
      <c r="AD719" s="104"/>
      <c r="AE719" s="104"/>
      <c r="AF719" s="104"/>
      <c r="AG719" s="104"/>
      <c r="AH719" s="104"/>
      <c r="AI719" s="104"/>
      <c r="AJ719" s="104"/>
      <c r="AK719" s="104"/>
      <c r="AL719" s="104"/>
      <c r="AM719" s="104"/>
      <c r="AN719" s="104"/>
      <c r="AO719" s="104"/>
      <c r="AP719" s="104"/>
      <c r="AQ719" s="104"/>
      <c r="AR719" s="104"/>
      <c r="AS719" s="104"/>
      <c r="AT719" s="104"/>
      <c r="AU719" s="104"/>
      <c r="AV719" s="104"/>
      <c r="AW719" s="104"/>
      <c r="AX719" s="104"/>
      <c r="AY719" s="104"/>
      <c r="AZ719" s="104"/>
      <c r="BA719" s="104"/>
      <c r="BB719" s="104"/>
      <c r="BC719" s="104"/>
      <c r="BD719" s="104"/>
      <c r="BE719" s="104"/>
      <c r="BF719" s="104"/>
      <c r="BG719" s="104"/>
      <c r="BH719" s="104"/>
      <c r="BI719" s="104"/>
      <c r="BJ719" s="104"/>
      <c r="BK719" s="104"/>
      <c r="BL719" s="104"/>
      <c r="BM719" s="104"/>
      <c r="BN719" s="104"/>
    </row>
    <row r="720">
      <c r="A720" s="104"/>
      <c r="B720" s="104"/>
      <c r="C720" s="104"/>
      <c r="D720" s="104"/>
      <c r="E720" s="104"/>
      <c r="F720" s="104"/>
      <c r="G720" s="104"/>
      <c r="H720" s="104"/>
      <c r="I720" s="104"/>
      <c r="J720" s="104"/>
      <c r="K720" s="105"/>
      <c r="L720" s="106"/>
      <c r="M720" s="104"/>
      <c r="N720" s="104"/>
      <c r="O720" s="104"/>
      <c r="P720" s="104"/>
      <c r="Q720" s="104"/>
      <c r="R720" s="106"/>
      <c r="S720" s="104"/>
      <c r="T720" s="104"/>
      <c r="U720" s="104"/>
      <c r="V720" s="104"/>
      <c r="W720" s="105"/>
      <c r="X720" s="104"/>
      <c r="Y720" s="104"/>
      <c r="Z720" s="104"/>
      <c r="AA720" s="104"/>
      <c r="AB720" s="104"/>
      <c r="AC720" s="104"/>
      <c r="AD720" s="104"/>
      <c r="AE720" s="104"/>
      <c r="AF720" s="104"/>
      <c r="AG720" s="104"/>
      <c r="AH720" s="104"/>
      <c r="AI720" s="104"/>
      <c r="AJ720" s="104"/>
      <c r="AK720" s="104"/>
      <c r="AL720" s="104"/>
      <c r="AM720" s="104"/>
      <c r="AN720" s="104"/>
      <c r="AO720" s="104"/>
      <c r="AP720" s="104"/>
      <c r="AQ720" s="104"/>
      <c r="AR720" s="104"/>
      <c r="AS720" s="104"/>
      <c r="AT720" s="104"/>
      <c r="AU720" s="104"/>
      <c r="AV720" s="104"/>
      <c r="AW720" s="104"/>
      <c r="AX720" s="104"/>
      <c r="AY720" s="104"/>
      <c r="AZ720" s="104"/>
      <c r="BA720" s="104"/>
      <c r="BB720" s="104"/>
      <c r="BC720" s="104"/>
      <c r="BD720" s="104"/>
      <c r="BE720" s="104"/>
      <c r="BF720" s="104"/>
      <c r="BG720" s="104"/>
      <c r="BH720" s="104"/>
      <c r="BI720" s="104"/>
      <c r="BJ720" s="104"/>
      <c r="BK720" s="104"/>
      <c r="BL720" s="104"/>
      <c r="BM720" s="104"/>
      <c r="BN720" s="104"/>
    </row>
    <row r="721">
      <c r="A721" s="104"/>
      <c r="B721" s="104"/>
      <c r="C721" s="104"/>
      <c r="D721" s="104"/>
      <c r="E721" s="104"/>
      <c r="F721" s="104"/>
      <c r="G721" s="104"/>
      <c r="H721" s="104"/>
      <c r="I721" s="104"/>
      <c r="J721" s="104"/>
      <c r="K721" s="105"/>
      <c r="L721" s="106"/>
      <c r="M721" s="104"/>
      <c r="N721" s="104"/>
      <c r="O721" s="104"/>
      <c r="P721" s="104"/>
      <c r="Q721" s="104"/>
      <c r="R721" s="106"/>
      <c r="S721" s="104"/>
      <c r="T721" s="104"/>
      <c r="U721" s="104"/>
      <c r="V721" s="104"/>
      <c r="W721" s="105"/>
      <c r="X721" s="104"/>
      <c r="Y721" s="104"/>
      <c r="Z721" s="104"/>
      <c r="AA721" s="104"/>
      <c r="AB721" s="104"/>
      <c r="AC721" s="104"/>
      <c r="AD721" s="104"/>
      <c r="AE721" s="104"/>
      <c r="AF721" s="104"/>
      <c r="AG721" s="104"/>
      <c r="AH721" s="104"/>
      <c r="AI721" s="104"/>
      <c r="AJ721" s="104"/>
      <c r="AK721" s="104"/>
      <c r="AL721" s="104"/>
      <c r="AM721" s="104"/>
      <c r="AN721" s="104"/>
      <c r="AO721" s="104"/>
      <c r="AP721" s="104"/>
      <c r="AQ721" s="104"/>
      <c r="AR721" s="104"/>
      <c r="AS721" s="104"/>
      <c r="AT721" s="104"/>
      <c r="AU721" s="104"/>
      <c r="AV721" s="104"/>
      <c r="AW721" s="104"/>
      <c r="AX721" s="104"/>
      <c r="AY721" s="104"/>
      <c r="AZ721" s="104"/>
      <c r="BA721" s="104"/>
      <c r="BB721" s="104"/>
      <c r="BC721" s="104"/>
      <c r="BD721" s="104"/>
      <c r="BE721" s="104"/>
      <c r="BF721" s="104"/>
      <c r="BG721" s="104"/>
      <c r="BH721" s="104"/>
      <c r="BI721" s="104"/>
      <c r="BJ721" s="104"/>
      <c r="BK721" s="104"/>
      <c r="BL721" s="104"/>
      <c r="BM721" s="104"/>
      <c r="BN721" s="104"/>
    </row>
    <row r="722">
      <c r="A722" s="104"/>
      <c r="B722" s="104"/>
      <c r="C722" s="104"/>
      <c r="D722" s="104"/>
      <c r="E722" s="104"/>
      <c r="F722" s="104"/>
      <c r="G722" s="104"/>
      <c r="H722" s="104"/>
      <c r="I722" s="104"/>
      <c r="J722" s="104"/>
      <c r="K722" s="105"/>
      <c r="L722" s="106"/>
      <c r="M722" s="104"/>
      <c r="N722" s="104"/>
      <c r="O722" s="104"/>
      <c r="P722" s="104"/>
      <c r="Q722" s="104"/>
      <c r="R722" s="106"/>
      <c r="S722" s="104"/>
      <c r="T722" s="104"/>
      <c r="U722" s="104"/>
      <c r="V722" s="104"/>
      <c r="W722" s="105"/>
      <c r="X722" s="104"/>
      <c r="Y722" s="104"/>
      <c r="Z722" s="104"/>
      <c r="AA722" s="104"/>
      <c r="AB722" s="104"/>
      <c r="AC722" s="104"/>
      <c r="AD722" s="104"/>
      <c r="AE722" s="104"/>
      <c r="AF722" s="104"/>
      <c r="AG722" s="104"/>
      <c r="AH722" s="104"/>
      <c r="AI722" s="104"/>
      <c r="AJ722" s="104"/>
      <c r="AK722" s="104"/>
      <c r="AL722" s="104"/>
      <c r="AM722" s="104"/>
      <c r="AN722" s="104"/>
      <c r="AO722" s="104"/>
      <c r="AP722" s="104"/>
      <c r="AQ722" s="104"/>
      <c r="AR722" s="104"/>
      <c r="AS722" s="104"/>
      <c r="AT722" s="104"/>
      <c r="AU722" s="104"/>
      <c r="AV722" s="104"/>
      <c r="AW722" s="104"/>
      <c r="AX722" s="104"/>
      <c r="AY722" s="104"/>
      <c r="AZ722" s="104"/>
      <c r="BA722" s="104"/>
      <c r="BB722" s="104"/>
      <c r="BC722" s="104"/>
      <c r="BD722" s="104"/>
      <c r="BE722" s="104"/>
      <c r="BF722" s="104"/>
      <c r="BG722" s="104"/>
      <c r="BH722" s="104"/>
      <c r="BI722" s="104"/>
      <c r="BJ722" s="104"/>
      <c r="BK722" s="104"/>
      <c r="BL722" s="104"/>
      <c r="BM722" s="104"/>
      <c r="BN722" s="104"/>
    </row>
    <row r="723">
      <c r="A723" s="104"/>
      <c r="B723" s="104"/>
      <c r="C723" s="104"/>
      <c r="D723" s="104"/>
      <c r="E723" s="104"/>
      <c r="F723" s="104"/>
      <c r="G723" s="104"/>
      <c r="H723" s="104"/>
      <c r="I723" s="104"/>
      <c r="J723" s="104"/>
      <c r="K723" s="105"/>
      <c r="L723" s="106"/>
      <c r="M723" s="104"/>
      <c r="N723" s="104"/>
      <c r="O723" s="104"/>
      <c r="P723" s="104"/>
      <c r="Q723" s="104"/>
      <c r="R723" s="106"/>
      <c r="S723" s="104"/>
      <c r="T723" s="104"/>
      <c r="U723" s="104"/>
      <c r="V723" s="104"/>
      <c r="W723" s="105"/>
      <c r="X723" s="104"/>
      <c r="Y723" s="104"/>
      <c r="Z723" s="104"/>
      <c r="AA723" s="104"/>
      <c r="AB723" s="104"/>
      <c r="AC723" s="104"/>
      <c r="AD723" s="104"/>
      <c r="AE723" s="104"/>
      <c r="AF723" s="104"/>
      <c r="AG723" s="104"/>
      <c r="AH723" s="104"/>
      <c r="AI723" s="104"/>
      <c r="AJ723" s="104"/>
      <c r="AK723" s="104"/>
      <c r="AL723" s="104"/>
      <c r="AM723" s="104"/>
      <c r="AN723" s="104"/>
      <c r="AO723" s="104"/>
      <c r="AP723" s="104"/>
      <c r="AQ723" s="104"/>
      <c r="AR723" s="104"/>
      <c r="AS723" s="104"/>
      <c r="AT723" s="104"/>
      <c r="AU723" s="104"/>
      <c r="AV723" s="104"/>
      <c r="AW723" s="104"/>
      <c r="AX723" s="104"/>
      <c r="AY723" s="104"/>
      <c r="AZ723" s="104"/>
      <c r="BA723" s="104"/>
      <c r="BB723" s="104"/>
      <c r="BC723" s="104"/>
      <c r="BD723" s="104"/>
      <c r="BE723" s="104"/>
      <c r="BF723" s="104"/>
      <c r="BG723" s="104"/>
      <c r="BH723" s="104"/>
      <c r="BI723" s="104"/>
      <c r="BJ723" s="104"/>
      <c r="BK723" s="104"/>
      <c r="BL723" s="104"/>
      <c r="BM723" s="104"/>
      <c r="BN723" s="104"/>
    </row>
    <row r="724">
      <c r="A724" s="104"/>
      <c r="B724" s="104"/>
      <c r="C724" s="104"/>
      <c r="D724" s="104"/>
      <c r="E724" s="104"/>
      <c r="F724" s="104"/>
      <c r="G724" s="104"/>
      <c r="H724" s="104"/>
      <c r="I724" s="104"/>
      <c r="J724" s="104"/>
      <c r="K724" s="105"/>
      <c r="L724" s="106"/>
      <c r="M724" s="104"/>
      <c r="N724" s="104"/>
      <c r="O724" s="104"/>
      <c r="P724" s="104"/>
      <c r="Q724" s="104"/>
      <c r="R724" s="106"/>
      <c r="S724" s="104"/>
      <c r="T724" s="104"/>
      <c r="U724" s="104"/>
      <c r="V724" s="104"/>
      <c r="W724" s="105"/>
      <c r="X724" s="104"/>
      <c r="Y724" s="104"/>
      <c r="Z724" s="104"/>
      <c r="AA724" s="104"/>
      <c r="AB724" s="104"/>
      <c r="AC724" s="104"/>
      <c r="AD724" s="104"/>
      <c r="AE724" s="104"/>
      <c r="AF724" s="104"/>
      <c r="AG724" s="104"/>
      <c r="AH724" s="104"/>
      <c r="AI724" s="104"/>
      <c r="AJ724" s="104"/>
      <c r="AK724" s="104"/>
      <c r="AL724" s="104"/>
      <c r="AM724" s="104"/>
      <c r="AN724" s="104"/>
      <c r="AO724" s="104"/>
      <c r="AP724" s="104"/>
      <c r="AQ724" s="104"/>
      <c r="AR724" s="104"/>
      <c r="AS724" s="104"/>
      <c r="AT724" s="104"/>
      <c r="AU724" s="104"/>
      <c r="AV724" s="104"/>
      <c r="AW724" s="104"/>
      <c r="AX724" s="104"/>
      <c r="AY724" s="104"/>
      <c r="AZ724" s="104"/>
      <c r="BA724" s="104"/>
      <c r="BB724" s="104"/>
      <c r="BC724" s="104"/>
      <c r="BD724" s="104"/>
      <c r="BE724" s="104"/>
      <c r="BF724" s="104"/>
      <c r="BG724" s="104"/>
      <c r="BH724" s="104"/>
      <c r="BI724" s="104"/>
      <c r="BJ724" s="104"/>
      <c r="BK724" s="104"/>
      <c r="BL724" s="104"/>
      <c r="BM724" s="104"/>
      <c r="BN724" s="104"/>
    </row>
    <row r="725">
      <c r="A725" s="104"/>
      <c r="B725" s="104"/>
      <c r="C725" s="104"/>
      <c r="D725" s="104"/>
      <c r="E725" s="104"/>
      <c r="F725" s="104"/>
      <c r="G725" s="104"/>
      <c r="H725" s="104"/>
      <c r="I725" s="104"/>
      <c r="J725" s="104"/>
      <c r="K725" s="105"/>
      <c r="L725" s="106"/>
      <c r="M725" s="104"/>
      <c r="N725" s="104"/>
      <c r="O725" s="104"/>
      <c r="P725" s="104"/>
      <c r="Q725" s="104"/>
      <c r="R725" s="106"/>
      <c r="S725" s="104"/>
      <c r="T725" s="104"/>
      <c r="U725" s="104"/>
      <c r="V725" s="104"/>
      <c r="W725" s="105"/>
      <c r="X725" s="104"/>
      <c r="Y725" s="104"/>
      <c r="Z725" s="104"/>
      <c r="AA725" s="104"/>
      <c r="AB725" s="104"/>
      <c r="AC725" s="104"/>
      <c r="AD725" s="104"/>
      <c r="AE725" s="104"/>
      <c r="AF725" s="104"/>
      <c r="AG725" s="104"/>
      <c r="AH725" s="104"/>
      <c r="AI725" s="104"/>
      <c r="AJ725" s="104"/>
      <c r="AK725" s="104"/>
      <c r="AL725" s="104"/>
      <c r="AM725" s="104"/>
      <c r="AN725" s="104"/>
      <c r="AO725" s="104"/>
      <c r="AP725" s="104"/>
      <c r="AQ725" s="104"/>
      <c r="AR725" s="104"/>
      <c r="AS725" s="104"/>
      <c r="AT725" s="104"/>
      <c r="AU725" s="104"/>
      <c r="AV725" s="104"/>
      <c r="AW725" s="104"/>
      <c r="AX725" s="104"/>
      <c r="AY725" s="104"/>
      <c r="AZ725" s="104"/>
      <c r="BA725" s="104"/>
      <c r="BB725" s="104"/>
      <c r="BC725" s="104"/>
      <c r="BD725" s="104"/>
      <c r="BE725" s="104"/>
      <c r="BF725" s="104"/>
      <c r="BG725" s="104"/>
      <c r="BH725" s="104"/>
      <c r="BI725" s="104"/>
      <c r="BJ725" s="104"/>
      <c r="BK725" s="104"/>
      <c r="BL725" s="104"/>
      <c r="BM725" s="104"/>
      <c r="BN725" s="104"/>
    </row>
    <row r="726">
      <c r="A726" s="104"/>
      <c r="B726" s="104"/>
      <c r="C726" s="104"/>
      <c r="D726" s="104"/>
      <c r="E726" s="104"/>
      <c r="F726" s="104"/>
      <c r="G726" s="104"/>
      <c r="H726" s="104"/>
      <c r="I726" s="104"/>
      <c r="J726" s="104"/>
      <c r="K726" s="105"/>
      <c r="L726" s="106"/>
      <c r="M726" s="104"/>
      <c r="N726" s="104"/>
      <c r="O726" s="104"/>
      <c r="P726" s="104"/>
      <c r="Q726" s="104"/>
      <c r="R726" s="106"/>
      <c r="S726" s="104"/>
      <c r="T726" s="104"/>
      <c r="U726" s="104"/>
      <c r="V726" s="104"/>
      <c r="W726" s="105"/>
      <c r="X726" s="104"/>
      <c r="Y726" s="104"/>
      <c r="Z726" s="104"/>
      <c r="AA726" s="104"/>
      <c r="AB726" s="104"/>
      <c r="AC726" s="104"/>
      <c r="AD726" s="104"/>
      <c r="AE726" s="104"/>
      <c r="AF726" s="104"/>
      <c r="AG726" s="104"/>
      <c r="AH726" s="104"/>
      <c r="AI726" s="104"/>
      <c r="AJ726" s="104"/>
      <c r="AK726" s="104"/>
      <c r="AL726" s="104"/>
      <c r="AM726" s="104"/>
      <c r="AN726" s="104"/>
      <c r="AO726" s="104"/>
      <c r="AP726" s="104"/>
      <c r="AQ726" s="104"/>
      <c r="AR726" s="104"/>
      <c r="AS726" s="104"/>
      <c r="AT726" s="104"/>
      <c r="AU726" s="104"/>
      <c r="AV726" s="104"/>
      <c r="AW726" s="104"/>
      <c r="AX726" s="104"/>
      <c r="AY726" s="104"/>
      <c r="AZ726" s="104"/>
      <c r="BA726" s="104"/>
      <c r="BB726" s="104"/>
      <c r="BC726" s="104"/>
      <c r="BD726" s="104"/>
      <c r="BE726" s="104"/>
      <c r="BF726" s="104"/>
      <c r="BG726" s="104"/>
      <c r="BH726" s="104"/>
      <c r="BI726" s="104"/>
      <c r="BJ726" s="104"/>
      <c r="BK726" s="104"/>
      <c r="BL726" s="104"/>
      <c r="BM726" s="104"/>
      <c r="BN726" s="104"/>
    </row>
    <row r="727">
      <c r="A727" s="104"/>
      <c r="B727" s="104"/>
      <c r="C727" s="104"/>
      <c r="D727" s="104"/>
      <c r="E727" s="104"/>
      <c r="F727" s="104"/>
      <c r="G727" s="104"/>
      <c r="H727" s="104"/>
      <c r="I727" s="104"/>
      <c r="J727" s="104"/>
      <c r="K727" s="105"/>
      <c r="L727" s="106"/>
      <c r="M727" s="104"/>
      <c r="N727" s="104"/>
      <c r="O727" s="104"/>
      <c r="P727" s="104"/>
      <c r="Q727" s="104"/>
      <c r="R727" s="106"/>
      <c r="S727" s="104"/>
      <c r="T727" s="104"/>
      <c r="U727" s="104"/>
      <c r="V727" s="104"/>
      <c r="W727" s="105"/>
      <c r="X727" s="104"/>
      <c r="Y727" s="104"/>
      <c r="Z727" s="104"/>
      <c r="AA727" s="104"/>
      <c r="AB727" s="104"/>
      <c r="AC727" s="104"/>
      <c r="AD727" s="104"/>
      <c r="AE727" s="104"/>
      <c r="AF727" s="104"/>
      <c r="AG727" s="104"/>
      <c r="AH727" s="104"/>
      <c r="AI727" s="104"/>
      <c r="AJ727" s="104"/>
      <c r="AK727" s="104"/>
      <c r="AL727" s="104"/>
      <c r="AM727" s="104"/>
      <c r="AN727" s="104"/>
      <c r="AO727" s="104"/>
      <c r="AP727" s="104"/>
      <c r="AQ727" s="104"/>
      <c r="AR727" s="104"/>
      <c r="AS727" s="104"/>
      <c r="AT727" s="104"/>
      <c r="AU727" s="104"/>
      <c r="AV727" s="104"/>
      <c r="AW727" s="104"/>
      <c r="AX727" s="104"/>
      <c r="AY727" s="104"/>
      <c r="AZ727" s="104"/>
      <c r="BA727" s="104"/>
      <c r="BB727" s="104"/>
      <c r="BC727" s="104"/>
      <c r="BD727" s="104"/>
      <c r="BE727" s="104"/>
      <c r="BF727" s="104"/>
      <c r="BG727" s="104"/>
      <c r="BH727" s="104"/>
      <c r="BI727" s="104"/>
      <c r="BJ727" s="104"/>
      <c r="BK727" s="104"/>
      <c r="BL727" s="104"/>
      <c r="BM727" s="104"/>
      <c r="BN727" s="104"/>
    </row>
    <row r="728">
      <c r="A728" s="104"/>
      <c r="B728" s="104"/>
      <c r="C728" s="104"/>
      <c r="D728" s="104"/>
      <c r="E728" s="104"/>
      <c r="F728" s="104"/>
      <c r="G728" s="104"/>
      <c r="H728" s="104"/>
      <c r="I728" s="104"/>
      <c r="J728" s="104"/>
      <c r="K728" s="105"/>
      <c r="L728" s="106"/>
      <c r="M728" s="104"/>
      <c r="N728" s="104"/>
      <c r="O728" s="104"/>
      <c r="P728" s="104"/>
      <c r="Q728" s="104"/>
      <c r="R728" s="106"/>
      <c r="S728" s="104"/>
      <c r="T728" s="104"/>
      <c r="U728" s="104"/>
      <c r="V728" s="104"/>
      <c r="W728" s="105"/>
      <c r="X728" s="104"/>
      <c r="Y728" s="104"/>
      <c r="Z728" s="104"/>
      <c r="AA728" s="104"/>
      <c r="AB728" s="104"/>
      <c r="AC728" s="104"/>
      <c r="AD728" s="104"/>
      <c r="AE728" s="104"/>
      <c r="AF728" s="104"/>
      <c r="AG728" s="104"/>
      <c r="AH728" s="104"/>
      <c r="AI728" s="104"/>
      <c r="AJ728" s="104"/>
      <c r="AK728" s="104"/>
      <c r="AL728" s="104"/>
      <c r="AM728" s="104"/>
      <c r="AN728" s="104"/>
      <c r="AO728" s="104"/>
      <c r="AP728" s="104"/>
      <c r="AQ728" s="104"/>
      <c r="AR728" s="104"/>
      <c r="AS728" s="104"/>
      <c r="AT728" s="104"/>
      <c r="AU728" s="104"/>
      <c r="AV728" s="104"/>
      <c r="AW728" s="104"/>
      <c r="AX728" s="104"/>
      <c r="AY728" s="104"/>
      <c r="AZ728" s="104"/>
      <c r="BA728" s="104"/>
      <c r="BB728" s="104"/>
      <c r="BC728" s="104"/>
      <c r="BD728" s="104"/>
      <c r="BE728" s="104"/>
      <c r="BF728" s="104"/>
      <c r="BG728" s="104"/>
      <c r="BH728" s="104"/>
      <c r="BI728" s="104"/>
      <c r="BJ728" s="104"/>
      <c r="BK728" s="104"/>
      <c r="BL728" s="104"/>
      <c r="BM728" s="104"/>
      <c r="BN728" s="104"/>
    </row>
    <row r="729">
      <c r="A729" s="104"/>
      <c r="B729" s="104"/>
      <c r="C729" s="104"/>
      <c r="D729" s="104"/>
      <c r="E729" s="104"/>
      <c r="F729" s="104"/>
      <c r="G729" s="104"/>
      <c r="H729" s="104"/>
      <c r="I729" s="104"/>
      <c r="J729" s="104"/>
      <c r="K729" s="105"/>
      <c r="L729" s="106"/>
      <c r="M729" s="104"/>
      <c r="N729" s="104"/>
      <c r="O729" s="104"/>
      <c r="P729" s="104"/>
      <c r="Q729" s="104"/>
      <c r="R729" s="106"/>
      <c r="S729" s="104"/>
      <c r="T729" s="104"/>
      <c r="U729" s="104"/>
      <c r="V729" s="104"/>
      <c r="W729" s="105"/>
      <c r="X729" s="104"/>
      <c r="Y729" s="104"/>
      <c r="Z729" s="104"/>
      <c r="AA729" s="104"/>
      <c r="AB729" s="104"/>
      <c r="AC729" s="104"/>
      <c r="AD729" s="104"/>
      <c r="AE729" s="104"/>
      <c r="AF729" s="104"/>
      <c r="AG729" s="104"/>
      <c r="AH729" s="104"/>
      <c r="AI729" s="104"/>
      <c r="AJ729" s="104"/>
      <c r="AK729" s="104"/>
      <c r="AL729" s="104"/>
      <c r="AM729" s="104"/>
      <c r="AN729" s="104"/>
      <c r="AO729" s="104"/>
      <c r="AP729" s="104"/>
      <c r="AQ729" s="104"/>
      <c r="AR729" s="104"/>
      <c r="AS729" s="104"/>
      <c r="AT729" s="104"/>
      <c r="AU729" s="104"/>
      <c r="AV729" s="104"/>
      <c r="AW729" s="104"/>
      <c r="AX729" s="104"/>
      <c r="AY729" s="104"/>
      <c r="AZ729" s="104"/>
      <c r="BA729" s="104"/>
      <c r="BB729" s="104"/>
      <c r="BC729" s="104"/>
      <c r="BD729" s="104"/>
      <c r="BE729" s="104"/>
      <c r="BF729" s="104"/>
      <c r="BG729" s="104"/>
      <c r="BH729" s="104"/>
      <c r="BI729" s="104"/>
      <c r="BJ729" s="104"/>
      <c r="BK729" s="104"/>
      <c r="BL729" s="104"/>
      <c r="BM729" s="104"/>
      <c r="BN729" s="104"/>
    </row>
    <row r="730">
      <c r="A730" s="104"/>
      <c r="B730" s="104"/>
      <c r="C730" s="104"/>
      <c r="D730" s="104"/>
      <c r="E730" s="104"/>
      <c r="F730" s="104"/>
      <c r="G730" s="104"/>
      <c r="H730" s="104"/>
      <c r="I730" s="104"/>
      <c r="J730" s="104"/>
      <c r="K730" s="105"/>
      <c r="L730" s="106"/>
      <c r="M730" s="104"/>
      <c r="N730" s="104"/>
      <c r="O730" s="104"/>
      <c r="P730" s="104"/>
      <c r="Q730" s="104"/>
      <c r="R730" s="106"/>
      <c r="S730" s="104"/>
      <c r="T730" s="104"/>
      <c r="U730" s="104"/>
      <c r="V730" s="104"/>
      <c r="W730" s="105"/>
      <c r="X730" s="104"/>
      <c r="Y730" s="104"/>
      <c r="Z730" s="104"/>
      <c r="AA730" s="104"/>
      <c r="AB730" s="104"/>
      <c r="AC730" s="104"/>
      <c r="AD730" s="104"/>
      <c r="AE730" s="104"/>
      <c r="AF730" s="104"/>
      <c r="AG730" s="104"/>
      <c r="AH730" s="104"/>
      <c r="AI730" s="104"/>
      <c r="AJ730" s="104"/>
      <c r="AK730" s="104"/>
      <c r="AL730" s="104"/>
      <c r="AM730" s="104"/>
      <c r="AN730" s="104"/>
      <c r="AO730" s="104"/>
      <c r="AP730" s="104"/>
      <c r="AQ730" s="104"/>
      <c r="AR730" s="104"/>
      <c r="AS730" s="104"/>
      <c r="AT730" s="104"/>
      <c r="AU730" s="104"/>
      <c r="AV730" s="104"/>
      <c r="AW730" s="104"/>
      <c r="AX730" s="104"/>
      <c r="AY730" s="104"/>
      <c r="AZ730" s="104"/>
      <c r="BA730" s="104"/>
      <c r="BB730" s="104"/>
      <c r="BC730" s="104"/>
      <c r="BD730" s="104"/>
      <c r="BE730" s="104"/>
      <c r="BF730" s="104"/>
      <c r="BG730" s="104"/>
      <c r="BH730" s="104"/>
      <c r="BI730" s="104"/>
      <c r="BJ730" s="104"/>
      <c r="BK730" s="104"/>
      <c r="BL730" s="104"/>
      <c r="BM730" s="104"/>
      <c r="BN730" s="104"/>
    </row>
    <row r="731">
      <c r="A731" s="104"/>
      <c r="B731" s="104"/>
      <c r="C731" s="104"/>
      <c r="D731" s="104"/>
      <c r="E731" s="104"/>
      <c r="F731" s="104"/>
      <c r="G731" s="104"/>
      <c r="H731" s="104"/>
      <c r="I731" s="104"/>
      <c r="J731" s="104"/>
      <c r="K731" s="105"/>
      <c r="L731" s="106"/>
      <c r="M731" s="104"/>
      <c r="N731" s="104"/>
      <c r="O731" s="104"/>
      <c r="P731" s="104"/>
      <c r="Q731" s="104"/>
      <c r="R731" s="106"/>
      <c r="S731" s="104"/>
      <c r="T731" s="104"/>
      <c r="U731" s="104"/>
      <c r="V731" s="104"/>
      <c r="W731" s="105"/>
      <c r="X731" s="104"/>
      <c r="Y731" s="104"/>
      <c r="Z731" s="104"/>
      <c r="AA731" s="104"/>
      <c r="AB731" s="104"/>
      <c r="AC731" s="104"/>
      <c r="AD731" s="104"/>
      <c r="AE731" s="104"/>
      <c r="AF731" s="104"/>
      <c r="AG731" s="104"/>
      <c r="AH731" s="104"/>
      <c r="AI731" s="104"/>
      <c r="AJ731" s="104"/>
      <c r="AK731" s="104"/>
      <c r="AL731" s="104"/>
      <c r="AM731" s="104"/>
      <c r="AN731" s="104"/>
      <c r="AO731" s="104"/>
      <c r="AP731" s="104"/>
      <c r="AQ731" s="104"/>
      <c r="AR731" s="104"/>
      <c r="AS731" s="104"/>
      <c r="AT731" s="104"/>
      <c r="AU731" s="104"/>
      <c r="AV731" s="104"/>
      <c r="AW731" s="104"/>
      <c r="AX731" s="104"/>
      <c r="AY731" s="104"/>
      <c r="AZ731" s="104"/>
      <c r="BA731" s="104"/>
      <c r="BB731" s="104"/>
      <c r="BC731" s="104"/>
      <c r="BD731" s="104"/>
      <c r="BE731" s="104"/>
      <c r="BF731" s="104"/>
      <c r="BG731" s="104"/>
      <c r="BH731" s="104"/>
      <c r="BI731" s="104"/>
      <c r="BJ731" s="104"/>
      <c r="BK731" s="104"/>
      <c r="BL731" s="104"/>
      <c r="BM731" s="104"/>
      <c r="BN731" s="104"/>
    </row>
    <row r="732">
      <c r="A732" s="104"/>
      <c r="B732" s="104"/>
      <c r="C732" s="104"/>
      <c r="D732" s="104"/>
      <c r="E732" s="104"/>
      <c r="F732" s="104"/>
      <c r="G732" s="104"/>
      <c r="H732" s="104"/>
      <c r="I732" s="104"/>
      <c r="J732" s="104"/>
      <c r="K732" s="105"/>
      <c r="L732" s="106"/>
      <c r="M732" s="104"/>
      <c r="N732" s="104"/>
      <c r="O732" s="104"/>
      <c r="P732" s="104"/>
      <c r="Q732" s="104"/>
      <c r="R732" s="106"/>
      <c r="S732" s="104"/>
      <c r="T732" s="104"/>
      <c r="U732" s="104"/>
      <c r="V732" s="104"/>
      <c r="W732" s="105"/>
      <c r="X732" s="104"/>
      <c r="Y732" s="104"/>
      <c r="Z732" s="104"/>
      <c r="AA732" s="104"/>
      <c r="AB732" s="104"/>
      <c r="AC732" s="104"/>
      <c r="AD732" s="104"/>
      <c r="AE732" s="104"/>
      <c r="AF732" s="104"/>
      <c r="AG732" s="104"/>
      <c r="AH732" s="104"/>
      <c r="AI732" s="104"/>
      <c r="AJ732" s="104"/>
      <c r="AK732" s="104"/>
      <c r="AL732" s="104"/>
      <c r="AM732" s="104"/>
      <c r="AN732" s="104"/>
      <c r="AO732" s="104"/>
      <c r="AP732" s="104"/>
      <c r="AQ732" s="104"/>
      <c r="AR732" s="104"/>
      <c r="AS732" s="104"/>
      <c r="AT732" s="104"/>
      <c r="AU732" s="104"/>
      <c r="AV732" s="104"/>
      <c r="AW732" s="104"/>
      <c r="AX732" s="104"/>
      <c r="AY732" s="104"/>
      <c r="AZ732" s="104"/>
      <c r="BA732" s="104"/>
      <c r="BB732" s="104"/>
      <c r="BC732" s="104"/>
      <c r="BD732" s="104"/>
      <c r="BE732" s="104"/>
      <c r="BF732" s="104"/>
      <c r="BG732" s="104"/>
      <c r="BH732" s="104"/>
      <c r="BI732" s="104"/>
      <c r="BJ732" s="104"/>
      <c r="BK732" s="104"/>
      <c r="BL732" s="104"/>
      <c r="BM732" s="104"/>
      <c r="BN732" s="104"/>
    </row>
    <row r="733">
      <c r="A733" s="104"/>
      <c r="B733" s="104"/>
      <c r="C733" s="104"/>
      <c r="D733" s="104"/>
      <c r="E733" s="104"/>
      <c r="F733" s="104"/>
      <c r="G733" s="104"/>
      <c r="H733" s="104"/>
      <c r="I733" s="104"/>
      <c r="J733" s="104"/>
      <c r="K733" s="105"/>
      <c r="L733" s="106"/>
      <c r="M733" s="104"/>
      <c r="N733" s="104"/>
      <c r="O733" s="104"/>
      <c r="P733" s="104"/>
      <c r="Q733" s="104"/>
      <c r="R733" s="106"/>
      <c r="S733" s="104"/>
      <c r="T733" s="104"/>
      <c r="U733" s="104"/>
      <c r="V733" s="104"/>
      <c r="W733" s="105"/>
      <c r="X733" s="104"/>
      <c r="Y733" s="104"/>
      <c r="Z733" s="104"/>
      <c r="AA733" s="104"/>
      <c r="AB733" s="104"/>
      <c r="AC733" s="104"/>
      <c r="AD733" s="104"/>
      <c r="AE733" s="104"/>
      <c r="AF733" s="104"/>
      <c r="AG733" s="104"/>
      <c r="AH733" s="104"/>
      <c r="AI733" s="104"/>
      <c r="AJ733" s="104"/>
      <c r="AK733" s="104"/>
      <c r="AL733" s="104"/>
      <c r="AM733" s="104"/>
      <c r="AN733" s="104"/>
      <c r="AO733" s="104"/>
      <c r="AP733" s="104"/>
      <c r="AQ733" s="104"/>
      <c r="AR733" s="104"/>
      <c r="AS733" s="104"/>
      <c r="AT733" s="104"/>
      <c r="AU733" s="104"/>
      <c r="AV733" s="104"/>
      <c r="AW733" s="104"/>
      <c r="AX733" s="104"/>
      <c r="AY733" s="104"/>
      <c r="AZ733" s="104"/>
      <c r="BA733" s="104"/>
      <c r="BB733" s="104"/>
      <c r="BC733" s="104"/>
      <c r="BD733" s="104"/>
      <c r="BE733" s="104"/>
      <c r="BF733" s="104"/>
      <c r="BG733" s="104"/>
      <c r="BH733" s="104"/>
      <c r="BI733" s="104"/>
      <c r="BJ733" s="104"/>
      <c r="BK733" s="104"/>
      <c r="BL733" s="104"/>
      <c r="BM733" s="104"/>
      <c r="BN733" s="104"/>
    </row>
    <row r="734">
      <c r="A734" s="104"/>
      <c r="B734" s="104"/>
      <c r="C734" s="104"/>
      <c r="D734" s="104"/>
      <c r="E734" s="104"/>
      <c r="F734" s="104"/>
      <c r="G734" s="104"/>
      <c r="H734" s="104"/>
      <c r="I734" s="104"/>
      <c r="J734" s="104"/>
      <c r="K734" s="105"/>
      <c r="L734" s="106"/>
      <c r="M734" s="104"/>
      <c r="N734" s="104"/>
      <c r="O734" s="104"/>
      <c r="P734" s="104"/>
      <c r="Q734" s="104"/>
      <c r="R734" s="106"/>
      <c r="S734" s="104"/>
      <c r="T734" s="104"/>
      <c r="U734" s="104"/>
      <c r="V734" s="104"/>
      <c r="W734" s="105"/>
      <c r="X734" s="104"/>
      <c r="Y734" s="104"/>
      <c r="Z734" s="104"/>
      <c r="AA734" s="104"/>
      <c r="AB734" s="104"/>
      <c r="AC734" s="104"/>
      <c r="AD734" s="104"/>
      <c r="AE734" s="104"/>
      <c r="AF734" s="104"/>
      <c r="AG734" s="104"/>
      <c r="AH734" s="104"/>
      <c r="AI734" s="104"/>
      <c r="AJ734" s="104"/>
      <c r="AK734" s="104"/>
      <c r="AL734" s="104"/>
      <c r="AM734" s="104"/>
      <c r="AN734" s="104"/>
      <c r="AO734" s="104"/>
      <c r="AP734" s="104"/>
      <c r="AQ734" s="104"/>
      <c r="AR734" s="104"/>
      <c r="AS734" s="104"/>
      <c r="AT734" s="104"/>
      <c r="AU734" s="104"/>
      <c r="AV734" s="104"/>
      <c r="AW734" s="104"/>
      <c r="AX734" s="104"/>
      <c r="AY734" s="104"/>
      <c r="AZ734" s="104"/>
      <c r="BA734" s="104"/>
      <c r="BB734" s="104"/>
      <c r="BC734" s="104"/>
      <c r="BD734" s="104"/>
      <c r="BE734" s="104"/>
      <c r="BF734" s="104"/>
      <c r="BG734" s="104"/>
      <c r="BH734" s="104"/>
      <c r="BI734" s="104"/>
      <c r="BJ734" s="104"/>
      <c r="BK734" s="104"/>
      <c r="BL734" s="104"/>
      <c r="BM734" s="104"/>
      <c r="BN734" s="104"/>
    </row>
    <row r="735">
      <c r="A735" s="104"/>
      <c r="B735" s="104"/>
      <c r="C735" s="104"/>
      <c r="D735" s="104"/>
      <c r="E735" s="104"/>
      <c r="F735" s="104"/>
      <c r="G735" s="104"/>
      <c r="H735" s="104"/>
      <c r="I735" s="104"/>
      <c r="J735" s="104"/>
      <c r="K735" s="105"/>
      <c r="L735" s="106"/>
      <c r="M735" s="104"/>
      <c r="N735" s="104"/>
      <c r="O735" s="104"/>
      <c r="P735" s="104"/>
      <c r="Q735" s="104"/>
      <c r="R735" s="106"/>
      <c r="S735" s="104"/>
      <c r="T735" s="104"/>
      <c r="U735" s="104"/>
      <c r="V735" s="104"/>
      <c r="W735" s="105"/>
      <c r="X735" s="104"/>
      <c r="Y735" s="104"/>
      <c r="Z735" s="104"/>
      <c r="AA735" s="104"/>
      <c r="AB735" s="104"/>
      <c r="AC735" s="104"/>
      <c r="AD735" s="104"/>
      <c r="AE735" s="104"/>
      <c r="AF735" s="104"/>
      <c r="AG735" s="104"/>
      <c r="AH735" s="104"/>
      <c r="AI735" s="104"/>
      <c r="AJ735" s="104"/>
      <c r="AK735" s="104"/>
      <c r="AL735" s="104"/>
      <c r="AM735" s="104"/>
      <c r="AN735" s="104"/>
      <c r="AO735" s="104"/>
      <c r="AP735" s="104"/>
      <c r="AQ735" s="104"/>
      <c r="AR735" s="104"/>
      <c r="AS735" s="104"/>
      <c r="AT735" s="104"/>
      <c r="AU735" s="104"/>
      <c r="AV735" s="104"/>
      <c r="AW735" s="104"/>
      <c r="AX735" s="104"/>
      <c r="AY735" s="104"/>
      <c r="AZ735" s="104"/>
      <c r="BA735" s="104"/>
      <c r="BB735" s="104"/>
      <c r="BC735" s="104"/>
      <c r="BD735" s="104"/>
      <c r="BE735" s="104"/>
      <c r="BF735" s="104"/>
      <c r="BG735" s="104"/>
      <c r="BH735" s="104"/>
      <c r="BI735" s="104"/>
      <c r="BJ735" s="104"/>
      <c r="BK735" s="104"/>
      <c r="BL735" s="104"/>
      <c r="BM735" s="104"/>
      <c r="BN735" s="104"/>
    </row>
    <row r="736">
      <c r="A736" s="104"/>
      <c r="B736" s="104"/>
      <c r="C736" s="104"/>
      <c r="D736" s="104"/>
      <c r="E736" s="104"/>
      <c r="F736" s="104"/>
      <c r="G736" s="104"/>
      <c r="H736" s="104"/>
      <c r="I736" s="104"/>
      <c r="J736" s="104"/>
      <c r="K736" s="105"/>
      <c r="L736" s="106"/>
      <c r="M736" s="104"/>
      <c r="N736" s="104"/>
      <c r="O736" s="104"/>
      <c r="P736" s="104"/>
      <c r="Q736" s="104"/>
      <c r="R736" s="106"/>
      <c r="S736" s="104"/>
      <c r="T736" s="104"/>
      <c r="U736" s="104"/>
      <c r="V736" s="104"/>
      <c r="W736" s="105"/>
      <c r="X736" s="104"/>
      <c r="Y736" s="104"/>
      <c r="Z736" s="104"/>
      <c r="AA736" s="104"/>
      <c r="AB736" s="104"/>
      <c r="AC736" s="104"/>
      <c r="AD736" s="104"/>
      <c r="AE736" s="104"/>
      <c r="AF736" s="104"/>
      <c r="AG736" s="104"/>
      <c r="AH736" s="104"/>
      <c r="AI736" s="104"/>
      <c r="AJ736" s="104"/>
      <c r="AK736" s="104"/>
      <c r="AL736" s="104"/>
      <c r="AM736" s="104"/>
      <c r="AN736" s="104"/>
      <c r="AO736" s="104"/>
      <c r="AP736" s="104"/>
      <c r="AQ736" s="104"/>
      <c r="AR736" s="104"/>
      <c r="AS736" s="104"/>
      <c r="AT736" s="104"/>
      <c r="AU736" s="104"/>
      <c r="AV736" s="104"/>
      <c r="AW736" s="104"/>
      <c r="AX736" s="104"/>
      <c r="AY736" s="104"/>
      <c r="AZ736" s="104"/>
      <c r="BA736" s="104"/>
      <c r="BB736" s="104"/>
      <c r="BC736" s="104"/>
      <c r="BD736" s="104"/>
      <c r="BE736" s="104"/>
      <c r="BF736" s="104"/>
      <c r="BG736" s="104"/>
      <c r="BH736" s="104"/>
      <c r="BI736" s="104"/>
      <c r="BJ736" s="104"/>
      <c r="BK736" s="104"/>
      <c r="BL736" s="104"/>
      <c r="BM736" s="104"/>
      <c r="BN736" s="104"/>
    </row>
    <row r="737">
      <c r="A737" s="104"/>
      <c r="B737" s="104"/>
      <c r="C737" s="104"/>
      <c r="D737" s="104"/>
      <c r="E737" s="104"/>
      <c r="F737" s="104"/>
      <c r="G737" s="104"/>
      <c r="H737" s="104"/>
      <c r="I737" s="104"/>
      <c r="J737" s="104"/>
      <c r="K737" s="105"/>
      <c r="L737" s="106"/>
      <c r="M737" s="104"/>
      <c r="N737" s="104"/>
      <c r="O737" s="104"/>
      <c r="P737" s="104"/>
      <c r="Q737" s="104"/>
      <c r="R737" s="106"/>
      <c r="S737" s="104"/>
      <c r="T737" s="104"/>
      <c r="U737" s="104"/>
      <c r="V737" s="104"/>
      <c r="W737" s="105"/>
      <c r="X737" s="104"/>
      <c r="Y737" s="104"/>
      <c r="Z737" s="104"/>
      <c r="AA737" s="104"/>
      <c r="AB737" s="104"/>
      <c r="AC737" s="104"/>
      <c r="AD737" s="104"/>
      <c r="AE737" s="104"/>
      <c r="AF737" s="104"/>
      <c r="AG737" s="104"/>
      <c r="AH737" s="104"/>
      <c r="AI737" s="104"/>
      <c r="AJ737" s="104"/>
      <c r="AK737" s="104"/>
      <c r="AL737" s="104"/>
      <c r="AM737" s="104"/>
      <c r="AN737" s="104"/>
      <c r="AO737" s="104"/>
      <c r="AP737" s="104"/>
      <c r="AQ737" s="104"/>
      <c r="AR737" s="104"/>
      <c r="AS737" s="104"/>
      <c r="AT737" s="104"/>
      <c r="AU737" s="104"/>
      <c r="AV737" s="104"/>
      <c r="AW737" s="104"/>
      <c r="AX737" s="104"/>
      <c r="AY737" s="104"/>
      <c r="AZ737" s="104"/>
      <c r="BA737" s="104"/>
      <c r="BB737" s="104"/>
      <c r="BC737" s="104"/>
      <c r="BD737" s="104"/>
      <c r="BE737" s="104"/>
      <c r="BF737" s="104"/>
      <c r="BG737" s="104"/>
      <c r="BH737" s="104"/>
      <c r="BI737" s="104"/>
      <c r="BJ737" s="104"/>
      <c r="BK737" s="104"/>
      <c r="BL737" s="104"/>
      <c r="BM737" s="104"/>
      <c r="BN737" s="104"/>
    </row>
    <row r="738">
      <c r="A738" s="104"/>
      <c r="B738" s="104"/>
      <c r="C738" s="104"/>
      <c r="D738" s="104"/>
      <c r="E738" s="104"/>
      <c r="F738" s="104"/>
      <c r="G738" s="104"/>
      <c r="H738" s="104"/>
      <c r="I738" s="104"/>
      <c r="J738" s="104"/>
      <c r="K738" s="105"/>
      <c r="L738" s="106"/>
      <c r="M738" s="104"/>
      <c r="N738" s="104"/>
      <c r="O738" s="104"/>
      <c r="P738" s="104"/>
      <c r="Q738" s="104"/>
      <c r="R738" s="106"/>
      <c r="S738" s="104"/>
      <c r="T738" s="104"/>
      <c r="U738" s="104"/>
      <c r="V738" s="104"/>
      <c r="W738" s="105"/>
      <c r="X738" s="104"/>
      <c r="Y738" s="104"/>
      <c r="Z738" s="104"/>
      <c r="AA738" s="104"/>
      <c r="AB738" s="104"/>
      <c r="AC738" s="104"/>
      <c r="AD738" s="104"/>
      <c r="AE738" s="104"/>
      <c r="AF738" s="104"/>
      <c r="AG738" s="104"/>
      <c r="AH738" s="104"/>
      <c r="AI738" s="104"/>
      <c r="AJ738" s="104"/>
      <c r="AK738" s="104"/>
      <c r="AL738" s="104"/>
      <c r="AM738" s="104"/>
      <c r="AN738" s="104"/>
      <c r="AO738" s="104"/>
      <c r="AP738" s="104"/>
      <c r="AQ738" s="104"/>
      <c r="AR738" s="104"/>
      <c r="AS738" s="104"/>
      <c r="AT738" s="104"/>
      <c r="AU738" s="104"/>
      <c r="AV738" s="104"/>
      <c r="AW738" s="104"/>
      <c r="AX738" s="104"/>
      <c r="AY738" s="104"/>
      <c r="AZ738" s="104"/>
      <c r="BA738" s="104"/>
      <c r="BB738" s="104"/>
      <c r="BC738" s="104"/>
      <c r="BD738" s="104"/>
      <c r="BE738" s="104"/>
      <c r="BF738" s="104"/>
      <c r="BG738" s="104"/>
      <c r="BH738" s="104"/>
      <c r="BI738" s="104"/>
      <c r="BJ738" s="104"/>
      <c r="BK738" s="104"/>
      <c r="BL738" s="104"/>
      <c r="BM738" s="104"/>
      <c r="BN738" s="104"/>
    </row>
    <row r="739">
      <c r="A739" s="104"/>
      <c r="B739" s="104"/>
      <c r="C739" s="104"/>
      <c r="D739" s="104"/>
      <c r="E739" s="104"/>
      <c r="F739" s="104"/>
      <c r="G739" s="104"/>
      <c r="H739" s="104"/>
      <c r="I739" s="104"/>
      <c r="J739" s="104"/>
      <c r="K739" s="105"/>
      <c r="L739" s="106"/>
      <c r="M739" s="104"/>
      <c r="N739" s="104"/>
      <c r="O739" s="104"/>
      <c r="P739" s="104"/>
      <c r="Q739" s="104"/>
      <c r="R739" s="106"/>
      <c r="S739" s="104"/>
      <c r="T739" s="104"/>
      <c r="U739" s="104"/>
      <c r="V739" s="104"/>
      <c r="W739" s="105"/>
      <c r="X739" s="104"/>
      <c r="Y739" s="104"/>
      <c r="Z739" s="104"/>
      <c r="AA739" s="104"/>
      <c r="AB739" s="104"/>
      <c r="AC739" s="104"/>
      <c r="AD739" s="104"/>
      <c r="AE739" s="104"/>
      <c r="AF739" s="104"/>
      <c r="AG739" s="104"/>
      <c r="AH739" s="104"/>
      <c r="AI739" s="104"/>
      <c r="AJ739" s="104"/>
      <c r="AK739" s="104"/>
      <c r="AL739" s="104"/>
      <c r="AM739" s="104"/>
      <c r="AN739" s="104"/>
      <c r="AO739" s="104"/>
      <c r="AP739" s="104"/>
      <c r="AQ739" s="104"/>
      <c r="AR739" s="104"/>
      <c r="AS739" s="104"/>
      <c r="AT739" s="104"/>
      <c r="AU739" s="104"/>
      <c r="AV739" s="104"/>
      <c r="AW739" s="104"/>
      <c r="AX739" s="104"/>
      <c r="AY739" s="104"/>
      <c r="AZ739" s="104"/>
      <c r="BA739" s="104"/>
      <c r="BB739" s="104"/>
      <c r="BC739" s="104"/>
      <c r="BD739" s="104"/>
      <c r="BE739" s="104"/>
      <c r="BF739" s="104"/>
      <c r="BG739" s="104"/>
      <c r="BH739" s="104"/>
      <c r="BI739" s="104"/>
      <c r="BJ739" s="104"/>
      <c r="BK739" s="104"/>
      <c r="BL739" s="104"/>
      <c r="BM739" s="104"/>
      <c r="BN739" s="104"/>
    </row>
    <row r="740">
      <c r="A740" s="104"/>
      <c r="B740" s="104"/>
      <c r="C740" s="104"/>
      <c r="D740" s="104"/>
      <c r="E740" s="104"/>
      <c r="F740" s="104"/>
      <c r="G740" s="104"/>
      <c r="H740" s="104"/>
      <c r="I740" s="104"/>
      <c r="J740" s="104"/>
      <c r="K740" s="105"/>
      <c r="L740" s="106"/>
      <c r="M740" s="104"/>
      <c r="N740" s="104"/>
      <c r="O740" s="104"/>
      <c r="P740" s="104"/>
      <c r="Q740" s="104"/>
      <c r="R740" s="106"/>
      <c r="S740" s="104"/>
      <c r="T740" s="104"/>
      <c r="U740" s="104"/>
      <c r="V740" s="104"/>
      <c r="W740" s="105"/>
      <c r="X740" s="104"/>
      <c r="Y740" s="104"/>
      <c r="Z740" s="104"/>
      <c r="AA740" s="104"/>
      <c r="AB740" s="104"/>
      <c r="AC740" s="104"/>
      <c r="AD740" s="104"/>
      <c r="AE740" s="104"/>
      <c r="AF740" s="104"/>
      <c r="AG740" s="104"/>
      <c r="AH740" s="104"/>
      <c r="AI740" s="104"/>
      <c r="AJ740" s="104"/>
      <c r="AK740" s="104"/>
      <c r="AL740" s="104"/>
      <c r="AM740" s="104"/>
      <c r="AN740" s="104"/>
      <c r="AO740" s="104"/>
      <c r="AP740" s="104"/>
      <c r="AQ740" s="104"/>
      <c r="AR740" s="104"/>
      <c r="AS740" s="104"/>
      <c r="AT740" s="104"/>
      <c r="AU740" s="104"/>
      <c r="AV740" s="104"/>
      <c r="AW740" s="104"/>
      <c r="AX740" s="104"/>
      <c r="AY740" s="104"/>
      <c r="AZ740" s="104"/>
      <c r="BA740" s="104"/>
      <c r="BB740" s="104"/>
      <c r="BC740" s="104"/>
      <c r="BD740" s="104"/>
      <c r="BE740" s="104"/>
      <c r="BF740" s="104"/>
      <c r="BG740" s="104"/>
      <c r="BH740" s="104"/>
      <c r="BI740" s="104"/>
      <c r="BJ740" s="104"/>
      <c r="BK740" s="104"/>
      <c r="BL740" s="104"/>
      <c r="BM740" s="104"/>
      <c r="BN740" s="104"/>
    </row>
    <row r="741">
      <c r="A741" s="104"/>
      <c r="B741" s="104"/>
      <c r="C741" s="104"/>
      <c r="D741" s="104"/>
      <c r="E741" s="104"/>
      <c r="F741" s="104"/>
      <c r="G741" s="104"/>
      <c r="H741" s="104"/>
      <c r="I741" s="104"/>
      <c r="J741" s="104"/>
      <c r="K741" s="105"/>
      <c r="L741" s="106"/>
      <c r="M741" s="104"/>
      <c r="N741" s="104"/>
      <c r="O741" s="104"/>
      <c r="P741" s="104"/>
      <c r="Q741" s="104"/>
      <c r="R741" s="106"/>
      <c r="S741" s="104"/>
      <c r="T741" s="104"/>
      <c r="U741" s="104"/>
      <c r="V741" s="104"/>
      <c r="W741" s="105"/>
      <c r="X741" s="104"/>
      <c r="Y741" s="104"/>
      <c r="Z741" s="104"/>
      <c r="AA741" s="104"/>
      <c r="AB741" s="104"/>
      <c r="AC741" s="104"/>
      <c r="AD741" s="104"/>
      <c r="AE741" s="104"/>
      <c r="AF741" s="104"/>
      <c r="AG741" s="104"/>
      <c r="AH741" s="104"/>
      <c r="AI741" s="104"/>
      <c r="AJ741" s="104"/>
      <c r="AK741" s="104"/>
      <c r="AL741" s="104"/>
      <c r="AM741" s="104"/>
      <c r="AN741" s="104"/>
      <c r="AO741" s="104"/>
      <c r="AP741" s="104"/>
      <c r="AQ741" s="104"/>
      <c r="AR741" s="104"/>
      <c r="AS741" s="104"/>
      <c r="AT741" s="104"/>
      <c r="AU741" s="104"/>
      <c r="AV741" s="104"/>
      <c r="AW741" s="104"/>
      <c r="AX741" s="104"/>
      <c r="AY741" s="104"/>
      <c r="AZ741" s="104"/>
      <c r="BA741" s="104"/>
      <c r="BB741" s="104"/>
      <c r="BC741" s="104"/>
      <c r="BD741" s="104"/>
      <c r="BE741" s="104"/>
      <c r="BF741" s="104"/>
      <c r="BG741" s="104"/>
      <c r="BH741" s="104"/>
      <c r="BI741" s="104"/>
      <c r="BJ741" s="104"/>
      <c r="BK741" s="104"/>
      <c r="BL741" s="104"/>
      <c r="BM741" s="104"/>
      <c r="BN741" s="104"/>
    </row>
    <row r="742">
      <c r="A742" s="104"/>
      <c r="B742" s="104"/>
      <c r="C742" s="104"/>
      <c r="D742" s="104"/>
      <c r="E742" s="104"/>
      <c r="F742" s="104"/>
      <c r="G742" s="104"/>
      <c r="H742" s="104"/>
      <c r="I742" s="104"/>
      <c r="J742" s="104"/>
      <c r="K742" s="105"/>
      <c r="L742" s="106"/>
      <c r="M742" s="104"/>
      <c r="N742" s="104"/>
      <c r="O742" s="104"/>
      <c r="P742" s="104"/>
      <c r="Q742" s="104"/>
      <c r="R742" s="106"/>
      <c r="S742" s="104"/>
      <c r="T742" s="104"/>
      <c r="U742" s="104"/>
      <c r="V742" s="104"/>
      <c r="W742" s="105"/>
      <c r="X742" s="104"/>
      <c r="Y742" s="104"/>
      <c r="Z742" s="104"/>
      <c r="AA742" s="104"/>
      <c r="AB742" s="104"/>
      <c r="AC742" s="104"/>
      <c r="AD742" s="104"/>
      <c r="AE742" s="104"/>
      <c r="AF742" s="104"/>
      <c r="AG742" s="104"/>
      <c r="AH742" s="104"/>
      <c r="AI742" s="104"/>
      <c r="AJ742" s="104"/>
      <c r="AK742" s="104"/>
      <c r="AL742" s="104"/>
      <c r="AM742" s="104"/>
      <c r="AN742" s="104"/>
      <c r="AO742" s="104"/>
      <c r="AP742" s="104"/>
      <c r="AQ742" s="104"/>
      <c r="AR742" s="104"/>
      <c r="AS742" s="104"/>
      <c r="AT742" s="104"/>
      <c r="AU742" s="104"/>
      <c r="AV742" s="104"/>
      <c r="AW742" s="104"/>
      <c r="AX742" s="104"/>
      <c r="AY742" s="104"/>
      <c r="AZ742" s="104"/>
      <c r="BA742" s="104"/>
      <c r="BB742" s="104"/>
      <c r="BC742" s="104"/>
      <c r="BD742" s="104"/>
      <c r="BE742" s="104"/>
      <c r="BF742" s="104"/>
      <c r="BG742" s="104"/>
      <c r="BH742" s="104"/>
      <c r="BI742" s="104"/>
      <c r="BJ742" s="104"/>
      <c r="BK742" s="104"/>
      <c r="BL742" s="104"/>
      <c r="BM742" s="104"/>
      <c r="BN742" s="104"/>
    </row>
    <row r="743">
      <c r="A743" s="104"/>
      <c r="B743" s="104"/>
      <c r="C743" s="104"/>
      <c r="D743" s="104"/>
      <c r="E743" s="104"/>
      <c r="F743" s="104"/>
      <c r="G743" s="104"/>
      <c r="H743" s="104"/>
      <c r="I743" s="104"/>
      <c r="J743" s="104"/>
      <c r="K743" s="105"/>
      <c r="L743" s="106"/>
      <c r="M743" s="104"/>
      <c r="N743" s="104"/>
      <c r="O743" s="104"/>
      <c r="P743" s="104"/>
      <c r="Q743" s="104"/>
      <c r="R743" s="106"/>
      <c r="S743" s="104"/>
      <c r="T743" s="104"/>
      <c r="U743" s="104"/>
      <c r="V743" s="104"/>
      <c r="W743" s="105"/>
      <c r="X743" s="104"/>
      <c r="Y743" s="104"/>
      <c r="Z743" s="104"/>
      <c r="AA743" s="104"/>
      <c r="AB743" s="104"/>
      <c r="AC743" s="104"/>
      <c r="AD743" s="104"/>
      <c r="AE743" s="104"/>
      <c r="AF743" s="104"/>
      <c r="AG743" s="104"/>
      <c r="AH743" s="104"/>
      <c r="AI743" s="104"/>
      <c r="AJ743" s="104"/>
      <c r="AK743" s="104"/>
      <c r="AL743" s="104"/>
      <c r="AM743" s="104"/>
      <c r="AN743" s="104"/>
      <c r="AO743" s="104"/>
      <c r="AP743" s="104"/>
      <c r="AQ743" s="104"/>
      <c r="AR743" s="104"/>
      <c r="AS743" s="104"/>
      <c r="AT743" s="104"/>
      <c r="AU743" s="104"/>
      <c r="AV743" s="104"/>
      <c r="AW743" s="104"/>
      <c r="AX743" s="104"/>
      <c r="AY743" s="104"/>
      <c r="AZ743" s="104"/>
      <c r="BA743" s="104"/>
      <c r="BB743" s="104"/>
      <c r="BC743" s="104"/>
      <c r="BD743" s="104"/>
      <c r="BE743" s="104"/>
      <c r="BF743" s="104"/>
      <c r="BG743" s="104"/>
      <c r="BH743" s="104"/>
      <c r="BI743" s="104"/>
      <c r="BJ743" s="104"/>
      <c r="BK743" s="104"/>
      <c r="BL743" s="104"/>
      <c r="BM743" s="104"/>
      <c r="BN743" s="104"/>
    </row>
    <row r="744">
      <c r="A744" s="104"/>
      <c r="B744" s="104"/>
      <c r="C744" s="104"/>
      <c r="D744" s="104"/>
      <c r="E744" s="104"/>
      <c r="F744" s="104"/>
      <c r="G744" s="104"/>
      <c r="H744" s="104"/>
      <c r="I744" s="104"/>
      <c r="J744" s="104"/>
      <c r="K744" s="105"/>
      <c r="L744" s="106"/>
      <c r="M744" s="104"/>
      <c r="N744" s="104"/>
      <c r="O744" s="104"/>
      <c r="P744" s="104"/>
      <c r="Q744" s="104"/>
      <c r="R744" s="106"/>
      <c r="S744" s="104"/>
      <c r="T744" s="104"/>
      <c r="U744" s="104"/>
      <c r="V744" s="104"/>
      <c r="W744" s="105"/>
      <c r="X744" s="104"/>
      <c r="Y744" s="104"/>
      <c r="Z744" s="104"/>
      <c r="AA744" s="104"/>
      <c r="AB744" s="104"/>
      <c r="AC744" s="104"/>
      <c r="AD744" s="104"/>
      <c r="AE744" s="104"/>
      <c r="AF744" s="104"/>
      <c r="AG744" s="104"/>
      <c r="AH744" s="104"/>
      <c r="AI744" s="104"/>
      <c r="AJ744" s="104"/>
      <c r="AK744" s="104"/>
      <c r="AL744" s="104"/>
      <c r="AM744" s="104"/>
      <c r="AN744" s="104"/>
      <c r="AO744" s="104"/>
      <c r="AP744" s="104"/>
      <c r="AQ744" s="104"/>
      <c r="AR744" s="104"/>
      <c r="AS744" s="104"/>
      <c r="AT744" s="104"/>
      <c r="AU744" s="104"/>
      <c r="AV744" s="104"/>
      <c r="AW744" s="104"/>
      <c r="AX744" s="104"/>
      <c r="AY744" s="104"/>
      <c r="AZ744" s="104"/>
      <c r="BA744" s="104"/>
      <c r="BB744" s="104"/>
      <c r="BC744" s="104"/>
      <c r="BD744" s="104"/>
      <c r="BE744" s="104"/>
      <c r="BF744" s="104"/>
      <c r="BG744" s="104"/>
      <c r="BH744" s="104"/>
      <c r="BI744" s="104"/>
      <c r="BJ744" s="104"/>
      <c r="BK744" s="104"/>
      <c r="BL744" s="104"/>
      <c r="BM744" s="104"/>
      <c r="BN744" s="104"/>
    </row>
    <row r="745">
      <c r="A745" s="104"/>
      <c r="B745" s="104"/>
      <c r="C745" s="104"/>
      <c r="D745" s="104"/>
      <c r="E745" s="104"/>
      <c r="F745" s="104"/>
      <c r="G745" s="104"/>
      <c r="H745" s="104"/>
      <c r="I745" s="104"/>
      <c r="J745" s="104"/>
      <c r="K745" s="105"/>
      <c r="L745" s="106"/>
      <c r="M745" s="104"/>
      <c r="N745" s="104"/>
      <c r="O745" s="104"/>
      <c r="P745" s="104"/>
      <c r="Q745" s="104"/>
      <c r="R745" s="106"/>
      <c r="S745" s="104"/>
      <c r="T745" s="104"/>
      <c r="U745" s="104"/>
      <c r="V745" s="104"/>
      <c r="W745" s="105"/>
      <c r="X745" s="104"/>
      <c r="Y745" s="104"/>
      <c r="Z745" s="104"/>
      <c r="AA745" s="104"/>
      <c r="AB745" s="104"/>
      <c r="AC745" s="104"/>
      <c r="AD745" s="104"/>
      <c r="AE745" s="104"/>
      <c r="AF745" s="104"/>
      <c r="AG745" s="104"/>
      <c r="AH745" s="104"/>
      <c r="AI745" s="104"/>
      <c r="AJ745" s="104"/>
      <c r="AK745" s="104"/>
      <c r="AL745" s="104"/>
      <c r="AM745" s="104"/>
      <c r="AN745" s="104"/>
      <c r="AO745" s="104"/>
      <c r="AP745" s="104"/>
      <c r="AQ745" s="104"/>
      <c r="AR745" s="104"/>
      <c r="AS745" s="104"/>
      <c r="AT745" s="104"/>
      <c r="AU745" s="104"/>
      <c r="AV745" s="104"/>
      <c r="AW745" s="104"/>
      <c r="AX745" s="104"/>
      <c r="AY745" s="104"/>
      <c r="AZ745" s="104"/>
      <c r="BA745" s="104"/>
      <c r="BB745" s="104"/>
      <c r="BC745" s="104"/>
      <c r="BD745" s="104"/>
      <c r="BE745" s="104"/>
      <c r="BF745" s="104"/>
      <c r="BG745" s="104"/>
      <c r="BH745" s="104"/>
      <c r="BI745" s="104"/>
      <c r="BJ745" s="104"/>
      <c r="BK745" s="104"/>
      <c r="BL745" s="104"/>
      <c r="BM745" s="104"/>
      <c r="BN745" s="104"/>
    </row>
    <row r="746">
      <c r="A746" s="104"/>
      <c r="B746" s="104"/>
      <c r="C746" s="104"/>
      <c r="D746" s="104"/>
      <c r="E746" s="104"/>
      <c r="F746" s="104"/>
      <c r="G746" s="104"/>
      <c r="H746" s="104"/>
      <c r="I746" s="104"/>
      <c r="J746" s="104"/>
      <c r="K746" s="105"/>
      <c r="L746" s="106"/>
      <c r="M746" s="104"/>
      <c r="N746" s="104"/>
      <c r="O746" s="104"/>
      <c r="P746" s="104"/>
      <c r="Q746" s="104"/>
      <c r="R746" s="106"/>
      <c r="S746" s="104"/>
      <c r="T746" s="104"/>
      <c r="U746" s="104"/>
      <c r="V746" s="104"/>
      <c r="W746" s="105"/>
      <c r="X746" s="104"/>
      <c r="Y746" s="104"/>
      <c r="Z746" s="104"/>
      <c r="AA746" s="104"/>
      <c r="AB746" s="104"/>
      <c r="AC746" s="104"/>
      <c r="AD746" s="104"/>
      <c r="AE746" s="104"/>
      <c r="AF746" s="104"/>
      <c r="AG746" s="104"/>
      <c r="AH746" s="104"/>
      <c r="AI746" s="104"/>
      <c r="AJ746" s="104"/>
      <c r="AK746" s="104"/>
      <c r="AL746" s="104"/>
      <c r="AM746" s="104"/>
      <c r="AN746" s="104"/>
      <c r="AO746" s="104"/>
      <c r="AP746" s="104"/>
      <c r="AQ746" s="104"/>
      <c r="AR746" s="104"/>
      <c r="AS746" s="104"/>
      <c r="AT746" s="104"/>
      <c r="AU746" s="104"/>
      <c r="AV746" s="104"/>
      <c r="AW746" s="104"/>
      <c r="AX746" s="104"/>
      <c r="AY746" s="104"/>
      <c r="AZ746" s="104"/>
      <c r="BA746" s="104"/>
      <c r="BB746" s="104"/>
      <c r="BC746" s="104"/>
      <c r="BD746" s="104"/>
      <c r="BE746" s="104"/>
      <c r="BF746" s="104"/>
      <c r="BG746" s="104"/>
      <c r="BH746" s="104"/>
      <c r="BI746" s="104"/>
      <c r="BJ746" s="104"/>
      <c r="BK746" s="104"/>
      <c r="BL746" s="104"/>
      <c r="BM746" s="104"/>
      <c r="BN746" s="104"/>
    </row>
    <row r="747">
      <c r="A747" s="104"/>
      <c r="B747" s="104"/>
      <c r="C747" s="104"/>
      <c r="D747" s="104"/>
      <c r="E747" s="104"/>
      <c r="F747" s="104"/>
      <c r="G747" s="104"/>
      <c r="H747" s="104"/>
      <c r="I747" s="104"/>
      <c r="J747" s="104"/>
      <c r="K747" s="105"/>
      <c r="L747" s="106"/>
      <c r="M747" s="104"/>
      <c r="N747" s="104"/>
      <c r="O747" s="104"/>
      <c r="P747" s="104"/>
      <c r="Q747" s="104"/>
      <c r="R747" s="106"/>
      <c r="S747" s="104"/>
      <c r="T747" s="104"/>
      <c r="U747" s="104"/>
      <c r="V747" s="104"/>
      <c r="W747" s="105"/>
      <c r="X747" s="104"/>
      <c r="Y747" s="104"/>
      <c r="Z747" s="104"/>
      <c r="AA747" s="104"/>
      <c r="AB747" s="104"/>
      <c r="AC747" s="104"/>
      <c r="AD747" s="104"/>
      <c r="AE747" s="104"/>
      <c r="AF747" s="104"/>
      <c r="AG747" s="104"/>
      <c r="AH747" s="104"/>
      <c r="AI747" s="104"/>
      <c r="AJ747" s="104"/>
      <c r="AK747" s="104"/>
      <c r="AL747" s="104"/>
      <c r="AM747" s="104"/>
      <c r="AN747" s="104"/>
      <c r="AO747" s="104"/>
      <c r="AP747" s="104"/>
      <c r="AQ747" s="104"/>
      <c r="AR747" s="104"/>
      <c r="AS747" s="104"/>
      <c r="AT747" s="104"/>
      <c r="AU747" s="104"/>
      <c r="AV747" s="104"/>
      <c r="AW747" s="104"/>
      <c r="AX747" s="104"/>
      <c r="AY747" s="104"/>
      <c r="AZ747" s="104"/>
      <c r="BA747" s="104"/>
      <c r="BB747" s="104"/>
      <c r="BC747" s="104"/>
      <c r="BD747" s="104"/>
      <c r="BE747" s="104"/>
      <c r="BF747" s="104"/>
      <c r="BG747" s="104"/>
      <c r="BH747" s="104"/>
      <c r="BI747" s="104"/>
      <c r="BJ747" s="104"/>
      <c r="BK747" s="104"/>
      <c r="BL747" s="104"/>
      <c r="BM747" s="104"/>
      <c r="BN747" s="104"/>
    </row>
    <row r="748">
      <c r="A748" s="104"/>
      <c r="B748" s="104"/>
      <c r="C748" s="104"/>
      <c r="D748" s="104"/>
      <c r="E748" s="104"/>
      <c r="F748" s="104"/>
      <c r="G748" s="104"/>
      <c r="H748" s="104"/>
      <c r="I748" s="104"/>
      <c r="J748" s="104"/>
      <c r="K748" s="105"/>
      <c r="L748" s="106"/>
      <c r="M748" s="104"/>
      <c r="N748" s="104"/>
      <c r="O748" s="104"/>
      <c r="P748" s="104"/>
      <c r="Q748" s="104"/>
      <c r="R748" s="106"/>
      <c r="S748" s="104"/>
      <c r="T748" s="104"/>
      <c r="U748" s="104"/>
      <c r="V748" s="104"/>
      <c r="W748" s="105"/>
      <c r="X748" s="104"/>
      <c r="Y748" s="104"/>
      <c r="Z748" s="104"/>
      <c r="AA748" s="104"/>
      <c r="AB748" s="104"/>
      <c r="AC748" s="104"/>
      <c r="AD748" s="104"/>
      <c r="AE748" s="104"/>
      <c r="AF748" s="104"/>
      <c r="AG748" s="104"/>
      <c r="AH748" s="104"/>
      <c r="AI748" s="104"/>
      <c r="AJ748" s="104"/>
      <c r="AK748" s="104"/>
      <c r="AL748" s="104"/>
      <c r="AM748" s="104"/>
      <c r="AN748" s="104"/>
      <c r="AO748" s="104"/>
      <c r="AP748" s="104"/>
      <c r="AQ748" s="104"/>
      <c r="AR748" s="104"/>
      <c r="AS748" s="104"/>
      <c r="AT748" s="104"/>
      <c r="AU748" s="104"/>
      <c r="AV748" s="104"/>
      <c r="AW748" s="104"/>
      <c r="AX748" s="104"/>
      <c r="AY748" s="104"/>
      <c r="AZ748" s="104"/>
      <c r="BA748" s="104"/>
      <c r="BB748" s="104"/>
      <c r="BC748" s="104"/>
      <c r="BD748" s="104"/>
      <c r="BE748" s="104"/>
      <c r="BF748" s="104"/>
      <c r="BG748" s="104"/>
      <c r="BH748" s="104"/>
      <c r="BI748" s="104"/>
      <c r="BJ748" s="104"/>
      <c r="BK748" s="104"/>
      <c r="BL748" s="104"/>
      <c r="BM748" s="104"/>
      <c r="BN748" s="104"/>
    </row>
    <row r="749">
      <c r="A749" s="104"/>
      <c r="B749" s="104"/>
      <c r="C749" s="104"/>
      <c r="D749" s="104"/>
      <c r="E749" s="104"/>
      <c r="F749" s="104"/>
      <c r="G749" s="104"/>
      <c r="H749" s="104"/>
      <c r="I749" s="104"/>
      <c r="J749" s="104"/>
      <c r="K749" s="105"/>
      <c r="L749" s="106"/>
      <c r="M749" s="104"/>
      <c r="N749" s="104"/>
      <c r="O749" s="104"/>
      <c r="P749" s="104"/>
      <c r="Q749" s="104"/>
      <c r="R749" s="106"/>
      <c r="S749" s="104"/>
      <c r="T749" s="104"/>
      <c r="U749" s="104"/>
      <c r="V749" s="104"/>
      <c r="W749" s="105"/>
      <c r="X749" s="104"/>
      <c r="Y749" s="104"/>
      <c r="Z749" s="104"/>
      <c r="AA749" s="104"/>
      <c r="AB749" s="104"/>
      <c r="AC749" s="104"/>
      <c r="AD749" s="104"/>
      <c r="AE749" s="104"/>
      <c r="AF749" s="104"/>
      <c r="AG749" s="104"/>
      <c r="AH749" s="104"/>
      <c r="AI749" s="104"/>
      <c r="AJ749" s="104"/>
      <c r="AK749" s="104"/>
      <c r="AL749" s="104"/>
      <c r="AM749" s="104"/>
      <c r="AN749" s="104"/>
      <c r="AO749" s="104"/>
      <c r="AP749" s="104"/>
      <c r="AQ749" s="104"/>
      <c r="AR749" s="104"/>
      <c r="AS749" s="104"/>
      <c r="AT749" s="104"/>
      <c r="AU749" s="104"/>
      <c r="AV749" s="104"/>
      <c r="AW749" s="104"/>
      <c r="AX749" s="104"/>
      <c r="AY749" s="104"/>
      <c r="AZ749" s="104"/>
      <c r="BA749" s="104"/>
      <c r="BB749" s="104"/>
      <c r="BC749" s="104"/>
      <c r="BD749" s="104"/>
      <c r="BE749" s="104"/>
      <c r="BF749" s="104"/>
      <c r="BG749" s="104"/>
      <c r="BH749" s="104"/>
      <c r="BI749" s="104"/>
      <c r="BJ749" s="104"/>
      <c r="BK749" s="104"/>
      <c r="BL749" s="104"/>
      <c r="BM749" s="104"/>
      <c r="BN749" s="104"/>
    </row>
    <row r="750">
      <c r="A750" s="104"/>
      <c r="B750" s="104"/>
      <c r="C750" s="104"/>
      <c r="D750" s="104"/>
      <c r="E750" s="104"/>
      <c r="F750" s="104"/>
      <c r="G750" s="104"/>
      <c r="H750" s="104"/>
      <c r="I750" s="104"/>
      <c r="J750" s="104"/>
      <c r="K750" s="105"/>
      <c r="L750" s="106"/>
      <c r="M750" s="104"/>
      <c r="N750" s="104"/>
      <c r="O750" s="104"/>
      <c r="P750" s="104"/>
      <c r="Q750" s="104"/>
      <c r="R750" s="106"/>
      <c r="S750" s="104"/>
      <c r="T750" s="104"/>
      <c r="U750" s="104"/>
      <c r="V750" s="104"/>
      <c r="W750" s="105"/>
      <c r="X750" s="104"/>
      <c r="Y750" s="104"/>
      <c r="Z750" s="104"/>
      <c r="AA750" s="104"/>
      <c r="AB750" s="104"/>
      <c r="AC750" s="104"/>
      <c r="AD750" s="104"/>
      <c r="AE750" s="104"/>
      <c r="AF750" s="104"/>
      <c r="AG750" s="104"/>
      <c r="AH750" s="104"/>
      <c r="AI750" s="104"/>
      <c r="AJ750" s="104"/>
      <c r="AK750" s="104"/>
      <c r="AL750" s="104"/>
      <c r="AM750" s="104"/>
      <c r="AN750" s="104"/>
      <c r="AO750" s="104"/>
      <c r="AP750" s="104"/>
      <c r="AQ750" s="104"/>
      <c r="AR750" s="104"/>
      <c r="AS750" s="104"/>
      <c r="AT750" s="104"/>
      <c r="AU750" s="104"/>
      <c r="AV750" s="104"/>
      <c r="AW750" s="104"/>
      <c r="AX750" s="104"/>
      <c r="AY750" s="104"/>
      <c r="AZ750" s="104"/>
      <c r="BA750" s="104"/>
      <c r="BB750" s="104"/>
      <c r="BC750" s="104"/>
      <c r="BD750" s="104"/>
      <c r="BE750" s="104"/>
      <c r="BF750" s="104"/>
      <c r="BG750" s="104"/>
      <c r="BH750" s="104"/>
      <c r="BI750" s="104"/>
      <c r="BJ750" s="104"/>
      <c r="BK750" s="104"/>
      <c r="BL750" s="104"/>
      <c r="BM750" s="104"/>
      <c r="BN750" s="104"/>
    </row>
    <row r="751">
      <c r="A751" s="104"/>
      <c r="B751" s="104"/>
      <c r="C751" s="104"/>
      <c r="D751" s="104"/>
      <c r="E751" s="104"/>
      <c r="F751" s="104"/>
      <c r="G751" s="104"/>
      <c r="H751" s="104"/>
      <c r="I751" s="104"/>
      <c r="J751" s="104"/>
      <c r="K751" s="105"/>
      <c r="L751" s="106"/>
      <c r="M751" s="104"/>
      <c r="N751" s="104"/>
      <c r="O751" s="104"/>
      <c r="P751" s="104"/>
      <c r="Q751" s="104"/>
      <c r="R751" s="106"/>
      <c r="S751" s="104"/>
      <c r="T751" s="104"/>
      <c r="U751" s="104"/>
      <c r="V751" s="104"/>
      <c r="W751" s="105"/>
      <c r="X751" s="104"/>
      <c r="Y751" s="104"/>
      <c r="Z751" s="104"/>
      <c r="AA751" s="104"/>
      <c r="AB751" s="104"/>
      <c r="AC751" s="104"/>
      <c r="AD751" s="104"/>
      <c r="AE751" s="104"/>
      <c r="AF751" s="104"/>
      <c r="AG751" s="104"/>
      <c r="AH751" s="104"/>
      <c r="AI751" s="104"/>
      <c r="AJ751" s="104"/>
      <c r="AK751" s="104"/>
      <c r="AL751" s="104"/>
      <c r="AM751" s="104"/>
      <c r="AN751" s="104"/>
      <c r="AO751" s="104"/>
      <c r="AP751" s="104"/>
      <c r="AQ751" s="104"/>
      <c r="AR751" s="104"/>
      <c r="AS751" s="104"/>
      <c r="AT751" s="104"/>
      <c r="AU751" s="104"/>
      <c r="AV751" s="104"/>
      <c r="AW751" s="104"/>
      <c r="AX751" s="104"/>
      <c r="AY751" s="104"/>
      <c r="AZ751" s="104"/>
      <c r="BA751" s="104"/>
      <c r="BB751" s="104"/>
      <c r="BC751" s="104"/>
      <c r="BD751" s="104"/>
      <c r="BE751" s="104"/>
      <c r="BF751" s="104"/>
      <c r="BG751" s="104"/>
      <c r="BH751" s="104"/>
      <c r="BI751" s="104"/>
      <c r="BJ751" s="104"/>
      <c r="BK751" s="104"/>
      <c r="BL751" s="104"/>
      <c r="BM751" s="104"/>
      <c r="BN751" s="104"/>
    </row>
    <row r="752">
      <c r="A752" s="104"/>
      <c r="B752" s="104"/>
      <c r="C752" s="104"/>
      <c r="D752" s="104"/>
      <c r="E752" s="104"/>
      <c r="F752" s="104"/>
      <c r="G752" s="104"/>
      <c r="H752" s="104"/>
      <c r="I752" s="104"/>
      <c r="J752" s="104"/>
      <c r="K752" s="105"/>
      <c r="L752" s="106"/>
      <c r="M752" s="104"/>
      <c r="N752" s="104"/>
      <c r="O752" s="104"/>
      <c r="P752" s="104"/>
      <c r="Q752" s="104"/>
      <c r="R752" s="106"/>
      <c r="S752" s="104"/>
      <c r="T752" s="104"/>
      <c r="U752" s="104"/>
      <c r="V752" s="104"/>
      <c r="W752" s="105"/>
      <c r="X752" s="104"/>
      <c r="Y752" s="104"/>
      <c r="Z752" s="104"/>
      <c r="AA752" s="104"/>
      <c r="AB752" s="104"/>
      <c r="AC752" s="104"/>
      <c r="AD752" s="104"/>
      <c r="AE752" s="104"/>
      <c r="AF752" s="104"/>
      <c r="AG752" s="104"/>
      <c r="AH752" s="104"/>
      <c r="AI752" s="104"/>
      <c r="AJ752" s="104"/>
      <c r="AK752" s="104"/>
      <c r="AL752" s="104"/>
      <c r="AM752" s="104"/>
      <c r="AN752" s="104"/>
      <c r="AO752" s="104"/>
      <c r="AP752" s="104"/>
      <c r="AQ752" s="104"/>
      <c r="AR752" s="104"/>
      <c r="AS752" s="104"/>
      <c r="AT752" s="104"/>
      <c r="AU752" s="104"/>
      <c r="AV752" s="104"/>
      <c r="AW752" s="104"/>
      <c r="AX752" s="104"/>
      <c r="AY752" s="104"/>
      <c r="AZ752" s="104"/>
      <c r="BA752" s="104"/>
      <c r="BB752" s="104"/>
      <c r="BC752" s="104"/>
      <c r="BD752" s="104"/>
      <c r="BE752" s="104"/>
      <c r="BF752" s="104"/>
      <c r="BG752" s="104"/>
      <c r="BH752" s="104"/>
      <c r="BI752" s="104"/>
      <c r="BJ752" s="104"/>
      <c r="BK752" s="104"/>
      <c r="BL752" s="104"/>
      <c r="BM752" s="104"/>
      <c r="BN752" s="104"/>
    </row>
    <row r="753">
      <c r="A753" s="104"/>
      <c r="B753" s="104"/>
      <c r="C753" s="104"/>
      <c r="D753" s="104"/>
      <c r="E753" s="104"/>
      <c r="F753" s="104"/>
      <c r="G753" s="104"/>
      <c r="H753" s="104"/>
      <c r="I753" s="104"/>
      <c r="J753" s="104"/>
      <c r="K753" s="105"/>
      <c r="L753" s="106"/>
      <c r="M753" s="104"/>
      <c r="N753" s="104"/>
      <c r="O753" s="104"/>
      <c r="P753" s="104"/>
      <c r="Q753" s="104"/>
      <c r="R753" s="106"/>
      <c r="S753" s="104"/>
      <c r="T753" s="104"/>
      <c r="U753" s="104"/>
      <c r="V753" s="104"/>
      <c r="W753" s="105"/>
      <c r="X753" s="104"/>
      <c r="Y753" s="104"/>
      <c r="Z753" s="104"/>
      <c r="AA753" s="104"/>
      <c r="AB753" s="104"/>
      <c r="AC753" s="104"/>
      <c r="AD753" s="104"/>
      <c r="AE753" s="104"/>
      <c r="AF753" s="104"/>
      <c r="AG753" s="104"/>
      <c r="AH753" s="104"/>
      <c r="AI753" s="104"/>
      <c r="AJ753" s="104"/>
      <c r="AK753" s="104"/>
      <c r="AL753" s="104"/>
      <c r="AM753" s="104"/>
      <c r="AN753" s="104"/>
      <c r="AO753" s="104"/>
      <c r="AP753" s="104"/>
      <c r="AQ753" s="104"/>
      <c r="AR753" s="104"/>
      <c r="AS753" s="104"/>
      <c r="AT753" s="104"/>
      <c r="AU753" s="104"/>
      <c r="AV753" s="104"/>
      <c r="AW753" s="104"/>
      <c r="AX753" s="104"/>
      <c r="AY753" s="104"/>
      <c r="AZ753" s="104"/>
      <c r="BA753" s="104"/>
      <c r="BB753" s="104"/>
      <c r="BC753" s="104"/>
      <c r="BD753" s="104"/>
      <c r="BE753" s="104"/>
      <c r="BF753" s="104"/>
      <c r="BG753" s="104"/>
      <c r="BH753" s="104"/>
      <c r="BI753" s="104"/>
      <c r="BJ753" s="104"/>
      <c r="BK753" s="104"/>
      <c r="BL753" s="104"/>
      <c r="BM753" s="104"/>
      <c r="BN753" s="104"/>
    </row>
    <row r="754">
      <c r="A754" s="104"/>
      <c r="B754" s="104"/>
      <c r="C754" s="104"/>
      <c r="D754" s="104"/>
      <c r="E754" s="104"/>
      <c r="F754" s="104"/>
      <c r="G754" s="104"/>
      <c r="H754" s="104"/>
      <c r="I754" s="104"/>
      <c r="J754" s="104"/>
      <c r="K754" s="105"/>
      <c r="L754" s="106"/>
      <c r="M754" s="104"/>
      <c r="N754" s="104"/>
      <c r="O754" s="104"/>
      <c r="P754" s="104"/>
      <c r="Q754" s="104"/>
      <c r="R754" s="106"/>
      <c r="S754" s="104"/>
      <c r="T754" s="104"/>
      <c r="U754" s="104"/>
      <c r="V754" s="104"/>
      <c r="W754" s="105"/>
      <c r="X754" s="104"/>
      <c r="Y754" s="104"/>
      <c r="Z754" s="104"/>
      <c r="AA754" s="104"/>
      <c r="AB754" s="104"/>
      <c r="AC754" s="104"/>
      <c r="AD754" s="104"/>
      <c r="AE754" s="104"/>
      <c r="AF754" s="104"/>
      <c r="AG754" s="104"/>
      <c r="AH754" s="104"/>
      <c r="AI754" s="104"/>
      <c r="AJ754" s="104"/>
      <c r="AK754" s="104"/>
      <c r="AL754" s="104"/>
      <c r="AM754" s="104"/>
      <c r="AN754" s="104"/>
      <c r="AO754" s="104"/>
      <c r="AP754" s="104"/>
      <c r="AQ754" s="104"/>
      <c r="AR754" s="104"/>
      <c r="AS754" s="104"/>
      <c r="AT754" s="104"/>
      <c r="AU754" s="104"/>
      <c r="AV754" s="104"/>
      <c r="AW754" s="104"/>
      <c r="AX754" s="104"/>
      <c r="AY754" s="104"/>
      <c r="AZ754" s="104"/>
      <c r="BA754" s="104"/>
      <c r="BB754" s="104"/>
      <c r="BC754" s="104"/>
      <c r="BD754" s="104"/>
      <c r="BE754" s="104"/>
      <c r="BF754" s="104"/>
      <c r="BG754" s="104"/>
      <c r="BH754" s="104"/>
      <c r="BI754" s="104"/>
      <c r="BJ754" s="104"/>
      <c r="BK754" s="104"/>
      <c r="BL754" s="104"/>
      <c r="BM754" s="104"/>
      <c r="BN754" s="104"/>
    </row>
    <row r="755">
      <c r="A755" s="104"/>
      <c r="B755" s="104"/>
      <c r="C755" s="104"/>
      <c r="D755" s="104"/>
      <c r="E755" s="104"/>
      <c r="F755" s="104"/>
      <c r="G755" s="104"/>
      <c r="H755" s="104"/>
      <c r="I755" s="104"/>
      <c r="J755" s="104"/>
      <c r="K755" s="105"/>
      <c r="L755" s="106"/>
      <c r="M755" s="104"/>
      <c r="N755" s="104"/>
      <c r="O755" s="104"/>
      <c r="P755" s="104"/>
      <c r="Q755" s="104"/>
      <c r="R755" s="106"/>
      <c r="S755" s="104"/>
      <c r="T755" s="104"/>
      <c r="U755" s="104"/>
      <c r="V755" s="104"/>
      <c r="W755" s="105"/>
      <c r="X755" s="104"/>
      <c r="Y755" s="104"/>
      <c r="Z755" s="104"/>
      <c r="AA755" s="104"/>
      <c r="AB755" s="104"/>
      <c r="AC755" s="104"/>
      <c r="AD755" s="104"/>
      <c r="AE755" s="104"/>
      <c r="AF755" s="104"/>
      <c r="AG755" s="104"/>
      <c r="AH755" s="104"/>
      <c r="AI755" s="104"/>
      <c r="AJ755" s="104"/>
      <c r="AK755" s="104"/>
      <c r="AL755" s="104"/>
      <c r="AM755" s="104"/>
      <c r="AN755" s="104"/>
      <c r="AO755" s="104"/>
      <c r="AP755" s="104"/>
      <c r="AQ755" s="104"/>
      <c r="AR755" s="104"/>
      <c r="AS755" s="104"/>
      <c r="AT755" s="104"/>
      <c r="AU755" s="104"/>
      <c r="AV755" s="104"/>
      <c r="AW755" s="104"/>
      <c r="AX755" s="104"/>
      <c r="AY755" s="104"/>
      <c r="AZ755" s="104"/>
      <c r="BA755" s="104"/>
      <c r="BB755" s="104"/>
      <c r="BC755" s="104"/>
      <c r="BD755" s="104"/>
      <c r="BE755" s="104"/>
      <c r="BF755" s="104"/>
      <c r="BG755" s="104"/>
      <c r="BH755" s="104"/>
      <c r="BI755" s="104"/>
      <c r="BJ755" s="104"/>
      <c r="BK755" s="104"/>
      <c r="BL755" s="104"/>
      <c r="BM755" s="104"/>
      <c r="BN755" s="104"/>
    </row>
    <row r="756">
      <c r="A756" s="104"/>
      <c r="B756" s="104"/>
      <c r="C756" s="104"/>
      <c r="D756" s="104"/>
      <c r="E756" s="104"/>
      <c r="F756" s="104"/>
      <c r="G756" s="104"/>
      <c r="H756" s="104"/>
      <c r="I756" s="104"/>
      <c r="J756" s="104"/>
      <c r="K756" s="105"/>
      <c r="L756" s="106"/>
      <c r="M756" s="104"/>
      <c r="N756" s="104"/>
      <c r="O756" s="104"/>
      <c r="P756" s="104"/>
      <c r="Q756" s="104"/>
      <c r="R756" s="106"/>
      <c r="S756" s="104"/>
      <c r="T756" s="104"/>
      <c r="U756" s="104"/>
      <c r="V756" s="104"/>
      <c r="W756" s="105"/>
      <c r="X756" s="104"/>
      <c r="Y756" s="104"/>
      <c r="Z756" s="104"/>
      <c r="AA756" s="104"/>
      <c r="AB756" s="104"/>
      <c r="AC756" s="104"/>
      <c r="AD756" s="104"/>
      <c r="AE756" s="104"/>
      <c r="AF756" s="104"/>
      <c r="AG756" s="104"/>
      <c r="AH756" s="104"/>
      <c r="AI756" s="104"/>
      <c r="AJ756" s="104"/>
      <c r="AK756" s="104"/>
      <c r="AL756" s="104"/>
      <c r="AM756" s="104"/>
      <c r="AN756" s="104"/>
      <c r="AO756" s="104"/>
      <c r="AP756" s="104"/>
      <c r="AQ756" s="104"/>
      <c r="AR756" s="104"/>
      <c r="AS756" s="104"/>
      <c r="AT756" s="104"/>
      <c r="AU756" s="104"/>
      <c r="AV756" s="104"/>
      <c r="AW756" s="104"/>
      <c r="AX756" s="104"/>
      <c r="AY756" s="104"/>
      <c r="AZ756" s="104"/>
      <c r="BA756" s="104"/>
      <c r="BB756" s="104"/>
      <c r="BC756" s="104"/>
      <c r="BD756" s="104"/>
      <c r="BE756" s="104"/>
      <c r="BF756" s="104"/>
      <c r="BG756" s="104"/>
      <c r="BH756" s="104"/>
      <c r="BI756" s="104"/>
      <c r="BJ756" s="104"/>
      <c r="BK756" s="104"/>
      <c r="BL756" s="104"/>
      <c r="BM756" s="104"/>
      <c r="BN756" s="104"/>
    </row>
    <row r="757">
      <c r="A757" s="104"/>
      <c r="B757" s="104"/>
      <c r="C757" s="104"/>
      <c r="D757" s="104"/>
      <c r="E757" s="104"/>
      <c r="F757" s="104"/>
      <c r="G757" s="104"/>
      <c r="H757" s="104"/>
      <c r="I757" s="104"/>
      <c r="J757" s="104"/>
      <c r="K757" s="105"/>
      <c r="L757" s="106"/>
      <c r="M757" s="104"/>
      <c r="N757" s="104"/>
      <c r="O757" s="104"/>
      <c r="P757" s="104"/>
      <c r="Q757" s="104"/>
      <c r="R757" s="106"/>
      <c r="S757" s="104"/>
      <c r="T757" s="104"/>
      <c r="U757" s="104"/>
      <c r="V757" s="104"/>
      <c r="W757" s="105"/>
      <c r="X757" s="104"/>
      <c r="Y757" s="104"/>
      <c r="Z757" s="104"/>
      <c r="AA757" s="104"/>
      <c r="AB757" s="104"/>
      <c r="AC757" s="104"/>
      <c r="AD757" s="104"/>
      <c r="AE757" s="104"/>
      <c r="AF757" s="104"/>
      <c r="AG757" s="104"/>
      <c r="AH757" s="104"/>
      <c r="AI757" s="104"/>
      <c r="AJ757" s="104"/>
      <c r="AK757" s="104"/>
      <c r="AL757" s="104"/>
      <c r="AM757" s="104"/>
      <c r="AN757" s="104"/>
      <c r="AO757" s="104"/>
      <c r="AP757" s="104"/>
      <c r="AQ757" s="104"/>
      <c r="AR757" s="104"/>
      <c r="AS757" s="104"/>
      <c r="AT757" s="104"/>
      <c r="AU757" s="104"/>
      <c r="AV757" s="104"/>
      <c r="AW757" s="104"/>
      <c r="AX757" s="104"/>
      <c r="AY757" s="104"/>
      <c r="AZ757" s="104"/>
      <c r="BA757" s="104"/>
      <c r="BB757" s="104"/>
      <c r="BC757" s="104"/>
      <c r="BD757" s="104"/>
      <c r="BE757" s="104"/>
      <c r="BF757" s="104"/>
      <c r="BG757" s="104"/>
      <c r="BH757" s="104"/>
      <c r="BI757" s="104"/>
      <c r="BJ757" s="104"/>
      <c r="BK757" s="104"/>
      <c r="BL757" s="104"/>
      <c r="BM757" s="104"/>
      <c r="BN757" s="104"/>
    </row>
    <row r="758">
      <c r="A758" s="104"/>
      <c r="B758" s="104"/>
      <c r="C758" s="104"/>
      <c r="D758" s="104"/>
      <c r="E758" s="104"/>
      <c r="F758" s="104"/>
      <c r="G758" s="104"/>
      <c r="H758" s="104"/>
      <c r="I758" s="104"/>
      <c r="J758" s="104"/>
      <c r="K758" s="105"/>
      <c r="L758" s="106"/>
      <c r="M758" s="104"/>
      <c r="N758" s="104"/>
      <c r="O758" s="104"/>
      <c r="P758" s="104"/>
      <c r="Q758" s="104"/>
      <c r="R758" s="106"/>
      <c r="S758" s="104"/>
      <c r="T758" s="104"/>
      <c r="U758" s="104"/>
      <c r="V758" s="104"/>
      <c r="W758" s="105"/>
      <c r="X758" s="104"/>
      <c r="Y758" s="104"/>
      <c r="Z758" s="104"/>
      <c r="AA758" s="104"/>
      <c r="AB758" s="104"/>
      <c r="AC758" s="104"/>
      <c r="AD758" s="104"/>
      <c r="AE758" s="104"/>
      <c r="AF758" s="104"/>
      <c r="AG758" s="104"/>
      <c r="AH758" s="104"/>
      <c r="AI758" s="104"/>
      <c r="AJ758" s="104"/>
      <c r="AK758" s="104"/>
      <c r="AL758" s="104"/>
      <c r="AM758" s="104"/>
      <c r="AN758" s="104"/>
      <c r="AO758" s="104"/>
      <c r="AP758" s="104"/>
      <c r="AQ758" s="104"/>
      <c r="AR758" s="104"/>
      <c r="AS758" s="104"/>
      <c r="AT758" s="104"/>
      <c r="AU758" s="104"/>
      <c r="AV758" s="104"/>
      <c r="AW758" s="104"/>
      <c r="AX758" s="104"/>
      <c r="AY758" s="104"/>
      <c r="AZ758" s="104"/>
      <c r="BA758" s="104"/>
      <c r="BB758" s="104"/>
      <c r="BC758" s="104"/>
      <c r="BD758" s="104"/>
      <c r="BE758" s="104"/>
      <c r="BF758" s="104"/>
      <c r="BG758" s="104"/>
      <c r="BH758" s="104"/>
      <c r="BI758" s="104"/>
      <c r="BJ758" s="104"/>
      <c r="BK758" s="104"/>
      <c r="BL758" s="104"/>
      <c r="BM758" s="104"/>
      <c r="BN758" s="104"/>
    </row>
    <row r="759">
      <c r="A759" s="104"/>
      <c r="B759" s="104"/>
      <c r="C759" s="104"/>
      <c r="D759" s="104"/>
      <c r="E759" s="104"/>
      <c r="F759" s="104"/>
      <c r="G759" s="104"/>
      <c r="H759" s="104"/>
      <c r="I759" s="104"/>
      <c r="J759" s="104"/>
      <c r="K759" s="105"/>
      <c r="L759" s="106"/>
      <c r="M759" s="104"/>
      <c r="N759" s="104"/>
      <c r="O759" s="104"/>
      <c r="P759" s="104"/>
      <c r="Q759" s="104"/>
      <c r="R759" s="106"/>
      <c r="S759" s="104"/>
      <c r="T759" s="104"/>
      <c r="U759" s="104"/>
      <c r="V759" s="104"/>
      <c r="W759" s="105"/>
      <c r="X759" s="104"/>
      <c r="Y759" s="104"/>
      <c r="Z759" s="104"/>
      <c r="AA759" s="104"/>
      <c r="AB759" s="104"/>
      <c r="AC759" s="104"/>
      <c r="AD759" s="104"/>
      <c r="AE759" s="104"/>
      <c r="AF759" s="104"/>
      <c r="AG759" s="104"/>
      <c r="AH759" s="104"/>
      <c r="AI759" s="104"/>
      <c r="AJ759" s="104"/>
      <c r="AK759" s="104"/>
      <c r="AL759" s="104"/>
      <c r="AM759" s="104"/>
      <c r="AN759" s="104"/>
      <c r="AO759" s="104"/>
      <c r="AP759" s="104"/>
      <c r="AQ759" s="104"/>
      <c r="AR759" s="104"/>
      <c r="AS759" s="104"/>
      <c r="AT759" s="104"/>
      <c r="AU759" s="104"/>
      <c r="AV759" s="104"/>
      <c r="AW759" s="104"/>
      <c r="AX759" s="104"/>
      <c r="AY759" s="104"/>
      <c r="AZ759" s="104"/>
      <c r="BA759" s="104"/>
      <c r="BB759" s="104"/>
      <c r="BC759" s="104"/>
      <c r="BD759" s="104"/>
      <c r="BE759" s="104"/>
      <c r="BF759" s="104"/>
      <c r="BG759" s="104"/>
      <c r="BH759" s="104"/>
      <c r="BI759" s="104"/>
      <c r="BJ759" s="104"/>
      <c r="BK759" s="104"/>
      <c r="BL759" s="104"/>
      <c r="BM759" s="104"/>
      <c r="BN759" s="104"/>
    </row>
    <row r="760">
      <c r="A760" s="104"/>
      <c r="B760" s="104"/>
      <c r="C760" s="104"/>
      <c r="D760" s="104"/>
      <c r="E760" s="104"/>
      <c r="F760" s="104"/>
      <c r="G760" s="104"/>
      <c r="H760" s="104"/>
      <c r="I760" s="104"/>
      <c r="J760" s="104"/>
      <c r="K760" s="105"/>
      <c r="L760" s="106"/>
      <c r="M760" s="104"/>
      <c r="N760" s="104"/>
      <c r="O760" s="104"/>
      <c r="P760" s="104"/>
      <c r="Q760" s="104"/>
      <c r="R760" s="106"/>
      <c r="S760" s="104"/>
      <c r="T760" s="104"/>
      <c r="U760" s="104"/>
      <c r="V760" s="104"/>
      <c r="W760" s="105"/>
      <c r="X760" s="104"/>
      <c r="Y760" s="104"/>
      <c r="Z760" s="104"/>
      <c r="AA760" s="104"/>
      <c r="AB760" s="104"/>
      <c r="AC760" s="104"/>
      <c r="AD760" s="104"/>
      <c r="AE760" s="104"/>
      <c r="AF760" s="104"/>
      <c r="AG760" s="104"/>
      <c r="AH760" s="104"/>
      <c r="AI760" s="104"/>
      <c r="AJ760" s="104"/>
      <c r="AK760" s="104"/>
      <c r="AL760" s="104"/>
      <c r="AM760" s="104"/>
      <c r="AN760" s="104"/>
      <c r="AO760" s="104"/>
      <c r="AP760" s="104"/>
      <c r="AQ760" s="104"/>
      <c r="AR760" s="104"/>
      <c r="AS760" s="104"/>
      <c r="AT760" s="104"/>
      <c r="AU760" s="104"/>
      <c r="AV760" s="104"/>
      <c r="AW760" s="104"/>
      <c r="AX760" s="104"/>
      <c r="AY760" s="104"/>
      <c r="AZ760" s="104"/>
      <c r="BA760" s="104"/>
      <c r="BB760" s="104"/>
      <c r="BC760" s="104"/>
      <c r="BD760" s="104"/>
      <c r="BE760" s="104"/>
      <c r="BF760" s="104"/>
      <c r="BG760" s="104"/>
      <c r="BH760" s="104"/>
      <c r="BI760" s="104"/>
      <c r="BJ760" s="104"/>
      <c r="BK760" s="104"/>
      <c r="BL760" s="104"/>
      <c r="BM760" s="104"/>
      <c r="BN760" s="104"/>
    </row>
    <row r="761">
      <c r="A761" s="104"/>
      <c r="B761" s="104"/>
      <c r="C761" s="104"/>
      <c r="D761" s="104"/>
      <c r="E761" s="104"/>
      <c r="F761" s="104"/>
      <c r="G761" s="104"/>
      <c r="H761" s="104"/>
      <c r="I761" s="104"/>
      <c r="J761" s="104"/>
      <c r="K761" s="105"/>
      <c r="L761" s="106"/>
      <c r="M761" s="104"/>
      <c r="N761" s="104"/>
      <c r="O761" s="104"/>
      <c r="P761" s="104"/>
      <c r="Q761" s="104"/>
      <c r="R761" s="106"/>
      <c r="S761" s="104"/>
      <c r="T761" s="104"/>
      <c r="U761" s="104"/>
      <c r="V761" s="104"/>
      <c r="W761" s="105"/>
      <c r="X761" s="104"/>
      <c r="Y761" s="104"/>
      <c r="Z761" s="104"/>
      <c r="AA761" s="104"/>
      <c r="AB761" s="104"/>
      <c r="AC761" s="104"/>
      <c r="AD761" s="104"/>
      <c r="AE761" s="104"/>
      <c r="AF761" s="104"/>
      <c r="AG761" s="104"/>
      <c r="AH761" s="104"/>
      <c r="AI761" s="104"/>
      <c r="AJ761" s="104"/>
      <c r="AK761" s="104"/>
      <c r="AL761" s="104"/>
      <c r="AM761" s="104"/>
      <c r="AN761" s="104"/>
      <c r="AO761" s="104"/>
      <c r="AP761" s="104"/>
      <c r="AQ761" s="104"/>
      <c r="AR761" s="104"/>
      <c r="AS761" s="104"/>
      <c r="AT761" s="104"/>
      <c r="AU761" s="104"/>
      <c r="AV761" s="104"/>
      <c r="AW761" s="104"/>
      <c r="AX761" s="104"/>
      <c r="AY761" s="104"/>
      <c r="AZ761" s="104"/>
      <c r="BA761" s="104"/>
      <c r="BB761" s="104"/>
      <c r="BC761" s="104"/>
      <c r="BD761" s="104"/>
      <c r="BE761" s="104"/>
      <c r="BF761" s="104"/>
      <c r="BG761" s="104"/>
      <c r="BH761" s="104"/>
      <c r="BI761" s="104"/>
      <c r="BJ761" s="104"/>
      <c r="BK761" s="104"/>
      <c r="BL761" s="104"/>
      <c r="BM761" s="104"/>
      <c r="BN761" s="104"/>
    </row>
    <row r="762">
      <c r="A762" s="104"/>
      <c r="B762" s="104"/>
      <c r="C762" s="104"/>
      <c r="D762" s="104"/>
      <c r="E762" s="104"/>
      <c r="F762" s="104"/>
      <c r="G762" s="104"/>
      <c r="H762" s="104"/>
      <c r="I762" s="104"/>
      <c r="J762" s="104"/>
      <c r="K762" s="105"/>
      <c r="L762" s="106"/>
      <c r="M762" s="104"/>
      <c r="N762" s="104"/>
      <c r="O762" s="104"/>
      <c r="P762" s="104"/>
      <c r="Q762" s="104"/>
      <c r="R762" s="106"/>
      <c r="S762" s="104"/>
      <c r="T762" s="104"/>
      <c r="U762" s="104"/>
      <c r="V762" s="104"/>
      <c r="W762" s="105"/>
      <c r="X762" s="104"/>
      <c r="Y762" s="104"/>
      <c r="Z762" s="104"/>
      <c r="AA762" s="104"/>
      <c r="AB762" s="104"/>
      <c r="AC762" s="104"/>
      <c r="AD762" s="104"/>
      <c r="AE762" s="104"/>
      <c r="AF762" s="104"/>
      <c r="AG762" s="104"/>
      <c r="AH762" s="104"/>
      <c r="AI762" s="104"/>
      <c r="AJ762" s="104"/>
      <c r="AK762" s="104"/>
      <c r="AL762" s="104"/>
      <c r="AM762" s="104"/>
      <c r="AN762" s="104"/>
      <c r="AO762" s="104"/>
      <c r="AP762" s="104"/>
      <c r="AQ762" s="104"/>
      <c r="AR762" s="104"/>
      <c r="AS762" s="104"/>
      <c r="AT762" s="104"/>
      <c r="AU762" s="104"/>
      <c r="AV762" s="104"/>
      <c r="AW762" s="104"/>
      <c r="AX762" s="104"/>
      <c r="AY762" s="104"/>
      <c r="AZ762" s="104"/>
      <c r="BA762" s="104"/>
      <c r="BB762" s="104"/>
      <c r="BC762" s="104"/>
      <c r="BD762" s="104"/>
      <c r="BE762" s="104"/>
      <c r="BF762" s="104"/>
      <c r="BG762" s="104"/>
      <c r="BH762" s="104"/>
      <c r="BI762" s="104"/>
      <c r="BJ762" s="104"/>
      <c r="BK762" s="104"/>
      <c r="BL762" s="104"/>
      <c r="BM762" s="104"/>
      <c r="BN762" s="104"/>
    </row>
    <row r="763">
      <c r="A763" s="104"/>
      <c r="B763" s="104"/>
      <c r="C763" s="104"/>
      <c r="D763" s="104"/>
      <c r="E763" s="104"/>
      <c r="F763" s="104"/>
      <c r="G763" s="104"/>
      <c r="H763" s="104"/>
      <c r="I763" s="104"/>
      <c r="J763" s="104"/>
      <c r="K763" s="105"/>
      <c r="L763" s="106"/>
      <c r="M763" s="104"/>
      <c r="N763" s="104"/>
      <c r="O763" s="104"/>
      <c r="P763" s="104"/>
      <c r="Q763" s="104"/>
      <c r="R763" s="106"/>
      <c r="S763" s="104"/>
      <c r="T763" s="104"/>
      <c r="U763" s="104"/>
      <c r="V763" s="104"/>
      <c r="W763" s="105"/>
      <c r="X763" s="104"/>
      <c r="Y763" s="104"/>
      <c r="Z763" s="104"/>
      <c r="AA763" s="104"/>
      <c r="AB763" s="104"/>
      <c r="AC763" s="104"/>
      <c r="AD763" s="104"/>
      <c r="AE763" s="104"/>
      <c r="AF763" s="104"/>
      <c r="AG763" s="104"/>
      <c r="AH763" s="104"/>
      <c r="AI763" s="104"/>
      <c r="AJ763" s="104"/>
      <c r="AK763" s="104"/>
      <c r="AL763" s="104"/>
      <c r="AM763" s="104"/>
      <c r="AN763" s="104"/>
      <c r="AO763" s="104"/>
      <c r="AP763" s="104"/>
      <c r="AQ763" s="104"/>
      <c r="AR763" s="104"/>
      <c r="AS763" s="104"/>
      <c r="AT763" s="104"/>
      <c r="AU763" s="104"/>
      <c r="AV763" s="104"/>
      <c r="AW763" s="104"/>
      <c r="AX763" s="104"/>
      <c r="AY763" s="104"/>
      <c r="AZ763" s="104"/>
      <c r="BA763" s="104"/>
      <c r="BB763" s="104"/>
      <c r="BC763" s="104"/>
      <c r="BD763" s="104"/>
      <c r="BE763" s="104"/>
      <c r="BF763" s="104"/>
      <c r="BG763" s="104"/>
      <c r="BH763" s="104"/>
      <c r="BI763" s="104"/>
      <c r="BJ763" s="104"/>
      <c r="BK763" s="104"/>
      <c r="BL763" s="104"/>
      <c r="BM763" s="104"/>
      <c r="BN763" s="104"/>
    </row>
    <row r="764">
      <c r="A764" s="104"/>
      <c r="B764" s="104"/>
      <c r="C764" s="104"/>
      <c r="D764" s="104"/>
      <c r="E764" s="104"/>
      <c r="F764" s="104"/>
      <c r="G764" s="104"/>
      <c r="H764" s="104"/>
      <c r="I764" s="104"/>
      <c r="J764" s="104"/>
      <c r="K764" s="105"/>
      <c r="L764" s="106"/>
      <c r="M764" s="104"/>
      <c r="N764" s="104"/>
      <c r="O764" s="104"/>
      <c r="P764" s="104"/>
      <c r="Q764" s="104"/>
      <c r="R764" s="106"/>
      <c r="S764" s="104"/>
      <c r="T764" s="104"/>
      <c r="U764" s="104"/>
      <c r="V764" s="104"/>
      <c r="W764" s="105"/>
      <c r="X764" s="104"/>
      <c r="Y764" s="104"/>
      <c r="Z764" s="104"/>
      <c r="AA764" s="104"/>
      <c r="AB764" s="104"/>
      <c r="AC764" s="104"/>
      <c r="AD764" s="104"/>
      <c r="AE764" s="104"/>
      <c r="AF764" s="104"/>
      <c r="AG764" s="104"/>
      <c r="AH764" s="104"/>
      <c r="AI764" s="104"/>
      <c r="AJ764" s="104"/>
      <c r="AK764" s="104"/>
      <c r="AL764" s="104"/>
      <c r="AM764" s="104"/>
      <c r="AN764" s="104"/>
      <c r="AO764" s="104"/>
      <c r="AP764" s="104"/>
      <c r="AQ764" s="104"/>
      <c r="AR764" s="104"/>
      <c r="AS764" s="104"/>
      <c r="AT764" s="104"/>
      <c r="AU764" s="104"/>
      <c r="AV764" s="104"/>
      <c r="AW764" s="104"/>
      <c r="AX764" s="104"/>
      <c r="AY764" s="104"/>
      <c r="AZ764" s="104"/>
      <c r="BA764" s="104"/>
      <c r="BB764" s="104"/>
      <c r="BC764" s="104"/>
      <c r="BD764" s="104"/>
      <c r="BE764" s="104"/>
      <c r="BF764" s="104"/>
      <c r="BG764" s="104"/>
      <c r="BH764" s="104"/>
      <c r="BI764" s="104"/>
      <c r="BJ764" s="104"/>
      <c r="BK764" s="104"/>
      <c r="BL764" s="104"/>
      <c r="BM764" s="104"/>
      <c r="BN764" s="104"/>
    </row>
    <row r="765">
      <c r="A765" s="104"/>
      <c r="B765" s="104"/>
      <c r="C765" s="104"/>
      <c r="D765" s="104"/>
      <c r="E765" s="104"/>
      <c r="F765" s="104"/>
      <c r="G765" s="104"/>
      <c r="H765" s="104"/>
      <c r="I765" s="104"/>
      <c r="J765" s="104"/>
      <c r="K765" s="105"/>
      <c r="L765" s="106"/>
      <c r="M765" s="104"/>
      <c r="N765" s="104"/>
      <c r="O765" s="104"/>
      <c r="P765" s="104"/>
      <c r="Q765" s="104"/>
      <c r="R765" s="106"/>
      <c r="S765" s="104"/>
      <c r="T765" s="104"/>
      <c r="U765" s="104"/>
      <c r="V765" s="104"/>
      <c r="W765" s="105"/>
      <c r="X765" s="104"/>
      <c r="Y765" s="104"/>
      <c r="Z765" s="104"/>
      <c r="AA765" s="104"/>
      <c r="AB765" s="104"/>
      <c r="AC765" s="104"/>
      <c r="AD765" s="104"/>
      <c r="AE765" s="104"/>
      <c r="AF765" s="104"/>
      <c r="AG765" s="104"/>
      <c r="AH765" s="104"/>
      <c r="AI765" s="104"/>
      <c r="AJ765" s="104"/>
      <c r="AK765" s="104"/>
      <c r="AL765" s="104"/>
      <c r="AM765" s="104"/>
      <c r="AN765" s="104"/>
      <c r="AO765" s="104"/>
      <c r="AP765" s="104"/>
      <c r="AQ765" s="104"/>
      <c r="AR765" s="104"/>
      <c r="AS765" s="104"/>
      <c r="AT765" s="104"/>
      <c r="AU765" s="104"/>
      <c r="AV765" s="104"/>
      <c r="AW765" s="104"/>
      <c r="AX765" s="104"/>
      <c r="AY765" s="104"/>
      <c r="AZ765" s="104"/>
      <c r="BA765" s="104"/>
      <c r="BB765" s="104"/>
      <c r="BC765" s="104"/>
      <c r="BD765" s="104"/>
      <c r="BE765" s="104"/>
      <c r="BF765" s="104"/>
      <c r="BG765" s="104"/>
      <c r="BH765" s="104"/>
      <c r="BI765" s="104"/>
      <c r="BJ765" s="104"/>
      <c r="BK765" s="104"/>
      <c r="BL765" s="104"/>
      <c r="BM765" s="104"/>
      <c r="BN765" s="104"/>
    </row>
    <row r="766">
      <c r="A766" s="104"/>
      <c r="B766" s="104"/>
      <c r="C766" s="104"/>
      <c r="D766" s="104"/>
      <c r="E766" s="104"/>
      <c r="F766" s="104"/>
      <c r="G766" s="104"/>
      <c r="H766" s="104"/>
      <c r="I766" s="104"/>
      <c r="J766" s="104"/>
      <c r="K766" s="105"/>
      <c r="L766" s="106"/>
      <c r="M766" s="104"/>
      <c r="N766" s="104"/>
      <c r="O766" s="104"/>
      <c r="P766" s="104"/>
      <c r="Q766" s="104"/>
      <c r="R766" s="106"/>
      <c r="S766" s="104"/>
      <c r="T766" s="104"/>
      <c r="U766" s="104"/>
      <c r="V766" s="104"/>
      <c r="W766" s="105"/>
      <c r="X766" s="104"/>
      <c r="Y766" s="104"/>
      <c r="Z766" s="104"/>
      <c r="AA766" s="104"/>
      <c r="AB766" s="104"/>
      <c r="AC766" s="104"/>
      <c r="AD766" s="104"/>
      <c r="AE766" s="104"/>
      <c r="AF766" s="104"/>
      <c r="AG766" s="104"/>
      <c r="AH766" s="104"/>
      <c r="AI766" s="104"/>
      <c r="AJ766" s="104"/>
      <c r="AK766" s="104"/>
      <c r="AL766" s="104"/>
      <c r="AM766" s="104"/>
      <c r="AN766" s="104"/>
      <c r="AO766" s="104"/>
      <c r="AP766" s="104"/>
      <c r="AQ766" s="104"/>
      <c r="AR766" s="104"/>
      <c r="AS766" s="104"/>
      <c r="AT766" s="104"/>
      <c r="AU766" s="104"/>
      <c r="AV766" s="104"/>
      <c r="AW766" s="104"/>
      <c r="AX766" s="104"/>
      <c r="AY766" s="104"/>
      <c r="AZ766" s="104"/>
      <c r="BA766" s="104"/>
      <c r="BB766" s="104"/>
      <c r="BC766" s="104"/>
      <c r="BD766" s="104"/>
      <c r="BE766" s="104"/>
      <c r="BF766" s="104"/>
      <c r="BG766" s="104"/>
      <c r="BH766" s="104"/>
      <c r="BI766" s="104"/>
      <c r="BJ766" s="104"/>
      <c r="BK766" s="104"/>
      <c r="BL766" s="104"/>
      <c r="BM766" s="104"/>
      <c r="BN766" s="104"/>
    </row>
    <row r="767">
      <c r="A767" s="104"/>
      <c r="B767" s="104"/>
      <c r="C767" s="104"/>
      <c r="D767" s="104"/>
      <c r="E767" s="104"/>
      <c r="F767" s="104"/>
      <c r="G767" s="104"/>
      <c r="H767" s="104"/>
      <c r="I767" s="104"/>
      <c r="J767" s="104"/>
      <c r="K767" s="105"/>
      <c r="L767" s="106"/>
      <c r="M767" s="104"/>
      <c r="N767" s="104"/>
      <c r="O767" s="104"/>
      <c r="P767" s="104"/>
      <c r="Q767" s="104"/>
      <c r="R767" s="106"/>
      <c r="S767" s="104"/>
      <c r="T767" s="104"/>
      <c r="U767" s="104"/>
      <c r="V767" s="104"/>
      <c r="W767" s="105"/>
      <c r="X767" s="104"/>
      <c r="Y767" s="104"/>
      <c r="Z767" s="104"/>
      <c r="AA767" s="104"/>
      <c r="AB767" s="104"/>
      <c r="AC767" s="104"/>
      <c r="AD767" s="104"/>
      <c r="AE767" s="104"/>
      <c r="AF767" s="104"/>
      <c r="AG767" s="104"/>
      <c r="AH767" s="104"/>
      <c r="AI767" s="104"/>
      <c r="AJ767" s="104"/>
      <c r="AK767" s="104"/>
      <c r="AL767" s="104"/>
      <c r="AM767" s="104"/>
      <c r="AN767" s="104"/>
      <c r="AO767" s="104"/>
      <c r="AP767" s="104"/>
      <c r="AQ767" s="104"/>
      <c r="AR767" s="104"/>
      <c r="AS767" s="104"/>
      <c r="AT767" s="104"/>
      <c r="AU767" s="104"/>
      <c r="AV767" s="104"/>
      <c r="AW767" s="104"/>
      <c r="AX767" s="104"/>
      <c r="AY767" s="104"/>
      <c r="AZ767" s="104"/>
      <c r="BA767" s="104"/>
      <c r="BB767" s="104"/>
      <c r="BC767" s="104"/>
      <c r="BD767" s="104"/>
      <c r="BE767" s="104"/>
      <c r="BF767" s="104"/>
      <c r="BG767" s="104"/>
      <c r="BH767" s="104"/>
      <c r="BI767" s="104"/>
      <c r="BJ767" s="104"/>
      <c r="BK767" s="104"/>
      <c r="BL767" s="104"/>
      <c r="BM767" s="104"/>
      <c r="BN767" s="104"/>
    </row>
    <row r="768">
      <c r="A768" s="104"/>
      <c r="B768" s="104"/>
      <c r="C768" s="104"/>
      <c r="D768" s="104"/>
      <c r="E768" s="104"/>
      <c r="F768" s="104"/>
      <c r="G768" s="104"/>
      <c r="H768" s="104"/>
      <c r="I768" s="104"/>
      <c r="J768" s="104"/>
      <c r="K768" s="105"/>
      <c r="L768" s="106"/>
      <c r="M768" s="104"/>
      <c r="N768" s="104"/>
      <c r="O768" s="104"/>
      <c r="P768" s="104"/>
      <c r="Q768" s="104"/>
      <c r="R768" s="106"/>
      <c r="S768" s="104"/>
      <c r="T768" s="104"/>
      <c r="U768" s="104"/>
      <c r="V768" s="104"/>
      <c r="W768" s="105"/>
      <c r="X768" s="104"/>
      <c r="Y768" s="104"/>
      <c r="Z768" s="104"/>
      <c r="AA768" s="104"/>
      <c r="AB768" s="104"/>
      <c r="AC768" s="104"/>
      <c r="AD768" s="104"/>
      <c r="AE768" s="104"/>
      <c r="AF768" s="104"/>
      <c r="AG768" s="104"/>
      <c r="AH768" s="104"/>
      <c r="AI768" s="104"/>
      <c r="AJ768" s="104"/>
      <c r="AK768" s="104"/>
      <c r="AL768" s="104"/>
      <c r="AM768" s="104"/>
      <c r="AN768" s="104"/>
      <c r="AO768" s="104"/>
      <c r="AP768" s="104"/>
      <c r="AQ768" s="104"/>
      <c r="AR768" s="104"/>
      <c r="AS768" s="104"/>
      <c r="AT768" s="104"/>
      <c r="AU768" s="104"/>
      <c r="AV768" s="104"/>
      <c r="AW768" s="104"/>
      <c r="AX768" s="104"/>
      <c r="AY768" s="104"/>
      <c r="AZ768" s="104"/>
      <c r="BA768" s="104"/>
      <c r="BB768" s="104"/>
      <c r="BC768" s="104"/>
      <c r="BD768" s="104"/>
      <c r="BE768" s="104"/>
      <c r="BF768" s="104"/>
      <c r="BG768" s="104"/>
      <c r="BH768" s="104"/>
      <c r="BI768" s="104"/>
      <c r="BJ768" s="104"/>
      <c r="BK768" s="104"/>
      <c r="BL768" s="104"/>
      <c r="BM768" s="104"/>
      <c r="BN768" s="104"/>
    </row>
    <row r="769">
      <c r="A769" s="104"/>
      <c r="B769" s="104"/>
      <c r="C769" s="104"/>
      <c r="D769" s="104"/>
      <c r="E769" s="104"/>
      <c r="F769" s="104"/>
      <c r="G769" s="104"/>
      <c r="H769" s="104"/>
      <c r="I769" s="104"/>
      <c r="J769" s="104"/>
      <c r="K769" s="105"/>
      <c r="L769" s="106"/>
      <c r="M769" s="104"/>
      <c r="N769" s="104"/>
      <c r="O769" s="104"/>
      <c r="P769" s="104"/>
      <c r="Q769" s="104"/>
      <c r="R769" s="106"/>
      <c r="S769" s="104"/>
      <c r="T769" s="104"/>
      <c r="U769" s="104"/>
      <c r="V769" s="104"/>
      <c r="W769" s="105"/>
      <c r="X769" s="104"/>
      <c r="Y769" s="104"/>
      <c r="Z769" s="104"/>
      <c r="AA769" s="104"/>
      <c r="AB769" s="104"/>
      <c r="AC769" s="104"/>
      <c r="AD769" s="104"/>
      <c r="AE769" s="104"/>
      <c r="AF769" s="104"/>
      <c r="AG769" s="104"/>
      <c r="AH769" s="104"/>
      <c r="AI769" s="104"/>
      <c r="AJ769" s="104"/>
      <c r="AK769" s="104"/>
      <c r="AL769" s="104"/>
      <c r="AM769" s="104"/>
      <c r="AN769" s="104"/>
      <c r="AO769" s="104"/>
      <c r="AP769" s="104"/>
      <c r="AQ769" s="104"/>
      <c r="AR769" s="104"/>
      <c r="AS769" s="104"/>
      <c r="AT769" s="104"/>
      <c r="AU769" s="104"/>
      <c r="AV769" s="104"/>
      <c r="AW769" s="104"/>
      <c r="AX769" s="104"/>
      <c r="AY769" s="104"/>
      <c r="AZ769" s="104"/>
      <c r="BA769" s="104"/>
      <c r="BB769" s="104"/>
      <c r="BC769" s="104"/>
      <c r="BD769" s="104"/>
      <c r="BE769" s="104"/>
      <c r="BF769" s="104"/>
      <c r="BG769" s="104"/>
      <c r="BH769" s="104"/>
      <c r="BI769" s="104"/>
      <c r="BJ769" s="104"/>
      <c r="BK769" s="104"/>
      <c r="BL769" s="104"/>
      <c r="BM769" s="104"/>
      <c r="BN769" s="104"/>
    </row>
    <row r="770">
      <c r="A770" s="104"/>
      <c r="B770" s="104"/>
      <c r="C770" s="104"/>
      <c r="D770" s="104"/>
      <c r="E770" s="104"/>
      <c r="F770" s="104"/>
      <c r="G770" s="104"/>
      <c r="H770" s="104"/>
      <c r="I770" s="104"/>
      <c r="J770" s="104"/>
      <c r="K770" s="105"/>
      <c r="L770" s="106"/>
      <c r="M770" s="104"/>
      <c r="N770" s="104"/>
      <c r="O770" s="104"/>
      <c r="P770" s="104"/>
      <c r="Q770" s="104"/>
      <c r="R770" s="106"/>
      <c r="S770" s="104"/>
      <c r="T770" s="104"/>
      <c r="U770" s="104"/>
      <c r="V770" s="104"/>
      <c r="W770" s="105"/>
      <c r="X770" s="104"/>
      <c r="Y770" s="104"/>
      <c r="Z770" s="104"/>
      <c r="AA770" s="104"/>
      <c r="AB770" s="104"/>
      <c r="AC770" s="104"/>
      <c r="AD770" s="104"/>
      <c r="AE770" s="104"/>
      <c r="AF770" s="104"/>
      <c r="AG770" s="104"/>
      <c r="AH770" s="104"/>
      <c r="AI770" s="104"/>
      <c r="AJ770" s="104"/>
      <c r="AK770" s="104"/>
      <c r="AL770" s="104"/>
      <c r="AM770" s="104"/>
      <c r="AN770" s="104"/>
      <c r="AO770" s="104"/>
      <c r="AP770" s="104"/>
      <c r="AQ770" s="104"/>
      <c r="AR770" s="104"/>
      <c r="AS770" s="104"/>
      <c r="AT770" s="104"/>
      <c r="AU770" s="104"/>
      <c r="AV770" s="104"/>
      <c r="AW770" s="104"/>
      <c r="AX770" s="104"/>
      <c r="AY770" s="104"/>
      <c r="AZ770" s="104"/>
      <c r="BA770" s="104"/>
      <c r="BB770" s="104"/>
      <c r="BC770" s="104"/>
      <c r="BD770" s="104"/>
      <c r="BE770" s="104"/>
      <c r="BF770" s="104"/>
      <c r="BG770" s="104"/>
      <c r="BH770" s="104"/>
      <c r="BI770" s="104"/>
      <c r="BJ770" s="104"/>
      <c r="BK770" s="104"/>
      <c r="BL770" s="104"/>
      <c r="BM770" s="104"/>
      <c r="BN770" s="104"/>
    </row>
    <row r="771">
      <c r="A771" s="104"/>
      <c r="B771" s="104"/>
      <c r="C771" s="104"/>
      <c r="D771" s="104"/>
      <c r="E771" s="104"/>
      <c r="F771" s="104"/>
      <c r="G771" s="104"/>
      <c r="H771" s="104"/>
      <c r="I771" s="104"/>
      <c r="J771" s="104"/>
      <c r="K771" s="105"/>
      <c r="L771" s="106"/>
      <c r="M771" s="104"/>
      <c r="N771" s="104"/>
      <c r="O771" s="104"/>
      <c r="P771" s="104"/>
      <c r="Q771" s="104"/>
      <c r="R771" s="106"/>
      <c r="S771" s="104"/>
      <c r="T771" s="104"/>
      <c r="U771" s="104"/>
      <c r="V771" s="104"/>
      <c r="W771" s="105"/>
      <c r="X771" s="104"/>
      <c r="Y771" s="104"/>
      <c r="Z771" s="104"/>
      <c r="AA771" s="104"/>
      <c r="AB771" s="104"/>
      <c r="AC771" s="104"/>
      <c r="AD771" s="104"/>
      <c r="AE771" s="104"/>
      <c r="AF771" s="104"/>
      <c r="AG771" s="104"/>
      <c r="AH771" s="104"/>
      <c r="AI771" s="104"/>
      <c r="AJ771" s="104"/>
      <c r="AK771" s="104"/>
      <c r="AL771" s="104"/>
      <c r="AM771" s="104"/>
      <c r="AN771" s="104"/>
      <c r="AO771" s="104"/>
      <c r="AP771" s="104"/>
      <c r="AQ771" s="104"/>
      <c r="AR771" s="104"/>
      <c r="AS771" s="104"/>
      <c r="AT771" s="104"/>
      <c r="AU771" s="104"/>
      <c r="AV771" s="104"/>
      <c r="AW771" s="104"/>
      <c r="AX771" s="104"/>
      <c r="AY771" s="104"/>
      <c r="AZ771" s="104"/>
      <c r="BA771" s="104"/>
      <c r="BB771" s="104"/>
      <c r="BC771" s="104"/>
      <c r="BD771" s="104"/>
      <c r="BE771" s="104"/>
      <c r="BF771" s="104"/>
      <c r="BG771" s="104"/>
      <c r="BH771" s="104"/>
      <c r="BI771" s="104"/>
      <c r="BJ771" s="104"/>
      <c r="BK771" s="104"/>
      <c r="BL771" s="104"/>
      <c r="BM771" s="104"/>
      <c r="BN771" s="104"/>
    </row>
    <row r="772">
      <c r="A772" s="104"/>
      <c r="B772" s="104"/>
      <c r="C772" s="104"/>
      <c r="D772" s="104"/>
      <c r="E772" s="104"/>
      <c r="F772" s="104"/>
      <c r="G772" s="104"/>
      <c r="H772" s="104"/>
      <c r="I772" s="104"/>
      <c r="J772" s="104"/>
      <c r="K772" s="105"/>
      <c r="L772" s="106"/>
      <c r="M772" s="104"/>
      <c r="N772" s="104"/>
      <c r="O772" s="104"/>
      <c r="P772" s="104"/>
      <c r="Q772" s="104"/>
      <c r="R772" s="106"/>
      <c r="S772" s="104"/>
      <c r="T772" s="104"/>
      <c r="U772" s="104"/>
      <c r="V772" s="104"/>
      <c r="W772" s="105"/>
      <c r="X772" s="104"/>
      <c r="Y772" s="104"/>
      <c r="Z772" s="104"/>
      <c r="AA772" s="104"/>
      <c r="AB772" s="104"/>
      <c r="AC772" s="104"/>
      <c r="AD772" s="104"/>
      <c r="AE772" s="104"/>
      <c r="AF772" s="104"/>
      <c r="AG772" s="104"/>
      <c r="AH772" s="104"/>
      <c r="AI772" s="104"/>
      <c r="AJ772" s="104"/>
      <c r="AK772" s="104"/>
      <c r="AL772" s="104"/>
      <c r="AM772" s="104"/>
      <c r="AN772" s="104"/>
      <c r="AO772" s="104"/>
      <c r="AP772" s="104"/>
      <c r="AQ772" s="104"/>
      <c r="AR772" s="104"/>
      <c r="AS772" s="104"/>
      <c r="AT772" s="104"/>
      <c r="AU772" s="104"/>
      <c r="AV772" s="104"/>
      <c r="AW772" s="104"/>
      <c r="AX772" s="104"/>
      <c r="AY772" s="104"/>
      <c r="AZ772" s="104"/>
      <c r="BA772" s="104"/>
      <c r="BB772" s="104"/>
      <c r="BC772" s="104"/>
      <c r="BD772" s="104"/>
      <c r="BE772" s="104"/>
      <c r="BF772" s="104"/>
      <c r="BG772" s="104"/>
      <c r="BH772" s="104"/>
      <c r="BI772" s="104"/>
      <c r="BJ772" s="104"/>
      <c r="BK772" s="104"/>
      <c r="BL772" s="104"/>
      <c r="BM772" s="104"/>
      <c r="BN772" s="104"/>
    </row>
    <row r="773">
      <c r="A773" s="104"/>
      <c r="B773" s="104"/>
      <c r="C773" s="104"/>
      <c r="D773" s="104"/>
      <c r="E773" s="104"/>
      <c r="F773" s="104"/>
      <c r="G773" s="104"/>
      <c r="H773" s="104"/>
      <c r="I773" s="104"/>
      <c r="J773" s="104"/>
      <c r="K773" s="105"/>
      <c r="L773" s="106"/>
      <c r="M773" s="104"/>
      <c r="N773" s="104"/>
      <c r="O773" s="104"/>
      <c r="P773" s="104"/>
      <c r="Q773" s="104"/>
      <c r="R773" s="106"/>
      <c r="S773" s="104"/>
      <c r="T773" s="104"/>
      <c r="U773" s="104"/>
      <c r="V773" s="104"/>
      <c r="W773" s="105"/>
      <c r="X773" s="104"/>
      <c r="Y773" s="104"/>
      <c r="Z773" s="104"/>
      <c r="AA773" s="104"/>
      <c r="AB773" s="104"/>
      <c r="AC773" s="104"/>
      <c r="AD773" s="104"/>
      <c r="AE773" s="104"/>
      <c r="AF773" s="104"/>
      <c r="AG773" s="104"/>
      <c r="AH773" s="104"/>
      <c r="AI773" s="104"/>
      <c r="AJ773" s="104"/>
      <c r="AK773" s="104"/>
      <c r="AL773" s="104"/>
      <c r="AM773" s="104"/>
      <c r="AN773" s="104"/>
      <c r="AO773" s="104"/>
      <c r="AP773" s="104"/>
      <c r="AQ773" s="104"/>
      <c r="AR773" s="104"/>
      <c r="AS773" s="104"/>
      <c r="AT773" s="104"/>
      <c r="AU773" s="104"/>
      <c r="AV773" s="104"/>
      <c r="AW773" s="104"/>
      <c r="AX773" s="104"/>
      <c r="AY773" s="104"/>
      <c r="AZ773" s="104"/>
      <c r="BA773" s="104"/>
      <c r="BB773" s="104"/>
      <c r="BC773" s="104"/>
      <c r="BD773" s="104"/>
      <c r="BE773" s="104"/>
      <c r="BF773" s="104"/>
      <c r="BG773" s="104"/>
      <c r="BH773" s="104"/>
      <c r="BI773" s="104"/>
      <c r="BJ773" s="104"/>
      <c r="BK773" s="104"/>
      <c r="BL773" s="104"/>
      <c r="BM773" s="104"/>
      <c r="BN773" s="104"/>
    </row>
    <row r="774">
      <c r="A774" s="104"/>
      <c r="B774" s="104"/>
      <c r="C774" s="104"/>
      <c r="D774" s="104"/>
      <c r="E774" s="104"/>
      <c r="F774" s="104"/>
      <c r="G774" s="104"/>
      <c r="H774" s="104"/>
      <c r="I774" s="104"/>
      <c r="J774" s="104"/>
      <c r="K774" s="105"/>
      <c r="L774" s="106"/>
      <c r="M774" s="104"/>
      <c r="N774" s="104"/>
      <c r="O774" s="104"/>
      <c r="P774" s="104"/>
      <c r="Q774" s="104"/>
      <c r="R774" s="106"/>
      <c r="S774" s="104"/>
      <c r="T774" s="104"/>
      <c r="U774" s="104"/>
      <c r="V774" s="104"/>
      <c r="W774" s="105"/>
      <c r="X774" s="104"/>
      <c r="Y774" s="104"/>
      <c r="Z774" s="104"/>
      <c r="AA774" s="104"/>
      <c r="AB774" s="104"/>
      <c r="AC774" s="104"/>
      <c r="AD774" s="104"/>
      <c r="AE774" s="104"/>
      <c r="AF774" s="104"/>
      <c r="AG774" s="104"/>
      <c r="AH774" s="104"/>
      <c r="AI774" s="104"/>
      <c r="AJ774" s="104"/>
      <c r="AK774" s="104"/>
      <c r="AL774" s="104"/>
      <c r="AM774" s="104"/>
      <c r="AN774" s="104"/>
      <c r="AO774" s="104"/>
      <c r="AP774" s="104"/>
      <c r="AQ774" s="104"/>
      <c r="AR774" s="104"/>
      <c r="AS774" s="104"/>
      <c r="AT774" s="104"/>
      <c r="AU774" s="104"/>
      <c r="AV774" s="104"/>
      <c r="AW774" s="104"/>
      <c r="AX774" s="104"/>
      <c r="AY774" s="104"/>
      <c r="AZ774" s="104"/>
      <c r="BA774" s="104"/>
      <c r="BB774" s="104"/>
      <c r="BC774" s="104"/>
      <c r="BD774" s="104"/>
      <c r="BE774" s="104"/>
      <c r="BF774" s="104"/>
      <c r="BG774" s="104"/>
      <c r="BH774" s="104"/>
      <c r="BI774" s="104"/>
      <c r="BJ774" s="104"/>
      <c r="BK774" s="104"/>
      <c r="BL774" s="104"/>
      <c r="BM774" s="104"/>
      <c r="BN774" s="104"/>
    </row>
    <row r="775">
      <c r="A775" s="104"/>
      <c r="B775" s="104"/>
      <c r="C775" s="104"/>
      <c r="D775" s="104"/>
      <c r="E775" s="104"/>
      <c r="F775" s="104"/>
      <c r="G775" s="104"/>
      <c r="H775" s="104"/>
      <c r="I775" s="104"/>
      <c r="J775" s="104"/>
      <c r="K775" s="105"/>
      <c r="L775" s="106"/>
      <c r="M775" s="104"/>
      <c r="N775" s="104"/>
      <c r="O775" s="104"/>
      <c r="P775" s="104"/>
      <c r="Q775" s="104"/>
      <c r="R775" s="106"/>
      <c r="S775" s="104"/>
      <c r="T775" s="104"/>
      <c r="U775" s="104"/>
      <c r="V775" s="104"/>
      <c r="W775" s="105"/>
      <c r="X775" s="104"/>
      <c r="Y775" s="104"/>
      <c r="Z775" s="104"/>
      <c r="AA775" s="104"/>
      <c r="AB775" s="104"/>
      <c r="AC775" s="104"/>
      <c r="AD775" s="104"/>
      <c r="AE775" s="104"/>
      <c r="AF775" s="104"/>
      <c r="AG775" s="104"/>
      <c r="AH775" s="104"/>
      <c r="AI775" s="104"/>
      <c r="AJ775" s="104"/>
      <c r="AK775" s="104"/>
      <c r="AL775" s="104"/>
      <c r="AM775" s="104"/>
      <c r="AN775" s="104"/>
      <c r="AO775" s="104"/>
      <c r="AP775" s="104"/>
      <c r="AQ775" s="104"/>
      <c r="AR775" s="104"/>
      <c r="AS775" s="104"/>
      <c r="AT775" s="104"/>
      <c r="AU775" s="104"/>
      <c r="AV775" s="104"/>
      <c r="AW775" s="104"/>
      <c r="AX775" s="104"/>
      <c r="AY775" s="104"/>
      <c r="AZ775" s="104"/>
      <c r="BA775" s="104"/>
      <c r="BB775" s="104"/>
      <c r="BC775" s="104"/>
      <c r="BD775" s="104"/>
      <c r="BE775" s="104"/>
      <c r="BF775" s="104"/>
      <c r="BG775" s="104"/>
      <c r="BH775" s="104"/>
      <c r="BI775" s="104"/>
      <c r="BJ775" s="104"/>
      <c r="BK775" s="104"/>
      <c r="BL775" s="104"/>
      <c r="BM775" s="104"/>
      <c r="BN775" s="104"/>
    </row>
    <row r="776">
      <c r="A776" s="104"/>
      <c r="B776" s="104"/>
      <c r="C776" s="104"/>
      <c r="D776" s="104"/>
      <c r="E776" s="104"/>
      <c r="F776" s="104"/>
      <c r="G776" s="104"/>
      <c r="H776" s="104"/>
      <c r="I776" s="104"/>
      <c r="J776" s="104"/>
      <c r="K776" s="105"/>
      <c r="L776" s="106"/>
      <c r="M776" s="104"/>
      <c r="N776" s="104"/>
      <c r="O776" s="104"/>
      <c r="P776" s="104"/>
      <c r="Q776" s="104"/>
      <c r="R776" s="106"/>
      <c r="S776" s="104"/>
      <c r="T776" s="104"/>
      <c r="U776" s="104"/>
      <c r="V776" s="104"/>
      <c r="W776" s="105"/>
      <c r="X776" s="104"/>
      <c r="Y776" s="104"/>
      <c r="Z776" s="104"/>
      <c r="AA776" s="104"/>
      <c r="AB776" s="104"/>
      <c r="AC776" s="104"/>
      <c r="AD776" s="104"/>
      <c r="AE776" s="104"/>
      <c r="AF776" s="104"/>
      <c r="AG776" s="104"/>
      <c r="AH776" s="104"/>
      <c r="AI776" s="104"/>
      <c r="AJ776" s="104"/>
      <c r="AK776" s="104"/>
      <c r="AL776" s="104"/>
      <c r="AM776" s="104"/>
      <c r="AN776" s="104"/>
      <c r="AO776" s="104"/>
      <c r="AP776" s="104"/>
      <c r="AQ776" s="104"/>
      <c r="AR776" s="104"/>
      <c r="AS776" s="104"/>
      <c r="AT776" s="104"/>
      <c r="AU776" s="104"/>
      <c r="AV776" s="104"/>
      <c r="AW776" s="104"/>
      <c r="AX776" s="104"/>
      <c r="AY776" s="104"/>
      <c r="AZ776" s="104"/>
      <c r="BA776" s="104"/>
      <c r="BB776" s="104"/>
      <c r="BC776" s="104"/>
      <c r="BD776" s="104"/>
      <c r="BE776" s="104"/>
      <c r="BF776" s="104"/>
      <c r="BG776" s="104"/>
      <c r="BH776" s="104"/>
      <c r="BI776" s="104"/>
      <c r="BJ776" s="104"/>
      <c r="BK776" s="104"/>
      <c r="BL776" s="104"/>
      <c r="BM776" s="104"/>
      <c r="BN776" s="104"/>
    </row>
    <row r="777">
      <c r="A777" s="104"/>
      <c r="B777" s="104"/>
      <c r="C777" s="104"/>
      <c r="D777" s="104"/>
      <c r="E777" s="104"/>
      <c r="F777" s="104"/>
      <c r="G777" s="104"/>
      <c r="H777" s="104"/>
      <c r="I777" s="104"/>
      <c r="J777" s="104"/>
      <c r="K777" s="105"/>
      <c r="L777" s="106"/>
      <c r="M777" s="104"/>
      <c r="N777" s="104"/>
      <c r="O777" s="104"/>
      <c r="P777" s="104"/>
      <c r="Q777" s="104"/>
      <c r="R777" s="106"/>
      <c r="S777" s="104"/>
      <c r="T777" s="104"/>
      <c r="U777" s="104"/>
      <c r="V777" s="104"/>
      <c r="W777" s="105"/>
      <c r="X777" s="104"/>
      <c r="Y777" s="104"/>
      <c r="Z777" s="104"/>
      <c r="AA777" s="104"/>
      <c r="AB777" s="104"/>
      <c r="AC777" s="104"/>
      <c r="AD777" s="104"/>
      <c r="AE777" s="104"/>
      <c r="AF777" s="104"/>
      <c r="AG777" s="104"/>
      <c r="AH777" s="104"/>
      <c r="AI777" s="104"/>
      <c r="AJ777" s="104"/>
      <c r="AK777" s="104"/>
      <c r="AL777" s="104"/>
      <c r="AM777" s="104"/>
      <c r="AN777" s="104"/>
      <c r="AO777" s="104"/>
      <c r="AP777" s="104"/>
      <c r="AQ777" s="104"/>
      <c r="AR777" s="104"/>
      <c r="AS777" s="104"/>
      <c r="AT777" s="104"/>
      <c r="AU777" s="104"/>
      <c r="AV777" s="104"/>
      <c r="AW777" s="104"/>
      <c r="AX777" s="104"/>
      <c r="AY777" s="104"/>
      <c r="AZ777" s="104"/>
      <c r="BA777" s="104"/>
      <c r="BB777" s="104"/>
      <c r="BC777" s="104"/>
      <c r="BD777" s="104"/>
      <c r="BE777" s="104"/>
      <c r="BF777" s="104"/>
      <c r="BG777" s="104"/>
      <c r="BH777" s="104"/>
      <c r="BI777" s="104"/>
      <c r="BJ777" s="104"/>
      <c r="BK777" s="104"/>
      <c r="BL777" s="104"/>
      <c r="BM777" s="104"/>
      <c r="BN777" s="104"/>
    </row>
    <row r="778">
      <c r="A778" s="104"/>
      <c r="B778" s="104"/>
      <c r="C778" s="104"/>
      <c r="D778" s="104"/>
      <c r="E778" s="104"/>
      <c r="F778" s="104"/>
      <c r="G778" s="104"/>
      <c r="H778" s="104"/>
      <c r="I778" s="104"/>
      <c r="J778" s="104"/>
      <c r="K778" s="105"/>
      <c r="L778" s="106"/>
      <c r="M778" s="104"/>
      <c r="N778" s="104"/>
      <c r="O778" s="104"/>
      <c r="P778" s="104"/>
      <c r="Q778" s="104"/>
      <c r="R778" s="106"/>
      <c r="S778" s="104"/>
      <c r="T778" s="104"/>
      <c r="U778" s="104"/>
      <c r="V778" s="104"/>
      <c r="W778" s="105"/>
      <c r="X778" s="104"/>
      <c r="Y778" s="104"/>
      <c r="Z778" s="104"/>
      <c r="AA778" s="104"/>
      <c r="AB778" s="104"/>
      <c r="AC778" s="104"/>
      <c r="AD778" s="104"/>
      <c r="AE778" s="104"/>
      <c r="AF778" s="104"/>
      <c r="AG778" s="104"/>
      <c r="AH778" s="104"/>
      <c r="AI778" s="104"/>
      <c r="AJ778" s="104"/>
      <c r="AK778" s="104"/>
      <c r="AL778" s="104"/>
      <c r="AM778" s="104"/>
      <c r="AN778" s="104"/>
      <c r="AO778" s="104"/>
      <c r="AP778" s="104"/>
      <c r="AQ778" s="104"/>
      <c r="AR778" s="104"/>
      <c r="AS778" s="104"/>
      <c r="AT778" s="104"/>
      <c r="AU778" s="104"/>
      <c r="AV778" s="104"/>
      <c r="AW778" s="104"/>
      <c r="AX778" s="104"/>
      <c r="AY778" s="104"/>
      <c r="AZ778" s="104"/>
      <c r="BA778" s="104"/>
      <c r="BB778" s="104"/>
      <c r="BC778" s="104"/>
      <c r="BD778" s="104"/>
      <c r="BE778" s="104"/>
      <c r="BF778" s="104"/>
      <c r="BG778" s="104"/>
      <c r="BH778" s="104"/>
      <c r="BI778" s="104"/>
      <c r="BJ778" s="104"/>
      <c r="BK778" s="104"/>
      <c r="BL778" s="104"/>
      <c r="BM778" s="104"/>
      <c r="BN778" s="104"/>
    </row>
    <row r="779">
      <c r="A779" s="104"/>
      <c r="B779" s="104"/>
      <c r="C779" s="104"/>
      <c r="D779" s="104"/>
      <c r="E779" s="104"/>
      <c r="F779" s="104"/>
      <c r="G779" s="104"/>
      <c r="H779" s="104"/>
      <c r="I779" s="104"/>
      <c r="J779" s="104"/>
      <c r="K779" s="105"/>
      <c r="L779" s="106"/>
      <c r="M779" s="104"/>
      <c r="N779" s="104"/>
      <c r="O779" s="104"/>
      <c r="P779" s="104"/>
      <c r="Q779" s="104"/>
      <c r="R779" s="106"/>
      <c r="S779" s="104"/>
      <c r="T779" s="104"/>
      <c r="U779" s="104"/>
      <c r="V779" s="104"/>
      <c r="W779" s="105"/>
      <c r="X779" s="104"/>
      <c r="Y779" s="104"/>
      <c r="Z779" s="104"/>
      <c r="AA779" s="104"/>
      <c r="AB779" s="104"/>
      <c r="AC779" s="104"/>
      <c r="AD779" s="104"/>
      <c r="AE779" s="104"/>
      <c r="AF779" s="104"/>
      <c r="AG779" s="104"/>
      <c r="AH779" s="104"/>
      <c r="AI779" s="104"/>
      <c r="AJ779" s="104"/>
      <c r="AK779" s="104"/>
      <c r="AL779" s="104"/>
      <c r="AM779" s="104"/>
      <c r="AN779" s="104"/>
      <c r="AO779" s="104"/>
      <c r="AP779" s="104"/>
      <c r="AQ779" s="104"/>
      <c r="AR779" s="104"/>
      <c r="AS779" s="104"/>
      <c r="AT779" s="104"/>
      <c r="AU779" s="104"/>
      <c r="AV779" s="104"/>
      <c r="AW779" s="104"/>
      <c r="AX779" s="104"/>
      <c r="AY779" s="104"/>
      <c r="AZ779" s="104"/>
      <c r="BA779" s="104"/>
      <c r="BB779" s="104"/>
      <c r="BC779" s="104"/>
      <c r="BD779" s="104"/>
      <c r="BE779" s="104"/>
      <c r="BF779" s="104"/>
      <c r="BG779" s="104"/>
      <c r="BH779" s="104"/>
      <c r="BI779" s="104"/>
      <c r="BJ779" s="104"/>
      <c r="BK779" s="104"/>
      <c r="BL779" s="104"/>
      <c r="BM779" s="104"/>
      <c r="BN779" s="104"/>
    </row>
    <row r="780">
      <c r="A780" s="104"/>
      <c r="B780" s="104"/>
      <c r="C780" s="104"/>
      <c r="D780" s="104"/>
      <c r="E780" s="104"/>
      <c r="F780" s="104"/>
      <c r="G780" s="104"/>
      <c r="H780" s="104"/>
      <c r="I780" s="104"/>
      <c r="J780" s="104"/>
      <c r="K780" s="105"/>
      <c r="L780" s="106"/>
      <c r="M780" s="104"/>
      <c r="N780" s="104"/>
      <c r="O780" s="104"/>
      <c r="P780" s="104"/>
      <c r="Q780" s="104"/>
      <c r="R780" s="106"/>
      <c r="S780" s="104"/>
      <c r="T780" s="104"/>
      <c r="U780" s="104"/>
      <c r="V780" s="104"/>
      <c r="W780" s="105"/>
      <c r="X780" s="104"/>
      <c r="Y780" s="104"/>
      <c r="Z780" s="104"/>
      <c r="AA780" s="104"/>
      <c r="AB780" s="104"/>
      <c r="AC780" s="104"/>
      <c r="AD780" s="104"/>
      <c r="AE780" s="104"/>
      <c r="AF780" s="104"/>
      <c r="AG780" s="104"/>
      <c r="AH780" s="104"/>
      <c r="AI780" s="104"/>
      <c r="AJ780" s="104"/>
      <c r="AK780" s="104"/>
      <c r="AL780" s="104"/>
      <c r="AM780" s="104"/>
      <c r="AN780" s="104"/>
      <c r="AO780" s="104"/>
      <c r="AP780" s="104"/>
      <c r="AQ780" s="104"/>
      <c r="AR780" s="104"/>
      <c r="AS780" s="104"/>
      <c r="AT780" s="104"/>
      <c r="AU780" s="104"/>
      <c r="AV780" s="104"/>
      <c r="AW780" s="104"/>
      <c r="AX780" s="104"/>
      <c r="AY780" s="104"/>
      <c r="AZ780" s="104"/>
      <c r="BA780" s="104"/>
      <c r="BB780" s="104"/>
      <c r="BC780" s="104"/>
      <c r="BD780" s="104"/>
      <c r="BE780" s="104"/>
      <c r="BF780" s="104"/>
      <c r="BG780" s="104"/>
      <c r="BH780" s="104"/>
      <c r="BI780" s="104"/>
      <c r="BJ780" s="104"/>
      <c r="BK780" s="104"/>
      <c r="BL780" s="104"/>
      <c r="BM780" s="104"/>
      <c r="BN780" s="104"/>
    </row>
    <row r="781">
      <c r="A781" s="104"/>
      <c r="B781" s="104"/>
      <c r="C781" s="104"/>
      <c r="D781" s="104"/>
      <c r="E781" s="104"/>
      <c r="F781" s="104"/>
      <c r="G781" s="104"/>
      <c r="H781" s="104"/>
      <c r="I781" s="104"/>
      <c r="J781" s="104"/>
      <c r="K781" s="105"/>
      <c r="L781" s="106"/>
      <c r="M781" s="104"/>
      <c r="N781" s="104"/>
      <c r="O781" s="104"/>
      <c r="P781" s="104"/>
      <c r="Q781" s="104"/>
      <c r="R781" s="106"/>
      <c r="S781" s="104"/>
      <c r="T781" s="104"/>
      <c r="U781" s="104"/>
      <c r="V781" s="104"/>
      <c r="W781" s="105"/>
      <c r="X781" s="104"/>
      <c r="Y781" s="104"/>
      <c r="Z781" s="104"/>
      <c r="AA781" s="104"/>
      <c r="AB781" s="104"/>
      <c r="AC781" s="104"/>
      <c r="AD781" s="104"/>
      <c r="AE781" s="104"/>
      <c r="AF781" s="104"/>
      <c r="AG781" s="104"/>
      <c r="AH781" s="104"/>
      <c r="AI781" s="104"/>
      <c r="AJ781" s="104"/>
      <c r="AK781" s="104"/>
      <c r="AL781" s="104"/>
      <c r="AM781" s="104"/>
      <c r="AN781" s="104"/>
      <c r="AO781" s="104"/>
      <c r="AP781" s="104"/>
      <c r="AQ781" s="104"/>
      <c r="AR781" s="104"/>
      <c r="AS781" s="104"/>
      <c r="AT781" s="104"/>
      <c r="AU781" s="104"/>
      <c r="AV781" s="104"/>
      <c r="AW781" s="104"/>
      <c r="AX781" s="104"/>
      <c r="AY781" s="104"/>
      <c r="AZ781" s="104"/>
      <c r="BA781" s="104"/>
      <c r="BB781" s="104"/>
      <c r="BC781" s="104"/>
      <c r="BD781" s="104"/>
      <c r="BE781" s="104"/>
      <c r="BF781" s="104"/>
      <c r="BG781" s="104"/>
      <c r="BH781" s="104"/>
      <c r="BI781" s="104"/>
      <c r="BJ781" s="104"/>
      <c r="BK781" s="104"/>
      <c r="BL781" s="104"/>
      <c r="BM781" s="104"/>
      <c r="BN781" s="104"/>
    </row>
    <row r="782">
      <c r="A782" s="104"/>
      <c r="B782" s="104"/>
      <c r="C782" s="104"/>
      <c r="D782" s="104"/>
      <c r="E782" s="104"/>
      <c r="F782" s="104"/>
      <c r="G782" s="104"/>
      <c r="H782" s="104"/>
      <c r="I782" s="104"/>
      <c r="J782" s="104"/>
      <c r="K782" s="105"/>
      <c r="L782" s="106"/>
      <c r="M782" s="104"/>
      <c r="N782" s="104"/>
      <c r="O782" s="104"/>
      <c r="P782" s="104"/>
      <c r="Q782" s="104"/>
      <c r="R782" s="106"/>
      <c r="S782" s="104"/>
      <c r="T782" s="104"/>
      <c r="U782" s="104"/>
      <c r="V782" s="104"/>
      <c r="W782" s="105"/>
      <c r="X782" s="104"/>
      <c r="Y782" s="104"/>
      <c r="Z782" s="104"/>
      <c r="AA782" s="104"/>
      <c r="AB782" s="104"/>
      <c r="AC782" s="104"/>
      <c r="AD782" s="104"/>
      <c r="AE782" s="104"/>
      <c r="AF782" s="104"/>
      <c r="AG782" s="104"/>
      <c r="AH782" s="104"/>
      <c r="AI782" s="104"/>
      <c r="AJ782" s="104"/>
      <c r="AK782" s="104"/>
      <c r="AL782" s="104"/>
      <c r="AM782" s="104"/>
      <c r="AN782" s="104"/>
      <c r="AO782" s="104"/>
      <c r="AP782" s="104"/>
      <c r="AQ782" s="104"/>
      <c r="AR782" s="104"/>
      <c r="AS782" s="104"/>
      <c r="AT782" s="104"/>
      <c r="AU782" s="104"/>
      <c r="AV782" s="104"/>
      <c r="AW782" s="104"/>
      <c r="AX782" s="104"/>
      <c r="AY782" s="104"/>
      <c r="AZ782" s="104"/>
      <c r="BA782" s="104"/>
      <c r="BB782" s="104"/>
      <c r="BC782" s="104"/>
      <c r="BD782" s="104"/>
      <c r="BE782" s="104"/>
      <c r="BF782" s="104"/>
      <c r="BG782" s="104"/>
      <c r="BH782" s="104"/>
      <c r="BI782" s="104"/>
      <c r="BJ782" s="104"/>
      <c r="BK782" s="104"/>
      <c r="BL782" s="104"/>
      <c r="BM782" s="104"/>
      <c r="BN782" s="104"/>
    </row>
    <row r="783">
      <c r="A783" s="104"/>
      <c r="B783" s="104"/>
      <c r="C783" s="104"/>
      <c r="D783" s="104"/>
      <c r="E783" s="104"/>
      <c r="F783" s="104"/>
      <c r="G783" s="104"/>
      <c r="H783" s="104"/>
      <c r="I783" s="104"/>
      <c r="J783" s="104"/>
      <c r="K783" s="105"/>
      <c r="L783" s="106"/>
      <c r="M783" s="104"/>
      <c r="N783" s="104"/>
      <c r="O783" s="104"/>
      <c r="P783" s="104"/>
      <c r="Q783" s="104"/>
      <c r="R783" s="106"/>
      <c r="S783" s="104"/>
      <c r="T783" s="104"/>
      <c r="U783" s="104"/>
      <c r="V783" s="104"/>
      <c r="W783" s="105"/>
      <c r="X783" s="104"/>
      <c r="Y783" s="104"/>
      <c r="Z783" s="104"/>
      <c r="AA783" s="104"/>
      <c r="AB783" s="104"/>
      <c r="AC783" s="104"/>
      <c r="AD783" s="104"/>
      <c r="AE783" s="104"/>
      <c r="AF783" s="104"/>
      <c r="AG783" s="104"/>
      <c r="AH783" s="104"/>
      <c r="AI783" s="104"/>
      <c r="AJ783" s="104"/>
      <c r="AK783" s="104"/>
      <c r="AL783" s="104"/>
      <c r="AM783" s="104"/>
      <c r="AN783" s="104"/>
      <c r="AO783" s="104"/>
      <c r="AP783" s="104"/>
      <c r="AQ783" s="104"/>
      <c r="AR783" s="104"/>
      <c r="AS783" s="104"/>
      <c r="AT783" s="104"/>
      <c r="AU783" s="104"/>
      <c r="AV783" s="104"/>
      <c r="AW783" s="104"/>
      <c r="AX783" s="104"/>
      <c r="AY783" s="104"/>
      <c r="AZ783" s="104"/>
      <c r="BA783" s="104"/>
      <c r="BB783" s="104"/>
      <c r="BC783" s="104"/>
      <c r="BD783" s="104"/>
      <c r="BE783" s="104"/>
      <c r="BF783" s="104"/>
      <c r="BG783" s="104"/>
      <c r="BH783" s="104"/>
      <c r="BI783" s="104"/>
      <c r="BJ783" s="104"/>
      <c r="BK783" s="104"/>
      <c r="BL783" s="104"/>
      <c r="BM783" s="104"/>
      <c r="BN783" s="104"/>
    </row>
    <row r="784">
      <c r="A784" s="104"/>
      <c r="B784" s="104"/>
      <c r="C784" s="104"/>
      <c r="D784" s="104"/>
      <c r="E784" s="104"/>
      <c r="F784" s="104"/>
      <c r="G784" s="104"/>
      <c r="H784" s="104"/>
      <c r="I784" s="104"/>
      <c r="J784" s="104"/>
      <c r="K784" s="105"/>
      <c r="L784" s="106"/>
      <c r="M784" s="104"/>
      <c r="N784" s="104"/>
      <c r="O784" s="104"/>
      <c r="P784" s="104"/>
      <c r="Q784" s="104"/>
      <c r="R784" s="106"/>
      <c r="S784" s="104"/>
      <c r="T784" s="104"/>
      <c r="U784" s="104"/>
      <c r="V784" s="104"/>
      <c r="W784" s="105"/>
      <c r="X784" s="104"/>
      <c r="Y784" s="104"/>
      <c r="Z784" s="104"/>
      <c r="AA784" s="104"/>
      <c r="AB784" s="104"/>
      <c r="AC784" s="104"/>
      <c r="AD784" s="104"/>
      <c r="AE784" s="104"/>
      <c r="AF784" s="104"/>
      <c r="AG784" s="104"/>
      <c r="AH784" s="104"/>
      <c r="AI784" s="104"/>
      <c r="AJ784" s="104"/>
      <c r="AK784" s="104"/>
      <c r="AL784" s="104"/>
      <c r="AM784" s="104"/>
      <c r="AN784" s="104"/>
      <c r="AO784" s="104"/>
      <c r="AP784" s="104"/>
      <c r="AQ784" s="104"/>
      <c r="AR784" s="104"/>
      <c r="AS784" s="104"/>
      <c r="AT784" s="104"/>
      <c r="AU784" s="104"/>
      <c r="AV784" s="104"/>
      <c r="AW784" s="104"/>
      <c r="AX784" s="104"/>
      <c r="AY784" s="104"/>
      <c r="AZ784" s="104"/>
      <c r="BA784" s="104"/>
      <c r="BB784" s="104"/>
      <c r="BC784" s="104"/>
      <c r="BD784" s="104"/>
      <c r="BE784" s="104"/>
      <c r="BF784" s="104"/>
      <c r="BG784" s="104"/>
      <c r="BH784" s="104"/>
      <c r="BI784" s="104"/>
      <c r="BJ784" s="104"/>
      <c r="BK784" s="104"/>
      <c r="BL784" s="104"/>
      <c r="BM784" s="104"/>
      <c r="BN784" s="104"/>
    </row>
    <row r="785">
      <c r="A785" s="104"/>
      <c r="B785" s="104"/>
      <c r="C785" s="104"/>
      <c r="D785" s="104"/>
      <c r="E785" s="104"/>
      <c r="F785" s="104"/>
      <c r="G785" s="104"/>
      <c r="H785" s="104"/>
      <c r="I785" s="104"/>
      <c r="J785" s="104"/>
      <c r="K785" s="105"/>
      <c r="L785" s="106"/>
      <c r="M785" s="104"/>
      <c r="N785" s="104"/>
      <c r="O785" s="104"/>
      <c r="P785" s="104"/>
      <c r="Q785" s="104"/>
      <c r="R785" s="106"/>
      <c r="S785" s="104"/>
      <c r="T785" s="104"/>
      <c r="U785" s="104"/>
      <c r="V785" s="104"/>
      <c r="W785" s="105"/>
      <c r="X785" s="104"/>
      <c r="Y785" s="104"/>
      <c r="Z785" s="104"/>
      <c r="AA785" s="104"/>
      <c r="AB785" s="104"/>
      <c r="AC785" s="104"/>
      <c r="AD785" s="104"/>
      <c r="AE785" s="104"/>
      <c r="AF785" s="104"/>
      <c r="AG785" s="104"/>
      <c r="AH785" s="104"/>
      <c r="AI785" s="104"/>
      <c r="AJ785" s="104"/>
      <c r="AK785" s="104"/>
      <c r="AL785" s="104"/>
      <c r="AM785" s="104"/>
      <c r="AN785" s="104"/>
      <c r="AO785" s="104"/>
      <c r="AP785" s="104"/>
      <c r="AQ785" s="104"/>
      <c r="AR785" s="104"/>
      <c r="AS785" s="104"/>
      <c r="AT785" s="104"/>
      <c r="AU785" s="104"/>
      <c r="AV785" s="104"/>
      <c r="AW785" s="104"/>
      <c r="AX785" s="104"/>
      <c r="AY785" s="104"/>
      <c r="AZ785" s="104"/>
      <c r="BA785" s="104"/>
      <c r="BB785" s="104"/>
      <c r="BC785" s="104"/>
      <c r="BD785" s="104"/>
      <c r="BE785" s="104"/>
      <c r="BF785" s="104"/>
      <c r="BG785" s="104"/>
      <c r="BH785" s="104"/>
      <c r="BI785" s="104"/>
      <c r="BJ785" s="104"/>
      <c r="BK785" s="104"/>
      <c r="BL785" s="104"/>
      <c r="BM785" s="104"/>
      <c r="BN785" s="104"/>
    </row>
    <row r="786">
      <c r="A786" s="104"/>
      <c r="B786" s="104"/>
      <c r="C786" s="104"/>
      <c r="D786" s="104"/>
      <c r="E786" s="104"/>
      <c r="F786" s="104"/>
      <c r="G786" s="104"/>
      <c r="H786" s="104"/>
      <c r="I786" s="104"/>
      <c r="J786" s="104"/>
      <c r="K786" s="105"/>
      <c r="L786" s="106"/>
      <c r="M786" s="104"/>
      <c r="N786" s="104"/>
      <c r="O786" s="104"/>
      <c r="P786" s="104"/>
      <c r="Q786" s="104"/>
      <c r="R786" s="106"/>
      <c r="S786" s="104"/>
      <c r="T786" s="104"/>
      <c r="U786" s="104"/>
      <c r="V786" s="104"/>
      <c r="W786" s="105"/>
      <c r="X786" s="104"/>
      <c r="Y786" s="104"/>
      <c r="Z786" s="104"/>
      <c r="AA786" s="104"/>
      <c r="AB786" s="104"/>
      <c r="AC786" s="104"/>
      <c r="AD786" s="104"/>
      <c r="AE786" s="104"/>
      <c r="AF786" s="104"/>
      <c r="AG786" s="104"/>
      <c r="AH786" s="104"/>
      <c r="AI786" s="104"/>
      <c r="AJ786" s="104"/>
      <c r="AK786" s="104"/>
      <c r="AL786" s="104"/>
      <c r="AM786" s="104"/>
      <c r="AN786" s="104"/>
      <c r="AO786" s="104"/>
      <c r="AP786" s="104"/>
      <c r="AQ786" s="104"/>
      <c r="AR786" s="104"/>
      <c r="AS786" s="104"/>
      <c r="AT786" s="104"/>
      <c r="AU786" s="104"/>
      <c r="AV786" s="104"/>
      <c r="AW786" s="104"/>
      <c r="AX786" s="104"/>
      <c r="AY786" s="104"/>
      <c r="AZ786" s="104"/>
      <c r="BA786" s="104"/>
      <c r="BB786" s="104"/>
      <c r="BC786" s="104"/>
      <c r="BD786" s="104"/>
      <c r="BE786" s="104"/>
      <c r="BF786" s="104"/>
      <c r="BG786" s="104"/>
      <c r="BH786" s="104"/>
      <c r="BI786" s="104"/>
      <c r="BJ786" s="104"/>
      <c r="BK786" s="104"/>
      <c r="BL786" s="104"/>
      <c r="BM786" s="104"/>
      <c r="BN786" s="104"/>
    </row>
    <row r="787">
      <c r="A787" s="104"/>
      <c r="B787" s="104"/>
      <c r="C787" s="104"/>
      <c r="D787" s="104"/>
      <c r="E787" s="104"/>
      <c r="F787" s="104"/>
      <c r="G787" s="104"/>
      <c r="H787" s="104"/>
      <c r="I787" s="104"/>
      <c r="J787" s="104"/>
      <c r="K787" s="105"/>
      <c r="L787" s="106"/>
      <c r="M787" s="104"/>
      <c r="N787" s="104"/>
      <c r="O787" s="104"/>
      <c r="P787" s="104"/>
      <c r="Q787" s="104"/>
      <c r="R787" s="106"/>
      <c r="S787" s="104"/>
      <c r="T787" s="104"/>
      <c r="U787" s="104"/>
      <c r="V787" s="104"/>
      <c r="W787" s="105"/>
      <c r="X787" s="104"/>
      <c r="Y787" s="104"/>
      <c r="Z787" s="104"/>
      <c r="AA787" s="104"/>
      <c r="AB787" s="104"/>
      <c r="AC787" s="104"/>
      <c r="AD787" s="104"/>
      <c r="AE787" s="104"/>
      <c r="AF787" s="104"/>
      <c r="AG787" s="104"/>
      <c r="AH787" s="104"/>
      <c r="AI787" s="104"/>
      <c r="AJ787" s="104"/>
      <c r="AK787" s="104"/>
      <c r="AL787" s="104"/>
      <c r="AM787" s="104"/>
      <c r="AN787" s="104"/>
      <c r="AO787" s="104"/>
      <c r="AP787" s="104"/>
      <c r="AQ787" s="104"/>
      <c r="AR787" s="104"/>
      <c r="AS787" s="104"/>
      <c r="AT787" s="104"/>
      <c r="AU787" s="104"/>
      <c r="AV787" s="104"/>
      <c r="AW787" s="104"/>
      <c r="AX787" s="104"/>
      <c r="AY787" s="104"/>
      <c r="AZ787" s="104"/>
      <c r="BA787" s="104"/>
      <c r="BB787" s="104"/>
      <c r="BC787" s="104"/>
      <c r="BD787" s="104"/>
      <c r="BE787" s="104"/>
      <c r="BF787" s="104"/>
      <c r="BG787" s="104"/>
      <c r="BH787" s="104"/>
      <c r="BI787" s="104"/>
      <c r="BJ787" s="104"/>
      <c r="BK787" s="104"/>
      <c r="BL787" s="104"/>
      <c r="BM787" s="104"/>
      <c r="BN787" s="104"/>
    </row>
    <row r="788">
      <c r="A788" s="104"/>
      <c r="B788" s="104"/>
      <c r="C788" s="104"/>
      <c r="D788" s="104"/>
      <c r="E788" s="104"/>
      <c r="F788" s="104"/>
      <c r="G788" s="104"/>
      <c r="H788" s="104"/>
      <c r="I788" s="104"/>
      <c r="J788" s="104"/>
      <c r="K788" s="105"/>
      <c r="L788" s="106"/>
      <c r="M788" s="104"/>
      <c r="N788" s="104"/>
      <c r="O788" s="104"/>
      <c r="P788" s="104"/>
      <c r="Q788" s="104"/>
      <c r="R788" s="106"/>
      <c r="S788" s="104"/>
      <c r="T788" s="104"/>
      <c r="U788" s="104"/>
      <c r="V788" s="104"/>
      <c r="W788" s="105"/>
      <c r="X788" s="104"/>
      <c r="Y788" s="104"/>
      <c r="Z788" s="104"/>
      <c r="AA788" s="104"/>
      <c r="AB788" s="104"/>
      <c r="AC788" s="104"/>
      <c r="AD788" s="104"/>
      <c r="AE788" s="104"/>
      <c r="AF788" s="104"/>
      <c r="AG788" s="104"/>
      <c r="AH788" s="104"/>
      <c r="AI788" s="104"/>
      <c r="AJ788" s="104"/>
      <c r="AK788" s="104"/>
      <c r="AL788" s="104"/>
      <c r="AM788" s="104"/>
      <c r="AN788" s="104"/>
      <c r="AO788" s="104"/>
      <c r="AP788" s="104"/>
      <c r="AQ788" s="104"/>
      <c r="AR788" s="104"/>
      <c r="AS788" s="104"/>
      <c r="AT788" s="104"/>
      <c r="AU788" s="104"/>
      <c r="AV788" s="104"/>
      <c r="AW788" s="104"/>
      <c r="AX788" s="104"/>
      <c r="AY788" s="104"/>
      <c r="AZ788" s="104"/>
      <c r="BA788" s="104"/>
      <c r="BB788" s="104"/>
      <c r="BC788" s="104"/>
      <c r="BD788" s="104"/>
      <c r="BE788" s="104"/>
      <c r="BF788" s="104"/>
      <c r="BG788" s="104"/>
      <c r="BH788" s="104"/>
      <c r="BI788" s="104"/>
      <c r="BJ788" s="104"/>
      <c r="BK788" s="104"/>
      <c r="BL788" s="104"/>
      <c r="BM788" s="104"/>
      <c r="BN788" s="104"/>
    </row>
    <row r="789">
      <c r="A789" s="104"/>
      <c r="B789" s="104"/>
      <c r="C789" s="104"/>
      <c r="D789" s="104"/>
      <c r="E789" s="104"/>
      <c r="F789" s="104"/>
      <c r="G789" s="104"/>
      <c r="H789" s="104"/>
      <c r="I789" s="104"/>
      <c r="J789" s="104"/>
      <c r="K789" s="105"/>
      <c r="L789" s="106"/>
      <c r="M789" s="104"/>
      <c r="N789" s="104"/>
      <c r="O789" s="104"/>
      <c r="P789" s="104"/>
      <c r="Q789" s="104"/>
      <c r="R789" s="106"/>
      <c r="S789" s="104"/>
      <c r="T789" s="104"/>
      <c r="U789" s="104"/>
      <c r="V789" s="104"/>
      <c r="W789" s="105"/>
      <c r="X789" s="104"/>
      <c r="Y789" s="104"/>
      <c r="Z789" s="104"/>
      <c r="AA789" s="104"/>
      <c r="AB789" s="104"/>
      <c r="AC789" s="104"/>
      <c r="AD789" s="104"/>
      <c r="AE789" s="104"/>
      <c r="AF789" s="104"/>
      <c r="AG789" s="104"/>
      <c r="AH789" s="104"/>
      <c r="AI789" s="104"/>
      <c r="AJ789" s="104"/>
      <c r="AK789" s="104"/>
      <c r="AL789" s="104"/>
      <c r="AM789" s="104"/>
      <c r="AN789" s="104"/>
      <c r="AO789" s="104"/>
      <c r="AP789" s="104"/>
      <c r="AQ789" s="104"/>
      <c r="AR789" s="104"/>
      <c r="AS789" s="104"/>
      <c r="AT789" s="104"/>
      <c r="AU789" s="104"/>
      <c r="AV789" s="104"/>
      <c r="AW789" s="104"/>
      <c r="AX789" s="104"/>
      <c r="AY789" s="104"/>
      <c r="AZ789" s="104"/>
      <c r="BA789" s="104"/>
      <c r="BB789" s="104"/>
      <c r="BC789" s="104"/>
      <c r="BD789" s="104"/>
      <c r="BE789" s="104"/>
      <c r="BF789" s="104"/>
      <c r="BG789" s="104"/>
      <c r="BH789" s="104"/>
      <c r="BI789" s="104"/>
      <c r="BJ789" s="104"/>
      <c r="BK789" s="104"/>
      <c r="BL789" s="104"/>
      <c r="BM789" s="104"/>
      <c r="BN789" s="104"/>
    </row>
    <row r="790">
      <c r="A790" s="104"/>
      <c r="B790" s="104"/>
      <c r="C790" s="104"/>
      <c r="D790" s="104"/>
      <c r="E790" s="104"/>
      <c r="F790" s="104"/>
      <c r="G790" s="104"/>
      <c r="H790" s="104"/>
      <c r="I790" s="104"/>
      <c r="J790" s="104"/>
      <c r="K790" s="105"/>
      <c r="L790" s="106"/>
      <c r="M790" s="104"/>
      <c r="N790" s="104"/>
      <c r="O790" s="104"/>
      <c r="P790" s="104"/>
      <c r="Q790" s="104"/>
      <c r="R790" s="106"/>
      <c r="S790" s="104"/>
      <c r="T790" s="104"/>
      <c r="U790" s="104"/>
      <c r="V790" s="104"/>
      <c r="W790" s="105"/>
      <c r="X790" s="104"/>
      <c r="Y790" s="104"/>
      <c r="Z790" s="104"/>
      <c r="AA790" s="104"/>
      <c r="AB790" s="104"/>
      <c r="AC790" s="104"/>
      <c r="AD790" s="104"/>
      <c r="AE790" s="104"/>
      <c r="AF790" s="104"/>
      <c r="AG790" s="104"/>
      <c r="AH790" s="104"/>
      <c r="AI790" s="104"/>
      <c r="AJ790" s="104"/>
      <c r="AK790" s="104"/>
      <c r="AL790" s="104"/>
      <c r="AM790" s="104"/>
      <c r="AN790" s="104"/>
      <c r="AO790" s="104"/>
      <c r="AP790" s="104"/>
      <c r="AQ790" s="104"/>
      <c r="AR790" s="104"/>
      <c r="AS790" s="104"/>
      <c r="AT790" s="104"/>
      <c r="AU790" s="104"/>
      <c r="AV790" s="104"/>
      <c r="AW790" s="104"/>
      <c r="AX790" s="104"/>
      <c r="AY790" s="104"/>
      <c r="AZ790" s="104"/>
      <c r="BA790" s="104"/>
      <c r="BB790" s="104"/>
      <c r="BC790" s="104"/>
      <c r="BD790" s="104"/>
      <c r="BE790" s="104"/>
      <c r="BF790" s="104"/>
      <c r="BG790" s="104"/>
      <c r="BH790" s="104"/>
      <c r="BI790" s="104"/>
      <c r="BJ790" s="104"/>
      <c r="BK790" s="104"/>
      <c r="BL790" s="104"/>
      <c r="BM790" s="104"/>
      <c r="BN790" s="104"/>
    </row>
    <row r="791">
      <c r="A791" s="104"/>
      <c r="B791" s="104"/>
      <c r="C791" s="104"/>
      <c r="D791" s="104"/>
      <c r="E791" s="104"/>
      <c r="F791" s="104"/>
      <c r="G791" s="104"/>
      <c r="H791" s="104"/>
      <c r="I791" s="104"/>
      <c r="J791" s="104"/>
      <c r="K791" s="105"/>
      <c r="L791" s="106"/>
      <c r="M791" s="104"/>
      <c r="N791" s="104"/>
      <c r="O791" s="104"/>
      <c r="P791" s="104"/>
      <c r="Q791" s="104"/>
      <c r="R791" s="106"/>
      <c r="S791" s="104"/>
      <c r="T791" s="104"/>
      <c r="U791" s="104"/>
      <c r="V791" s="104"/>
      <c r="W791" s="105"/>
      <c r="X791" s="104"/>
      <c r="Y791" s="104"/>
      <c r="Z791" s="104"/>
      <c r="AA791" s="104"/>
      <c r="AB791" s="104"/>
      <c r="AC791" s="104"/>
      <c r="AD791" s="104"/>
      <c r="AE791" s="104"/>
      <c r="AF791" s="104"/>
      <c r="AG791" s="104"/>
      <c r="AH791" s="104"/>
      <c r="AI791" s="104"/>
      <c r="AJ791" s="104"/>
      <c r="AK791" s="104"/>
      <c r="AL791" s="104"/>
      <c r="AM791" s="104"/>
      <c r="AN791" s="104"/>
      <c r="AO791" s="104"/>
      <c r="AP791" s="104"/>
      <c r="AQ791" s="104"/>
      <c r="AR791" s="104"/>
      <c r="AS791" s="104"/>
      <c r="AT791" s="104"/>
      <c r="AU791" s="104"/>
      <c r="AV791" s="104"/>
      <c r="AW791" s="104"/>
      <c r="AX791" s="104"/>
      <c r="AY791" s="104"/>
      <c r="AZ791" s="104"/>
      <c r="BA791" s="104"/>
      <c r="BB791" s="104"/>
      <c r="BC791" s="104"/>
      <c r="BD791" s="104"/>
      <c r="BE791" s="104"/>
      <c r="BF791" s="104"/>
      <c r="BG791" s="104"/>
      <c r="BH791" s="104"/>
      <c r="BI791" s="104"/>
      <c r="BJ791" s="104"/>
      <c r="BK791" s="104"/>
      <c r="BL791" s="104"/>
      <c r="BM791" s="104"/>
      <c r="BN791" s="104"/>
    </row>
    <row r="792">
      <c r="A792" s="104"/>
      <c r="B792" s="104"/>
      <c r="C792" s="104"/>
      <c r="D792" s="104"/>
      <c r="E792" s="104"/>
      <c r="F792" s="104"/>
      <c r="G792" s="104"/>
      <c r="H792" s="104"/>
      <c r="I792" s="104"/>
      <c r="J792" s="104"/>
      <c r="K792" s="105"/>
      <c r="L792" s="106"/>
      <c r="M792" s="104"/>
      <c r="N792" s="104"/>
      <c r="O792" s="104"/>
      <c r="P792" s="104"/>
      <c r="Q792" s="104"/>
      <c r="R792" s="106"/>
      <c r="S792" s="104"/>
      <c r="T792" s="104"/>
      <c r="U792" s="104"/>
      <c r="V792" s="104"/>
      <c r="W792" s="105"/>
      <c r="X792" s="104"/>
      <c r="Y792" s="104"/>
      <c r="Z792" s="104"/>
      <c r="AA792" s="104"/>
      <c r="AB792" s="104"/>
      <c r="AC792" s="104"/>
      <c r="AD792" s="104"/>
      <c r="AE792" s="104"/>
      <c r="AF792" s="104"/>
      <c r="AG792" s="104"/>
      <c r="AH792" s="104"/>
      <c r="AI792" s="104"/>
      <c r="AJ792" s="104"/>
      <c r="AK792" s="104"/>
      <c r="AL792" s="104"/>
      <c r="AM792" s="104"/>
      <c r="AN792" s="104"/>
      <c r="AO792" s="104"/>
      <c r="AP792" s="104"/>
      <c r="AQ792" s="104"/>
      <c r="AR792" s="104"/>
      <c r="AS792" s="104"/>
      <c r="AT792" s="104"/>
      <c r="AU792" s="104"/>
      <c r="AV792" s="104"/>
      <c r="AW792" s="104"/>
      <c r="AX792" s="104"/>
      <c r="AY792" s="104"/>
      <c r="AZ792" s="104"/>
      <c r="BA792" s="104"/>
      <c r="BB792" s="104"/>
      <c r="BC792" s="104"/>
      <c r="BD792" s="104"/>
      <c r="BE792" s="104"/>
      <c r="BF792" s="104"/>
      <c r="BG792" s="104"/>
      <c r="BH792" s="104"/>
      <c r="BI792" s="104"/>
      <c r="BJ792" s="104"/>
      <c r="BK792" s="104"/>
      <c r="BL792" s="104"/>
      <c r="BM792" s="104"/>
      <c r="BN792" s="104"/>
    </row>
    <row r="793">
      <c r="A793" s="104"/>
      <c r="B793" s="104"/>
      <c r="C793" s="104"/>
      <c r="D793" s="104"/>
      <c r="E793" s="104"/>
      <c r="F793" s="104"/>
      <c r="G793" s="104"/>
      <c r="H793" s="104"/>
      <c r="I793" s="104"/>
      <c r="J793" s="104"/>
      <c r="K793" s="105"/>
      <c r="L793" s="106"/>
      <c r="M793" s="104"/>
      <c r="N793" s="104"/>
      <c r="O793" s="104"/>
      <c r="P793" s="104"/>
      <c r="Q793" s="104"/>
      <c r="R793" s="106"/>
      <c r="S793" s="104"/>
      <c r="T793" s="104"/>
      <c r="U793" s="104"/>
      <c r="V793" s="104"/>
      <c r="W793" s="105"/>
      <c r="X793" s="104"/>
      <c r="Y793" s="104"/>
      <c r="Z793" s="104"/>
      <c r="AA793" s="104"/>
      <c r="AB793" s="104"/>
      <c r="AC793" s="104"/>
      <c r="AD793" s="104"/>
      <c r="AE793" s="104"/>
      <c r="AF793" s="104"/>
      <c r="AG793" s="104"/>
      <c r="AH793" s="104"/>
      <c r="AI793" s="104"/>
      <c r="AJ793" s="104"/>
      <c r="AK793" s="104"/>
      <c r="AL793" s="104"/>
      <c r="AM793" s="104"/>
      <c r="AN793" s="104"/>
      <c r="AO793" s="104"/>
      <c r="AP793" s="104"/>
      <c r="AQ793" s="104"/>
      <c r="AR793" s="104"/>
      <c r="AS793" s="104"/>
      <c r="AT793" s="104"/>
      <c r="AU793" s="104"/>
      <c r="AV793" s="104"/>
      <c r="AW793" s="104"/>
      <c r="AX793" s="104"/>
      <c r="AY793" s="104"/>
      <c r="AZ793" s="104"/>
      <c r="BA793" s="104"/>
      <c r="BB793" s="104"/>
      <c r="BC793" s="104"/>
      <c r="BD793" s="104"/>
      <c r="BE793" s="104"/>
      <c r="BF793" s="104"/>
      <c r="BG793" s="104"/>
      <c r="BH793" s="104"/>
      <c r="BI793" s="104"/>
      <c r="BJ793" s="104"/>
      <c r="BK793" s="104"/>
      <c r="BL793" s="104"/>
      <c r="BM793" s="104"/>
      <c r="BN793" s="104"/>
    </row>
    <row r="794">
      <c r="A794" s="104"/>
      <c r="B794" s="104"/>
      <c r="C794" s="104"/>
      <c r="D794" s="104"/>
      <c r="E794" s="104"/>
      <c r="F794" s="104"/>
      <c r="G794" s="104"/>
      <c r="H794" s="104"/>
      <c r="I794" s="104"/>
      <c r="J794" s="104"/>
      <c r="K794" s="105"/>
      <c r="L794" s="106"/>
      <c r="M794" s="104"/>
      <c r="N794" s="104"/>
      <c r="O794" s="104"/>
      <c r="P794" s="104"/>
      <c r="Q794" s="104"/>
      <c r="R794" s="106"/>
      <c r="S794" s="104"/>
      <c r="T794" s="104"/>
      <c r="U794" s="104"/>
      <c r="V794" s="104"/>
      <c r="W794" s="105"/>
      <c r="X794" s="104"/>
      <c r="Y794" s="104"/>
      <c r="Z794" s="104"/>
      <c r="AA794" s="104"/>
      <c r="AB794" s="104"/>
      <c r="AC794" s="104"/>
      <c r="AD794" s="104"/>
      <c r="AE794" s="104"/>
      <c r="AF794" s="104"/>
      <c r="AG794" s="104"/>
      <c r="AH794" s="104"/>
      <c r="AI794" s="104"/>
      <c r="AJ794" s="104"/>
      <c r="AK794" s="104"/>
      <c r="AL794" s="104"/>
      <c r="AM794" s="104"/>
      <c r="AN794" s="104"/>
      <c r="AO794" s="104"/>
      <c r="AP794" s="104"/>
      <c r="AQ794" s="104"/>
      <c r="AR794" s="104"/>
      <c r="AS794" s="104"/>
      <c r="AT794" s="104"/>
      <c r="AU794" s="104"/>
      <c r="AV794" s="104"/>
      <c r="AW794" s="104"/>
      <c r="AX794" s="104"/>
      <c r="AY794" s="104"/>
      <c r="AZ794" s="104"/>
      <c r="BA794" s="104"/>
      <c r="BB794" s="104"/>
      <c r="BC794" s="104"/>
      <c r="BD794" s="104"/>
      <c r="BE794" s="104"/>
      <c r="BF794" s="104"/>
      <c r="BG794" s="104"/>
      <c r="BH794" s="104"/>
      <c r="BI794" s="104"/>
      <c r="BJ794" s="104"/>
      <c r="BK794" s="104"/>
      <c r="BL794" s="104"/>
      <c r="BM794" s="104"/>
      <c r="BN794" s="104"/>
    </row>
    <row r="795">
      <c r="A795" s="104"/>
      <c r="B795" s="104"/>
      <c r="C795" s="104"/>
      <c r="D795" s="104"/>
      <c r="E795" s="104"/>
      <c r="F795" s="104"/>
      <c r="G795" s="104"/>
      <c r="H795" s="104"/>
      <c r="I795" s="104"/>
      <c r="J795" s="104"/>
      <c r="K795" s="105"/>
      <c r="L795" s="106"/>
      <c r="M795" s="104"/>
      <c r="N795" s="104"/>
      <c r="O795" s="104"/>
      <c r="P795" s="104"/>
      <c r="Q795" s="104"/>
      <c r="R795" s="106"/>
      <c r="S795" s="104"/>
      <c r="T795" s="104"/>
      <c r="U795" s="104"/>
      <c r="V795" s="104"/>
      <c r="W795" s="105"/>
      <c r="X795" s="104"/>
      <c r="Y795" s="104"/>
      <c r="Z795" s="104"/>
      <c r="AA795" s="104"/>
      <c r="AB795" s="104"/>
      <c r="AC795" s="104"/>
      <c r="AD795" s="104"/>
      <c r="AE795" s="104"/>
      <c r="AF795" s="104"/>
      <c r="AG795" s="104"/>
      <c r="AH795" s="104"/>
      <c r="AI795" s="104"/>
      <c r="AJ795" s="104"/>
      <c r="AK795" s="104"/>
      <c r="AL795" s="104"/>
      <c r="AM795" s="104"/>
      <c r="AN795" s="104"/>
      <c r="AO795" s="104"/>
      <c r="AP795" s="104"/>
      <c r="AQ795" s="104"/>
      <c r="AR795" s="104"/>
      <c r="AS795" s="104"/>
      <c r="AT795" s="104"/>
      <c r="AU795" s="104"/>
      <c r="AV795" s="104"/>
      <c r="AW795" s="104"/>
      <c r="AX795" s="104"/>
      <c r="AY795" s="104"/>
      <c r="AZ795" s="104"/>
      <c r="BA795" s="104"/>
      <c r="BB795" s="104"/>
      <c r="BC795" s="104"/>
      <c r="BD795" s="104"/>
      <c r="BE795" s="104"/>
      <c r="BF795" s="104"/>
      <c r="BG795" s="104"/>
      <c r="BH795" s="104"/>
      <c r="BI795" s="104"/>
      <c r="BJ795" s="104"/>
      <c r="BK795" s="104"/>
      <c r="BL795" s="104"/>
      <c r="BM795" s="104"/>
      <c r="BN795" s="104"/>
    </row>
    <row r="796">
      <c r="A796" s="104"/>
      <c r="B796" s="104"/>
      <c r="C796" s="104"/>
      <c r="D796" s="104"/>
      <c r="E796" s="104"/>
      <c r="F796" s="104"/>
      <c r="G796" s="104"/>
      <c r="H796" s="104"/>
      <c r="I796" s="104"/>
      <c r="J796" s="104"/>
      <c r="K796" s="105"/>
      <c r="L796" s="106"/>
      <c r="M796" s="104"/>
      <c r="N796" s="104"/>
      <c r="O796" s="104"/>
      <c r="P796" s="104"/>
      <c r="Q796" s="104"/>
      <c r="R796" s="106"/>
      <c r="S796" s="104"/>
      <c r="T796" s="104"/>
      <c r="U796" s="104"/>
      <c r="V796" s="104"/>
      <c r="W796" s="105"/>
      <c r="X796" s="104"/>
      <c r="Y796" s="104"/>
      <c r="Z796" s="104"/>
      <c r="AA796" s="104"/>
      <c r="AB796" s="104"/>
      <c r="AC796" s="104"/>
      <c r="AD796" s="104"/>
      <c r="AE796" s="104"/>
      <c r="AF796" s="104"/>
      <c r="AG796" s="104"/>
      <c r="AH796" s="104"/>
      <c r="AI796" s="104"/>
      <c r="AJ796" s="104"/>
      <c r="AK796" s="104"/>
      <c r="AL796" s="104"/>
      <c r="AM796" s="104"/>
      <c r="AN796" s="104"/>
      <c r="AO796" s="104"/>
      <c r="AP796" s="104"/>
      <c r="AQ796" s="104"/>
      <c r="AR796" s="104"/>
      <c r="AS796" s="104"/>
      <c r="AT796" s="104"/>
      <c r="AU796" s="104"/>
      <c r="AV796" s="104"/>
      <c r="AW796" s="104"/>
      <c r="AX796" s="104"/>
      <c r="AY796" s="104"/>
      <c r="AZ796" s="104"/>
      <c r="BA796" s="104"/>
      <c r="BB796" s="104"/>
      <c r="BC796" s="104"/>
      <c r="BD796" s="104"/>
      <c r="BE796" s="104"/>
      <c r="BF796" s="104"/>
      <c r="BG796" s="104"/>
      <c r="BH796" s="104"/>
      <c r="BI796" s="104"/>
      <c r="BJ796" s="104"/>
      <c r="BK796" s="104"/>
      <c r="BL796" s="104"/>
      <c r="BM796" s="104"/>
      <c r="BN796" s="104"/>
    </row>
    <row r="797">
      <c r="A797" s="104"/>
      <c r="B797" s="104"/>
      <c r="C797" s="104"/>
      <c r="D797" s="104"/>
      <c r="E797" s="104"/>
      <c r="F797" s="104"/>
      <c r="G797" s="104"/>
      <c r="H797" s="104"/>
      <c r="I797" s="104"/>
      <c r="J797" s="104"/>
      <c r="K797" s="105"/>
      <c r="L797" s="106"/>
      <c r="M797" s="104"/>
      <c r="N797" s="104"/>
      <c r="O797" s="104"/>
      <c r="P797" s="104"/>
      <c r="Q797" s="104"/>
      <c r="R797" s="106"/>
      <c r="S797" s="104"/>
      <c r="T797" s="104"/>
      <c r="U797" s="104"/>
      <c r="V797" s="104"/>
      <c r="W797" s="105"/>
      <c r="X797" s="104"/>
      <c r="Y797" s="104"/>
      <c r="Z797" s="104"/>
      <c r="AA797" s="104"/>
      <c r="AB797" s="104"/>
      <c r="AC797" s="104"/>
      <c r="AD797" s="104"/>
      <c r="AE797" s="104"/>
      <c r="AF797" s="104"/>
      <c r="AG797" s="104"/>
      <c r="AH797" s="104"/>
      <c r="AI797" s="104"/>
      <c r="AJ797" s="104"/>
      <c r="AK797" s="104"/>
      <c r="AL797" s="104"/>
      <c r="AM797" s="104"/>
      <c r="AN797" s="104"/>
      <c r="AO797" s="104"/>
      <c r="AP797" s="104"/>
      <c r="AQ797" s="104"/>
      <c r="AR797" s="104"/>
      <c r="AS797" s="104"/>
      <c r="AT797" s="104"/>
      <c r="AU797" s="104"/>
      <c r="AV797" s="104"/>
      <c r="AW797" s="104"/>
      <c r="AX797" s="104"/>
      <c r="AY797" s="104"/>
      <c r="AZ797" s="104"/>
      <c r="BA797" s="104"/>
      <c r="BB797" s="104"/>
      <c r="BC797" s="104"/>
      <c r="BD797" s="104"/>
      <c r="BE797" s="104"/>
      <c r="BF797" s="104"/>
      <c r="BG797" s="104"/>
      <c r="BH797" s="104"/>
      <c r="BI797" s="104"/>
      <c r="BJ797" s="104"/>
      <c r="BK797" s="104"/>
      <c r="BL797" s="104"/>
      <c r="BM797" s="104"/>
      <c r="BN797" s="104"/>
    </row>
    <row r="798">
      <c r="A798" s="104"/>
      <c r="B798" s="104"/>
      <c r="C798" s="104"/>
      <c r="D798" s="104"/>
      <c r="E798" s="104"/>
      <c r="F798" s="104"/>
      <c r="G798" s="104"/>
      <c r="H798" s="104"/>
      <c r="I798" s="104"/>
      <c r="J798" s="104"/>
      <c r="K798" s="105"/>
      <c r="L798" s="106"/>
      <c r="M798" s="104"/>
      <c r="N798" s="104"/>
      <c r="O798" s="104"/>
      <c r="P798" s="104"/>
      <c r="Q798" s="104"/>
      <c r="R798" s="106"/>
      <c r="S798" s="104"/>
      <c r="T798" s="104"/>
      <c r="U798" s="104"/>
      <c r="V798" s="104"/>
      <c r="W798" s="105"/>
      <c r="X798" s="104"/>
      <c r="Y798" s="104"/>
      <c r="Z798" s="104"/>
      <c r="AA798" s="104"/>
      <c r="AB798" s="104"/>
      <c r="AC798" s="104"/>
      <c r="AD798" s="104"/>
      <c r="AE798" s="104"/>
      <c r="AF798" s="104"/>
      <c r="AG798" s="104"/>
      <c r="AH798" s="104"/>
      <c r="AI798" s="104"/>
      <c r="AJ798" s="104"/>
      <c r="AK798" s="104"/>
      <c r="AL798" s="104"/>
      <c r="AM798" s="104"/>
      <c r="AN798" s="104"/>
      <c r="AO798" s="104"/>
      <c r="AP798" s="104"/>
      <c r="AQ798" s="104"/>
      <c r="AR798" s="104"/>
      <c r="AS798" s="104"/>
      <c r="AT798" s="104"/>
      <c r="AU798" s="104"/>
      <c r="AV798" s="104"/>
      <c r="AW798" s="104"/>
      <c r="AX798" s="104"/>
      <c r="AY798" s="104"/>
      <c r="AZ798" s="104"/>
      <c r="BA798" s="104"/>
      <c r="BB798" s="104"/>
      <c r="BC798" s="104"/>
      <c r="BD798" s="104"/>
      <c r="BE798" s="104"/>
      <c r="BF798" s="104"/>
      <c r="BG798" s="104"/>
      <c r="BH798" s="104"/>
      <c r="BI798" s="104"/>
      <c r="BJ798" s="104"/>
      <c r="BK798" s="104"/>
      <c r="BL798" s="104"/>
      <c r="BM798" s="104"/>
      <c r="BN798" s="104"/>
    </row>
    <row r="799">
      <c r="A799" s="104"/>
      <c r="B799" s="104"/>
      <c r="C799" s="104"/>
      <c r="D799" s="104"/>
      <c r="E799" s="104"/>
      <c r="F799" s="104"/>
      <c r="G799" s="104"/>
      <c r="H799" s="104"/>
      <c r="I799" s="104"/>
      <c r="J799" s="104"/>
      <c r="K799" s="105"/>
      <c r="L799" s="106"/>
      <c r="M799" s="104"/>
      <c r="N799" s="104"/>
      <c r="O799" s="104"/>
      <c r="P799" s="104"/>
      <c r="Q799" s="104"/>
      <c r="R799" s="106"/>
      <c r="S799" s="104"/>
      <c r="T799" s="104"/>
      <c r="U799" s="104"/>
      <c r="V799" s="104"/>
      <c r="W799" s="105"/>
      <c r="X799" s="104"/>
      <c r="Y799" s="104"/>
      <c r="Z799" s="104"/>
      <c r="AA799" s="104"/>
      <c r="AB799" s="104"/>
      <c r="AC799" s="104"/>
      <c r="AD799" s="104"/>
      <c r="AE799" s="104"/>
      <c r="AF799" s="104"/>
      <c r="AG799" s="104"/>
      <c r="AH799" s="104"/>
      <c r="AI799" s="104"/>
      <c r="AJ799" s="104"/>
      <c r="AK799" s="104"/>
      <c r="AL799" s="104"/>
      <c r="AM799" s="104"/>
      <c r="AN799" s="104"/>
      <c r="AO799" s="104"/>
      <c r="AP799" s="104"/>
      <c r="AQ799" s="104"/>
      <c r="AR799" s="104"/>
      <c r="AS799" s="104"/>
      <c r="AT799" s="104"/>
      <c r="AU799" s="104"/>
      <c r="AV799" s="104"/>
      <c r="AW799" s="104"/>
      <c r="AX799" s="104"/>
      <c r="AY799" s="104"/>
      <c r="AZ799" s="104"/>
      <c r="BA799" s="104"/>
      <c r="BB799" s="104"/>
      <c r="BC799" s="104"/>
      <c r="BD799" s="104"/>
      <c r="BE799" s="104"/>
      <c r="BF799" s="104"/>
      <c r="BG799" s="104"/>
      <c r="BH799" s="104"/>
      <c r="BI799" s="104"/>
      <c r="BJ799" s="104"/>
      <c r="BK799" s="104"/>
      <c r="BL799" s="104"/>
      <c r="BM799" s="104"/>
      <c r="BN799" s="104"/>
    </row>
    <row r="800">
      <c r="A800" s="104"/>
      <c r="B800" s="104"/>
      <c r="C800" s="104"/>
      <c r="D800" s="104"/>
      <c r="E800" s="104"/>
      <c r="F800" s="104"/>
      <c r="G800" s="104"/>
      <c r="H800" s="104"/>
      <c r="I800" s="104"/>
      <c r="J800" s="104"/>
      <c r="K800" s="105"/>
      <c r="L800" s="106"/>
      <c r="M800" s="104"/>
      <c r="N800" s="104"/>
      <c r="O800" s="104"/>
      <c r="P800" s="104"/>
      <c r="Q800" s="104"/>
      <c r="R800" s="106"/>
      <c r="S800" s="104"/>
      <c r="T800" s="104"/>
      <c r="U800" s="104"/>
      <c r="V800" s="104"/>
      <c r="W800" s="105"/>
      <c r="X800" s="104"/>
      <c r="Y800" s="104"/>
      <c r="Z800" s="104"/>
      <c r="AA800" s="104"/>
      <c r="AB800" s="104"/>
      <c r="AC800" s="104"/>
      <c r="AD800" s="104"/>
      <c r="AE800" s="104"/>
      <c r="AF800" s="104"/>
      <c r="AG800" s="104"/>
      <c r="AH800" s="104"/>
      <c r="AI800" s="104"/>
      <c r="AJ800" s="104"/>
      <c r="AK800" s="104"/>
      <c r="AL800" s="104"/>
      <c r="AM800" s="104"/>
      <c r="AN800" s="104"/>
      <c r="AO800" s="104"/>
      <c r="AP800" s="104"/>
      <c r="AQ800" s="104"/>
      <c r="AR800" s="104"/>
      <c r="AS800" s="104"/>
      <c r="AT800" s="104"/>
      <c r="AU800" s="104"/>
      <c r="AV800" s="104"/>
      <c r="AW800" s="104"/>
      <c r="AX800" s="104"/>
      <c r="AY800" s="104"/>
      <c r="AZ800" s="104"/>
      <c r="BA800" s="104"/>
      <c r="BB800" s="104"/>
      <c r="BC800" s="104"/>
      <c r="BD800" s="104"/>
      <c r="BE800" s="104"/>
      <c r="BF800" s="104"/>
      <c r="BG800" s="104"/>
      <c r="BH800" s="104"/>
      <c r="BI800" s="104"/>
      <c r="BJ800" s="104"/>
      <c r="BK800" s="104"/>
      <c r="BL800" s="104"/>
      <c r="BM800" s="104"/>
      <c r="BN800" s="104"/>
    </row>
    <row r="801">
      <c r="A801" s="104"/>
      <c r="B801" s="104"/>
      <c r="C801" s="104"/>
      <c r="D801" s="104"/>
      <c r="E801" s="104"/>
      <c r="F801" s="104"/>
      <c r="G801" s="104"/>
      <c r="H801" s="104"/>
      <c r="I801" s="104"/>
      <c r="J801" s="104"/>
      <c r="K801" s="105"/>
      <c r="L801" s="106"/>
      <c r="M801" s="104"/>
      <c r="N801" s="104"/>
      <c r="O801" s="104"/>
      <c r="P801" s="104"/>
      <c r="Q801" s="104"/>
      <c r="R801" s="106"/>
      <c r="S801" s="104"/>
      <c r="T801" s="104"/>
      <c r="U801" s="104"/>
      <c r="V801" s="104"/>
      <c r="W801" s="105"/>
      <c r="X801" s="104"/>
      <c r="Y801" s="104"/>
      <c r="Z801" s="104"/>
      <c r="AA801" s="104"/>
      <c r="AB801" s="104"/>
      <c r="AC801" s="104"/>
      <c r="AD801" s="104"/>
      <c r="AE801" s="104"/>
      <c r="AF801" s="104"/>
      <c r="AG801" s="104"/>
      <c r="AH801" s="104"/>
      <c r="AI801" s="104"/>
      <c r="AJ801" s="104"/>
      <c r="AK801" s="104"/>
      <c r="AL801" s="104"/>
      <c r="AM801" s="104"/>
      <c r="AN801" s="104"/>
      <c r="AO801" s="104"/>
      <c r="AP801" s="104"/>
      <c r="AQ801" s="104"/>
      <c r="AR801" s="104"/>
      <c r="AS801" s="104"/>
      <c r="AT801" s="104"/>
      <c r="AU801" s="104"/>
      <c r="AV801" s="104"/>
      <c r="AW801" s="104"/>
      <c r="AX801" s="104"/>
      <c r="AY801" s="104"/>
      <c r="AZ801" s="104"/>
      <c r="BA801" s="104"/>
      <c r="BB801" s="104"/>
      <c r="BC801" s="104"/>
      <c r="BD801" s="104"/>
      <c r="BE801" s="104"/>
      <c r="BF801" s="104"/>
      <c r="BG801" s="104"/>
      <c r="BH801" s="104"/>
      <c r="BI801" s="104"/>
      <c r="BJ801" s="104"/>
      <c r="BK801" s="104"/>
      <c r="BL801" s="104"/>
      <c r="BM801" s="104"/>
      <c r="BN801" s="104"/>
    </row>
    <row r="802">
      <c r="A802" s="104"/>
      <c r="B802" s="104"/>
      <c r="C802" s="104"/>
      <c r="D802" s="104"/>
      <c r="E802" s="104"/>
      <c r="F802" s="104"/>
      <c r="G802" s="104"/>
      <c r="H802" s="104"/>
      <c r="I802" s="104"/>
      <c r="J802" s="104"/>
      <c r="K802" s="105"/>
      <c r="L802" s="106"/>
      <c r="M802" s="104"/>
      <c r="N802" s="104"/>
      <c r="O802" s="104"/>
      <c r="P802" s="104"/>
      <c r="Q802" s="104"/>
      <c r="R802" s="106"/>
      <c r="S802" s="104"/>
      <c r="T802" s="104"/>
      <c r="U802" s="104"/>
      <c r="V802" s="104"/>
      <c r="W802" s="105"/>
      <c r="X802" s="104"/>
      <c r="Y802" s="104"/>
      <c r="Z802" s="104"/>
      <c r="AA802" s="104"/>
      <c r="AB802" s="104"/>
      <c r="AC802" s="104"/>
      <c r="AD802" s="104"/>
      <c r="AE802" s="104"/>
      <c r="AF802" s="104"/>
      <c r="AG802" s="104"/>
      <c r="AH802" s="104"/>
      <c r="AI802" s="104"/>
      <c r="AJ802" s="104"/>
      <c r="AK802" s="104"/>
      <c r="AL802" s="104"/>
      <c r="AM802" s="104"/>
      <c r="AN802" s="104"/>
      <c r="AO802" s="104"/>
      <c r="AP802" s="104"/>
      <c r="AQ802" s="104"/>
      <c r="AR802" s="104"/>
      <c r="AS802" s="104"/>
      <c r="AT802" s="104"/>
      <c r="AU802" s="104"/>
      <c r="AV802" s="104"/>
      <c r="AW802" s="104"/>
      <c r="AX802" s="104"/>
      <c r="AY802" s="104"/>
      <c r="AZ802" s="104"/>
      <c r="BA802" s="104"/>
      <c r="BB802" s="104"/>
      <c r="BC802" s="104"/>
      <c r="BD802" s="104"/>
      <c r="BE802" s="104"/>
      <c r="BF802" s="104"/>
      <c r="BG802" s="104"/>
      <c r="BH802" s="104"/>
      <c r="BI802" s="104"/>
      <c r="BJ802" s="104"/>
      <c r="BK802" s="104"/>
      <c r="BL802" s="104"/>
      <c r="BM802" s="104"/>
      <c r="BN802" s="104"/>
    </row>
    <row r="803">
      <c r="A803" s="104"/>
      <c r="B803" s="104"/>
      <c r="C803" s="104"/>
      <c r="D803" s="104"/>
      <c r="E803" s="104"/>
      <c r="F803" s="104"/>
      <c r="G803" s="104"/>
      <c r="H803" s="104"/>
      <c r="I803" s="104"/>
      <c r="J803" s="104"/>
      <c r="K803" s="105"/>
      <c r="L803" s="106"/>
      <c r="M803" s="104"/>
      <c r="N803" s="104"/>
      <c r="O803" s="104"/>
      <c r="P803" s="104"/>
      <c r="Q803" s="104"/>
      <c r="R803" s="106"/>
      <c r="S803" s="104"/>
      <c r="T803" s="104"/>
      <c r="U803" s="104"/>
      <c r="V803" s="104"/>
      <c r="W803" s="105"/>
      <c r="X803" s="104"/>
      <c r="Y803" s="104"/>
      <c r="Z803" s="104"/>
      <c r="AA803" s="104"/>
      <c r="AB803" s="104"/>
      <c r="AC803" s="104"/>
      <c r="AD803" s="104"/>
      <c r="AE803" s="104"/>
      <c r="AF803" s="104"/>
      <c r="AG803" s="104"/>
      <c r="AH803" s="104"/>
      <c r="AI803" s="104"/>
      <c r="AJ803" s="104"/>
      <c r="AK803" s="104"/>
      <c r="AL803" s="104"/>
      <c r="AM803" s="104"/>
      <c r="AN803" s="104"/>
      <c r="AO803" s="104"/>
      <c r="AP803" s="104"/>
      <c r="AQ803" s="104"/>
      <c r="AR803" s="104"/>
      <c r="AS803" s="104"/>
      <c r="AT803" s="104"/>
      <c r="AU803" s="104"/>
      <c r="AV803" s="104"/>
      <c r="AW803" s="104"/>
      <c r="AX803" s="104"/>
      <c r="AY803" s="104"/>
      <c r="AZ803" s="104"/>
      <c r="BA803" s="104"/>
      <c r="BB803" s="104"/>
      <c r="BC803" s="104"/>
      <c r="BD803" s="104"/>
      <c r="BE803" s="104"/>
      <c r="BF803" s="104"/>
      <c r="BG803" s="104"/>
      <c r="BH803" s="104"/>
      <c r="BI803" s="104"/>
      <c r="BJ803" s="104"/>
      <c r="BK803" s="104"/>
      <c r="BL803" s="104"/>
      <c r="BM803" s="104"/>
      <c r="BN803" s="104"/>
    </row>
    <row r="804">
      <c r="A804" s="104"/>
      <c r="B804" s="104"/>
      <c r="C804" s="104"/>
      <c r="D804" s="104"/>
      <c r="E804" s="104"/>
      <c r="F804" s="104"/>
      <c r="G804" s="104"/>
      <c r="H804" s="104"/>
      <c r="I804" s="104"/>
      <c r="J804" s="104"/>
      <c r="K804" s="105"/>
      <c r="L804" s="106"/>
      <c r="M804" s="104"/>
      <c r="N804" s="104"/>
      <c r="O804" s="104"/>
      <c r="P804" s="104"/>
      <c r="Q804" s="104"/>
      <c r="R804" s="106"/>
      <c r="S804" s="104"/>
      <c r="T804" s="104"/>
      <c r="U804" s="104"/>
      <c r="V804" s="104"/>
      <c r="W804" s="105"/>
      <c r="X804" s="104"/>
      <c r="Y804" s="104"/>
      <c r="Z804" s="104"/>
      <c r="AA804" s="104"/>
      <c r="AB804" s="104"/>
      <c r="AC804" s="104"/>
      <c r="AD804" s="104"/>
      <c r="AE804" s="104"/>
      <c r="AF804" s="104"/>
      <c r="AG804" s="104"/>
      <c r="AH804" s="104"/>
      <c r="AI804" s="104"/>
      <c r="AJ804" s="104"/>
      <c r="AK804" s="104"/>
      <c r="AL804" s="104"/>
      <c r="AM804" s="104"/>
      <c r="AN804" s="104"/>
      <c r="AO804" s="104"/>
      <c r="AP804" s="104"/>
      <c r="AQ804" s="104"/>
      <c r="AR804" s="104"/>
      <c r="AS804" s="104"/>
      <c r="AT804" s="104"/>
      <c r="AU804" s="104"/>
      <c r="AV804" s="104"/>
      <c r="AW804" s="104"/>
      <c r="AX804" s="104"/>
      <c r="AY804" s="104"/>
      <c r="AZ804" s="104"/>
      <c r="BA804" s="104"/>
      <c r="BB804" s="104"/>
      <c r="BC804" s="104"/>
      <c r="BD804" s="104"/>
      <c r="BE804" s="104"/>
      <c r="BF804" s="104"/>
      <c r="BG804" s="104"/>
      <c r="BH804" s="104"/>
      <c r="BI804" s="104"/>
      <c r="BJ804" s="104"/>
      <c r="BK804" s="104"/>
      <c r="BL804" s="104"/>
      <c r="BM804" s="104"/>
      <c r="BN804" s="104"/>
    </row>
    <row r="805">
      <c r="A805" s="104"/>
      <c r="B805" s="104"/>
      <c r="C805" s="104"/>
      <c r="D805" s="104"/>
      <c r="E805" s="104"/>
      <c r="F805" s="104"/>
      <c r="G805" s="104"/>
      <c r="H805" s="104"/>
      <c r="I805" s="104"/>
      <c r="J805" s="104"/>
      <c r="K805" s="105"/>
      <c r="L805" s="106"/>
      <c r="M805" s="104"/>
      <c r="N805" s="104"/>
      <c r="O805" s="104"/>
      <c r="P805" s="104"/>
      <c r="Q805" s="104"/>
      <c r="R805" s="106"/>
      <c r="S805" s="104"/>
      <c r="T805" s="104"/>
      <c r="U805" s="104"/>
      <c r="V805" s="104"/>
      <c r="W805" s="105"/>
      <c r="X805" s="104"/>
      <c r="Y805" s="104"/>
      <c r="Z805" s="104"/>
      <c r="AA805" s="104"/>
      <c r="AB805" s="104"/>
      <c r="AC805" s="104"/>
      <c r="AD805" s="104"/>
      <c r="AE805" s="104"/>
      <c r="AF805" s="104"/>
      <c r="AG805" s="104"/>
      <c r="AH805" s="104"/>
      <c r="AI805" s="104"/>
      <c r="AJ805" s="104"/>
      <c r="AK805" s="104"/>
      <c r="AL805" s="104"/>
      <c r="AM805" s="104"/>
      <c r="AN805" s="104"/>
      <c r="AO805" s="104"/>
      <c r="AP805" s="104"/>
      <c r="AQ805" s="104"/>
      <c r="AR805" s="104"/>
      <c r="AS805" s="104"/>
      <c r="AT805" s="104"/>
      <c r="AU805" s="104"/>
      <c r="AV805" s="104"/>
      <c r="AW805" s="104"/>
      <c r="AX805" s="104"/>
      <c r="AY805" s="104"/>
      <c r="AZ805" s="104"/>
      <c r="BA805" s="104"/>
      <c r="BB805" s="104"/>
      <c r="BC805" s="104"/>
      <c r="BD805" s="104"/>
      <c r="BE805" s="104"/>
      <c r="BF805" s="104"/>
      <c r="BG805" s="104"/>
      <c r="BH805" s="104"/>
      <c r="BI805" s="104"/>
      <c r="BJ805" s="104"/>
      <c r="BK805" s="104"/>
      <c r="BL805" s="104"/>
      <c r="BM805" s="104"/>
      <c r="BN805" s="104"/>
    </row>
    <row r="806">
      <c r="A806" s="104"/>
      <c r="B806" s="104"/>
      <c r="C806" s="104"/>
      <c r="D806" s="104"/>
      <c r="E806" s="104"/>
      <c r="F806" s="104"/>
      <c r="G806" s="104"/>
      <c r="H806" s="104"/>
      <c r="I806" s="104"/>
      <c r="J806" s="104"/>
      <c r="K806" s="105"/>
      <c r="L806" s="106"/>
      <c r="M806" s="104"/>
      <c r="N806" s="104"/>
      <c r="O806" s="104"/>
      <c r="P806" s="104"/>
      <c r="Q806" s="104"/>
      <c r="R806" s="106"/>
      <c r="S806" s="104"/>
      <c r="T806" s="104"/>
      <c r="U806" s="104"/>
      <c r="V806" s="104"/>
      <c r="W806" s="105"/>
      <c r="X806" s="104"/>
      <c r="Y806" s="104"/>
      <c r="Z806" s="104"/>
      <c r="AA806" s="104"/>
      <c r="AB806" s="104"/>
      <c r="AC806" s="104"/>
      <c r="AD806" s="104"/>
      <c r="AE806" s="104"/>
      <c r="AF806" s="104"/>
      <c r="AG806" s="104"/>
      <c r="AH806" s="104"/>
      <c r="AI806" s="104"/>
      <c r="AJ806" s="104"/>
      <c r="AK806" s="104"/>
      <c r="AL806" s="104"/>
      <c r="AM806" s="104"/>
      <c r="AN806" s="104"/>
      <c r="AO806" s="104"/>
      <c r="AP806" s="104"/>
      <c r="AQ806" s="104"/>
      <c r="AR806" s="104"/>
      <c r="AS806" s="104"/>
      <c r="AT806" s="104"/>
      <c r="AU806" s="104"/>
      <c r="AV806" s="104"/>
      <c r="AW806" s="104"/>
      <c r="AX806" s="104"/>
      <c r="AY806" s="104"/>
      <c r="AZ806" s="104"/>
      <c r="BA806" s="104"/>
      <c r="BB806" s="104"/>
      <c r="BC806" s="104"/>
      <c r="BD806" s="104"/>
      <c r="BE806" s="104"/>
      <c r="BF806" s="104"/>
      <c r="BG806" s="104"/>
      <c r="BH806" s="104"/>
      <c r="BI806" s="104"/>
      <c r="BJ806" s="104"/>
      <c r="BK806" s="104"/>
      <c r="BL806" s="104"/>
      <c r="BM806" s="104"/>
      <c r="BN806" s="104"/>
    </row>
    <row r="807">
      <c r="A807" s="104"/>
      <c r="B807" s="104"/>
      <c r="C807" s="104"/>
      <c r="D807" s="104"/>
      <c r="E807" s="104"/>
      <c r="F807" s="104"/>
      <c r="G807" s="104"/>
      <c r="H807" s="104"/>
      <c r="I807" s="104"/>
      <c r="J807" s="104"/>
      <c r="K807" s="105"/>
      <c r="L807" s="106"/>
      <c r="M807" s="104"/>
      <c r="N807" s="104"/>
      <c r="O807" s="104"/>
      <c r="P807" s="104"/>
      <c r="Q807" s="104"/>
      <c r="R807" s="106"/>
      <c r="S807" s="104"/>
      <c r="T807" s="104"/>
      <c r="U807" s="104"/>
      <c r="V807" s="104"/>
      <c r="W807" s="105"/>
      <c r="X807" s="104"/>
      <c r="Y807" s="104"/>
      <c r="Z807" s="104"/>
      <c r="AA807" s="104"/>
      <c r="AB807" s="104"/>
      <c r="AC807" s="104"/>
      <c r="AD807" s="104"/>
      <c r="AE807" s="104"/>
      <c r="AF807" s="104"/>
      <c r="AG807" s="104"/>
      <c r="AH807" s="104"/>
      <c r="AI807" s="104"/>
      <c r="AJ807" s="104"/>
      <c r="AK807" s="104"/>
      <c r="AL807" s="104"/>
      <c r="AM807" s="104"/>
      <c r="AN807" s="104"/>
      <c r="AO807" s="104"/>
      <c r="AP807" s="104"/>
      <c r="AQ807" s="104"/>
      <c r="AR807" s="104"/>
      <c r="AS807" s="104"/>
      <c r="AT807" s="104"/>
      <c r="AU807" s="104"/>
      <c r="AV807" s="104"/>
      <c r="AW807" s="104"/>
      <c r="AX807" s="104"/>
      <c r="AY807" s="104"/>
      <c r="AZ807" s="104"/>
      <c r="BA807" s="104"/>
      <c r="BB807" s="104"/>
      <c r="BC807" s="104"/>
      <c r="BD807" s="104"/>
      <c r="BE807" s="104"/>
      <c r="BF807" s="104"/>
      <c r="BG807" s="104"/>
      <c r="BH807" s="104"/>
      <c r="BI807" s="104"/>
      <c r="BJ807" s="104"/>
      <c r="BK807" s="104"/>
      <c r="BL807" s="104"/>
      <c r="BM807" s="104"/>
      <c r="BN807" s="104"/>
    </row>
    <row r="808">
      <c r="A808" s="104"/>
      <c r="B808" s="104"/>
      <c r="C808" s="104"/>
      <c r="D808" s="104"/>
      <c r="E808" s="104"/>
      <c r="F808" s="104"/>
      <c r="G808" s="104"/>
      <c r="H808" s="104"/>
      <c r="I808" s="104"/>
      <c r="J808" s="104"/>
      <c r="K808" s="105"/>
      <c r="L808" s="106"/>
      <c r="M808" s="104"/>
      <c r="N808" s="104"/>
      <c r="O808" s="104"/>
      <c r="P808" s="104"/>
      <c r="Q808" s="104"/>
      <c r="R808" s="106"/>
      <c r="S808" s="104"/>
      <c r="T808" s="104"/>
      <c r="U808" s="104"/>
      <c r="V808" s="104"/>
      <c r="W808" s="105"/>
      <c r="X808" s="104"/>
      <c r="Y808" s="104"/>
      <c r="Z808" s="104"/>
      <c r="AA808" s="104"/>
      <c r="AB808" s="104"/>
      <c r="AC808" s="104"/>
      <c r="AD808" s="104"/>
      <c r="AE808" s="104"/>
      <c r="AF808" s="104"/>
      <c r="AG808" s="104"/>
      <c r="AH808" s="104"/>
      <c r="AI808" s="104"/>
      <c r="AJ808" s="104"/>
      <c r="AK808" s="104"/>
      <c r="AL808" s="104"/>
      <c r="AM808" s="104"/>
      <c r="AN808" s="104"/>
      <c r="AO808" s="104"/>
      <c r="AP808" s="104"/>
      <c r="AQ808" s="104"/>
      <c r="AR808" s="104"/>
      <c r="AS808" s="104"/>
      <c r="AT808" s="104"/>
      <c r="AU808" s="104"/>
      <c r="AV808" s="104"/>
      <c r="AW808" s="104"/>
      <c r="AX808" s="104"/>
      <c r="AY808" s="104"/>
      <c r="AZ808" s="104"/>
      <c r="BA808" s="104"/>
      <c r="BB808" s="104"/>
      <c r="BC808" s="104"/>
      <c r="BD808" s="104"/>
      <c r="BE808" s="104"/>
      <c r="BF808" s="104"/>
      <c r="BG808" s="104"/>
      <c r="BH808" s="104"/>
      <c r="BI808" s="104"/>
      <c r="BJ808" s="104"/>
      <c r="BK808" s="104"/>
      <c r="BL808" s="104"/>
      <c r="BM808" s="104"/>
      <c r="BN808" s="104"/>
    </row>
    <row r="809">
      <c r="A809" s="104"/>
      <c r="B809" s="104"/>
      <c r="C809" s="104"/>
      <c r="D809" s="104"/>
      <c r="E809" s="104"/>
      <c r="F809" s="104"/>
      <c r="G809" s="104"/>
      <c r="H809" s="104"/>
      <c r="I809" s="104"/>
      <c r="J809" s="104"/>
      <c r="K809" s="105"/>
      <c r="L809" s="106"/>
      <c r="M809" s="104"/>
      <c r="N809" s="104"/>
      <c r="O809" s="104"/>
      <c r="P809" s="104"/>
      <c r="Q809" s="104"/>
      <c r="R809" s="106"/>
      <c r="S809" s="104"/>
      <c r="T809" s="104"/>
      <c r="U809" s="104"/>
      <c r="V809" s="104"/>
      <c r="W809" s="105"/>
      <c r="X809" s="104"/>
      <c r="Y809" s="104"/>
      <c r="Z809" s="104"/>
      <c r="AA809" s="104"/>
      <c r="AB809" s="104"/>
      <c r="AC809" s="104"/>
      <c r="AD809" s="104"/>
      <c r="AE809" s="104"/>
      <c r="AF809" s="104"/>
      <c r="AG809" s="104"/>
      <c r="AH809" s="104"/>
      <c r="AI809" s="104"/>
      <c r="AJ809" s="104"/>
      <c r="AK809" s="104"/>
      <c r="AL809" s="104"/>
      <c r="AM809" s="104"/>
      <c r="AN809" s="104"/>
      <c r="AO809" s="104"/>
      <c r="AP809" s="104"/>
      <c r="AQ809" s="104"/>
      <c r="AR809" s="104"/>
      <c r="AS809" s="104"/>
      <c r="AT809" s="104"/>
      <c r="AU809" s="104"/>
      <c r="AV809" s="104"/>
      <c r="AW809" s="104"/>
      <c r="AX809" s="104"/>
      <c r="AY809" s="104"/>
      <c r="AZ809" s="104"/>
      <c r="BA809" s="104"/>
      <c r="BB809" s="104"/>
      <c r="BC809" s="104"/>
      <c r="BD809" s="104"/>
      <c r="BE809" s="104"/>
      <c r="BF809" s="104"/>
      <c r="BG809" s="104"/>
      <c r="BH809" s="104"/>
      <c r="BI809" s="104"/>
      <c r="BJ809" s="104"/>
      <c r="BK809" s="104"/>
      <c r="BL809" s="104"/>
      <c r="BM809" s="104"/>
      <c r="BN809" s="104"/>
    </row>
    <row r="810">
      <c r="A810" s="104"/>
      <c r="B810" s="104"/>
      <c r="C810" s="104"/>
      <c r="D810" s="104"/>
      <c r="E810" s="104"/>
      <c r="F810" s="104"/>
      <c r="G810" s="104"/>
      <c r="H810" s="104"/>
      <c r="I810" s="104"/>
      <c r="J810" s="104"/>
      <c r="K810" s="105"/>
      <c r="L810" s="106"/>
      <c r="M810" s="104"/>
      <c r="N810" s="104"/>
      <c r="O810" s="104"/>
      <c r="P810" s="104"/>
      <c r="Q810" s="104"/>
      <c r="R810" s="106"/>
      <c r="S810" s="104"/>
      <c r="T810" s="104"/>
      <c r="U810" s="104"/>
      <c r="V810" s="104"/>
      <c r="W810" s="105"/>
      <c r="X810" s="104"/>
      <c r="Y810" s="104"/>
      <c r="Z810" s="104"/>
      <c r="AA810" s="104"/>
      <c r="AB810" s="104"/>
      <c r="AC810" s="104"/>
      <c r="AD810" s="104"/>
      <c r="AE810" s="104"/>
      <c r="AF810" s="104"/>
      <c r="AG810" s="104"/>
      <c r="AH810" s="104"/>
      <c r="AI810" s="104"/>
      <c r="AJ810" s="104"/>
      <c r="AK810" s="104"/>
      <c r="AL810" s="104"/>
      <c r="AM810" s="104"/>
      <c r="AN810" s="104"/>
      <c r="AO810" s="104"/>
      <c r="AP810" s="104"/>
      <c r="AQ810" s="104"/>
      <c r="AR810" s="104"/>
      <c r="AS810" s="104"/>
      <c r="AT810" s="104"/>
      <c r="AU810" s="104"/>
      <c r="AV810" s="104"/>
      <c r="AW810" s="104"/>
      <c r="AX810" s="104"/>
      <c r="AY810" s="104"/>
      <c r="AZ810" s="104"/>
      <c r="BA810" s="104"/>
      <c r="BB810" s="104"/>
      <c r="BC810" s="104"/>
      <c r="BD810" s="104"/>
      <c r="BE810" s="104"/>
      <c r="BF810" s="104"/>
      <c r="BG810" s="104"/>
      <c r="BH810" s="104"/>
      <c r="BI810" s="104"/>
      <c r="BJ810" s="104"/>
      <c r="BK810" s="104"/>
      <c r="BL810" s="104"/>
      <c r="BM810" s="104"/>
      <c r="BN810" s="104"/>
    </row>
    <row r="811">
      <c r="A811" s="104"/>
      <c r="B811" s="104"/>
      <c r="C811" s="104"/>
      <c r="D811" s="104"/>
      <c r="E811" s="104"/>
      <c r="F811" s="104"/>
      <c r="G811" s="104"/>
      <c r="H811" s="104"/>
      <c r="I811" s="104"/>
      <c r="J811" s="104"/>
      <c r="K811" s="105"/>
      <c r="L811" s="106"/>
      <c r="M811" s="104"/>
      <c r="N811" s="104"/>
      <c r="O811" s="104"/>
      <c r="P811" s="104"/>
      <c r="Q811" s="104"/>
      <c r="R811" s="106"/>
      <c r="S811" s="104"/>
      <c r="T811" s="104"/>
      <c r="U811" s="104"/>
      <c r="V811" s="104"/>
      <c r="W811" s="105"/>
      <c r="X811" s="104"/>
      <c r="Y811" s="104"/>
      <c r="Z811" s="104"/>
      <c r="AA811" s="104"/>
      <c r="AB811" s="104"/>
      <c r="AC811" s="104"/>
      <c r="AD811" s="104"/>
      <c r="AE811" s="104"/>
      <c r="AF811" s="104"/>
      <c r="AG811" s="104"/>
      <c r="AH811" s="104"/>
      <c r="AI811" s="104"/>
      <c r="AJ811" s="104"/>
      <c r="AK811" s="104"/>
      <c r="AL811" s="104"/>
      <c r="AM811" s="104"/>
      <c r="AN811" s="104"/>
      <c r="AO811" s="104"/>
      <c r="AP811" s="104"/>
      <c r="AQ811" s="104"/>
      <c r="AR811" s="104"/>
      <c r="AS811" s="104"/>
      <c r="AT811" s="104"/>
      <c r="AU811" s="104"/>
      <c r="AV811" s="104"/>
      <c r="AW811" s="104"/>
      <c r="AX811" s="104"/>
      <c r="AY811" s="104"/>
      <c r="AZ811" s="104"/>
      <c r="BA811" s="104"/>
      <c r="BB811" s="104"/>
      <c r="BC811" s="104"/>
      <c r="BD811" s="104"/>
      <c r="BE811" s="104"/>
      <c r="BF811" s="104"/>
      <c r="BG811" s="104"/>
      <c r="BH811" s="104"/>
      <c r="BI811" s="104"/>
      <c r="BJ811" s="104"/>
      <c r="BK811" s="104"/>
      <c r="BL811" s="104"/>
      <c r="BM811" s="104"/>
      <c r="BN811" s="104"/>
    </row>
    <row r="812">
      <c r="A812" s="104"/>
      <c r="B812" s="104"/>
      <c r="C812" s="104"/>
      <c r="D812" s="104"/>
      <c r="E812" s="104"/>
      <c r="F812" s="104"/>
      <c r="G812" s="104"/>
      <c r="H812" s="104"/>
      <c r="I812" s="104"/>
      <c r="J812" s="104"/>
      <c r="K812" s="105"/>
      <c r="L812" s="106"/>
      <c r="M812" s="104"/>
      <c r="N812" s="104"/>
      <c r="O812" s="104"/>
      <c r="P812" s="104"/>
      <c r="Q812" s="104"/>
      <c r="R812" s="106"/>
      <c r="S812" s="104"/>
      <c r="T812" s="104"/>
      <c r="U812" s="104"/>
      <c r="V812" s="104"/>
      <c r="W812" s="105"/>
      <c r="X812" s="104"/>
      <c r="Y812" s="104"/>
      <c r="Z812" s="104"/>
      <c r="AA812" s="104"/>
      <c r="AB812" s="104"/>
      <c r="AC812" s="104"/>
      <c r="AD812" s="104"/>
      <c r="AE812" s="104"/>
      <c r="AF812" s="104"/>
      <c r="AG812" s="104"/>
      <c r="AH812" s="104"/>
      <c r="AI812" s="104"/>
      <c r="AJ812" s="104"/>
      <c r="AK812" s="104"/>
      <c r="AL812" s="104"/>
      <c r="AM812" s="104"/>
      <c r="AN812" s="104"/>
      <c r="AO812" s="104"/>
      <c r="AP812" s="104"/>
      <c r="AQ812" s="104"/>
      <c r="AR812" s="104"/>
      <c r="AS812" s="104"/>
      <c r="AT812" s="104"/>
      <c r="AU812" s="104"/>
      <c r="AV812" s="104"/>
      <c r="AW812" s="104"/>
      <c r="AX812" s="104"/>
      <c r="AY812" s="104"/>
      <c r="AZ812" s="104"/>
      <c r="BA812" s="104"/>
      <c r="BB812" s="104"/>
      <c r="BC812" s="104"/>
      <c r="BD812" s="104"/>
      <c r="BE812" s="104"/>
      <c r="BF812" s="104"/>
      <c r="BG812" s="104"/>
      <c r="BH812" s="104"/>
      <c r="BI812" s="104"/>
      <c r="BJ812" s="104"/>
      <c r="BK812" s="104"/>
      <c r="BL812" s="104"/>
      <c r="BM812" s="104"/>
      <c r="BN812" s="104"/>
    </row>
    <row r="813">
      <c r="A813" s="104"/>
      <c r="B813" s="104"/>
      <c r="C813" s="104"/>
      <c r="D813" s="104"/>
      <c r="E813" s="104"/>
      <c r="F813" s="104"/>
      <c r="G813" s="104"/>
      <c r="H813" s="104"/>
      <c r="I813" s="104"/>
      <c r="J813" s="104"/>
      <c r="K813" s="105"/>
      <c r="L813" s="106"/>
      <c r="M813" s="104"/>
      <c r="N813" s="104"/>
      <c r="O813" s="104"/>
      <c r="P813" s="104"/>
      <c r="Q813" s="104"/>
      <c r="R813" s="106"/>
      <c r="S813" s="104"/>
      <c r="T813" s="104"/>
      <c r="U813" s="104"/>
      <c r="V813" s="104"/>
      <c r="W813" s="105"/>
      <c r="X813" s="104"/>
      <c r="Y813" s="104"/>
      <c r="Z813" s="104"/>
      <c r="AA813" s="104"/>
      <c r="AB813" s="104"/>
      <c r="AC813" s="104"/>
      <c r="AD813" s="104"/>
      <c r="AE813" s="104"/>
      <c r="AF813" s="104"/>
      <c r="AG813" s="104"/>
      <c r="AH813" s="104"/>
      <c r="AI813" s="104"/>
      <c r="AJ813" s="104"/>
      <c r="AK813" s="104"/>
      <c r="AL813" s="104"/>
      <c r="AM813" s="104"/>
      <c r="AN813" s="104"/>
      <c r="AO813" s="104"/>
      <c r="AP813" s="104"/>
      <c r="AQ813" s="104"/>
      <c r="AR813" s="104"/>
      <c r="AS813" s="104"/>
      <c r="AT813" s="104"/>
      <c r="AU813" s="104"/>
      <c r="AV813" s="104"/>
      <c r="AW813" s="104"/>
      <c r="AX813" s="104"/>
      <c r="AY813" s="104"/>
      <c r="AZ813" s="104"/>
      <c r="BA813" s="104"/>
      <c r="BB813" s="104"/>
      <c r="BC813" s="104"/>
      <c r="BD813" s="104"/>
      <c r="BE813" s="104"/>
      <c r="BF813" s="104"/>
      <c r="BG813" s="104"/>
      <c r="BH813" s="104"/>
      <c r="BI813" s="104"/>
      <c r="BJ813" s="104"/>
      <c r="BK813" s="104"/>
      <c r="BL813" s="104"/>
      <c r="BM813" s="104"/>
      <c r="BN813" s="104"/>
    </row>
    <row r="814">
      <c r="A814" s="104"/>
      <c r="B814" s="104"/>
      <c r="C814" s="104"/>
      <c r="D814" s="104"/>
      <c r="E814" s="104"/>
      <c r="F814" s="104"/>
      <c r="G814" s="104"/>
      <c r="H814" s="104"/>
      <c r="I814" s="104"/>
      <c r="J814" s="104"/>
      <c r="K814" s="105"/>
      <c r="L814" s="106"/>
      <c r="M814" s="104"/>
      <c r="N814" s="104"/>
      <c r="O814" s="104"/>
      <c r="P814" s="104"/>
      <c r="Q814" s="104"/>
      <c r="R814" s="106"/>
      <c r="S814" s="104"/>
      <c r="T814" s="104"/>
      <c r="U814" s="104"/>
      <c r="V814" s="104"/>
      <c r="W814" s="105"/>
      <c r="X814" s="104"/>
      <c r="Y814" s="104"/>
      <c r="Z814" s="104"/>
      <c r="AA814" s="104"/>
      <c r="AB814" s="104"/>
      <c r="AC814" s="104"/>
      <c r="AD814" s="104"/>
      <c r="AE814" s="104"/>
      <c r="AF814" s="104"/>
      <c r="AG814" s="104"/>
      <c r="AH814" s="104"/>
      <c r="AI814" s="104"/>
      <c r="AJ814" s="104"/>
      <c r="AK814" s="104"/>
      <c r="AL814" s="104"/>
      <c r="AM814" s="104"/>
      <c r="AN814" s="104"/>
      <c r="AO814" s="104"/>
      <c r="AP814" s="104"/>
      <c r="AQ814" s="104"/>
      <c r="AR814" s="104"/>
      <c r="AS814" s="104"/>
      <c r="AT814" s="104"/>
      <c r="AU814" s="104"/>
      <c r="AV814" s="104"/>
      <c r="AW814" s="104"/>
      <c r="AX814" s="104"/>
      <c r="AY814" s="104"/>
      <c r="AZ814" s="104"/>
      <c r="BA814" s="104"/>
      <c r="BB814" s="104"/>
      <c r="BC814" s="104"/>
      <c r="BD814" s="104"/>
      <c r="BE814" s="104"/>
      <c r="BF814" s="104"/>
      <c r="BG814" s="104"/>
      <c r="BH814" s="104"/>
      <c r="BI814" s="104"/>
      <c r="BJ814" s="104"/>
      <c r="BK814" s="104"/>
      <c r="BL814" s="104"/>
      <c r="BM814" s="104"/>
      <c r="BN814" s="104"/>
    </row>
    <row r="815">
      <c r="A815" s="104"/>
      <c r="B815" s="104"/>
      <c r="C815" s="104"/>
      <c r="D815" s="104"/>
      <c r="E815" s="104"/>
      <c r="F815" s="104"/>
      <c r="G815" s="104"/>
      <c r="H815" s="104"/>
      <c r="I815" s="104"/>
      <c r="J815" s="104"/>
      <c r="K815" s="105"/>
      <c r="L815" s="106"/>
      <c r="M815" s="104"/>
      <c r="N815" s="104"/>
      <c r="O815" s="104"/>
      <c r="P815" s="104"/>
      <c r="Q815" s="104"/>
      <c r="R815" s="106"/>
      <c r="S815" s="104"/>
      <c r="T815" s="104"/>
      <c r="U815" s="104"/>
      <c r="V815" s="104"/>
      <c r="W815" s="105"/>
      <c r="X815" s="104"/>
      <c r="Y815" s="104"/>
      <c r="Z815" s="104"/>
      <c r="AA815" s="104"/>
      <c r="AB815" s="104"/>
      <c r="AC815" s="104"/>
      <c r="AD815" s="104"/>
      <c r="AE815" s="104"/>
      <c r="AF815" s="104"/>
      <c r="AG815" s="104"/>
      <c r="AH815" s="104"/>
      <c r="AI815" s="104"/>
      <c r="AJ815" s="104"/>
      <c r="AK815" s="104"/>
      <c r="AL815" s="104"/>
      <c r="AM815" s="104"/>
      <c r="AN815" s="104"/>
      <c r="AO815" s="104"/>
      <c r="AP815" s="104"/>
      <c r="AQ815" s="104"/>
      <c r="AR815" s="104"/>
      <c r="AS815" s="104"/>
      <c r="AT815" s="104"/>
      <c r="AU815" s="104"/>
      <c r="AV815" s="104"/>
      <c r="AW815" s="104"/>
      <c r="AX815" s="104"/>
      <c r="AY815" s="104"/>
      <c r="AZ815" s="104"/>
      <c r="BA815" s="104"/>
      <c r="BB815" s="104"/>
      <c r="BC815" s="104"/>
      <c r="BD815" s="104"/>
      <c r="BE815" s="104"/>
      <c r="BF815" s="104"/>
      <c r="BG815" s="104"/>
      <c r="BH815" s="104"/>
      <c r="BI815" s="104"/>
      <c r="BJ815" s="104"/>
      <c r="BK815" s="104"/>
      <c r="BL815" s="104"/>
      <c r="BM815" s="104"/>
      <c r="BN815" s="104"/>
    </row>
    <row r="816">
      <c r="A816" s="104"/>
      <c r="B816" s="104"/>
      <c r="C816" s="104"/>
      <c r="D816" s="104"/>
      <c r="E816" s="104"/>
      <c r="F816" s="104"/>
      <c r="G816" s="104"/>
      <c r="H816" s="104"/>
      <c r="I816" s="104"/>
      <c r="J816" s="104"/>
      <c r="K816" s="105"/>
      <c r="L816" s="106"/>
      <c r="M816" s="104"/>
      <c r="N816" s="104"/>
      <c r="O816" s="104"/>
      <c r="P816" s="104"/>
      <c r="Q816" s="104"/>
      <c r="R816" s="106"/>
      <c r="S816" s="104"/>
      <c r="T816" s="104"/>
      <c r="U816" s="104"/>
      <c r="V816" s="104"/>
      <c r="W816" s="105"/>
      <c r="X816" s="104"/>
      <c r="Y816" s="104"/>
      <c r="Z816" s="104"/>
      <c r="AA816" s="104"/>
      <c r="AB816" s="104"/>
      <c r="AC816" s="104"/>
      <c r="AD816" s="104"/>
      <c r="AE816" s="104"/>
      <c r="AF816" s="104"/>
      <c r="AG816" s="104"/>
      <c r="AH816" s="104"/>
      <c r="AI816" s="104"/>
      <c r="AJ816" s="104"/>
      <c r="AK816" s="104"/>
      <c r="AL816" s="104"/>
      <c r="AM816" s="104"/>
      <c r="AN816" s="104"/>
      <c r="AO816" s="104"/>
      <c r="AP816" s="104"/>
      <c r="AQ816" s="104"/>
      <c r="AR816" s="104"/>
      <c r="AS816" s="104"/>
      <c r="AT816" s="104"/>
      <c r="AU816" s="104"/>
      <c r="AV816" s="104"/>
      <c r="AW816" s="104"/>
      <c r="AX816" s="104"/>
      <c r="AY816" s="104"/>
      <c r="AZ816" s="104"/>
      <c r="BA816" s="104"/>
      <c r="BB816" s="104"/>
      <c r="BC816" s="104"/>
      <c r="BD816" s="104"/>
      <c r="BE816" s="104"/>
      <c r="BF816" s="104"/>
      <c r="BG816" s="104"/>
      <c r="BH816" s="104"/>
      <c r="BI816" s="104"/>
      <c r="BJ816" s="104"/>
      <c r="BK816" s="104"/>
      <c r="BL816" s="104"/>
      <c r="BM816" s="104"/>
      <c r="BN816" s="104"/>
    </row>
    <row r="817">
      <c r="A817" s="104"/>
      <c r="B817" s="104"/>
      <c r="C817" s="104"/>
      <c r="D817" s="104"/>
      <c r="E817" s="104"/>
      <c r="F817" s="104"/>
      <c r="G817" s="104"/>
      <c r="H817" s="104"/>
      <c r="I817" s="104"/>
      <c r="J817" s="104"/>
      <c r="K817" s="105"/>
      <c r="L817" s="106"/>
      <c r="M817" s="104"/>
      <c r="N817" s="104"/>
      <c r="O817" s="104"/>
      <c r="P817" s="104"/>
      <c r="Q817" s="104"/>
      <c r="R817" s="106"/>
      <c r="S817" s="104"/>
      <c r="T817" s="104"/>
      <c r="U817" s="104"/>
      <c r="V817" s="104"/>
      <c r="W817" s="105"/>
      <c r="X817" s="104"/>
      <c r="Y817" s="104"/>
      <c r="Z817" s="104"/>
      <c r="AA817" s="104"/>
      <c r="AB817" s="104"/>
      <c r="AC817" s="104"/>
      <c r="AD817" s="104"/>
      <c r="AE817" s="104"/>
      <c r="AF817" s="104"/>
      <c r="AG817" s="104"/>
      <c r="AH817" s="104"/>
      <c r="AI817" s="104"/>
      <c r="AJ817" s="104"/>
      <c r="AK817" s="104"/>
      <c r="AL817" s="104"/>
      <c r="AM817" s="104"/>
      <c r="AN817" s="104"/>
      <c r="AO817" s="104"/>
      <c r="AP817" s="104"/>
      <c r="AQ817" s="104"/>
      <c r="AR817" s="104"/>
      <c r="AS817" s="104"/>
      <c r="AT817" s="104"/>
      <c r="AU817" s="104"/>
      <c r="AV817" s="104"/>
      <c r="AW817" s="104"/>
      <c r="AX817" s="104"/>
      <c r="AY817" s="104"/>
      <c r="AZ817" s="104"/>
      <c r="BA817" s="104"/>
      <c r="BB817" s="104"/>
      <c r="BC817" s="104"/>
      <c r="BD817" s="104"/>
      <c r="BE817" s="104"/>
      <c r="BF817" s="104"/>
      <c r="BG817" s="104"/>
      <c r="BH817" s="104"/>
      <c r="BI817" s="104"/>
      <c r="BJ817" s="104"/>
      <c r="BK817" s="104"/>
      <c r="BL817" s="104"/>
      <c r="BM817" s="104"/>
      <c r="BN817" s="104"/>
    </row>
    <row r="818">
      <c r="A818" s="104"/>
      <c r="B818" s="104"/>
      <c r="C818" s="104"/>
      <c r="D818" s="104"/>
      <c r="E818" s="104"/>
      <c r="F818" s="104"/>
      <c r="G818" s="104"/>
      <c r="H818" s="104"/>
      <c r="I818" s="104"/>
      <c r="J818" s="104"/>
      <c r="K818" s="105"/>
      <c r="L818" s="106"/>
      <c r="M818" s="104"/>
      <c r="N818" s="104"/>
      <c r="O818" s="104"/>
      <c r="P818" s="104"/>
      <c r="Q818" s="104"/>
      <c r="R818" s="106"/>
      <c r="S818" s="104"/>
      <c r="T818" s="104"/>
      <c r="U818" s="104"/>
      <c r="V818" s="104"/>
      <c r="W818" s="105"/>
      <c r="X818" s="104"/>
      <c r="Y818" s="104"/>
      <c r="Z818" s="104"/>
      <c r="AA818" s="104"/>
      <c r="AB818" s="104"/>
      <c r="AC818" s="104"/>
      <c r="AD818" s="104"/>
      <c r="AE818" s="104"/>
      <c r="AF818" s="104"/>
      <c r="AG818" s="104"/>
      <c r="AH818" s="104"/>
      <c r="AI818" s="104"/>
      <c r="AJ818" s="104"/>
      <c r="AK818" s="104"/>
      <c r="AL818" s="104"/>
      <c r="AM818" s="104"/>
      <c r="AN818" s="104"/>
      <c r="AO818" s="104"/>
      <c r="AP818" s="104"/>
      <c r="AQ818" s="104"/>
      <c r="AR818" s="104"/>
      <c r="AS818" s="104"/>
      <c r="AT818" s="104"/>
      <c r="AU818" s="104"/>
      <c r="AV818" s="104"/>
      <c r="AW818" s="104"/>
      <c r="AX818" s="104"/>
      <c r="AY818" s="104"/>
      <c r="AZ818" s="104"/>
      <c r="BA818" s="104"/>
      <c r="BB818" s="104"/>
      <c r="BC818" s="104"/>
      <c r="BD818" s="104"/>
      <c r="BE818" s="104"/>
      <c r="BF818" s="104"/>
      <c r="BG818" s="104"/>
      <c r="BH818" s="104"/>
      <c r="BI818" s="104"/>
      <c r="BJ818" s="104"/>
      <c r="BK818" s="104"/>
      <c r="BL818" s="104"/>
      <c r="BM818" s="104"/>
      <c r="BN818" s="104"/>
    </row>
    <row r="819">
      <c r="A819" s="104"/>
      <c r="B819" s="104"/>
      <c r="C819" s="104"/>
      <c r="D819" s="104"/>
      <c r="E819" s="104"/>
      <c r="F819" s="104"/>
      <c r="G819" s="104"/>
      <c r="H819" s="104"/>
      <c r="I819" s="104"/>
      <c r="J819" s="104"/>
      <c r="K819" s="105"/>
      <c r="L819" s="106"/>
      <c r="M819" s="104"/>
      <c r="N819" s="104"/>
      <c r="O819" s="104"/>
      <c r="P819" s="104"/>
      <c r="Q819" s="104"/>
      <c r="R819" s="106"/>
      <c r="S819" s="104"/>
      <c r="T819" s="104"/>
      <c r="U819" s="104"/>
      <c r="V819" s="104"/>
      <c r="W819" s="105"/>
      <c r="X819" s="104"/>
      <c r="Y819" s="104"/>
      <c r="Z819" s="104"/>
      <c r="AA819" s="104"/>
      <c r="AB819" s="104"/>
      <c r="AC819" s="104"/>
      <c r="AD819" s="104"/>
      <c r="AE819" s="104"/>
      <c r="AF819" s="104"/>
      <c r="AG819" s="104"/>
      <c r="AH819" s="104"/>
      <c r="AI819" s="104"/>
      <c r="AJ819" s="104"/>
      <c r="AK819" s="104"/>
      <c r="AL819" s="104"/>
      <c r="AM819" s="104"/>
      <c r="AN819" s="104"/>
      <c r="AO819" s="104"/>
      <c r="AP819" s="104"/>
      <c r="AQ819" s="104"/>
      <c r="AR819" s="104"/>
      <c r="AS819" s="104"/>
      <c r="AT819" s="104"/>
      <c r="AU819" s="104"/>
      <c r="AV819" s="104"/>
      <c r="AW819" s="104"/>
      <c r="AX819" s="104"/>
      <c r="AY819" s="104"/>
      <c r="AZ819" s="104"/>
      <c r="BA819" s="104"/>
      <c r="BB819" s="104"/>
      <c r="BC819" s="104"/>
      <c r="BD819" s="104"/>
      <c r="BE819" s="104"/>
      <c r="BF819" s="104"/>
      <c r="BG819" s="104"/>
      <c r="BH819" s="104"/>
      <c r="BI819" s="104"/>
      <c r="BJ819" s="104"/>
      <c r="BK819" s="104"/>
      <c r="BL819" s="104"/>
      <c r="BM819" s="104"/>
      <c r="BN819" s="104"/>
    </row>
    <row r="820">
      <c r="A820" s="104"/>
      <c r="B820" s="104"/>
      <c r="C820" s="104"/>
      <c r="D820" s="104"/>
      <c r="E820" s="104"/>
      <c r="F820" s="104"/>
      <c r="G820" s="104"/>
      <c r="H820" s="104"/>
      <c r="I820" s="104"/>
      <c r="J820" s="104"/>
      <c r="K820" s="105"/>
      <c r="L820" s="106"/>
      <c r="M820" s="104"/>
      <c r="N820" s="104"/>
      <c r="O820" s="104"/>
      <c r="P820" s="104"/>
      <c r="Q820" s="104"/>
      <c r="R820" s="106"/>
      <c r="S820" s="104"/>
      <c r="T820" s="104"/>
      <c r="U820" s="104"/>
      <c r="V820" s="104"/>
      <c r="W820" s="105"/>
      <c r="X820" s="104"/>
      <c r="Y820" s="104"/>
      <c r="Z820" s="104"/>
      <c r="AA820" s="104"/>
      <c r="AB820" s="104"/>
      <c r="AC820" s="104"/>
      <c r="AD820" s="104"/>
      <c r="AE820" s="104"/>
      <c r="AF820" s="104"/>
      <c r="AG820" s="104"/>
      <c r="AH820" s="104"/>
      <c r="AI820" s="104"/>
      <c r="AJ820" s="104"/>
      <c r="AK820" s="104"/>
      <c r="AL820" s="104"/>
      <c r="AM820" s="104"/>
      <c r="AN820" s="104"/>
      <c r="AO820" s="104"/>
      <c r="AP820" s="104"/>
      <c r="AQ820" s="104"/>
      <c r="AR820" s="104"/>
      <c r="AS820" s="104"/>
      <c r="AT820" s="104"/>
      <c r="AU820" s="104"/>
      <c r="AV820" s="104"/>
      <c r="AW820" s="104"/>
      <c r="AX820" s="104"/>
      <c r="AY820" s="104"/>
      <c r="AZ820" s="104"/>
      <c r="BA820" s="104"/>
      <c r="BB820" s="104"/>
      <c r="BC820" s="104"/>
      <c r="BD820" s="104"/>
      <c r="BE820" s="104"/>
      <c r="BF820" s="104"/>
      <c r="BG820" s="104"/>
      <c r="BH820" s="104"/>
      <c r="BI820" s="104"/>
      <c r="BJ820" s="104"/>
      <c r="BK820" s="104"/>
      <c r="BL820" s="104"/>
      <c r="BM820" s="104"/>
      <c r="BN820" s="104"/>
    </row>
    <row r="821">
      <c r="A821" s="104"/>
      <c r="B821" s="104"/>
      <c r="C821" s="104"/>
      <c r="D821" s="104"/>
      <c r="E821" s="104"/>
      <c r="F821" s="104"/>
      <c r="G821" s="104"/>
      <c r="H821" s="104"/>
      <c r="I821" s="104"/>
      <c r="J821" s="104"/>
      <c r="K821" s="105"/>
      <c r="L821" s="106"/>
      <c r="M821" s="104"/>
      <c r="N821" s="104"/>
      <c r="O821" s="104"/>
      <c r="P821" s="104"/>
      <c r="Q821" s="104"/>
      <c r="R821" s="106"/>
      <c r="S821" s="104"/>
      <c r="T821" s="104"/>
      <c r="U821" s="104"/>
      <c r="V821" s="104"/>
      <c r="W821" s="105"/>
      <c r="X821" s="104"/>
      <c r="Y821" s="104"/>
      <c r="Z821" s="104"/>
      <c r="AA821" s="104"/>
      <c r="AB821" s="104"/>
      <c r="AC821" s="104"/>
      <c r="AD821" s="104"/>
      <c r="AE821" s="104"/>
      <c r="AF821" s="104"/>
      <c r="AG821" s="104"/>
      <c r="AH821" s="104"/>
      <c r="AI821" s="104"/>
      <c r="AJ821" s="104"/>
      <c r="AK821" s="104"/>
      <c r="AL821" s="104"/>
      <c r="AM821" s="104"/>
      <c r="AN821" s="104"/>
      <c r="AO821" s="104"/>
      <c r="AP821" s="104"/>
      <c r="AQ821" s="104"/>
      <c r="AR821" s="104"/>
      <c r="AS821" s="104"/>
      <c r="AT821" s="104"/>
      <c r="AU821" s="104"/>
      <c r="AV821" s="104"/>
      <c r="AW821" s="104"/>
      <c r="AX821" s="104"/>
      <c r="AY821" s="104"/>
      <c r="AZ821" s="104"/>
      <c r="BA821" s="104"/>
      <c r="BB821" s="104"/>
      <c r="BC821" s="104"/>
      <c r="BD821" s="104"/>
      <c r="BE821" s="104"/>
      <c r="BF821" s="104"/>
      <c r="BG821" s="104"/>
      <c r="BH821" s="104"/>
      <c r="BI821" s="104"/>
      <c r="BJ821" s="104"/>
      <c r="BK821" s="104"/>
      <c r="BL821" s="104"/>
      <c r="BM821" s="104"/>
      <c r="BN821" s="104"/>
    </row>
    <row r="822">
      <c r="A822" s="104"/>
      <c r="B822" s="104"/>
      <c r="C822" s="104"/>
      <c r="D822" s="104"/>
      <c r="E822" s="104"/>
      <c r="F822" s="104"/>
      <c r="G822" s="104"/>
      <c r="H822" s="104"/>
      <c r="I822" s="104"/>
      <c r="J822" s="104"/>
      <c r="K822" s="105"/>
      <c r="L822" s="106"/>
      <c r="M822" s="104"/>
      <c r="N822" s="104"/>
      <c r="O822" s="104"/>
      <c r="P822" s="104"/>
      <c r="Q822" s="104"/>
      <c r="R822" s="106"/>
      <c r="S822" s="104"/>
      <c r="T822" s="104"/>
      <c r="U822" s="104"/>
      <c r="V822" s="104"/>
      <c r="W822" s="105"/>
      <c r="X822" s="104"/>
      <c r="Y822" s="104"/>
      <c r="Z822" s="104"/>
      <c r="AA822" s="104"/>
      <c r="AB822" s="104"/>
      <c r="AC822" s="104"/>
      <c r="AD822" s="104"/>
      <c r="AE822" s="104"/>
      <c r="AF822" s="104"/>
      <c r="AG822" s="104"/>
      <c r="AH822" s="104"/>
      <c r="AI822" s="104"/>
      <c r="AJ822" s="104"/>
      <c r="AK822" s="104"/>
      <c r="AL822" s="104"/>
      <c r="AM822" s="104"/>
      <c r="AN822" s="104"/>
      <c r="AO822" s="104"/>
      <c r="AP822" s="104"/>
      <c r="AQ822" s="104"/>
      <c r="AR822" s="104"/>
      <c r="AS822" s="104"/>
      <c r="AT822" s="104"/>
      <c r="AU822" s="104"/>
      <c r="AV822" s="104"/>
      <c r="AW822" s="104"/>
      <c r="AX822" s="104"/>
      <c r="AY822" s="104"/>
      <c r="AZ822" s="104"/>
      <c r="BA822" s="104"/>
      <c r="BB822" s="104"/>
      <c r="BC822" s="104"/>
      <c r="BD822" s="104"/>
      <c r="BE822" s="104"/>
      <c r="BF822" s="104"/>
      <c r="BG822" s="104"/>
      <c r="BH822" s="104"/>
      <c r="BI822" s="104"/>
      <c r="BJ822" s="104"/>
      <c r="BK822" s="104"/>
      <c r="BL822" s="104"/>
      <c r="BM822" s="104"/>
      <c r="BN822" s="104"/>
    </row>
    <row r="823">
      <c r="A823" s="104"/>
      <c r="B823" s="104"/>
      <c r="C823" s="104"/>
      <c r="D823" s="104"/>
      <c r="E823" s="104"/>
      <c r="F823" s="104"/>
      <c r="G823" s="104"/>
      <c r="H823" s="104"/>
      <c r="I823" s="104"/>
      <c r="J823" s="104"/>
      <c r="K823" s="105"/>
      <c r="L823" s="106"/>
      <c r="M823" s="104"/>
      <c r="N823" s="104"/>
      <c r="O823" s="104"/>
      <c r="P823" s="104"/>
      <c r="Q823" s="104"/>
      <c r="R823" s="106"/>
      <c r="S823" s="104"/>
      <c r="T823" s="104"/>
      <c r="U823" s="104"/>
      <c r="V823" s="104"/>
      <c r="W823" s="105"/>
      <c r="X823" s="104"/>
      <c r="Y823" s="104"/>
      <c r="Z823" s="104"/>
      <c r="AA823" s="104"/>
      <c r="AB823" s="104"/>
      <c r="AC823" s="104"/>
      <c r="AD823" s="104"/>
      <c r="AE823" s="104"/>
      <c r="AF823" s="104"/>
      <c r="AG823" s="104"/>
      <c r="AH823" s="104"/>
      <c r="AI823" s="104"/>
      <c r="AJ823" s="104"/>
      <c r="AK823" s="104"/>
      <c r="AL823" s="104"/>
      <c r="AM823" s="104"/>
      <c r="AN823" s="104"/>
      <c r="AO823" s="104"/>
      <c r="AP823" s="104"/>
      <c r="AQ823" s="104"/>
      <c r="AR823" s="104"/>
      <c r="AS823" s="104"/>
      <c r="AT823" s="104"/>
      <c r="AU823" s="104"/>
      <c r="AV823" s="104"/>
      <c r="AW823" s="104"/>
      <c r="AX823" s="104"/>
      <c r="AY823" s="104"/>
      <c r="AZ823" s="104"/>
      <c r="BA823" s="104"/>
      <c r="BB823" s="104"/>
      <c r="BC823" s="104"/>
      <c r="BD823" s="104"/>
      <c r="BE823" s="104"/>
      <c r="BF823" s="104"/>
      <c r="BG823" s="104"/>
      <c r="BH823" s="104"/>
      <c r="BI823" s="104"/>
      <c r="BJ823" s="104"/>
      <c r="BK823" s="104"/>
      <c r="BL823" s="104"/>
      <c r="BM823" s="104"/>
      <c r="BN823" s="104"/>
    </row>
    <row r="824">
      <c r="A824" s="104"/>
      <c r="B824" s="104"/>
      <c r="C824" s="104"/>
      <c r="D824" s="104"/>
      <c r="E824" s="104"/>
      <c r="F824" s="104"/>
      <c r="G824" s="104"/>
      <c r="H824" s="104"/>
      <c r="I824" s="104"/>
      <c r="J824" s="104"/>
      <c r="K824" s="105"/>
      <c r="L824" s="106"/>
      <c r="M824" s="104"/>
      <c r="N824" s="104"/>
      <c r="O824" s="104"/>
      <c r="P824" s="104"/>
      <c r="Q824" s="104"/>
      <c r="R824" s="106"/>
      <c r="S824" s="104"/>
      <c r="T824" s="104"/>
      <c r="U824" s="104"/>
      <c r="V824" s="104"/>
      <c r="W824" s="105"/>
      <c r="X824" s="104"/>
      <c r="Y824" s="104"/>
      <c r="Z824" s="104"/>
      <c r="AA824" s="104"/>
      <c r="AB824" s="104"/>
      <c r="AC824" s="104"/>
      <c r="AD824" s="104"/>
      <c r="AE824" s="104"/>
      <c r="AF824" s="104"/>
      <c r="AG824" s="104"/>
      <c r="AH824" s="104"/>
      <c r="AI824" s="104"/>
      <c r="AJ824" s="104"/>
      <c r="AK824" s="104"/>
      <c r="AL824" s="104"/>
      <c r="AM824" s="104"/>
      <c r="AN824" s="104"/>
      <c r="AO824" s="104"/>
      <c r="AP824" s="104"/>
      <c r="AQ824" s="104"/>
      <c r="AR824" s="104"/>
      <c r="AS824" s="104"/>
      <c r="AT824" s="104"/>
      <c r="AU824" s="104"/>
      <c r="AV824" s="104"/>
      <c r="AW824" s="104"/>
      <c r="AX824" s="104"/>
      <c r="AY824" s="104"/>
      <c r="AZ824" s="104"/>
      <c r="BA824" s="104"/>
      <c r="BB824" s="104"/>
      <c r="BC824" s="104"/>
      <c r="BD824" s="104"/>
      <c r="BE824" s="104"/>
      <c r="BF824" s="104"/>
      <c r="BG824" s="104"/>
      <c r="BH824" s="104"/>
      <c r="BI824" s="104"/>
      <c r="BJ824" s="104"/>
      <c r="BK824" s="104"/>
      <c r="BL824" s="104"/>
      <c r="BM824" s="104"/>
      <c r="BN824" s="104"/>
    </row>
    <row r="825">
      <c r="A825" s="104"/>
      <c r="B825" s="104"/>
      <c r="C825" s="104"/>
      <c r="D825" s="104"/>
      <c r="E825" s="104"/>
      <c r="F825" s="104"/>
      <c r="G825" s="104"/>
      <c r="H825" s="104"/>
      <c r="I825" s="104"/>
      <c r="J825" s="104"/>
      <c r="K825" s="105"/>
      <c r="L825" s="106"/>
      <c r="M825" s="104"/>
      <c r="N825" s="104"/>
      <c r="O825" s="104"/>
      <c r="P825" s="104"/>
      <c r="Q825" s="104"/>
      <c r="R825" s="106"/>
      <c r="S825" s="104"/>
      <c r="T825" s="104"/>
      <c r="U825" s="104"/>
      <c r="V825" s="104"/>
      <c r="W825" s="105"/>
      <c r="X825" s="104"/>
      <c r="Y825" s="104"/>
      <c r="Z825" s="104"/>
      <c r="AA825" s="104"/>
      <c r="AB825" s="104"/>
      <c r="AC825" s="104"/>
      <c r="AD825" s="104"/>
      <c r="AE825" s="104"/>
      <c r="AF825" s="104"/>
      <c r="AG825" s="104"/>
      <c r="AH825" s="104"/>
      <c r="AI825" s="104"/>
      <c r="AJ825" s="104"/>
      <c r="AK825" s="104"/>
      <c r="AL825" s="104"/>
      <c r="AM825" s="104"/>
      <c r="AN825" s="104"/>
      <c r="AO825" s="104"/>
      <c r="AP825" s="104"/>
      <c r="AQ825" s="104"/>
      <c r="AR825" s="104"/>
      <c r="AS825" s="104"/>
      <c r="AT825" s="104"/>
      <c r="AU825" s="104"/>
      <c r="AV825" s="104"/>
      <c r="AW825" s="104"/>
      <c r="AX825" s="104"/>
      <c r="AY825" s="104"/>
      <c r="AZ825" s="104"/>
      <c r="BA825" s="104"/>
      <c r="BB825" s="104"/>
      <c r="BC825" s="104"/>
      <c r="BD825" s="104"/>
      <c r="BE825" s="104"/>
      <c r="BF825" s="104"/>
      <c r="BG825" s="104"/>
      <c r="BH825" s="104"/>
      <c r="BI825" s="104"/>
      <c r="BJ825" s="104"/>
      <c r="BK825" s="104"/>
      <c r="BL825" s="104"/>
      <c r="BM825" s="104"/>
      <c r="BN825" s="104"/>
    </row>
    <row r="826">
      <c r="A826" s="104"/>
      <c r="B826" s="104"/>
      <c r="C826" s="104"/>
      <c r="D826" s="104"/>
      <c r="E826" s="104"/>
      <c r="F826" s="104"/>
      <c r="G826" s="104"/>
      <c r="H826" s="104"/>
      <c r="I826" s="104"/>
      <c r="J826" s="104"/>
      <c r="K826" s="105"/>
      <c r="L826" s="106"/>
      <c r="M826" s="104"/>
      <c r="N826" s="104"/>
      <c r="O826" s="104"/>
      <c r="P826" s="104"/>
      <c r="Q826" s="104"/>
      <c r="R826" s="106"/>
      <c r="S826" s="104"/>
      <c r="T826" s="104"/>
      <c r="U826" s="104"/>
      <c r="V826" s="104"/>
      <c r="W826" s="105"/>
      <c r="X826" s="104"/>
      <c r="Y826" s="104"/>
      <c r="Z826" s="104"/>
      <c r="AA826" s="104"/>
      <c r="AB826" s="104"/>
      <c r="AC826" s="104"/>
      <c r="AD826" s="104"/>
      <c r="AE826" s="104"/>
      <c r="AF826" s="104"/>
      <c r="AG826" s="104"/>
      <c r="AH826" s="104"/>
      <c r="AI826" s="104"/>
      <c r="AJ826" s="104"/>
      <c r="AK826" s="104"/>
      <c r="AL826" s="104"/>
      <c r="AM826" s="104"/>
      <c r="AN826" s="104"/>
      <c r="AO826" s="104"/>
      <c r="AP826" s="104"/>
      <c r="AQ826" s="104"/>
      <c r="AR826" s="104"/>
      <c r="AS826" s="104"/>
      <c r="AT826" s="104"/>
      <c r="AU826" s="104"/>
      <c r="AV826" s="104"/>
      <c r="AW826" s="104"/>
      <c r="AX826" s="104"/>
      <c r="AY826" s="104"/>
      <c r="AZ826" s="104"/>
      <c r="BA826" s="104"/>
      <c r="BB826" s="104"/>
      <c r="BC826" s="104"/>
      <c r="BD826" s="104"/>
      <c r="BE826" s="104"/>
      <c r="BF826" s="104"/>
      <c r="BG826" s="104"/>
      <c r="BH826" s="104"/>
      <c r="BI826" s="104"/>
      <c r="BJ826" s="104"/>
      <c r="BK826" s="104"/>
      <c r="BL826" s="104"/>
      <c r="BM826" s="104"/>
      <c r="BN826" s="104"/>
    </row>
    <row r="827">
      <c r="A827" s="104"/>
      <c r="B827" s="104"/>
      <c r="C827" s="104"/>
      <c r="D827" s="104"/>
      <c r="E827" s="104"/>
      <c r="F827" s="104"/>
      <c r="G827" s="104"/>
      <c r="H827" s="104"/>
      <c r="I827" s="104"/>
      <c r="J827" s="104"/>
      <c r="K827" s="105"/>
      <c r="L827" s="106"/>
      <c r="M827" s="104"/>
      <c r="N827" s="104"/>
      <c r="O827" s="104"/>
      <c r="P827" s="104"/>
      <c r="Q827" s="104"/>
      <c r="R827" s="106"/>
      <c r="S827" s="104"/>
      <c r="T827" s="104"/>
      <c r="U827" s="104"/>
      <c r="V827" s="104"/>
      <c r="W827" s="105"/>
      <c r="X827" s="104"/>
      <c r="Y827" s="104"/>
      <c r="Z827" s="104"/>
      <c r="AA827" s="104"/>
      <c r="AB827" s="104"/>
      <c r="AC827" s="104"/>
      <c r="AD827" s="104"/>
      <c r="AE827" s="104"/>
      <c r="AF827" s="104"/>
      <c r="AG827" s="104"/>
      <c r="AH827" s="104"/>
      <c r="AI827" s="104"/>
      <c r="AJ827" s="104"/>
      <c r="AK827" s="104"/>
      <c r="AL827" s="104"/>
      <c r="AM827" s="104"/>
      <c r="AN827" s="104"/>
      <c r="AO827" s="104"/>
      <c r="AP827" s="104"/>
      <c r="AQ827" s="104"/>
      <c r="AR827" s="104"/>
      <c r="AS827" s="104"/>
      <c r="AT827" s="104"/>
      <c r="AU827" s="104"/>
      <c r="AV827" s="104"/>
      <c r="AW827" s="104"/>
      <c r="AX827" s="104"/>
      <c r="AY827" s="104"/>
      <c r="AZ827" s="104"/>
      <c r="BA827" s="104"/>
      <c r="BB827" s="104"/>
      <c r="BC827" s="104"/>
      <c r="BD827" s="104"/>
      <c r="BE827" s="104"/>
      <c r="BF827" s="104"/>
      <c r="BG827" s="104"/>
      <c r="BH827" s="104"/>
      <c r="BI827" s="104"/>
      <c r="BJ827" s="104"/>
      <c r="BK827" s="104"/>
      <c r="BL827" s="104"/>
      <c r="BM827" s="104"/>
      <c r="BN827" s="104"/>
    </row>
    <row r="828">
      <c r="A828" s="104"/>
      <c r="B828" s="104"/>
      <c r="C828" s="104"/>
      <c r="D828" s="104"/>
      <c r="E828" s="104"/>
      <c r="F828" s="104"/>
      <c r="G828" s="104"/>
      <c r="H828" s="104"/>
      <c r="I828" s="104"/>
      <c r="J828" s="104"/>
      <c r="K828" s="105"/>
      <c r="L828" s="106"/>
      <c r="M828" s="104"/>
      <c r="N828" s="104"/>
      <c r="O828" s="104"/>
      <c r="P828" s="104"/>
      <c r="Q828" s="104"/>
      <c r="R828" s="106"/>
      <c r="S828" s="104"/>
      <c r="T828" s="104"/>
      <c r="U828" s="104"/>
      <c r="V828" s="104"/>
      <c r="W828" s="105"/>
      <c r="X828" s="104"/>
      <c r="Y828" s="104"/>
      <c r="Z828" s="104"/>
      <c r="AA828" s="104"/>
      <c r="AB828" s="104"/>
      <c r="AC828" s="104"/>
      <c r="AD828" s="104"/>
      <c r="AE828" s="104"/>
      <c r="AF828" s="104"/>
      <c r="AG828" s="104"/>
      <c r="AH828" s="104"/>
      <c r="AI828" s="104"/>
      <c r="AJ828" s="104"/>
      <c r="AK828" s="104"/>
      <c r="AL828" s="104"/>
      <c r="AM828" s="104"/>
      <c r="AN828" s="104"/>
      <c r="AO828" s="104"/>
      <c r="AP828" s="104"/>
      <c r="AQ828" s="104"/>
      <c r="AR828" s="104"/>
      <c r="AS828" s="104"/>
      <c r="AT828" s="104"/>
      <c r="AU828" s="104"/>
      <c r="AV828" s="104"/>
      <c r="AW828" s="104"/>
      <c r="AX828" s="104"/>
      <c r="AY828" s="104"/>
      <c r="AZ828" s="104"/>
      <c r="BA828" s="104"/>
      <c r="BB828" s="104"/>
      <c r="BC828" s="104"/>
      <c r="BD828" s="104"/>
      <c r="BE828" s="104"/>
      <c r="BF828" s="104"/>
      <c r="BG828" s="104"/>
      <c r="BH828" s="104"/>
      <c r="BI828" s="104"/>
      <c r="BJ828" s="104"/>
      <c r="BK828" s="104"/>
      <c r="BL828" s="104"/>
      <c r="BM828" s="104"/>
      <c r="BN828" s="104"/>
    </row>
    <row r="829">
      <c r="A829" s="104"/>
      <c r="B829" s="104"/>
      <c r="C829" s="104"/>
      <c r="D829" s="104"/>
      <c r="E829" s="104"/>
      <c r="F829" s="104"/>
      <c r="G829" s="104"/>
      <c r="H829" s="104"/>
      <c r="I829" s="104"/>
      <c r="J829" s="104"/>
      <c r="K829" s="105"/>
      <c r="L829" s="106"/>
      <c r="M829" s="104"/>
      <c r="N829" s="104"/>
      <c r="O829" s="104"/>
      <c r="P829" s="104"/>
      <c r="Q829" s="104"/>
      <c r="R829" s="106"/>
      <c r="S829" s="104"/>
      <c r="T829" s="104"/>
      <c r="U829" s="104"/>
      <c r="V829" s="104"/>
      <c r="W829" s="105"/>
      <c r="X829" s="104"/>
      <c r="Y829" s="104"/>
      <c r="Z829" s="104"/>
      <c r="AA829" s="104"/>
      <c r="AB829" s="104"/>
      <c r="AC829" s="104"/>
      <c r="AD829" s="104"/>
      <c r="AE829" s="104"/>
      <c r="AF829" s="104"/>
      <c r="AG829" s="104"/>
      <c r="AH829" s="104"/>
      <c r="AI829" s="104"/>
      <c r="AJ829" s="104"/>
      <c r="AK829" s="104"/>
      <c r="AL829" s="104"/>
      <c r="AM829" s="104"/>
      <c r="AN829" s="104"/>
      <c r="AO829" s="104"/>
      <c r="AP829" s="104"/>
      <c r="AQ829" s="104"/>
      <c r="AR829" s="104"/>
      <c r="AS829" s="104"/>
      <c r="AT829" s="104"/>
      <c r="AU829" s="104"/>
      <c r="AV829" s="104"/>
      <c r="AW829" s="104"/>
      <c r="AX829" s="104"/>
      <c r="AY829" s="104"/>
      <c r="AZ829" s="104"/>
      <c r="BA829" s="104"/>
      <c r="BB829" s="104"/>
      <c r="BC829" s="104"/>
      <c r="BD829" s="104"/>
      <c r="BE829" s="104"/>
      <c r="BF829" s="104"/>
      <c r="BG829" s="104"/>
      <c r="BH829" s="104"/>
      <c r="BI829" s="104"/>
      <c r="BJ829" s="104"/>
      <c r="BK829" s="104"/>
      <c r="BL829" s="104"/>
      <c r="BM829" s="104"/>
      <c r="BN829" s="104"/>
    </row>
    <row r="830">
      <c r="A830" s="104"/>
      <c r="B830" s="104"/>
      <c r="C830" s="104"/>
      <c r="D830" s="104"/>
      <c r="E830" s="104"/>
      <c r="F830" s="104"/>
      <c r="G830" s="104"/>
      <c r="H830" s="104"/>
      <c r="I830" s="104"/>
      <c r="J830" s="104"/>
      <c r="K830" s="105"/>
      <c r="L830" s="106"/>
      <c r="M830" s="104"/>
      <c r="N830" s="104"/>
      <c r="O830" s="104"/>
      <c r="P830" s="104"/>
      <c r="Q830" s="104"/>
      <c r="R830" s="106"/>
      <c r="S830" s="104"/>
      <c r="T830" s="104"/>
      <c r="U830" s="104"/>
      <c r="V830" s="104"/>
      <c r="W830" s="105"/>
      <c r="X830" s="104"/>
      <c r="Y830" s="104"/>
      <c r="Z830" s="104"/>
      <c r="AA830" s="104"/>
      <c r="AB830" s="104"/>
      <c r="AC830" s="104"/>
      <c r="AD830" s="104"/>
      <c r="AE830" s="104"/>
      <c r="AF830" s="104"/>
      <c r="AG830" s="104"/>
      <c r="AH830" s="104"/>
      <c r="AI830" s="104"/>
      <c r="AJ830" s="104"/>
      <c r="AK830" s="104"/>
      <c r="AL830" s="104"/>
      <c r="AM830" s="104"/>
      <c r="AN830" s="104"/>
      <c r="AO830" s="104"/>
      <c r="AP830" s="104"/>
      <c r="AQ830" s="104"/>
      <c r="AR830" s="104"/>
      <c r="AS830" s="104"/>
      <c r="AT830" s="104"/>
      <c r="AU830" s="104"/>
      <c r="AV830" s="104"/>
      <c r="AW830" s="104"/>
      <c r="AX830" s="104"/>
      <c r="AY830" s="104"/>
      <c r="AZ830" s="104"/>
      <c r="BA830" s="104"/>
      <c r="BB830" s="104"/>
      <c r="BC830" s="104"/>
      <c r="BD830" s="104"/>
      <c r="BE830" s="104"/>
      <c r="BF830" s="104"/>
      <c r="BG830" s="104"/>
      <c r="BH830" s="104"/>
      <c r="BI830" s="104"/>
      <c r="BJ830" s="104"/>
      <c r="BK830" s="104"/>
      <c r="BL830" s="104"/>
      <c r="BM830" s="104"/>
      <c r="BN830" s="104"/>
    </row>
    <row r="831">
      <c r="A831" s="104"/>
      <c r="B831" s="104"/>
      <c r="C831" s="104"/>
      <c r="D831" s="104"/>
      <c r="E831" s="104"/>
      <c r="F831" s="104"/>
      <c r="G831" s="104"/>
      <c r="H831" s="104"/>
      <c r="I831" s="104"/>
      <c r="J831" s="104"/>
      <c r="K831" s="105"/>
      <c r="L831" s="106"/>
      <c r="M831" s="104"/>
      <c r="N831" s="104"/>
      <c r="O831" s="104"/>
      <c r="P831" s="104"/>
      <c r="Q831" s="104"/>
      <c r="R831" s="106"/>
      <c r="S831" s="104"/>
      <c r="T831" s="104"/>
      <c r="U831" s="104"/>
      <c r="V831" s="104"/>
      <c r="W831" s="105"/>
      <c r="X831" s="104"/>
      <c r="Y831" s="104"/>
      <c r="Z831" s="104"/>
      <c r="AA831" s="104"/>
      <c r="AB831" s="104"/>
      <c r="AC831" s="104"/>
      <c r="AD831" s="104"/>
      <c r="AE831" s="104"/>
      <c r="AF831" s="104"/>
      <c r="AG831" s="104"/>
      <c r="AH831" s="104"/>
      <c r="AI831" s="104"/>
      <c r="AJ831" s="104"/>
      <c r="AK831" s="104"/>
      <c r="AL831" s="104"/>
      <c r="AM831" s="104"/>
      <c r="AN831" s="104"/>
      <c r="AO831" s="104"/>
      <c r="AP831" s="104"/>
      <c r="AQ831" s="104"/>
      <c r="AR831" s="104"/>
      <c r="AS831" s="104"/>
      <c r="AT831" s="104"/>
      <c r="AU831" s="104"/>
      <c r="AV831" s="104"/>
      <c r="AW831" s="104"/>
      <c r="AX831" s="104"/>
      <c r="AY831" s="104"/>
      <c r="AZ831" s="104"/>
      <c r="BA831" s="104"/>
      <c r="BB831" s="104"/>
      <c r="BC831" s="104"/>
      <c r="BD831" s="104"/>
      <c r="BE831" s="104"/>
      <c r="BF831" s="104"/>
      <c r="BG831" s="104"/>
      <c r="BH831" s="104"/>
      <c r="BI831" s="104"/>
      <c r="BJ831" s="104"/>
      <c r="BK831" s="104"/>
      <c r="BL831" s="104"/>
      <c r="BM831" s="104"/>
      <c r="BN831" s="104"/>
    </row>
    <row r="832">
      <c r="A832" s="104"/>
      <c r="B832" s="104"/>
      <c r="C832" s="104"/>
      <c r="D832" s="104"/>
      <c r="E832" s="104"/>
      <c r="F832" s="104"/>
      <c r="G832" s="104"/>
      <c r="H832" s="104"/>
      <c r="I832" s="104"/>
      <c r="J832" s="104"/>
      <c r="K832" s="105"/>
      <c r="L832" s="106"/>
      <c r="M832" s="104"/>
      <c r="N832" s="104"/>
      <c r="O832" s="104"/>
      <c r="P832" s="104"/>
      <c r="Q832" s="104"/>
      <c r="R832" s="106"/>
      <c r="S832" s="104"/>
      <c r="T832" s="104"/>
      <c r="U832" s="104"/>
      <c r="V832" s="104"/>
      <c r="W832" s="105"/>
      <c r="X832" s="104"/>
      <c r="Y832" s="104"/>
      <c r="Z832" s="104"/>
      <c r="AA832" s="104"/>
      <c r="AB832" s="104"/>
      <c r="AC832" s="104"/>
      <c r="AD832" s="104"/>
      <c r="AE832" s="104"/>
      <c r="AF832" s="104"/>
      <c r="AG832" s="104"/>
      <c r="AH832" s="104"/>
      <c r="AI832" s="104"/>
      <c r="AJ832" s="104"/>
      <c r="AK832" s="104"/>
      <c r="AL832" s="104"/>
      <c r="AM832" s="104"/>
      <c r="AN832" s="104"/>
      <c r="AO832" s="104"/>
      <c r="AP832" s="104"/>
      <c r="AQ832" s="104"/>
      <c r="AR832" s="104"/>
      <c r="AS832" s="104"/>
      <c r="AT832" s="104"/>
      <c r="AU832" s="104"/>
      <c r="AV832" s="104"/>
      <c r="AW832" s="104"/>
      <c r="AX832" s="104"/>
      <c r="AY832" s="104"/>
      <c r="AZ832" s="104"/>
      <c r="BA832" s="104"/>
      <c r="BB832" s="104"/>
      <c r="BC832" s="104"/>
      <c r="BD832" s="104"/>
      <c r="BE832" s="104"/>
      <c r="BF832" s="104"/>
      <c r="BG832" s="104"/>
      <c r="BH832" s="104"/>
      <c r="BI832" s="104"/>
      <c r="BJ832" s="104"/>
      <c r="BK832" s="104"/>
      <c r="BL832" s="104"/>
      <c r="BM832" s="104"/>
      <c r="BN832" s="104"/>
    </row>
    <row r="833">
      <c r="A833" s="104"/>
      <c r="B833" s="104"/>
      <c r="C833" s="104"/>
      <c r="D833" s="104"/>
      <c r="E833" s="104"/>
      <c r="F833" s="104"/>
      <c r="G833" s="104"/>
      <c r="H833" s="104"/>
      <c r="I833" s="104"/>
      <c r="J833" s="104"/>
      <c r="K833" s="105"/>
      <c r="L833" s="106"/>
      <c r="M833" s="104"/>
      <c r="N833" s="104"/>
      <c r="O833" s="104"/>
      <c r="P833" s="104"/>
      <c r="Q833" s="104"/>
      <c r="R833" s="106"/>
      <c r="S833" s="104"/>
      <c r="T833" s="104"/>
      <c r="U833" s="104"/>
      <c r="V833" s="104"/>
      <c r="W833" s="105"/>
      <c r="X833" s="104"/>
      <c r="Y833" s="104"/>
      <c r="Z833" s="104"/>
      <c r="AA833" s="104"/>
      <c r="AB833" s="104"/>
      <c r="AC833" s="104"/>
      <c r="AD833" s="104"/>
      <c r="AE833" s="104"/>
      <c r="AF833" s="104"/>
      <c r="AG833" s="104"/>
      <c r="AH833" s="104"/>
      <c r="AI833" s="104"/>
      <c r="AJ833" s="104"/>
      <c r="AK833" s="104"/>
      <c r="AL833" s="104"/>
      <c r="AM833" s="104"/>
      <c r="AN833" s="104"/>
      <c r="AO833" s="104"/>
      <c r="AP833" s="104"/>
      <c r="AQ833" s="104"/>
      <c r="AR833" s="104"/>
      <c r="AS833" s="104"/>
      <c r="AT833" s="104"/>
      <c r="AU833" s="104"/>
      <c r="AV833" s="104"/>
      <c r="AW833" s="104"/>
      <c r="AX833" s="104"/>
      <c r="AY833" s="104"/>
      <c r="AZ833" s="104"/>
      <c r="BA833" s="104"/>
      <c r="BB833" s="104"/>
      <c r="BC833" s="104"/>
      <c r="BD833" s="104"/>
      <c r="BE833" s="104"/>
      <c r="BF833" s="104"/>
      <c r="BG833" s="104"/>
      <c r="BH833" s="104"/>
      <c r="BI833" s="104"/>
      <c r="BJ833" s="104"/>
      <c r="BK833" s="104"/>
      <c r="BL833" s="104"/>
      <c r="BM833" s="104"/>
      <c r="BN833" s="104"/>
    </row>
    <row r="834">
      <c r="A834" s="104"/>
      <c r="B834" s="104"/>
      <c r="C834" s="104"/>
      <c r="D834" s="104"/>
      <c r="E834" s="104"/>
      <c r="F834" s="104"/>
      <c r="G834" s="104"/>
      <c r="H834" s="104"/>
      <c r="I834" s="104"/>
      <c r="J834" s="104"/>
      <c r="K834" s="105"/>
      <c r="L834" s="106"/>
      <c r="M834" s="104"/>
      <c r="N834" s="104"/>
      <c r="O834" s="104"/>
      <c r="P834" s="104"/>
      <c r="Q834" s="104"/>
      <c r="R834" s="106"/>
      <c r="S834" s="104"/>
      <c r="T834" s="104"/>
      <c r="U834" s="104"/>
      <c r="V834" s="104"/>
      <c r="W834" s="105"/>
      <c r="X834" s="104"/>
      <c r="Y834" s="104"/>
      <c r="Z834" s="104"/>
      <c r="AA834" s="104"/>
      <c r="AB834" s="104"/>
      <c r="AC834" s="104"/>
      <c r="AD834" s="104"/>
      <c r="AE834" s="104"/>
      <c r="AF834" s="104"/>
      <c r="AG834" s="104"/>
      <c r="AH834" s="104"/>
      <c r="AI834" s="104"/>
      <c r="AJ834" s="104"/>
      <c r="AK834" s="104"/>
      <c r="AL834" s="104"/>
      <c r="AM834" s="104"/>
      <c r="AN834" s="104"/>
      <c r="AO834" s="104"/>
      <c r="AP834" s="104"/>
      <c r="AQ834" s="104"/>
      <c r="AR834" s="104"/>
      <c r="AS834" s="104"/>
      <c r="AT834" s="104"/>
      <c r="AU834" s="104"/>
      <c r="AV834" s="104"/>
      <c r="AW834" s="104"/>
      <c r="AX834" s="104"/>
      <c r="AY834" s="104"/>
      <c r="AZ834" s="104"/>
      <c r="BA834" s="104"/>
      <c r="BB834" s="104"/>
      <c r="BC834" s="104"/>
      <c r="BD834" s="104"/>
      <c r="BE834" s="104"/>
      <c r="BF834" s="104"/>
      <c r="BG834" s="104"/>
      <c r="BH834" s="104"/>
      <c r="BI834" s="104"/>
      <c r="BJ834" s="104"/>
      <c r="BK834" s="104"/>
      <c r="BL834" s="104"/>
      <c r="BM834" s="104"/>
      <c r="BN834" s="104"/>
    </row>
    <row r="835">
      <c r="A835" s="104"/>
      <c r="B835" s="104"/>
      <c r="C835" s="104"/>
      <c r="D835" s="104"/>
      <c r="E835" s="104"/>
      <c r="F835" s="104"/>
      <c r="G835" s="104"/>
      <c r="H835" s="104"/>
      <c r="I835" s="104"/>
      <c r="J835" s="104"/>
      <c r="K835" s="105"/>
      <c r="L835" s="106"/>
      <c r="M835" s="104"/>
      <c r="N835" s="104"/>
      <c r="O835" s="104"/>
      <c r="P835" s="104"/>
      <c r="Q835" s="104"/>
      <c r="R835" s="106"/>
      <c r="S835" s="104"/>
      <c r="T835" s="104"/>
      <c r="U835" s="104"/>
      <c r="V835" s="104"/>
      <c r="W835" s="105"/>
      <c r="X835" s="104"/>
      <c r="Y835" s="104"/>
      <c r="Z835" s="104"/>
      <c r="AA835" s="104"/>
      <c r="AB835" s="104"/>
      <c r="AC835" s="104"/>
      <c r="AD835" s="104"/>
      <c r="AE835" s="104"/>
      <c r="AF835" s="104"/>
      <c r="AG835" s="104"/>
      <c r="AH835" s="104"/>
      <c r="AI835" s="104"/>
      <c r="AJ835" s="104"/>
      <c r="AK835" s="104"/>
      <c r="AL835" s="104"/>
      <c r="AM835" s="104"/>
      <c r="AN835" s="104"/>
      <c r="AO835" s="104"/>
      <c r="AP835" s="104"/>
      <c r="AQ835" s="104"/>
      <c r="AR835" s="104"/>
      <c r="AS835" s="104"/>
      <c r="AT835" s="104"/>
      <c r="AU835" s="104"/>
      <c r="AV835" s="104"/>
      <c r="AW835" s="104"/>
      <c r="AX835" s="104"/>
      <c r="AY835" s="104"/>
      <c r="AZ835" s="104"/>
      <c r="BA835" s="104"/>
      <c r="BB835" s="104"/>
      <c r="BC835" s="104"/>
      <c r="BD835" s="104"/>
      <c r="BE835" s="104"/>
      <c r="BF835" s="104"/>
      <c r="BG835" s="104"/>
      <c r="BH835" s="104"/>
      <c r="BI835" s="104"/>
      <c r="BJ835" s="104"/>
      <c r="BK835" s="104"/>
      <c r="BL835" s="104"/>
      <c r="BM835" s="104"/>
      <c r="BN835" s="104"/>
    </row>
    <row r="836">
      <c r="A836" s="104"/>
      <c r="B836" s="104"/>
      <c r="C836" s="104"/>
      <c r="D836" s="104"/>
      <c r="E836" s="104"/>
      <c r="F836" s="104"/>
      <c r="G836" s="104"/>
      <c r="H836" s="104"/>
      <c r="I836" s="104"/>
      <c r="J836" s="104"/>
      <c r="K836" s="105"/>
      <c r="L836" s="106"/>
      <c r="M836" s="104"/>
      <c r="N836" s="104"/>
      <c r="O836" s="104"/>
      <c r="P836" s="104"/>
      <c r="Q836" s="104"/>
      <c r="R836" s="106"/>
      <c r="S836" s="104"/>
      <c r="T836" s="104"/>
      <c r="U836" s="104"/>
      <c r="V836" s="104"/>
      <c r="W836" s="105"/>
      <c r="X836" s="104"/>
      <c r="Y836" s="104"/>
      <c r="Z836" s="104"/>
      <c r="AA836" s="104"/>
      <c r="AB836" s="104"/>
      <c r="AC836" s="104"/>
      <c r="AD836" s="104"/>
      <c r="AE836" s="104"/>
      <c r="AF836" s="104"/>
      <c r="AG836" s="104"/>
      <c r="AH836" s="104"/>
      <c r="AI836" s="104"/>
      <c r="AJ836" s="104"/>
      <c r="AK836" s="104"/>
      <c r="AL836" s="104"/>
      <c r="AM836" s="104"/>
      <c r="AN836" s="104"/>
      <c r="AO836" s="104"/>
      <c r="AP836" s="104"/>
      <c r="AQ836" s="104"/>
      <c r="AR836" s="104"/>
      <c r="AS836" s="104"/>
      <c r="AT836" s="104"/>
      <c r="AU836" s="104"/>
      <c r="AV836" s="104"/>
      <c r="AW836" s="104"/>
      <c r="AX836" s="104"/>
      <c r="AY836" s="104"/>
      <c r="AZ836" s="104"/>
      <c r="BA836" s="104"/>
      <c r="BB836" s="104"/>
      <c r="BC836" s="104"/>
      <c r="BD836" s="104"/>
      <c r="BE836" s="104"/>
      <c r="BF836" s="104"/>
      <c r="BG836" s="104"/>
      <c r="BH836" s="104"/>
      <c r="BI836" s="104"/>
      <c r="BJ836" s="104"/>
      <c r="BK836" s="104"/>
      <c r="BL836" s="104"/>
      <c r="BM836" s="104"/>
      <c r="BN836" s="104"/>
    </row>
    <row r="837">
      <c r="A837" s="104"/>
      <c r="B837" s="104"/>
      <c r="C837" s="104"/>
      <c r="D837" s="104"/>
      <c r="E837" s="104"/>
      <c r="F837" s="104"/>
      <c r="G837" s="104"/>
      <c r="H837" s="104"/>
      <c r="I837" s="104"/>
      <c r="J837" s="104"/>
      <c r="K837" s="105"/>
      <c r="L837" s="106"/>
      <c r="M837" s="104"/>
      <c r="N837" s="104"/>
      <c r="O837" s="104"/>
      <c r="P837" s="104"/>
      <c r="Q837" s="104"/>
      <c r="R837" s="106"/>
      <c r="S837" s="104"/>
      <c r="T837" s="104"/>
      <c r="U837" s="104"/>
      <c r="V837" s="104"/>
      <c r="W837" s="105"/>
      <c r="X837" s="104"/>
      <c r="Y837" s="104"/>
      <c r="Z837" s="104"/>
      <c r="AA837" s="104"/>
      <c r="AB837" s="104"/>
      <c r="AC837" s="104"/>
      <c r="AD837" s="104"/>
      <c r="AE837" s="104"/>
      <c r="AF837" s="104"/>
      <c r="AG837" s="104"/>
      <c r="AH837" s="104"/>
      <c r="AI837" s="104"/>
      <c r="AJ837" s="104"/>
      <c r="AK837" s="104"/>
      <c r="AL837" s="104"/>
      <c r="AM837" s="104"/>
      <c r="AN837" s="104"/>
      <c r="AO837" s="104"/>
      <c r="AP837" s="104"/>
      <c r="AQ837" s="104"/>
      <c r="AR837" s="104"/>
      <c r="AS837" s="104"/>
      <c r="AT837" s="104"/>
      <c r="AU837" s="104"/>
      <c r="AV837" s="104"/>
      <c r="AW837" s="104"/>
      <c r="AX837" s="104"/>
      <c r="AY837" s="104"/>
      <c r="AZ837" s="104"/>
      <c r="BA837" s="104"/>
      <c r="BB837" s="104"/>
      <c r="BC837" s="104"/>
      <c r="BD837" s="104"/>
      <c r="BE837" s="104"/>
      <c r="BF837" s="104"/>
      <c r="BG837" s="104"/>
      <c r="BH837" s="104"/>
      <c r="BI837" s="104"/>
      <c r="BJ837" s="104"/>
      <c r="BK837" s="104"/>
      <c r="BL837" s="104"/>
      <c r="BM837" s="104"/>
      <c r="BN837" s="104"/>
    </row>
    <row r="838">
      <c r="A838" s="104"/>
      <c r="B838" s="104"/>
      <c r="C838" s="104"/>
      <c r="D838" s="104"/>
      <c r="E838" s="104"/>
      <c r="F838" s="104"/>
      <c r="G838" s="104"/>
      <c r="H838" s="104"/>
      <c r="I838" s="104"/>
      <c r="J838" s="104"/>
      <c r="K838" s="105"/>
      <c r="L838" s="106"/>
      <c r="M838" s="104"/>
      <c r="N838" s="104"/>
      <c r="O838" s="104"/>
      <c r="P838" s="104"/>
      <c r="Q838" s="104"/>
      <c r="R838" s="106"/>
      <c r="S838" s="104"/>
      <c r="T838" s="104"/>
      <c r="U838" s="104"/>
      <c r="V838" s="104"/>
      <c r="W838" s="105"/>
      <c r="X838" s="104"/>
      <c r="Y838" s="104"/>
      <c r="Z838" s="104"/>
      <c r="AA838" s="104"/>
      <c r="AB838" s="104"/>
      <c r="AC838" s="104"/>
      <c r="AD838" s="104"/>
      <c r="AE838" s="104"/>
      <c r="AF838" s="104"/>
      <c r="AG838" s="104"/>
      <c r="AH838" s="104"/>
      <c r="AI838" s="104"/>
      <c r="AJ838" s="104"/>
      <c r="AK838" s="104"/>
      <c r="AL838" s="104"/>
      <c r="AM838" s="104"/>
      <c r="AN838" s="104"/>
      <c r="AO838" s="104"/>
      <c r="AP838" s="104"/>
      <c r="AQ838" s="104"/>
      <c r="AR838" s="104"/>
      <c r="AS838" s="104"/>
      <c r="AT838" s="104"/>
      <c r="AU838" s="104"/>
      <c r="AV838" s="104"/>
      <c r="AW838" s="104"/>
      <c r="AX838" s="104"/>
      <c r="AY838" s="104"/>
      <c r="AZ838" s="104"/>
      <c r="BA838" s="104"/>
      <c r="BB838" s="104"/>
      <c r="BC838" s="104"/>
      <c r="BD838" s="104"/>
      <c r="BE838" s="104"/>
      <c r="BF838" s="104"/>
      <c r="BG838" s="104"/>
      <c r="BH838" s="104"/>
      <c r="BI838" s="104"/>
      <c r="BJ838" s="104"/>
      <c r="BK838" s="104"/>
      <c r="BL838" s="104"/>
      <c r="BM838" s="104"/>
      <c r="BN838" s="104"/>
    </row>
    <row r="839">
      <c r="A839" s="104"/>
      <c r="B839" s="104"/>
      <c r="C839" s="104"/>
      <c r="D839" s="104"/>
      <c r="E839" s="104"/>
      <c r="F839" s="104"/>
      <c r="G839" s="104"/>
      <c r="H839" s="104"/>
      <c r="I839" s="104"/>
      <c r="J839" s="104"/>
      <c r="K839" s="105"/>
      <c r="L839" s="106"/>
      <c r="M839" s="104"/>
      <c r="N839" s="104"/>
      <c r="O839" s="104"/>
      <c r="P839" s="104"/>
      <c r="Q839" s="104"/>
      <c r="R839" s="106"/>
      <c r="S839" s="104"/>
      <c r="T839" s="104"/>
      <c r="U839" s="104"/>
      <c r="V839" s="104"/>
      <c r="W839" s="105"/>
      <c r="X839" s="104"/>
      <c r="Y839" s="104"/>
      <c r="Z839" s="104"/>
      <c r="AA839" s="104"/>
      <c r="AB839" s="104"/>
      <c r="AC839" s="104"/>
      <c r="AD839" s="104"/>
      <c r="AE839" s="104"/>
      <c r="AF839" s="104"/>
      <c r="AG839" s="104"/>
      <c r="AH839" s="104"/>
      <c r="AI839" s="104"/>
      <c r="AJ839" s="104"/>
      <c r="AK839" s="104"/>
      <c r="AL839" s="104"/>
      <c r="AM839" s="104"/>
      <c r="AN839" s="104"/>
      <c r="AO839" s="104"/>
      <c r="AP839" s="104"/>
      <c r="AQ839" s="104"/>
      <c r="AR839" s="104"/>
      <c r="AS839" s="104"/>
      <c r="AT839" s="104"/>
      <c r="AU839" s="104"/>
      <c r="AV839" s="104"/>
      <c r="AW839" s="104"/>
      <c r="AX839" s="104"/>
      <c r="AY839" s="104"/>
      <c r="AZ839" s="104"/>
      <c r="BA839" s="104"/>
      <c r="BB839" s="104"/>
      <c r="BC839" s="104"/>
      <c r="BD839" s="104"/>
      <c r="BE839" s="104"/>
      <c r="BF839" s="104"/>
      <c r="BG839" s="104"/>
      <c r="BH839" s="104"/>
      <c r="BI839" s="104"/>
      <c r="BJ839" s="104"/>
      <c r="BK839" s="104"/>
      <c r="BL839" s="104"/>
      <c r="BM839" s="104"/>
      <c r="BN839" s="104"/>
    </row>
    <row r="840">
      <c r="A840" s="104"/>
      <c r="B840" s="104"/>
      <c r="C840" s="104"/>
      <c r="D840" s="104"/>
      <c r="E840" s="104"/>
      <c r="F840" s="104"/>
      <c r="G840" s="104"/>
      <c r="H840" s="104"/>
      <c r="I840" s="104"/>
      <c r="J840" s="104"/>
      <c r="K840" s="105"/>
      <c r="L840" s="106"/>
      <c r="M840" s="104"/>
      <c r="N840" s="104"/>
      <c r="O840" s="104"/>
      <c r="P840" s="104"/>
      <c r="Q840" s="104"/>
      <c r="R840" s="106"/>
      <c r="S840" s="104"/>
      <c r="T840" s="104"/>
      <c r="U840" s="104"/>
      <c r="V840" s="104"/>
      <c r="W840" s="105"/>
      <c r="X840" s="104"/>
      <c r="Y840" s="104"/>
      <c r="Z840" s="104"/>
      <c r="AA840" s="104"/>
      <c r="AB840" s="104"/>
      <c r="AC840" s="104"/>
      <c r="AD840" s="104"/>
      <c r="AE840" s="104"/>
      <c r="AF840" s="104"/>
      <c r="AG840" s="104"/>
      <c r="AH840" s="104"/>
      <c r="AI840" s="104"/>
      <c r="AJ840" s="104"/>
      <c r="AK840" s="104"/>
      <c r="AL840" s="104"/>
      <c r="AM840" s="104"/>
      <c r="AN840" s="104"/>
      <c r="AO840" s="104"/>
      <c r="AP840" s="104"/>
      <c r="AQ840" s="104"/>
      <c r="AR840" s="104"/>
      <c r="AS840" s="104"/>
      <c r="AT840" s="104"/>
      <c r="AU840" s="104"/>
      <c r="AV840" s="104"/>
      <c r="AW840" s="104"/>
      <c r="AX840" s="104"/>
      <c r="AY840" s="104"/>
      <c r="AZ840" s="104"/>
      <c r="BA840" s="104"/>
      <c r="BB840" s="104"/>
      <c r="BC840" s="104"/>
      <c r="BD840" s="104"/>
      <c r="BE840" s="104"/>
      <c r="BF840" s="104"/>
      <c r="BG840" s="104"/>
      <c r="BH840" s="104"/>
      <c r="BI840" s="104"/>
      <c r="BJ840" s="104"/>
      <c r="BK840" s="104"/>
      <c r="BL840" s="104"/>
      <c r="BM840" s="104"/>
      <c r="BN840" s="104"/>
    </row>
    <row r="841">
      <c r="A841" s="104"/>
      <c r="B841" s="104"/>
      <c r="C841" s="104"/>
      <c r="D841" s="104"/>
      <c r="E841" s="104"/>
      <c r="F841" s="104"/>
      <c r="G841" s="104"/>
      <c r="H841" s="104"/>
      <c r="I841" s="104"/>
      <c r="J841" s="104"/>
      <c r="K841" s="105"/>
      <c r="L841" s="106"/>
      <c r="M841" s="104"/>
      <c r="N841" s="104"/>
      <c r="O841" s="104"/>
      <c r="P841" s="104"/>
      <c r="Q841" s="104"/>
      <c r="R841" s="106"/>
      <c r="S841" s="104"/>
      <c r="T841" s="104"/>
      <c r="U841" s="104"/>
      <c r="V841" s="104"/>
      <c r="W841" s="105"/>
      <c r="X841" s="104"/>
      <c r="Y841" s="104"/>
      <c r="Z841" s="104"/>
      <c r="AA841" s="104"/>
      <c r="AB841" s="104"/>
      <c r="AC841" s="104"/>
      <c r="AD841" s="104"/>
      <c r="AE841" s="104"/>
      <c r="AF841" s="104"/>
      <c r="AG841" s="104"/>
      <c r="AH841" s="104"/>
      <c r="AI841" s="104"/>
      <c r="AJ841" s="104"/>
      <c r="AK841" s="104"/>
      <c r="AL841" s="104"/>
      <c r="AM841" s="104"/>
      <c r="AN841" s="104"/>
      <c r="AO841" s="104"/>
      <c r="AP841" s="104"/>
      <c r="AQ841" s="104"/>
      <c r="AR841" s="104"/>
      <c r="AS841" s="104"/>
      <c r="AT841" s="104"/>
      <c r="AU841" s="104"/>
      <c r="AV841" s="104"/>
      <c r="AW841" s="104"/>
      <c r="AX841" s="104"/>
      <c r="AY841" s="104"/>
      <c r="AZ841" s="104"/>
      <c r="BA841" s="104"/>
      <c r="BB841" s="104"/>
      <c r="BC841" s="104"/>
      <c r="BD841" s="104"/>
      <c r="BE841" s="104"/>
      <c r="BF841" s="104"/>
      <c r="BG841" s="104"/>
      <c r="BH841" s="104"/>
      <c r="BI841" s="104"/>
      <c r="BJ841" s="104"/>
      <c r="BK841" s="104"/>
      <c r="BL841" s="104"/>
      <c r="BM841" s="104"/>
      <c r="BN841" s="104"/>
    </row>
    <row r="842">
      <c r="A842" s="104"/>
      <c r="B842" s="104"/>
      <c r="C842" s="104"/>
      <c r="D842" s="104"/>
      <c r="E842" s="104"/>
      <c r="F842" s="104"/>
      <c r="G842" s="104"/>
      <c r="H842" s="104"/>
      <c r="I842" s="104"/>
      <c r="J842" s="104"/>
      <c r="K842" s="105"/>
      <c r="L842" s="106"/>
      <c r="M842" s="104"/>
      <c r="N842" s="104"/>
      <c r="O842" s="104"/>
      <c r="P842" s="104"/>
      <c r="Q842" s="104"/>
      <c r="R842" s="106"/>
      <c r="S842" s="104"/>
      <c r="T842" s="104"/>
      <c r="U842" s="104"/>
      <c r="V842" s="104"/>
      <c r="W842" s="105"/>
      <c r="X842" s="104"/>
      <c r="Y842" s="104"/>
      <c r="Z842" s="104"/>
      <c r="AA842" s="104"/>
      <c r="AB842" s="104"/>
      <c r="AC842" s="104"/>
      <c r="AD842" s="104"/>
      <c r="AE842" s="104"/>
      <c r="AF842" s="104"/>
      <c r="AG842" s="104"/>
      <c r="AH842" s="104"/>
      <c r="AI842" s="104"/>
      <c r="AJ842" s="104"/>
      <c r="AK842" s="104"/>
      <c r="AL842" s="104"/>
      <c r="AM842" s="104"/>
      <c r="AN842" s="104"/>
      <c r="AO842" s="104"/>
      <c r="AP842" s="104"/>
      <c r="AQ842" s="104"/>
      <c r="AR842" s="104"/>
      <c r="AS842" s="104"/>
      <c r="AT842" s="104"/>
      <c r="AU842" s="104"/>
      <c r="AV842" s="104"/>
      <c r="AW842" s="104"/>
      <c r="AX842" s="104"/>
      <c r="AY842" s="104"/>
      <c r="AZ842" s="104"/>
      <c r="BA842" s="104"/>
      <c r="BB842" s="104"/>
      <c r="BC842" s="104"/>
      <c r="BD842" s="104"/>
      <c r="BE842" s="104"/>
      <c r="BF842" s="104"/>
      <c r="BG842" s="104"/>
      <c r="BH842" s="104"/>
      <c r="BI842" s="104"/>
      <c r="BJ842" s="104"/>
      <c r="BK842" s="104"/>
      <c r="BL842" s="104"/>
      <c r="BM842" s="104"/>
      <c r="BN842" s="104"/>
    </row>
    <row r="843">
      <c r="A843" s="104"/>
      <c r="B843" s="104"/>
      <c r="C843" s="104"/>
      <c r="D843" s="104"/>
      <c r="E843" s="104"/>
      <c r="F843" s="104"/>
      <c r="G843" s="104"/>
      <c r="H843" s="104"/>
      <c r="I843" s="104"/>
      <c r="J843" s="104"/>
      <c r="K843" s="105"/>
      <c r="L843" s="106"/>
      <c r="M843" s="104"/>
      <c r="N843" s="104"/>
      <c r="O843" s="104"/>
      <c r="P843" s="104"/>
      <c r="Q843" s="104"/>
      <c r="R843" s="106"/>
      <c r="S843" s="104"/>
      <c r="T843" s="104"/>
      <c r="U843" s="104"/>
      <c r="V843" s="104"/>
      <c r="W843" s="105"/>
      <c r="X843" s="104"/>
      <c r="Y843" s="104"/>
      <c r="Z843" s="104"/>
      <c r="AA843" s="104"/>
      <c r="AB843" s="104"/>
      <c r="AC843" s="104"/>
      <c r="AD843" s="104"/>
      <c r="AE843" s="104"/>
      <c r="AF843" s="104"/>
      <c r="AG843" s="104"/>
      <c r="AH843" s="104"/>
      <c r="AI843" s="104"/>
      <c r="AJ843" s="104"/>
      <c r="AK843" s="104"/>
      <c r="AL843" s="104"/>
      <c r="AM843" s="104"/>
      <c r="AN843" s="104"/>
      <c r="AO843" s="104"/>
      <c r="AP843" s="104"/>
      <c r="AQ843" s="104"/>
      <c r="AR843" s="104"/>
      <c r="AS843" s="104"/>
      <c r="AT843" s="104"/>
      <c r="AU843" s="104"/>
      <c r="AV843" s="104"/>
      <c r="AW843" s="104"/>
      <c r="AX843" s="104"/>
      <c r="AY843" s="104"/>
      <c r="AZ843" s="104"/>
      <c r="BA843" s="104"/>
      <c r="BB843" s="104"/>
      <c r="BC843" s="104"/>
      <c r="BD843" s="104"/>
      <c r="BE843" s="104"/>
      <c r="BF843" s="104"/>
      <c r="BG843" s="104"/>
      <c r="BH843" s="104"/>
      <c r="BI843" s="104"/>
      <c r="BJ843" s="104"/>
      <c r="BK843" s="104"/>
      <c r="BL843" s="104"/>
      <c r="BM843" s="104"/>
      <c r="BN843" s="104"/>
    </row>
    <row r="844">
      <c r="A844" s="104"/>
      <c r="B844" s="104"/>
      <c r="C844" s="104"/>
      <c r="D844" s="104"/>
      <c r="E844" s="104"/>
      <c r="F844" s="104"/>
      <c r="G844" s="104"/>
      <c r="H844" s="104"/>
      <c r="I844" s="104"/>
      <c r="J844" s="104"/>
      <c r="K844" s="105"/>
      <c r="L844" s="106"/>
      <c r="M844" s="104"/>
      <c r="N844" s="104"/>
      <c r="O844" s="104"/>
      <c r="P844" s="104"/>
      <c r="Q844" s="104"/>
      <c r="R844" s="106"/>
      <c r="S844" s="104"/>
      <c r="T844" s="104"/>
      <c r="U844" s="104"/>
      <c r="V844" s="104"/>
      <c r="W844" s="105"/>
      <c r="X844" s="104"/>
      <c r="Y844" s="104"/>
      <c r="Z844" s="104"/>
      <c r="AA844" s="104"/>
      <c r="AB844" s="104"/>
      <c r="AC844" s="104"/>
      <c r="AD844" s="104"/>
      <c r="AE844" s="104"/>
      <c r="AF844" s="104"/>
      <c r="AG844" s="104"/>
      <c r="AH844" s="104"/>
      <c r="AI844" s="104"/>
      <c r="AJ844" s="104"/>
      <c r="AK844" s="104"/>
      <c r="AL844" s="104"/>
      <c r="AM844" s="104"/>
      <c r="AN844" s="104"/>
      <c r="AO844" s="104"/>
      <c r="AP844" s="104"/>
      <c r="AQ844" s="104"/>
      <c r="AR844" s="104"/>
      <c r="AS844" s="104"/>
      <c r="AT844" s="104"/>
      <c r="AU844" s="104"/>
      <c r="AV844" s="104"/>
      <c r="AW844" s="104"/>
      <c r="AX844" s="104"/>
      <c r="AY844" s="104"/>
      <c r="AZ844" s="104"/>
      <c r="BA844" s="104"/>
      <c r="BB844" s="104"/>
      <c r="BC844" s="104"/>
      <c r="BD844" s="104"/>
      <c r="BE844" s="104"/>
      <c r="BF844" s="104"/>
      <c r="BG844" s="104"/>
      <c r="BH844" s="104"/>
      <c r="BI844" s="104"/>
      <c r="BJ844" s="104"/>
      <c r="BK844" s="104"/>
      <c r="BL844" s="104"/>
      <c r="BM844" s="104"/>
      <c r="BN844" s="104"/>
    </row>
    <row r="845">
      <c r="A845" s="104"/>
      <c r="B845" s="104"/>
      <c r="C845" s="104"/>
      <c r="D845" s="104"/>
      <c r="E845" s="104"/>
      <c r="F845" s="104"/>
      <c r="G845" s="104"/>
      <c r="H845" s="104"/>
      <c r="I845" s="104"/>
      <c r="J845" s="104"/>
      <c r="K845" s="105"/>
      <c r="L845" s="106"/>
      <c r="M845" s="104"/>
      <c r="N845" s="104"/>
      <c r="O845" s="104"/>
      <c r="P845" s="104"/>
      <c r="Q845" s="104"/>
      <c r="R845" s="106"/>
      <c r="S845" s="104"/>
      <c r="T845" s="104"/>
      <c r="U845" s="104"/>
      <c r="V845" s="104"/>
      <c r="W845" s="105"/>
      <c r="X845" s="104"/>
      <c r="Y845" s="104"/>
      <c r="Z845" s="104"/>
      <c r="AA845" s="104"/>
      <c r="AB845" s="104"/>
      <c r="AC845" s="104"/>
      <c r="AD845" s="104"/>
      <c r="AE845" s="104"/>
      <c r="AF845" s="104"/>
      <c r="AG845" s="104"/>
      <c r="AH845" s="104"/>
      <c r="AI845" s="104"/>
      <c r="AJ845" s="104"/>
      <c r="AK845" s="104"/>
      <c r="AL845" s="104"/>
      <c r="AM845" s="104"/>
      <c r="AN845" s="104"/>
      <c r="AO845" s="104"/>
      <c r="AP845" s="104"/>
      <c r="AQ845" s="104"/>
      <c r="AR845" s="104"/>
      <c r="AS845" s="104"/>
      <c r="AT845" s="104"/>
      <c r="AU845" s="104"/>
      <c r="AV845" s="104"/>
      <c r="AW845" s="104"/>
      <c r="AX845" s="104"/>
      <c r="AY845" s="104"/>
      <c r="AZ845" s="104"/>
      <c r="BA845" s="104"/>
      <c r="BB845" s="104"/>
      <c r="BC845" s="104"/>
      <c r="BD845" s="104"/>
      <c r="BE845" s="104"/>
      <c r="BF845" s="104"/>
      <c r="BG845" s="104"/>
      <c r="BH845" s="104"/>
      <c r="BI845" s="104"/>
      <c r="BJ845" s="104"/>
      <c r="BK845" s="104"/>
      <c r="BL845" s="104"/>
      <c r="BM845" s="104"/>
      <c r="BN845" s="104"/>
    </row>
    <row r="846">
      <c r="A846" s="104"/>
      <c r="B846" s="104"/>
      <c r="C846" s="104"/>
      <c r="D846" s="104"/>
      <c r="E846" s="104"/>
      <c r="F846" s="104"/>
      <c r="G846" s="104"/>
      <c r="H846" s="104"/>
      <c r="I846" s="104"/>
      <c r="J846" s="104"/>
      <c r="K846" s="105"/>
      <c r="L846" s="106"/>
      <c r="M846" s="104"/>
      <c r="N846" s="104"/>
      <c r="O846" s="104"/>
      <c r="P846" s="104"/>
      <c r="Q846" s="104"/>
      <c r="R846" s="106"/>
      <c r="S846" s="104"/>
      <c r="T846" s="104"/>
      <c r="U846" s="104"/>
      <c r="V846" s="104"/>
      <c r="W846" s="105"/>
      <c r="X846" s="104"/>
      <c r="Y846" s="104"/>
      <c r="Z846" s="104"/>
      <c r="AA846" s="104"/>
      <c r="AB846" s="104"/>
      <c r="AC846" s="104"/>
      <c r="AD846" s="104"/>
      <c r="AE846" s="104"/>
      <c r="AF846" s="104"/>
      <c r="AG846" s="104"/>
      <c r="AH846" s="104"/>
      <c r="AI846" s="104"/>
      <c r="AJ846" s="104"/>
      <c r="AK846" s="104"/>
      <c r="AL846" s="104"/>
      <c r="AM846" s="104"/>
      <c r="AN846" s="104"/>
      <c r="AO846" s="104"/>
      <c r="AP846" s="104"/>
      <c r="AQ846" s="104"/>
      <c r="AR846" s="104"/>
      <c r="AS846" s="104"/>
      <c r="AT846" s="104"/>
      <c r="AU846" s="104"/>
      <c r="AV846" s="104"/>
      <c r="AW846" s="104"/>
      <c r="AX846" s="104"/>
      <c r="AY846" s="104"/>
      <c r="AZ846" s="104"/>
      <c r="BA846" s="104"/>
      <c r="BB846" s="104"/>
      <c r="BC846" s="104"/>
      <c r="BD846" s="104"/>
      <c r="BE846" s="104"/>
      <c r="BF846" s="104"/>
      <c r="BG846" s="104"/>
      <c r="BH846" s="104"/>
      <c r="BI846" s="104"/>
      <c r="BJ846" s="104"/>
      <c r="BK846" s="104"/>
      <c r="BL846" s="104"/>
      <c r="BM846" s="104"/>
      <c r="BN846" s="104"/>
    </row>
    <row r="847">
      <c r="A847" s="104"/>
      <c r="B847" s="104"/>
      <c r="C847" s="104"/>
      <c r="D847" s="104"/>
      <c r="E847" s="104"/>
      <c r="F847" s="104"/>
      <c r="G847" s="104"/>
      <c r="H847" s="104"/>
      <c r="I847" s="104"/>
      <c r="J847" s="104"/>
      <c r="K847" s="105"/>
      <c r="L847" s="106"/>
      <c r="M847" s="104"/>
      <c r="N847" s="104"/>
      <c r="O847" s="104"/>
      <c r="P847" s="104"/>
      <c r="Q847" s="104"/>
      <c r="R847" s="106"/>
      <c r="S847" s="104"/>
      <c r="T847" s="104"/>
      <c r="U847" s="104"/>
      <c r="V847" s="104"/>
      <c r="W847" s="105"/>
      <c r="X847" s="104"/>
      <c r="Y847" s="104"/>
      <c r="Z847" s="104"/>
      <c r="AA847" s="104"/>
      <c r="AB847" s="104"/>
      <c r="AC847" s="104"/>
      <c r="AD847" s="104"/>
      <c r="AE847" s="104"/>
      <c r="AF847" s="104"/>
      <c r="AG847" s="104"/>
      <c r="AH847" s="104"/>
      <c r="AI847" s="104"/>
      <c r="AJ847" s="104"/>
      <c r="AK847" s="104"/>
      <c r="AL847" s="104"/>
      <c r="AM847" s="104"/>
      <c r="AN847" s="104"/>
      <c r="AO847" s="104"/>
      <c r="AP847" s="104"/>
      <c r="AQ847" s="104"/>
      <c r="AR847" s="104"/>
      <c r="AS847" s="104"/>
      <c r="AT847" s="104"/>
      <c r="AU847" s="104"/>
      <c r="AV847" s="104"/>
      <c r="AW847" s="104"/>
      <c r="AX847" s="104"/>
      <c r="AY847" s="104"/>
      <c r="AZ847" s="104"/>
      <c r="BA847" s="104"/>
      <c r="BB847" s="104"/>
      <c r="BC847" s="104"/>
      <c r="BD847" s="104"/>
      <c r="BE847" s="104"/>
      <c r="BF847" s="104"/>
      <c r="BG847" s="104"/>
      <c r="BH847" s="104"/>
      <c r="BI847" s="104"/>
      <c r="BJ847" s="104"/>
      <c r="BK847" s="104"/>
      <c r="BL847" s="104"/>
      <c r="BM847" s="104"/>
      <c r="BN847" s="104"/>
    </row>
    <row r="848">
      <c r="A848" s="104"/>
      <c r="B848" s="104"/>
      <c r="C848" s="104"/>
      <c r="D848" s="104"/>
      <c r="E848" s="104"/>
      <c r="F848" s="104"/>
      <c r="G848" s="104"/>
      <c r="H848" s="104"/>
      <c r="I848" s="104"/>
      <c r="J848" s="104"/>
      <c r="K848" s="105"/>
      <c r="L848" s="106"/>
      <c r="M848" s="104"/>
      <c r="N848" s="104"/>
      <c r="O848" s="104"/>
      <c r="P848" s="104"/>
      <c r="Q848" s="104"/>
      <c r="R848" s="106"/>
      <c r="S848" s="104"/>
      <c r="T848" s="104"/>
      <c r="U848" s="104"/>
      <c r="V848" s="104"/>
      <c r="W848" s="105"/>
      <c r="X848" s="104"/>
      <c r="Y848" s="104"/>
      <c r="Z848" s="104"/>
      <c r="AA848" s="104"/>
      <c r="AB848" s="104"/>
      <c r="AC848" s="104"/>
      <c r="AD848" s="104"/>
      <c r="AE848" s="104"/>
      <c r="AF848" s="104"/>
      <c r="AG848" s="104"/>
      <c r="AH848" s="104"/>
      <c r="AI848" s="104"/>
      <c r="AJ848" s="104"/>
      <c r="AK848" s="104"/>
      <c r="AL848" s="104"/>
      <c r="AM848" s="104"/>
      <c r="AN848" s="104"/>
      <c r="AO848" s="104"/>
      <c r="AP848" s="104"/>
      <c r="AQ848" s="104"/>
      <c r="AR848" s="104"/>
      <c r="AS848" s="104"/>
      <c r="AT848" s="104"/>
      <c r="AU848" s="104"/>
      <c r="AV848" s="104"/>
      <c r="AW848" s="104"/>
      <c r="AX848" s="104"/>
      <c r="AY848" s="104"/>
      <c r="AZ848" s="104"/>
      <c r="BA848" s="104"/>
      <c r="BB848" s="104"/>
      <c r="BC848" s="104"/>
      <c r="BD848" s="104"/>
      <c r="BE848" s="104"/>
      <c r="BF848" s="104"/>
      <c r="BG848" s="104"/>
      <c r="BH848" s="104"/>
      <c r="BI848" s="104"/>
      <c r="BJ848" s="104"/>
      <c r="BK848" s="104"/>
      <c r="BL848" s="104"/>
      <c r="BM848" s="104"/>
      <c r="BN848" s="104"/>
    </row>
    <row r="849">
      <c r="A849" s="104"/>
      <c r="B849" s="104"/>
      <c r="C849" s="104"/>
      <c r="D849" s="104"/>
      <c r="E849" s="104"/>
      <c r="F849" s="104"/>
      <c r="G849" s="104"/>
      <c r="H849" s="104"/>
      <c r="I849" s="104"/>
      <c r="J849" s="104"/>
      <c r="K849" s="105"/>
      <c r="L849" s="106"/>
      <c r="M849" s="104"/>
      <c r="N849" s="104"/>
      <c r="O849" s="104"/>
      <c r="P849" s="104"/>
      <c r="Q849" s="104"/>
      <c r="R849" s="106"/>
      <c r="S849" s="104"/>
      <c r="T849" s="104"/>
      <c r="U849" s="104"/>
      <c r="V849" s="104"/>
      <c r="W849" s="105"/>
      <c r="X849" s="104"/>
      <c r="Y849" s="104"/>
      <c r="Z849" s="104"/>
      <c r="AA849" s="104"/>
      <c r="AB849" s="104"/>
      <c r="AC849" s="104"/>
      <c r="AD849" s="104"/>
      <c r="AE849" s="104"/>
      <c r="AF849" s="104"/>
      <c r="AG849" s="104"/>
      <c r="AH849" s="104"/>
      <c r="AI849" s="104"/>
      <c r="AJ849" s="104"/>
      <c r="AK849" s="104"/>
      <c r="AL849" s="104"/>
      <c r="AM849" s="104"/>
      <c r="AN849" s="104"/>
      <c r="AO849" s="104"/>
      <c r="AP849" s="104"/>
      <c r="AQ849" s="104"/>
      <c r="AR849" s="104"/>
      <c r="AS849" s="104"/>
      <c r="AT849" s="104"/>
      <c r="AU849" s="104"/>
      <c r="AV849" s="104"/>
      <c r="AW849" s="104"/>
      <c r="AX849" s="104"/>
      <c r="AY849" s="104"/>
      <c r="AZ849" s="104"/>
      <c r="BA849" s="104"/>
      <c r="BB849" s="104"/>
      <c r="BC849" s="104"/>
      <c r="BD849" s="104"/>
      <c r="BE849" s="104"/>
      <c r="BF849" s="104"/>
      <c r="BG849" s="104"/>
      <c r="BH849" s="104"/>
      <c r="BI849" s="104"/>
      <c r="BJ849" s="104"/>
      <c r="BK849" s="104"/>
      <c r="BL849" s="104"/>
      <c r="BM849" s="104"/>
      <c r="BN849" s="104"/>
    </row>
    <row r="850">
      <c r="A850" s="104"/>
      <c r="B850" s="104"/>
      <c r="C850" s="104"/>
      <c r="D850" s="104"/>
      <c r="E850" s="104"/>
      <c r="F850" s="104"/>
      <c r="G850" s="104"/>
      <c r="H850" s="104"/>
      <c r="I850" s="104"/>
      <c r="J850" s="104"/>
      <c r="K850" s="105"/>
      <c r="L850" s="106"/>
      <c r="M850" s="104"/>
      <c r="N850" s="104"/>
      <c r="O850" s="104"/>
      <c r="P850" s="104"/>
      <c r="Q850" s="104"/>
      <c r="R850" s="106"/>
      <c r="S850" s="104"/>
      <c r="T850" s="104"/>
      <c r="U850" s="104"/>
      <c r="V850" s="104"/>
      <c r="W850" s="105"/>
      <c r="X850" s="104"/>
      <c r="Y850" s="104"/>
      <c r="Z850" s="104"/>
      <c r="AA850" s="104"/>
      <c r="AB850" s="104"/>
      <c r="AC850" s="104"/>
      <c r="AD850" s="104"/>
      <c r="AE850" s="104"/>
      <c r="AF850" s="104"/>
      <c r="AG850" s="104"/>
      <c r="AH850" s="104"/>
      <c r="AI850" s="104"/>
      <c r="AJ850" s="104"/>
      <c r="AK850" s="104"/>
      <c r="AL850" s="104"/>
      <c r="AM850" s="104"/>
      <c r="AN850" s="104"/>
      <c r="AO850" s="104"/>
      <c r="AP850" s="104"/>
      <c r="AQ850" s="104"/>
      <c r="AR850" s="104"/>
      <c r="AS850" s="104"/>
      <c r="AT850" s="104"/>
      <c r="AU850" s="104"/>
      <c r="AV850" s="104"/>
      <c r="AW850" s="104"/>
      <c r="AX850" s="104"/>
      <c r="AY850" s="104"/>
      <c r="AZ850" s="104"/>
      <c r="BA850" s="104"/>
      <c r="BB850" s="104"/>
      <c r="BC850" s="104"/>
      <c r="BD850" s="104"/>
      <c r="BE850" s="104"/>
      <c r="BF850" s="104"/>
      <c r="BG850" s="104"/>
      <c r="BH850" s="104"/>
      <c r="BI850" s="104"/>
      <c r="BJ850" s="104"/>
      <c r="BK850" s="104"/>
      <c r="BL850" s="104"/>
      <c r="BM850" s="104"/>
      <c r="BN850" s="104"/>
    </row>
    <row r="851">
      <c r="A851" s="104"/>
      <c r="B851" s="104"/>
      <c r="C851" s="104"/>
      <c r="D851" s="104"/>
      <c r="E851" s="104"/>
      <c r="F851" s="104"/>
      <c r="G851" s="104"/>
      <c r="H851" s="104"/>
      <c r="I851" s="104"/>
      <c r="J851" s="104"/>
      <c r="K851" s="105"/>
      <c r="L851" s="106"/>
      <c r="M851" s="104"/>
      <c r="N851" s="104"/>
      <c r="O851" s="104"/>
      <c r="P851" s="104"/>
      <c r="Q851" s="104"/>
      <c r="R851" s="106"/>
      <c r="S851" s="104"/>
      <c r="T851" s="104"/>
      <c r="U851" s="104"/>
      <c r="V851" s="104"/>
      <c r="W851" s="105"/>
      <c r="X851" s="104"/>
      <c r="Y851" s="104"/>
      <c r="Z851" s="104"/>
      <c r="AA851" s="104"/>
      <c r="AB851" s="104"/>
      <c r="AC851" s="104"/>
      <c r="AD851" s="104"/>
      <c r="AE851" s="104"/>
      <c r="AF851" s="104"/>
      <c r="AG851" s="104"/>
      <c r="AH851" s="104"/>
      <c r="AI851" s="104"/>
      <c r="AJ851" s="104"/>
      <c r="AK851" s="104"/>
      <c r="AL851" s="104"/>
      <c r="AM851" s="104"/>
      <c r="AN851" s="104"/>
      <c r="AO851" s="104"/>
      <c r="AP851" s="104"/>
      <c r="AQ851" s="104"/>
      <c r="AR851" s="104"/>
      <c r="AS851" s="104"/>
      <c r="AT851" s="104"/>
      <c r="AU851" s="104"/>
      <c r="AV851" s="104"/>
      <c r="AW851" s="104"/>
      <c r="AX851" s="104"/>
      <c r="AY851" s="104"/>
      <c r="AZ851" s="104"/>
      <c r="BA851" s="104"/>
      <c r="BB851" s="104"/>
      <c r="BC851" s="104"/>
      <c r="BD851" s="104"/>
      <c r="BE851" s="104"/>
      <c r="BF851" s="104"/>
      <c r="BG851" s="104"/>
      <c r="BH851" s="104"/>
      <c r="BI851" s="104"/>
      <c r="BJ851" s="104"/>
      <c r="BK851" s="104"/>
      <c r="BL851" s="104"/>
      <c r="BM851" s="104"/>
      <c r="BN851" s="104"/>
    </row>
    <row r="852">
      <c r="A852" s="104"/>
      <c r="B852" s="104"/>
      <c r="C852" s="104"/>
      <c r="D852" s="104"/>
      <c r="E852" s="104"/>
      <c r="F852" s="104"/>
      <c r="G852" s="104"/>
      <c r="H852" s="104"/>
      <c r="I852" s="104"/>
      <c r="J852" s="104"/>
      <c r="K852" s="105"/>
      <c r="L852" s="106"/>
      <c r="M852" s="104"/>
      <c r="N852" s="104"/>
      <c r="O852" s="104"/>
      <c r="P852" s="104"/>
      <c r="Q852" s="104"/>
      <c r="R852" s="106"/>
      <c r="S852" s="104"/>
      <c r="T852" s="104"/>
      <c r="U852" s="104"/>
      <c r="V852" s="104"/>
      <c r="W852" s="105"/>
      <c r="X852" s="104"/>
      <c r="Y852" s="104"/>
      <c r="Z852" s="104"/>
      <c r="AA852" s="104"/>
      <c r="AB852" s="104"/>
      <c r="AC852" s="104"/>
      <c r="AD852" s="104"/>
      <c r="AE852" s="104"/>
      <c r="AF852" s="104"/>
      <c r="AG852" s="104"/>
      <c r="AH852" s="104"/>
      <c r="AI852" s="104"/>
      <c r="AJ852" s="104"/>
      <c r="AK852" s="104"/>
      <c r="AL852" s="104"/>
      <c r="AM852" s="104"/>
      <c r="AN852" s="104"/>
      <c r="AO852" s="104"/>
      <c r="AP852" s="104"/>
      <c r="AQ852" s="104"/>
      <c r="AR852" s="104"/>
      <c r="AS852" s="104"/>
      <c r="AT852" s="104"/>
      <c r="AU852" s="104"/>
      <c r="AV852" s="104"/>
      <c r="AW852" s="104"/>
      <c r="AX852" s="104"/>
      <c r="AY852" s="104"/>
      <c r="AZ852" s="104"/>
      <c r="BA852" s="104"/>
      <c r="BB852" s="104"/>
      <c r="BC852" s="104"/>
      <c r="BD852" s="104"/>
      <c r="BE852" s="104"/>
      <c r="BF852" s="104"/>
      <c r="BG852" s="104"/>
      <c r="BH852" s="104"/>
      <c r="BI852" s="104"/>
      <c r="BJ852" s="104"/>
      <c r="BK852" s="104"/>
      <c r="BL852" s="104"/>
      <c r="BM852" s="104"/>
      <c r="BN852" s="104"/>
    </row>
    <row r="853">
      <c r="A853" s="104"/>
      <c r="B853" s="104"/>
      <c r="C853" s="104"/>
      <c r="D853" s="104"/>
      <c r="E853" s="104"/>
      <c r="F853" s="104"/>
      <c r="G853" s="104"/>
      <c r="H853" s="104"/>
      <c r="I853" s="104"/>
      <c r="J853" s="104"/>
      <c r="K853" s="105"/>
      <c r="L853" s="106"/>
      <c r="M853" s="104"/>
      <c r="N853" s="104"/>
      <c r="O853" s="104"/>
      <c r="P853" s="104"/>
      <c r="Q853" s="104"/>
      <c r="R853" s="106"/>
      <c r="S853" s="104"/>
      <c r="T853" s="104"/>
      <c r="U853" s="104"/>
      <c r="V853" s="104"/>
      <c r="W853" s="105"/>
      <c r="X853" s="104"/>
      <c r="Y853" s="104"/>
      <c r="Z853" s="104"/>
      <c r="AA853" s="104"/>
      <c r="AB853" s="104"/>
      <c r="AC853" s="104"/>
      <c r="AD853" s="104"/>
      <c r="AE853" s="104"/>
      <c r="AF853" s="104"/>
      <c r="AG853" s="104"/>
      <c r="AH853" s="104"/>
      <c r="AI853" s="104"/>
      <c r="AJ853" s="104"/>
      <c r="AK853" s="104"/>
      <c r="AL853" s="104"/>
      <c r="AM853" s="104"/>
      <c r="AN853" s="104"/>
      <c r="AO853" s="104"/>
      <c r="AP853" s="104"/>
      <c r="AQ853" s="104"/>
      <c r="AR853" s="104"/>
      <c r="AS853" s="104"/>
      <c r="AT853" s="104"/>
      <c r="AU853" s="104"/>
      <c r="AV853" s="104"/>
      <c r="AW853" s="104"/>
      <c r="AX853" s="104"/>
      <c r="AY853" s="104"/>
      <c r="AZ853" s="104"/>
      <c r="BA853" s="104"/>
      <c r="BB853" s="104"/>
      <c r="BC853" s="104"/>
      <c r="BD853" s="104"/>
      <c r="BE853" s="104"/>
      <c r="BF853" s="104"/>
      <c r="BG853" s="104"/>
      <c r="BH853" s="104"/>
      <c r="BI853" s="104"/>
      <c r="BJ853" s="104"/>
      <c r="BK853" s="104"/>
      <c r="BL853" s="104"/>
      <c r="BM853" s="104"/>
      <c r="BN853" s="104"/>
    </row>
    <row r="854">
      <c r="A854" s="104"/>
      <c r="B854" s="104"/>
      <c r="C854" s="104"/>
      <c r="D854" s="104"/>
      <c r="E854" s="104"/>
      <c r="F854" s="104"/>
      <c r="G854" s="104"/>
      <c r="H854" s="104"/>
      <c r="I854" s="104"/>
      <c r="J854" s="104"/>
      <c r="K854" s="105"/>
      <c r="L854" s="106"/>
      <c r="M854" s="104"/>
      <c r="N854" s="104"/>
      <c r="O854" s="104"/>
      <c r="P854" s="104"/>
      <c r="Q854" s="104"/>
      <c r="R854" s="106"/>
      <c r="S854" s="104"/>
      <c r="T854" s="104"/>
      <c r="U854" s="104"/>
      <c r="V854" s="104"/>
      <c r="W854" s="105"/>
      <c r="X854" s="104"/>
      <c r="Y854" s="104"/>
      <c r="Z854" s="104"/>
      <c r="AA854" s="104"/>
      <c r="AB854" s="104"/>
      <c r="AC854" s="104"/>
      <c r="AD854" s="104"/>
      <c r="AE854" s="104"/>
      <c r="AF854" s="104"/>
      <c r="AG854" s="104"/>
      <c r="AH854" s="104"/>
      <c r="AI854" s="104"/>
      <c r="AJ854" s="104"/>
      <c r="AK854" s="104"/>
      <c r="AL854" s="104"/>
      <c r="AM854" s="104"/>
      <c r="AN854" s="104"/>
      <c r="AO854" s="104"/>
      <c r="AP854" s="104"/>
      <c r="AQ854" s="104"/>
      <c r="AR854" s="104"/>
      <c r="AS854" s="104"/>
      <c r="AT854" s="104"/>
      <c r="AU854" s="104"/>
      <c r="AV854" s="104"/>
      <c r="AW854" s="104"/>
      <c r="AX854" s="104"/>
      <c r="AY854" s="104"/>
      <c r="AZ854" s="104"/>
      <c r="BA854" s="104"/>
      <c r="BB854" s="104"/>
      <c r="BC854" s="104"/>
      <c r="BD854" s="104"/>
      <c r="BE854" s="104"/>
      <c r="BF854" s="104"/>
      <c r="BG854" s="104"/>
      <c r="BH854" s="104"/>
      <c r="BI854" s="104"/>
      <c r="BJ854" s="104"/>
      <c r="BK854" s="104"/>
      <c r="BL854" s="104"/>
      <c r="BM854" s="104"/>
      <c r="BN854" s="104"/>
    </row>
    <row r="855">
      <c r="A855" s="104"/>
      <c r="B855" s="104"/>
      <c r="C855" s="104"/>
      <c r="D855" s="104"/>
      <c r="E855" s="104"/>
      <c r="F855" s="104"/>
      <c r="G855" s="104"/>
      <c r="H855" s="104"/>
      <c r="I855" s="104"/>
      <c r="J855" s="104"/>
      <c r="K855" s="105"/>
      <c r="L855" s="106"/>
      <c r="M855" s="104"/>
      <c r="N855" s="104"/>
      <c r="O855" s="104"/>
      <c r="P855" s="104"/>
      <c r="Q855" s="104"/>
      <c r="R855" s="106"/>
      <c r="S855" s="104"/>
      <c r="T855" s="104"/>
      <c r="U855" s="104"/>
      <c r="V855" s="104"/>
      <c r="W855" s="105"/>
      <c r="X855" s="104"/>
      <c r="Y855" s="104"/>
      <c r="Z855" s="104"/>
      <c r="AA855" s="104"/>
      <c r="AB855" s="104"/>
      <c r="AC855" s="104"/>
      <c r="AD855" s="104"/>
      <c r="AE855" s="104"/>
      <c r="AF855" s="104"/>
      <c r="AG855" s="104"/>
      <c r="AH855" s="104"/>
      <c r="AI855" s="104"/>
      <c r="AJ855" s="104"/>
      <c r="AK855" s="104"/>
      <c r="AL855" s="104"/>
      <c r="AM855" s="104"/>
      <c r="AN855" s="104"/>
      <c r="AO855" s="104"/>
      <c r="AP855" s="104"/>
      <c r="AQ855" s="104"/>
      <c r="AR855" s="104"/>
      <c r="AS855" s="104"/>
      <c r="AT855" s="104"/>
      <c r="AU855" s="104"/>
      <c r="AV855" s="104"/>
      <c r="AW855" s="104"/>
      <c r="AX855" s="104"/>
      <c r="AY855" s="104"/>
      <c r="AZ855" s="104"/>
      <c r="BA855" s="104"/>
      <c r="BB855" s="104"/>
      <c r="BC855" s="104"/>
      <c r="BD855" s="104"/>
      <c r="BE855" s="104"/>
      <c r="BF855" s="104"/>
      <c r="BG855" s="104"/>
      <c r="BH855" s="104"/>
      <c r="BI855" s="104"/>
      <c r="BJ855" s="104"/>
      <c r="BK855" s="104"/>
      <c r="BL855" s="104"/>
      <c r="BM855" s="104"/>
      <c r="BN855" s="104"/>
    </row>
    <row r="856">
      <c r="A856" s="104"/>
      <c r="B856" s="104"/>
      <c r="C856" s="104"/>
      <c r="D856" s="104"/>
      <c r="E856" s="104"/>
      <c r="F856" s="104"/>
      <c r="G856" s="104"/>
      <c r="H856" s="104"/>
      <c r="I856" s="104"/>
      <c r="J856" s="104"/>
      <c r="K856" s="105"/>
      <c r="L856" s="106"/>
      <c r="M856" s="104"/>
      <c r="N856" s="104"/>
      <c r="O856" s="104"/>
      <c r="P856" s="104"/>
      <c r="Q856" s="104"/>
      <c r="R856" s="106"/>
      <c r="S856" s="104"/>
      <c r="T856" s="104"/>
      <c r="U856" s="104"/>
      <c r="V856" s="104"/>
      <c r="W856" s="105"/>
      <c r="X856" s="104"/>
      <c r="Y856" s="104"/>
      <c r="Z856" s="104"/>
      <c r="AA856" s="104"/>
      <c r="AB856" s="104"/>
      <c r="AC856" s="104"/>
      <c r="AD856" s="104"/>
      <c r="AE856" s="104"/>
      <c r="AF856" s="104"/>
      <c r="AG856" s="104"/>
      <c r="AH856" s="104"/>
      <c r="AI856" s="104"/>
      <c r="AJ856" s="104"/>
      <c r="AK856" s="104"/>
      <c r="AL856" s="104"/>
      <c r="AM856" s="104"/>
      <c r="AN856" s="104"/>
      <c r="AO856" s="104"/>
      <c r="AP856" s="104"/>
      <c r="AQ856" s="104"/>
      <c r="AR856" s="104"/>
      <c r="AS856" s="104"/>
      <c r="AT856" s="104"/>
      <c r="AU856" s="104"/>
      <c r="AV856" s="104"/>
      <c r="AW856" s="104"/>
      <c r="AX856" s="104"/>
      <c r="AY856" s="104"/>
      <c r="AZ856" s="104"/>
      <c r="BA856" s="104"/>
      <c r="BB856" s="104"/>
      <c r="BC856" s="104"/>
      <c r="BD856" s="104"/>
      <c r="BE856" s="104"/>
      <c r="BF856" s="104"/>
      <c r="BG856" s="104"/>
      <c r="BH856" s="104"/>
      <c r="BI856" s="104"/>
      <c r="BJ856" s="104"/>
      <c r="BK856" s="104"/>
      <c r="BL856" s="104"/>
      <c r="BM856" s="104"/>
      <c r="BN856" s="104"/>
    </row>
    <row r="857">
      <c r="A857" s="104"/>
      <c r="B857" s="104"/>
      <c r="C857" s="104"/>
      <c r="D857" s="104"/>
      <c r="E857" s="104"/>
      <c r="F857" s="104"/>
      <c r="G857" s="104"/>
      <c r="H857" s="104"/>
      <c r="I857" s="104"/>
      <c r="J857" s="104"/>
      <c r="K857" s="105"/>
      <c r="L857" s="106"/>
      <c r="M857" s="104"/>
      <c r="N857" s="104"/>
      <c r="O857" s="104"/>
      <c r="P857" s="104"/>
      <c r="Q857" s="104"/>
      <c r="R857" s="106"/>
      <c r="S857" s="104"/>
      <c r="T857" s="104"/>
      <c r="U857" s="104"/>
      <c r="V857" s="104"/>
      <c r="W857" s="105"/>
      <c r="X857" s="104"/>
      <c r="Y857" s="104"/>
      <c r="Z857" s="104"/>
      <c r="AA857" s="104"/>
      <c r="AB857" s="104"/>
      <c r="AC857" s="104"/>
      <c r="AD857" s="104"/>
      <c r="AE857" s="104"/>
      <c r="AF857" s="104"/>
      <c r="AG857" s="104"/>
      <c r="AH857" s="104"/>
      <c r="AI857" s="104"/>
      <c r="AJ857" s="104"/>
      <c r="AK857" s="104"/>
      <c r="AL857" s="104"/>
      <c r="AM857" s="104"/>
      <c r="AN857" s="104"/>
      <c r="AO857" s="104"/>
      <c r="AP857" s="104"/>
      <c r="AQ857" s="104"/>
      <c r="AR857" s="104"/>
      <c r="AS857" s="104"/>
      <c r="AT857" s="104"/>
      <c r="AU857" s="104"/>
      <c r="AV857" s="104"/>
      <c r="AW857" s="104"/>
      <c r="AX857" s="104"/>
      <c r="AY857" s="104"/>
      <c r="AZ857" s="104"/>
      <c r="BA857" s="104"/>
      <c r="BB857" s="104"/>
      <c r="BC857" s="104"/>
      <c r="BD857" s="104"/>
      <c r="BE857" s="104"/>
      <c r="BF857" s="104"/>
      <c r="BG857" s="104"/>
      <c r="BH857" s="104"/>
      <c r="BI857" s="104"/>
      <c r="BJ857" s="104"/>
      <c r="BK857" s="104"/>
      <c r="BL857" s="104"/>
      <c r="BM857" s="104"/>
      <c r="BN857" s="104"/>
    </row>
    <row r="858">
      <c r="A858" s="104"/>
      <c r="B858" s="104"/>
      <c r="C858" s="104"/>
      <c r="D858" s="104"/>
      <c r="E858" s="104"/>
      <c r="F858" s="104"/>
      <c r="G858" s="104"/>
      <c r="H858" s="104"/>
      <c r="I858" s="104"/>
      <c r="J858" s="104"/>
      <c r="K858" s="105"/>
      <c r="L858" s="106"/>
      <c r="M858" s="104"/>
      <c r="N858" s="104"/>
      <c r="O858" s="104"/>
      <c r="P858" s="104"/>
      <c r="Q858" s="104"/>
      <c r="R858" s="106"/>
      <c r="S858" s="104"/>
      <c r="T858" s="104"/>
      <c r="U858" s="104"/>
      <c r="V858" s="104"/>
      <c r="W858" s="105"/>
      <c r="X858" s="104"/>
      <c r="Y858" s="104"/>
      <c r="Z858" s="104"/>
      <c r="AA858" s="104"/>
      <c r="AB858" s="104"/>
      <c r="AC858" s="104"/>
      <c r="AD858" s="104"/>
      <c r="AE858" s="104"/>
      <c r="AF858" s="104"/>
      <c r="AG858" s="104"/>
      <c r="AH858" s="104"/>
      <c r="AI858" s="104"/>
      <c r="AJ858" s="104"/>
      <c r="AK858" s="104"/>
      <c r="AL858" s="104"/>
      <c r="AM858" s="104"/>
      <c r="AN858" s="104"/>
      <c r="AO858" s="104"/>
      <c r="AP858" s="104"/>
      <c r="AQ858" s="104"/>
      <c r="AR858" s="104"/>
      <c r="AS858" s="104"/>
      <c r="AT858" s="104"/>
      <c r="AU858" s="104"/>
      <c r="AV858" s="104"/>
      <c r="AW858" s="104"/>
      <c r="AX858" s="104"/>
      <c r="AY858" s="104"/>
      <c r="AZ858" s="104"/>
      <c r="BA858" s="104"/>
      <c r="BB858" s="104"/>
      <c r="BC858" s="104"/>
      <c r="BD858" s="104"/>
      <c r="BE858" s="104"/>
      <c r="BF858" s="104"/>
      <c r="BG858" s="104"/>
      <c r="BH858" s="104"/>
      <c r="BI858" s="104"/>
      <c r="BJ858" s="104"/>
      <c r="BK858" s="104"/>
      <c r="BL858" s="104"/>
      <c r="BM858" s="104"/>
      <c r="BN858" s="104"/>
    </row>
    <row r="859">
      <c r="A859" s="104"/>
      <c r="B859" s="104"/>
      <c r="C859" s="104"/>
      <c r="D859" s="104"/>
      <c r="E859" s="104"/>
      <c r="F859" s="104"/>
      <c r="G859" s="104"/>
      <c r="H859" s="104"/>
      <c r="I859" s="104"/>
      <c r="J859" s="104"/>
      <c r="K859" s="105"/>
      <c r="L859" s="106"/>
      <c r="M859" s="104"/>
      <c r="N859" s="104"/>
      <c r="O859" s="104"/>
      <c r="P859" s="104"/>
      <c r="Q859" s="104"/>
      <c r="R859" s="106"/>
      <c r="S859" s="104"/>
      <c r="T859" s="104"/>
      <c r="U859" s="104"/>
      <c r="V859" s="104"/>
      <c r="W859" s="105"/>
      <c r="X859" s="104"/>
      <c r="Y859" s="104"/>
      <c r="Z859" s="104"/>
      <c r="AA859" s="104"/>
      <c r="AB859" s="104"/>
      <c r="AC859" s="104"/>
      <c r="AD859" s="104"/>
      <c r="AE859" s="104"/>
      <c r="AF859" s="104"/>
      <c r="AG859" s="104"/>
      <c r="AH859" s="104"/>
      <c r="AI859" s="104"/>
      <c r="AJ859" s="104"/>
      <c r="AK859" s="104"/>
      <c r="AL859" s="104"/>
      <c r="AM859" s="104"/>
      <c r="AN859" s="104"/>
      <c r="AO859" s="104"/>
      <c r="AP859" s="104"/>
      <c r="AQ859" s="104"/>
      <c r="AR859" s="104"/>
      <c r="AS859" s="104"/>
      <c r="AT859" s="104"/>
      <c r="AU859" s="104"/>
      <c r="AV859" s="104"/>
      <c r="AW859" s="104"/>
      <c r="AX859" s="104"/>
      <c r="AY859" s="104"/>
      <c r="AZ859" s="104"/>
      <c r="BA859" s="104"/>
      <c r="BB859" s="104"/>
      <c r="BC859" s="104"/>
      <c r="BD859" s="104"/>
      <c r="BE859" s="104"/>
      <c r="BF859" s="104"/>
      <c r="BG859" s="104"/>
      <c r="BH859" s="104"/>
      <c r="BI859" s="104"/>
      <c r="BJ859" s="104"/>
      <c r="BK859" s="104"/>
      <c r="BL859" s="104"/>
      <c r="BM859" s="104"/>
      <c r="BN859" s="104"/>
    </row>
    <row r="860">
      <c r="A860" s="104"/>
      <c r="B860" s="104"/>
      <c r="C860" s="104"/>
      <c r="D860" s="104"/>
      <c r="E860" s="104"/>
      <c r="F860" s="104"/>
      <c r="G860" s="104"/>
      <c r="H860" s="104"/>
      <c r="I860" s="104"/>
      <c r="J860" s="104"/>
      <c r="K860" s="105"/>
      <c r="L860" s="106"/>
      <c r="M860" s="104"/>
      <c r="N860" s="104"/>
      <c r="O860" s="104"/>
      <c r="P860" s="104"/>
      <c r="Q860" s="104"/>
      <c r="R860" s="106"/>
      <c r="S860" s="104"/>
      <c r="T860" s="104"/>
      <c r="U860" s="104"/>
      <c r="V860" s="104"/>
      <c r="W860" s="105"/>
      <c r="X860" s="104"/>
      <c r="Y860" s="104"/>
      <c r="Z860" s="104"/>
      <c r="AA860" s="104"/>
      <c r="AB860" s="104"/>
      <c r="AC860" s="104"/>
      <c r="AD860" s="104"/>
      <c r="AE860" s="104"/>
      <c r="AF860" s="104"/>
      <c r="AG860" s="104"/>
      <c r="AH860" s="104"/>
      <c r="AI860" s="104"/>
      <c r="AJ860" s="104"/>
      <c r="AK860" s="104"/>
      <c r="AL860" s="104"/>
      <c r="AM860" s="104"/>
      <c r="AN860" s="104"/>
      <c r="AO860" s="104"/>
      <c r="AP860" s="104"/>
      <c r="AQ860" s="104"/>
      <c r="AR860" s="104"/>
      <c r="AS860" s="104"/>
      <c r="AT860" s="104"/>
      <c r="AU860" s="104"/>
      <c r="AV860" s="104"/>
      <c r="AW860" s="104"/>
      <c r="AX860" s="104"/>
      <c r="AY860" s="104"/>
      <c r="AZ860" s="104"/>
      <c r="BA860" s="104"/>
      <c r="BB860" s="104"/>
      <c r="BC860" s="104"/>
      <c r="BD860" s="104"/>
      <c r="BE860" s="104"/>
      <c r="BF860" s="104"/>
      <c r="BG860" s="104"/>
      <c r="BH860" s="104"/>
      <c r="BI860" s="104"/>
      <c r="BJ860" s="104"/>
      <c r="BK860" s="104"/>
      <c r="BL860" s="104"/>
      <c r="BM860" s="104"/>
      <c r="BN860" s="104"/>
    </row>
    <row r="861">
      <c r="A861" s="104"/>
      <c r="B861" s="104"/>
      <c r="C861" s="104"/>
      <c r="D861" s="104"/>
      <c r="E861" s="104"/>
      <c r="F861" s="104"/>
      <c r="G861" s="104"/>
      <c r="H861" s="104"/>
      <c r="I861" s="104"/>
      <c r="J861" s="104"/>
      <c r="K861" s="105"/>
      <c r="L861" s="106"/>
      <c r="M861" s="104"/>
      <c r="N861" s="104"/>
      <c r="O861" s="104"/>
      <c r="P861" s="104"/>
      <c r="Q861" s="104"/>
      <c r="R861" s="106"/>
      <c r="S861" s="104"/>
      <c r="T861" s="104"/>
      <c r="U861" s="104"/>
      <c r="V861" s="104"/>
      <c r="W861" s="105"/>
      <c r="X861" s="104"/>
      <c r="Y861" s="104"/>
      <c r="Z861" s="104"/>
      <c r="AA861" s="104"/>
      <c r="AB861" s="104"/>
      <c r="AC861" s="104"/>
      <c r="AD861" s="104"/>
      <c r="AE861" s="104"/>
      <c r="AF861" s="104"/>
      <c r="AG861" s="104"/>
      <c r="AH861" s="104"/>
      <c r="AI861" s="104"/>
      <c r="AJ861" s="104"/>
      <c r="AK861" s="104"/>
      <c r="AL861" s="104"/>
      <c r="AM861" s="104"/>
      <c r="AN861" s="104"/>
      <c r="AO861" s="104"/>
      <c r="AP861" s="104"/>
      <c r="AQ861" s="104"/>
      <c r="AR861" s="104"/>
      <c r="AS861" s="104"/>
      <c r="AT861" s="104"/>
      <c r="AU861" s="104"/>
      <c r="AV861" s="104"/>
      <c r="AW861" s="104"/>
      <c r="AX861" s="104"/>
      <c r="AY861" s="104"/>
      <c r="AZ861" s="104"/>
      <c r="BA861" s="104"/>
      <c r="BB861" s="104"/>
      <c r="BC861" s="104"/>
      <c r="BD861" s="104"/>
      <c r="BE861" s="104"/>
      <c r="BF861" s="104"/>
      <c r="BG861" s="104"/>
      <c r="BH861" s="104"/>
      <c r="BI861" s="104"/>
      <c r="BJ861" s="104"/>
      <c r="BK861" s="104"/>
      <c r="BL861" s="104"/>
      <c r="BM861" s="104"/>
      <c r="BN861" s="104"/>
    </row>
    <row r="862">
      <c r="A862" s="104"/>
      <c r="B862" s="104"/>
      <c r="C862" s="104"/>
      <c r="D862" s="104"/>
      <c r="E862" s="104"/>
      <c r="F862" s="104"/>
      <c r="G862" s="104"/>
      <c r="H862" s="104"/>
      <c r="I862" s="104"/>
      <c r="J862" s="104"/>
      <c r="K862" s="105"/>
      <c r="L862" s="106"/>
      <c r="M862" s="104"/>
      <c r="N862" s="104"/>
      <c r="O862" s="104"/>
      <c r="P862" s="104"/>
      <c r="Q862" s="104"/>
      <c r="R862" s="106"/>
      <c r="S862" s="104"/>
      <c r="T862" s="104"/>
      <c r="U862" s="104"/>
      <c r="V862" s="104"/>
      <c r="W862" s="105"/>
      <c r="X862" s="104"/>
      <c r="Y862" s="104"/>
      <c r="Z862" s="104"/>
      <c r="AA862" s="104"/>
      <c r="AB862" s="104"/>
      <c r="AC862" s="104"/>
      <c r="AD862" s="104"/>
      <c r="AE862" s="104"/>
      <c r="AF862" s="104"/>
      <c r="AG862" s="104"/>
      <c r="AH862" s="104"/>
      <c r="AI862" s="104"/>
      <c r="AJ862" s="104"/>
      <c r="AK862" s="104"/>
      <c r="AL862" s="104"/>
      <c r="AM862" s="104"/>
      <c r="AN862" s="104"/>
      <c r="AO862" s="104"/>
      <c r="AP862" s="104"/>
      <c r="AQ862" s="104"/>
      <c r="AR862" s="104"/>
      <c r="AS862" s="104"/>
      <c r="AT862" s="104"/>
      <c r="AU862" s="104"/>
      <c r="AV862" s="104"/>
      <c r="AW862" s="104"/>
      <c r="AX862" s="104"/>
      <c r="AY862" s="104"/>
      <c r="AZ862" s="104"/>
      <c r="BA862" s="104"/>
      <c r="BB862" s="104"/>
      <c r="BC862" s="104"/>
      <c r="BD862" s="104"/>
      <c r="BE862" s="104"/>
      <c r="BF862" s="104"/>
      <c r="BG862" s="104"/>
      <c r="BH862" s="104"/>
      <c r="BI862" s="104"/>
      <c r="BJ862" s="104"/>
      <c r="BK862" s="104"/>
      <c r="BL862" s="104"/>
      <c r="BM862" s="104"/>
      <c r="BN862" s="104"/>
    </row>
    <row r="863">
      <c r="A863" s="104"/>
      <c r="B863" s="104"/>
      <c r="C863" s="104"/>
      <c r="D863" s="104"/>
      <c r="E863" s="104"/>
      <c r="F863" s="104"/>
      <c r="G863" s="104"/>
      <c r="H863" s="104"/>
      <c r="I863" s="104"/>
      <c r="J863" s="104"/>
      <c r="K863" s="105"/>
      <c r="L863" s="106"/>
      <c r="M863" s="104"/>
      <c r="N863" s="104"/>
      <c r="O863" s="104"/>
      <c r="P863" s="104"/>
      <c r="Q863" s="104"/>
      <c r="R863" s="106"/>
      <c r="S863" s="104"/>
      <c r="T863" s="104"/>
      <c r="U863" s="104"/>
      <c r="V863" s="104"/>
      <c r="W863" s="105"/>
      <c r="X863" s="104"/>
      <c r="Y863" s="104"/>
      <c r="Z863" s="104"/>
      <c r="AA863" s="104"/>
      <c r="AB863" s="104"/>
      <c r="AC863" s="104"/>
      <c r="AD863" s="104"/>
      <c r="AE863" s="104"/>
      <c r="AF863" s="104"/>
      <c r="AG863" s="104"/>
      <c r="AH863" s="104"/>
      <c r="AI863" s="104"/>
      <c r="AJ863" s="104"/>
      <c r="AK863" s="104"/>
      <c r="AL863" s="104"/>
      <c r="AM863" s="104"/>
      <c r="AN863" s="104"/>
      <c r="AO863" s="104"/>
      <c r="AP863" s="104"/>
      <c r="AQ863" s="104"/>
      <c r="AR863" s="104"/>
      <c r="AS863" s="104"/>
      <c r="AT863" s="104"/>
      <c r="AU863" s="104"/>
      <c r="AV863" s="104"/>
      <c r="AW863" s="104"/>
      <c r="AX863" s="104"/>
      <c r="AY863" s="104"/>
      <c r="AZ863" s="104"/>
      <c r="BA863" s="104"/>
      <c r="BB863" s="104"/>
      <c r="BC863" s="104"/>
      <c r="BD863" s="104"/>
      <c r="BE863" s="104"/>
      <c r="BF863" s="104"/>
      <c r="BG863" s="104"/>
      <c r="BH863" s="104"/>
      <c r="BI863" s="104"/>
      <c r="BJ863" s="104"/>
      <c r="BK863" s="104"/>
      <c r="BL863" s="104"/>
      <c r="BM863" s="104"/>
      <c r="BN863" s="104"/>
    </row>
    <row r="864">
      <c r="A864" s="104"/>
      <c r="B864" s="104"/>
      <c r="C864" s="104"/>
      <c r="D864" s="104"/>
      <c r="E864" s="104"/>
      <c r="F864" s="104"/>
      <c r="G864" s="104"/>
      <c r="H864" s="104"/>
      <c r="I864" s="104"/>
      <c r="J864" s="104"/>
      <c r="K864" s="105"/>
      <c r="L864" s="106"/>
      <c r="M864" s="104"/>
      <c r="N864" s="104"/>
      <c r="O864" s="104"/>
      <c r="P864" s="104"/>
      <c r="Q864" s="104"/>
      <c r="R864" s="106"/>
      <c r="S864" s="104"/>
      <c r="T864" s="104"/>
      <c r="U864" s="104"/>
      <c r="V864" s="104"/>
      <c r="W864" s="105"/>
      <c r="X864" s="104"/>
      <c r="Y864" s="104"/>
      <c r="Z864" s="104"/>
      <c r="AA864" s="104"/>
      <c r="AB864" s="104"/>
      <c r="AC864" s="104"/>
      <c r="AD864" s="104"/>
      <c r="AE864" s="104"/>
      <c r="AF864" s="104"/>
      <c r="AG864" s="104"/>
      <c r="AH864" s="104"/>
      <c r="AI864" s="104"/>
      <c r="AJ864" s="104"/>
      <c r="AK864" s="104"/>
      <c r="AL864" s="104"/>
      <c r="AM864" s="104"/>
      <c r="AN864" s="104"/>
      <c r="AO864" s="104"/>
      <c r="AP864" s="104"/>
      <c r="AQ864" s="104"/>
      <c r="AR864" s="104"/>
      <c r="AS864" s="104"/>
      <c r="AT864" s="104"/>
      <c r="AU864" s="104"/>
      <c r="AV864" s="104"/>
      <c r="AW864" s="104"/>
      <c r="AX864" s="104"/>
      <c r="AY864" s="104"/>
      <c r="AZ864" s="104"/>
      <c r="BA864" s="104"/>
      <c r="BB864" s="104"/>
      <c r="BC864" s="104"/>
      <c r="BD864" s="104"/>
      <c r="BE864" s="104"/>
      <c r="BF864" s="104"/>
      <c r="BG864" s="104"/>
      <c r="BH864" s="104"/>
      <c r="BI864" s="104"/>
      <c r="BJ864" s="104"/>
      <c r="BK864" s="104"/>
      <c r="BL864" s="104"/>
      <c r="BM864" s="104"/>
      <c r="BN864" s="104"/>
    </row>
    <row r="865">
      <c r="A865" s="104"/>
      <c r="B865" s="104"/>
      <c r="C865" s="104"/>
      <c r="D865" s="104"/>
      <c r="E865" s="104"/>
      <c r="F865" s="104"/>
      <c r="G865" s="104"/>
      <c r="H865" s="104"/>
      <c r="I865" s="104"/>
      <c r="J865" s="104"/>
      <c r="K865" s="105"/>
      <c r="L865" s="106"/>
      <c r="M865" s="104"/>
      <c r="N865" s="104"/>
      <c r="O865" s="104"/>
      <c r="P865" s="104"/>
      <c r="Q865" s="104"/>
      <c r="R865" s="106"/>
      <c r="S865" s="104"/>
      <c r="T865" s="104"/>
      <c r="U865" s="104"/>
      <c r="V865" s="104"/>
      <c r="W865" s="105"/>
      <c r="X865" s="104"/>
      <c r="Y865" s="104"/>
      <c r="Z865" s="104"/>
      <c r="AA865" s="104"/>
      <c r="AB865" s="104"/>
      <c r="AC865" s="104"/>
      <c r="AD865" s="104"/>
      <c r="AE865" s="104"/>
      <c r="AF865" s="104"/>
      <c r="AG865" s="104"/>
      <c r="AH865" s="104"/>
      <c r="AI865" s="104"/>
      <c r="AJ865" s="104"/>
      <c r="AK865" s="104"/>
      <c r="AL865" s="104"/>
      <c r="AM865" s="104"/>
      <c r="AN865" s="104"/>
      <c r="AO865" s="104"/>
      <c r="AP865" s="104"/>
      <c r="AQ865" s="104"/>
      <c r="AR865" s="104"/>
      <c r="AS865" s="104"/>
      <c r="AT865" s="104"/>
      <c r="AU865" s="104"/>
      <c r="AV865" s="104"/>
      <c r="AW865" s="104"/>
      <c r="AX865" s="104"/>
      <c r="AY865" s="104"/>
      <c r="AZ865" s="104"/>
      <c r="BA865" s="104"/>
      <c r="BB865" s="104"/>
      <c r="BC865" s="104"/>
      <c r="BD865" s="104"/>
      <c r="BE865" s="104"/>
      <c r="BF865" s="104"/>
      <c r="BG865" s="104"/>
      <c r="BH865" s="104"/>
      <c r="BI865" s="104"/>
      <c r="BJ865" s="104"/>
      <c r="BK865" s="104"/>
      <c r="BL865" s="104"/>
      <c r="BM865" s="104"/>
      <c r="BN865" s="104"/>
    </row>
    <row r="866">
      <c r="A866" s="104"/>
      <c r="B866" s="104"/>
      <c r="C866" s="104"/>
      <c r="D866" s="104"/>
      <c r="E866" s="104"/>
      <c r="F866" s="104"/>
      <c r="G866" s="104"/>
      <c r="H866" s="104"/>
      <c r="I866" s="104"/>
      <c r="J866" s="104"/>
      <c r="K866" s="105"/>
      <c r="L866" s="106"/>
      <c r="M866" s="104"/>
      <c r="N866" s="104"/>
      <c r="O866" s="104"/>
      <c r="P866" s="104"/>
      <c r="Q866" s="104"/>
      <c r="R866" s="106"/>
      <c r="S866" s="104"/>
      <c r="T866" s="104"/>
      <c r="U866" s="104"/>
      <c r="V866" s="104"/>
      <c r="W866" s="105"/>
      <c r="X866" s="104"/>
      <c r="Y866" s="104"/>
      <c r="Z866" s="104"/>
      <c r="AA866" s="104"/>
      <c r="AB866" s="104"/>
      <c r="AC866" s="104"/>
      <c r="AD866" s="104"/>
      <c r="AE866" s="104"/>
      <c r="AF866" s="104"/>
      <c r="AG866" s="104"/>
      <c r="AH866" s="104"/>
      <c r="AI866" s="104"/>
      <c r="AJ866" s="104"/>
      <c r="AK866" s="104"/>
      <c r="AL866" s="104"/>
      <c r="AM866" s="104"/>
      <c r="AN866" s="104"/>
      <c r="AO866" s="104"/>
      <c r="AP866" s="104"/>
      <c r="AQ866" s="104"/>
      <c r="AR866" s="104"/>
      <c r="AS866" s="104"/>
      <c r="AT866" s="104"/>
      <c r="AU866" s="104"/>
      <c r="AV866" s="104"/>
      <c r="AW866" s="104"/>
      <c r="AX866" s="104"/>
      <c r="AY866" s="104"/>
      <c r="AZ866" s="104"/>
      <c r="BA866" s="104"/>
      <c r="BB866" s="104"/>
      <c r="BC866" s="104"/>
      <c r="BD866" s="104"/>
      <c r="BE866" s="104"/>
      <c r="BF866" s="104"/>
      <c r="BG866" s="104"/>
      <c r="BH866" s="104"/>
      <c r="BI866" s="104"/>
      <c r="BJ866" s="104"/>
      <c r="BK866" s="104"/>
      <c r="BL866" s="104"/>
      <c r="BM866" s="104"/>
      <c r="BN866" s="104"/>
    </row>
    <row r="867">
      <c r="A867" s="104"/>
      <c r="B867" s="104"/>
      <c r="C867" s="104"/>
      <c r="D867" s="104"/>
      <c r="E867" s="104"/>
      <c r="F867" s="104"/>
      <c r="G867" s="104"/>
      <c r="H867" s="104"/>
      <c r="I867" s="104"/>
      <c r="J867" s="104"/>
      <c r="K867" s="105"/>
      <c r="L867" s="106"/>
      <c r="M867" s="104"/>
      <c r="N867" s="104"/>
      <c r="O867" s="104"/>
      <c r="P867" s="104"/>
      <c r="Q867" s="104"/>
      <c r="R867" s="106"/>
      <c r="S867" s="104"/>
      <c r="T867" s="104"/>
      <c r="U867" s="104"/>
      <c r="V867" s="104"/>
      <c r="W867" s="105"/>
      <c r="X867" s="104"/>
      <c r="Y867" s="104"/>
      <c r="Z867" s="104"/>
      <c r="AA867" s="104"/>
      <c r="AB867" s="104"/>
      <c r="AC867" s="104"/>
      <c r="AD867" s="104"/>
      <c r="AE867" s="104"/>
      <c r="AF867" s="104"/>
      <c r="AG867" s="104"/>
      <c r="AH867" s="104"/>
      <c r="AI867" s="104"/>
      <c r="AJ867" s="104"/>
      <c r="AK867" s="104"/>
      <c r="AL867" s="104"/>
      <c r="AM867" s="104"/>
      <c r="AN867" s="104"/>
      <c r="AO867" s="104"/>
      <c r="AP867" s="104"/>
      <c r="AQ867" s="104"/>
      <c r="AR867" s="104"/>
      <c r="AS867" s="104"/>
      <c r="AT867" s="104"/>
      <c r="AU867" s="104"/>
      <c r="AV867" s="104"/>
      <c r="AW867" s="104"/>
      <c r="AX867" s="104"/>
      <c r="AY867" s="104"/>
      <c r="AZ867" s="104"/>
      <c r="BA867" s="104"/>
      <c r="BB867" s="104"/>
      <c r="BC867" s="104"/>
      <c r="BD867" s="104"/>
      <c r="BE867" s="104"/>
      <c r="BF867" s="104"/>
      <c r="BG867" s="104"/>
      <c r="BH867" s="104"/>
      <c r="BI867" s="104"/>
      <c r="BJ867" s="104"/>
      <c r="BK867" s="104"/>
      <c r="BL867" s="104"/>
      <c r="BM867" s="104"/>
      <c r="BN867" s="104"/>
    </row>
    <row r="868">
      <c r="A868" s="104"/>
      <c r="B868" s="104"/>
      <c r="C868" s="104"/>
      <c r="D868" s="104"/>
      <c r="E868" s="104"/>
      <c r="F868" s="104"/>
      <c r="G868" s="104"/>
      <c r="H868" s="104"/>
      <c r="I868" s="104"/>
      <c r="J868" s="104"/>
      <c r="K868" s="105"/>
      <c r="L868" s="106"/>
      <c r="M868" s="104"/>
      <c r="N868" s="104"/>
      <c r="O868" s="104"/>
      <c r="P868" s="104"/>
      <c r="Q868" s="104"/>
      <c r="R868" s="106"/>
      <c r="S868" s="104"/>
      <c r="T868" s="104"/>
      <c r="U868" s="104"/>
      <c r="V868" s="104"/>
      <c r="W868" s="105"/>
      <c r="X868" s="104"/>
      <c r="Y868" s="104"/>
      <c r="Z868" s="104"/>
      <c r="AA868" s="104"/>
      <c r="AB868" s="104"/>
      <c r="AC868" s="104"/>
      <c r="AD868" s="104"/>
      <c r="AE868" s="104"/>
      <c r="AF868" s="104"/>
      <c r="AG868" s="104"/>
      <c r="AH868" s="104"/>
      <c r="AI868" s="104"/>
      <c r="AJ868" s="104"/>
      <c r="AK868" s="104"/>
      <c r="AL868" s="104"/>
      <c r="AM868" s="104"/>
      <c r="AN868" s="104"/>
      <c r="AO868" s="104"/>
      <c r="AP868" s="104"/>
      <c r="AQ868" s="104"/>
      <c r="AR868" s="104"/>
      <c r="AS868" s="104"/>
      <c r="AT868" s="104"/>
      <c r="AU868" s="104"/>
      <c r="AV868" s="104"/>
      <c r="AW868" s="104"/>
      <c r="AX868" s="104"/>
      <c r="AY868" s="104"/>
      <c r="AZ868" s="104"/>
      <c r="BA868" s="104"/>
      <c r="BB868" s="104"/>
      <c r="BC868" s="104"/>
      <c r="BD868" s="104"/>
      <c r="BE868" s="104"/>
      <c r="BF868" s="104"/>
      <c r="BG868" s="104"/>
      <c r="BH868" s="104"/>
      <c r="BI868" s="104"/>
      <c r="BJ868" s="104"/>
      <c r="BK868" s="104"/>
      <c r="BL868" s="104"/>
      <c r="BM868" s="104"/>
      <c r="BN868" s="104"/>
    </row>
    <row r="869">
      <c r="A869" s="104"/>
      <c r="B869" s="104"/>
      <c r="C869" s="104"/>
      <c r="D869" s="104"/>
      <c r="E869" s="104"/>
      <c r="F869" s="104"/>
      <c r="G869" s="104"/>
      <c r="H869" s="104"/>
      <c r="I869" s="104"/>
      <c r="J869" s="104"/>
      <c r="K869" s="105"/>
      <c r="L869" s="106"/>
      <c r="M869" s="104"/>
      <c r="N869" s="104"/>
      <c r="O869" s="104"/>
      <c r="P869" s="104"/>
      <c r="Q869" s="104"/>
      <c r="R869" s="106"/>
      <c r="S869" s="104"/>
      <c r="T869" s="104"/>
      <c r="U869" s="104"/>
      <c r="V869" s="104"/>
      <c r="W869" s="105"/>
      <c r="X869" s="104"/>
      <c r="Y869" s="104"/>
      <c r="Z869" s="104"/>
      <c r="AA869" s="104"/>
      <c r="AB869" s="104"/>
      <c r="AC869" s="104"/>
      <c r="AD869" s="104"/>
      <c r="AE869" s="104"/>
      <c r="AF869" s="104"/>
      <c r="AG869" s="104"/>
      <c r="AH869" s="104"/>
      <c r="AI869" s="104"/>
      <c r="AJ869" s="104"/>
      <c r="AK869" s="104"/>
      <c r="AL869" s="104"/>
      <c r="AM869" s="104"/>
      <c r="AN869" s="104"/>
      <c r="AO869" s="104"/>
      <c r="AP869" s="104"/>
      <c r="AQ869" s="104"/>
      <c r="AR869" s="104"/>
      <c r="AS869" s="104"/>
      <c r="AT869" s="104"/>
      <c r="AU869" s="104"/>
      <c r="AV869" s="104"/>
      <c r="AW869" s="104"/>
      <c r="AX869" s="104"/>
      <c r="AY869" s="104"/>
      <c r="AZ869" s="104"/>
      <c r="BA869" s="104"/>
      <c r="BB869" s="104"/>
      <c r="BC869" s="104"/>
      <c r="BD869" s="104"/>
      <c r="BE869" s="104"/>
      <c r="BF869" s="104"/>
      <c r="BG869" s="104"/>
      <c r="BH869" s="104"/>
      <c r="BI869" s="104"/>
      <c r="BJ869" s="104"/>
      <c r="BK869" s="104"/>
      <c r="BL869" s="104"/>
      <c r="BM869" s="104"/>
      <c r="BN869" s="104"/>
    </row>
    <row r="870">
      <c r="A870" s="104"/>
      <c r="B870" s="104"/>
      <c r="C870" s="104"/>
      <c r="D870" s="104"/>
      <c r="E870" s="104"/>
      <c r="F870" s="104"/>
      <c r="G870" s="104"/>
      <c r="H870" s="104"/>
      <c r="I870" s="104"/>
      <c r="J870" s="104"/>
      <c r="K870" s="105"/>
      <c r="L870" s="106"/>
      <c r="M870" s="104"/>
      <c r="N870" s="104"/>
      <c r="O870" s="104"/>
      <c r="P870" s="104"/>
      <c r="Q870" s="104"/>
      <c r="R870" s="106"/>
      <c r="S870" s="104"/>
      <c r="T870" s="104"/>
      <c r="U870" s="104"/>
      <c r="V870" s="104"/>
      <c r="W870" s="105"/>
      <c r="X870" s="104"/>
      <c r="Y870" s="104"/>
      <c r="Z870" s="104"/>
      <c r="AA870" s="104"/>
      <c r="AB870" s="104"/>
      <c r="AC870" s="104"/>
      <c r="AD870" s="104"/>
      <c r="AE870" s="104"/>
      <c r="AF870" s="104"/>
      <c r="AG870" s="104"/>
      <c r="AH870" s="104"/>
      <c r="AI870" s="104"/>
      <c r="AJ870" s="104"/>
      <c r="AK870" s="104"/>
      <c r="AL870" s="104"/>
      <c r="AM870" s="104"/>
      <c r="AN870" s="104"/>
      <c r="AO870" s="104"/>
      <c r="AP870" s="104"/>
      <c r="AQ870" s="104"/>
      <c r="AR870" s="104"/>
      <c r="AS870" s="104"/>
      <c r="AT870" s="104"/>
      <c r="AU870" s="104"/>
      <c r="AV870" s="104"/>
      <c r="AW870" s="104"/>
      <c r="AX870" s="104"/>
      <c r="AY870" s="104"/>
      <c r="AZ870" s="104"/>
      <c r="BA870" s="104"/>
      <c r="BB870" s="104"/>
      <c r="BC870" s="104"/>
      <c r="BD870" s="104"/>
      <c r="BE870" s="104"/>
      <c r="BF870" s="104"/>
      <c r="BG870" s="104"/>
      <c r="BH870" s="104"/>
      <c r="BI870" s="104"/>
      <c r="BJ870" s="104"/>
      <c r="BK870" s="104"/>
      <c r="BL870" s="104"/>
      <c r="BM870" s="104"/>
      <c r="BN870" s="104"/>
    </row>
    <row r="871">
      <c r="A871" s="104"/>
      <c r="B871" s="104"/>
      <c r="C871" s="104"/>
      <c r="D871" s="104"/>
      <c r="E871" s="104"/>
      <c r="F871" s="104"/>
      <c r="G871" s="104"/>
      <c r="H871" s="104"/>
      <c r="I871" s="104"/>
      <c r="J871" s="104"/>
      <c r="K871" s="105"/>
      <c r="L871" s="106"/>
      <c r="M871" s="104"/>
      <c r="N871" s="104"/>
      <c r="O871" s="104"/>
      <c r="P871" s="104"/>
      <c r="Q871" s="104"/>
      <c r="R871" s="106"/>
      <c r="S871" s="104"/>
      <c r="T871" s="104"/>
      <c r="U871" s="104"/>
      <c r="V871" s="104"/>
      <c r="W871" s="105"/>
      <c r="X871" s="104"/>
      <c r="Y871" s="104"/>
      <c r="Z871" s="104"/>
      <c r="AA871" s="104"/>
      <c r="AB871" s="104"/>
      <c r="AC871" s="104"/>
      <c r="AD871" s="104"/>
      <c r="AE871" s="104"/>
      <c r="AF871" s="104"/>
      <c r="AG871" s="104"/>
      <c r="AH871" s="104"/>
      <c r="AI871" s="104"/>
      <c r="AJ871" s="104"/>
      <c r="AK871" s="104"/>
      <c r="AL871" s="104"/>
      <c r="AM871" s="104"/>
      <c r="AN871" s="104"/>
      <c r="AO871" s="104"/>
      <c r="AP871" s="104"/>
      <c r="AQ871" s="104"/>
      <c r="AR871" s="104"/>
      <c r="AS871" s="104"/>
      <c r="AT871" s="104"/>
      <c r="AU871" s="104"/>
      <c r="AV871" s="104"/>
      <c r="AW871" s="104"/>
      <c r="AX871" s="104"/>
      <c r="AY871" s="104"/>
      <c r="AZ871" s="104"/>
      <c r="BA871" s="104"/>
      <c r="BB871" s="104"/>
      <c r="BC871" s="104"/>
      <c r="BD871" s="104"/>
      <c r="BE871" s="104"/>
      <c r="BF871" s="104"/>
      <c r="BG871" s="104"/>
      <c r="BH871" s="104"/>
      <c r="BI871" s="104"/>
      <c r="BJ871" s="104"/>
      <c r="BK871" s="104"/>
      <c r="BL871" s="104"/>
      <c r="BM871" s="104"/>
      <c r="BN871" s="104"/>
    </row>
    <row r="872">
      <c r="A872" s="104"/>
      <c r="B872" s="104"/>
      <c r="C872" s="104"/>
      <c r="D872" s="104"/>
      <c r="E872" s="104"/>
      <c r="F872" s="104"/>
      <c r="G872" s="104"/>
      <c r="H872" s="104"/>
      <c r="I872" s="104"/>
      <c r="J872" s="104"/>
      <c r="K872" s="105"/>
      <c r="L872" s="106"/>
      <c r="M872" s="104"/>
      <c r="N872" s="104"/>
      <c r="O872" s="104"/>
      <c r="P872" s="104"/>
      <c r="Q872" s="104"/>
      <c r="R872" s="106"/>
      <c r="S872" s="104"/>
      <c r="T872" s="104"/>
      <c r="U872" s="104"/>
      <c r="V872" s="104"/>
      <c r="W872" s="105"/>
      <c r="X872" s="104"/>
      <c r="Y872" s="104"/>
      <c r="Z872" s="104"/>
      <c r="AA872" s="104"/>
      <c r="AB872" s="104"/>
      <c r="AC872" s="104"/>
      <c r="AD872" s="104"/>
      <c r="AE872" s="104"/>
      <c r="AF872" s="104"/>
      <c r="AG872" s="104"/>
      <c r="AH872" s="104"/>
      <c r="AI872" s="104"/>
      <c r="AJ872" s="104"/>
      <c r="AK872" s="104"/>
      <c r="AL872" s="104"/>
      <c r="AM872" s="104"/>
      <c r="AN872" s="104"/>
      <c r="AO872" s="104"/>
      <c r="AP872" s="104"/>
      <c r="AQ872" s="104"/>
      <c r="AR872" s="104"/>
      <c r="AS872" s="104"/>
      <c r="AT872" s="104"/>
      <c r="AU872" s="104"/>
      <c r="AV872" s="104"/>
      <c r="AW872" s="104"/>
      <c r="AX872" s="104"/>
      <c r="AY872" s="104"/>
      <c r="AZ872" s="104"/>
      <c r="BA872" s="104"/>
      <c r="BB872" s="104"/>
      <c r="BC872" s="104"/>
      <c r="BD872" s="104"/>
      <c r="BE872" s="104"/>
      <c r="BF872" s="104"/>
      <c r="BG872" s="104"/>
      <c r="BH872" s="104"/>
      <c r="BI872" s="104"/>
      <c r="BJ872" s="104"/>
      <c r="BK872" s="104"/>
      <c r="BL872" s="104"/>
      <c r="BM872" s="104"/>
      <c r="BN872" s="104"/>
    </row>
    <row r="873">
      <c r="A873" s="104"/>
      <c r="B873" s="104"/>
      <c r="C873" s="104"/>
      <c r="D873" s="104"/>
      <c r="E873" s="104"/>
      <c r="F873" s="104"/>
      <c r="G873" s="104"/>
      <c r="H873" s="104"/>
      <c r="I873" s="104"/>
      <c r="J873" s="104"/>
      <c r="K873" s="105"/>
      <c r="L873" s="106"/>
      <c r="M873" s="104"/>
      <c r="N873" s="104"/>
      <c r="O873" s="104"/>
      <c r="P873" s="104"/>
      <c r="Q873" s="104"/>
      <c r="R873" s="106"/>
      <c r="S873" s="104"/>
      <c r="T873" s="104"/>
      <c r="U873" s="104"/>
      <c r="V873" s="104"/>
      <c r="W873" s="105"/>
      <c r="X873" s="104"/>
      <c r="Y873" s="104"/>
      <c r="Z873" s="104"/>
      <c r="AA873" s="104"/>
      <c r="AB873" s="104"/>
      <c r="AC873" s="104"/>
      <c r="AD873" s="104"/>
      <c r="AE873" s="104"/>
      <c r="AF873" s="104"/>
      <c r="AG873" s="104"/>
      <c r="AH873" s="104"/>
      <c r="AI873" s="104"/>
      <c r="AJ873" s="104"/>
      <c r="AK873" s="104"/>
      <c r="AL873" s="104"/>
      <c r="AM873" s="104"/>
      <c r="AN873" s="104"/>
      <c r="AO873" s="104"/>
      <c r="AP873" s="104"/>
      <c r="AQ873" s="104"/>
      <c r="AR873" s="104"/>
      <c r="AS873" s="104"/>
      <c r="AT873" s="104"/>
      <c r="AU873" s="104"/>
      <c r="AV873" s="104"/>
      <c r="AW873" s="104"/>
      <c r="AX873" s="104"/>
      <c r="AY873" s="104"/>
      <c r="AZ873" s="104"/>
      <c r="BA873" s="104"/>
      <c r="BB873" s="104"/>
      <c r="BC873" s="104"/>
      <c r="BD873" s="104"/>
      <c r="BE873" s="104"/>
      <c r="BF873" s="104"/>
      <c r="BG873" s="104"/>
      <c r="BH873" s="104"/>
      <c r="BI873" s="104"/>
      <c r="BJ873" s="104"/>
      <c r="BK873" s="104"/>
      <c r="BL873" s="104"/>
      <c r="BM873" s="104"/>
      <c r="BN873" s="104"/>
    </row>
    <row r="874">
      <c r="A874" s="104"/>
      <c r="B874" s="104"/>
      <c r="C874" s="104"/>
      <c r="D874" s="104"/>
      <c r="E874" s="104"/>
      <c r="F874" s="104"/>
      <c r="G874" s="104"/>
      <c r="H874" s="104"/>
      <c r="I874" s="104"/>
      <c r="J874" s="104"/>
      <c r="K874" s="105"/>
      <c r="L874" s="106"/>
      <c r="M874" s="104"/>
      <c r="N874" s="104"/>
      <c r="O874" s="104"/>
      <c r="P874" s="104"/>
      <c r="Q874" s="104"/>
      <c r="R874" s="106"/>
      <c r="S874" s="104"/>
      <c r="T874" s="104"/>
      <c r="U874" s="104"/>
      <c r="V874" s="104"/>
      <c r="W874" s="105"/>
      <c r="X874" s="104"/>
      <c r="Y874" s="104"/>
      <c r="Z874" s="104"/>
      <c r="AA874" s="104"/>
      <c r="AB874" s="104"/>
      <c r="AC874" s="104"/>
      <c r="AD874" s="104"/>
      <c r="AE874" s="104"/>
      <c r="AF874" s="104"/>
      <c r="AG874" s="104"/>
      <c r="AH874" s="104"/>
      <c r="AI874" s="104"/>
      <c r="AJ874" s="104"/>
      <c r="AK874" s="104"/>
      <c r="AL874" s="104"/>
      <c r="AM874" s="104"/>
      <c r="AN874" s="104"/>
      <c r="AO874" s="104"/>
      <c r="AP874" s="104"/>
      <c r="AQ874" s="104"/>
      <c r="AR874" s="104"/>
      <c r="AS874" s="104"/>
      <c r="AT874" s="104"/>
      <c r="AU874" s="104"/>
      <c r="AV874" s="104"/>
      <c r="AW874" s="104"/>
      <c r="AX874" s="104"/>
      <c r="AY874" s="104"/>
      <c r="AZ874" s="104"/>
      <c r="BA874" s="104"/>
      <c r="BB874" s="104"/>
      <c r="BC874" s="104"/>
      <c r="BD874" s="104"/>
      <c r="BE874" s="104"/>
      <c r="BF874" s="104"/>
      <c r="BG874" s="104"/>
      <c r="BH874" s="104"/>
      <c r="BI874" s="104"/>
      <c r="BJ874" s="104"/>
      <c r="BK874" s="104"/>
      <c r="BL874" s="104"/>
      <c r="BM874" s="104"/>
      <c r="BN874" s="104"/>
    </row>
    <row r="875">
      <c r="A875" s="104"/>
      <c r="B875" s="104"/>
      <c r="C875" s="104"/>
      <c r="D875" s="104"/>
      <c r="E875" s="104"/>
      <c r="F875" s="104"/>
      <c r="G875" s="104"/>
      <c r="H875" s="104"/>
      <c r="I875" s="104"/>
      <c r="J875" s="104"/>
      <c r="K875" s="105"/>
      <c r="L875" s="106"/>
      <c r="M875" s="104"/>
      <c r="N875" s="104"/>
      <c r="O875" s="104"/>
      <c r="P875" s="104"/>
      <c r="Q875" s="104"/>
      <c r="R875" s="106"/>
      <c r="S875" s="104"/>
      <c r="T875" s="104"/>
      <c r="U875" s="104"/>
      <c r="V875" s="104"/>
      <c r="W875" s="105"/>
      <c r="X875" s="104"/>
      <c r="Y875" s="104"/>
      <c r="Z875" s="104"/>
      <c r="AA875" s="104"/>
      <c r="AB875" s="104"/>
      <c r="AC875" s="104"/>
      <c r="AD875" s="104"/>
      <c r="AE875" s="104"/>
      <c r="AF875" s="104"/>
      <c r="AG875" s="104"/>
      <c r="AH875" s="104"/>
      <c r="AI875" s="104"/>
      <c r="AJ875" s="104"/>
      <c r="AK875" s="104"/>
      <c r="AL875" s="104"/>
      <c r="AM875" s="104"/>
      <c r="AN875" s="104"/>
      <c r="AO875" s="104"/>
      <c r="AP875" s="104"/>
      <c r="AQ875" s="104"/>
      <c r="AR875" s="104"/>
      <c r="AS875" s="104"/>
      <c r="AT875" s="104"/>
      <c r="AU875" s="104"/>
      <c r="AV875" s="104"/>
      <c r="AW875" s="104"/>
      <c r="AX875" s="104"/>
      <c r="AY875" s="104"/>
      <c r="AZ875" s="104"/>
      <c r="BA875" s="104"/>
      <c r="BB875" s="104"/>
      <c r="BC875" s="104"/>
      <c r="BD875" s="104"/>
      <c r="BE875" s="104"/>
      <c r="BF875" s="104"/>
      <c r="BG875" s="104"/>
      <c r="BH875" s="104"/>
      <c r="BI875" s="104"/>
      <c r="BJ875" s="104"/>
      <c r="BK875" s="104"/>
      <c r="BL875" s="104"/>
      <c r="BM875" s="104"/>
      <c r="BN875" s="104"/>
    </row>
    <row r="876">
      <c r="A876" s="104"/>
      <c r="B876" s="104"/>
      <c r="C876" s="104"/>
      <c r="D876" s="104"/>
      <c r="E876" s="104"/>
      <c r="F876" s="104"/>
      <c r="G876" s="104"/>
      <c r="H876" s="104"/>
      <c r="I876" s="104"/>
      <c r="J876" s="104"/>
      <c r="K876" s="105"/>
      <c r="L876" s="106"/>
      <c r="M876" s="104"/>
      <c r="N876" s="104"/>
      <c r="O876" s="104"/>
      <c r="P876" s="104"/>
      <c r="Q876" s="104"/>
      <c r="R876" s="106"/>
      <c r="S876" s="104"/>
      <c r="T876" s="104"/>
      <c r="U876" s="104"/>
      <c r="V876" s="104"/>
      <c r="W876" s="105"/>
      <c r="X876" s="104"/>
      <c r="Y876" s="104"/>
      <c r="Z876" s="104"/>
      <c r="AA876" s="104"/>
      <c r="AB876" s="104"/>
      <c r="AC876" s="104"/>
      <c r="AD876" s="104"/>
      <c r="AE876" s="104"/>
      <c r="AF876" s="104"/>
      <c r="AG876" s="104"/>
      <c r="AH876" s="104"/>
      <c r="AI876" s="104"/>
      <c r="AJ876" s="104"/>
      <c r="AK876" s="104"/>
      <c r="AL876" s="104"/>
      <c r="AM876" s="104"/>
      <c r="AN876" s="104"/>
      <c r="AO876" s="104"/>
      <c r="AP876" s="104"/>
      <c r="AQ876" s="104"/>
      <c r="AR876" s="104"/>
      <c r="AS876" s="104"/>
      <c r="AT876" s="104"/>
      <c r="AU876" s="104"/>
      <c r="AV876" s="104"/>
      <c r="AW876" s="104"/>
      <c r="AX876" s="104"/>
      <c r="AY876" s="104"/>
      <c r="AZ876" s="104"/>
      <c r="BA876" s="104"/>
      <c r="BB876" s="104"/>
      <c r="BC876" s="104"/>
      <c r="BD876" s="104"/>
      <c r="BE876" s="104"/>
      <c r="BF876" s="104"/>
      <c r="BG876" s="104"/>
      <c r="BH876" s="104"/>
      <c r="BI876" s="104"/>
      <c r="BJ876" s="104"/>
      <c r="BK876" s="104"/>
      <c r="BL876" s="104"/>
      <c r="BM876" s="104"/>
      <c r="BN876" s="104"/>
    </row>
    <row r="877">
      <c r="A877" s="104"/>
      <c r="B877" s="104"/>
      <c r="C877" s="104"/>
      <c r="D877" s="104"/>
      <c r="E877" s="104"/>
      <c r="F877" s="104"/>
      <c r="G877" s="104"/>
      <c r="H877" s="104"/>
      <c r="I877" s="104"/>
      <c r="J877" s="104"/>
      <c r="K877" s="105"/>
      <c r="L877" s="106"/>
      <c r="M877" s="104"/>
      <c r="N877" s="104"/>
      <c r="O877" s="104"/>
      <c r="P877" s="104"/>
      <c r="Q877" s="104"/>
      <c r="R877" s="106"/>
      <c r="S877" s="104"/>
      <c r="T877" s="104"/>
      <c r="U877" s="104"/>
      <c r="V877" s="104"/>
      <c r="W877" s="105"/>
      <c r="X877" s="104"/>
      <c r="Y877" s="104"/>
      <c r="Z877" s="104"/>
      <c r="AA877" s="104"/>
      <c r="AB877" s="104"/>
      <c r="AC877" s="104"/>
      <c r="AD877" s="104"/>
      <c r="AE877" s="104"/>
      <c r="AF877" s="104"/>
      <c r="AG877" s="104"/>
      <c r="AH877" s="104"/>
      <c r="AI877" s="104"/>
      <c r="AJ877" s="104"/>
      <c r="AK877" s="104"/>
      <c r="AL877" s="104"/>
      <c r="AM877" s="104"/>
      <c r="AN877" s="104"/>
      <c r="AO877" s="104"/>
      <c r="AP877" s="104"/>
      <c r="AQ877" s="104"/>
      <c r="AR877" s="104"/>
      <c r="AS877" s="104"/>
      <c r="AT877" s="104"/>
      <c r="AU877" s="104"/>
      <c r="AV877" s="104"/>
      <c r="AW877" s="104"/>
      <c r="AX877" s="104"/>
      <c r="AY877" s="104"/>
      <c r="AZ877" s="104"/>
      <c r="BA877" s="104"/>
      <c r="BB877" s="104"/>
      <c r="BC877" s="104"/>
      <c r="BD877" s="104"/>
      <c r="BE877" s="104"/>
      <c r="BF877" s="104"/>
      <c r="BG877" s="104"/>
      <c r="BH877" s="104"/>
      <c r="BI877" s="104"/>
      <c r="BJ877" s="104"/>
      <c r="BK877" s="104"/>
      <c r="BL877" s="104"/>
      <c r="BM877" s="104"/>
      <c r="BN877" s="104"/>
    </row>
    <row r="878">
      <c r="A878" s="104"/>
      <c r="B878" s="104"/>
      <c r="C878" s="104"/>
      <c r="D878" s="104"/>
      <c r="E878" s="104"/>
      <c r="F878" s="104"/>
      <c r="G878" s="104"/>
      <c r="H878" s="104"/>
      <c r="I878" s="104"/>
      <c r="J878" s="104"/>
      <c r="K878" s="105"/>
      <c r="L878" s="106"/>
      <c r="M878" s="104"/>
      <c r="N878" s="104"/>
      <c r="O878" s="104"/>
      <c r="P878" s="104"/>
      <c r="Q878" s="104"/>
      <c r="R878" s="106"/>
      <c r="S878" s="104"/>
      <c r="T878" s="104"/>
      <c r="U878" s="104"/>
      <c r="V878" s="104"/>
      <c r="W878" s="105"/>
      <c r="X878" s="104"/>
      <c r="Y878" s="104"/>
      <c r="Z878" s="104"/>
      <c r="AA878" s="104"/>
      <c r="AB878" s="104"/>
      <c r="AC878" s="104"/>
      <c r="AD878" s="104"/>
      <c r="AE878" s="104"/>
      <c r="AF878" s="104"/>
      <c r="AG878" s="104"/>
      <c r="AH878" s="104"/>
      <c r="AI878" s="104"/>
      <c r="AJ878" s="104"/>
      <c r="AK878" s="104"/>
      <c r="AL878" s="104"/>
      <c r="AM878" s="104"/>
      <c r="AN878" s="104"/>
      <c r="AO878" s="104"/>
      <c r="AP878" s="104"/>
      <c r="AQ878" s="104"/>
      <c r="AR878" s="104"/>
      <c r="AS878" s="104"/>
      <c r="AT878" s="104"/>
      <c r="AU878" s="104"/>
      <c r="AV878" s="104"/>
      <c r="AW878" s="104"/>
      <c r="AX878" s="104"/>
      <c r="AY878" s="104"/>
      <c r="AZ878" s="104"/>
      <c r="BA878" s="104"/>
      <c r="BB878" s="104"/>
      <c r="BC878" s="104"/>
      <c r="BD878" s="104"/>
      <c r="BE878" s="104"/>
      <c r="BF878" s="104"/>
      <c r="BG878" s="104"/>
      <c r="BH878" s="104"/>
      <c r="BI878" s="104"/>
      <c r="BJ878" s="104"/>
      <c r="BK878" s="104"/>
      <c r="BL878" s="104"/>
      <c r="BM878" s="104"/>
      <c r="BN878" s="104"/>
    </row>
    <row r="879">
      <c r="A879" s="104"/>
      <c r="B879" s="104"/>
      <c r="C879" s="104"/>
      <c r="D879" s="104"/>
      <c r="E879" s="104"/>
      <c r="F879" s="104"/>
      <c r="G879" s="104"/>
      <c r="H879" s="104"/>
      <c r="I879" s="104"/>
      <c r="J879" s="104"/>
      <c r="K879" s="105"/>
      <c r="L879" s="106"/>
      <c r="M879" s="104"/>
      <c r="N879" s="104"/>
      <c r="O879" s="104"/>
      <c r="P879" s="104"/>
      <c r="Q879" s="104"/>
      <c r="R879" s="106"/>
      <c r="S879" s="104"/>
      <c r="T879" s="104"/>
      <c r="U879" s="104"/>
      <c r="V879" s="104"/>
      <c r="W879" s="105"/>
      <c r="X879" s="104"/>
      <c r="Y879" s="104"/>
      <c r="Z879" s="104"/>
      <c r="AA879" s="104"/>
      <c r="AB879" s="104"/>
      <c r="AC879" s="104"/>
      <c r="AD879" s="104"/>
      <c r="AE879" s="104"/>
      <c r="AF879" s="104"/>
      <c r="AG879" s="104"/>
      <c r="AH879" s="104"/>
      <c r="AI879" s="104"/>
      <c r="AJ879" s="104"/>
      <c r="AK879" s="104"/>
      <c r="AL879" s="104"/>
      <c r="AM879" s="104"/>
      <c r="AN879" s="104"/>
      <c r="AO879" s="104"/>
      <c r="AP879" s="104"/>
      <c r="AQ879" s="104"/>
      <c r="AR879" s="104"/>
      <c r="AS879" s="104"/>
      <c r="AT879" s="104"/>
      <c r="AU879" s="104"/>
      <c r="AV879" s="104"/>
      <c r="AW879" s="104"/>
      <c r="AX879" s="104"/>
      <c r="AY879" s="104"/>
      <c r="AZ879" s="104"/>
      <c r="BA879" s="104"/>
      <c r="BB879" s="104"/>
      <c r="BC879" s="104"/>
      <c r="BD879" s="104"/>
      <c r="BE879" s="104"/>
      <c r="BF879" s="104"/>
      <c r="BG879" s="104"/>
      <c r="BH879" s="104"/>
      <c r="BI879" s="104"/>
      <c r="BJ879" s="104"/>
      <c r="BK879" s="104"/>
      <c r="BL879" s="104"/>
      <c r="BM879" s="104"/>
      <c r="BN879" s="104"/>
    </row>
    <row r="880">
      <c r="A880" s="104"/>
      <c r="B880" s="104"/>
      <c r="C880" s="104"/>
      <c r="D880" s="104"/>
      <c r="E880" s="104"/>
      <c r="F880" s="104"/>
      <c r="G880" s="104"/>
      <c r="H880" s="104"/>
      <c r="I880" s="104"/>
      <c r="J880" s="104"/>
      <c r="K880" s="105"/>
      <c r="L880" s="106"/>
      <c r="M880" s="104"/>
      <c r="N880" s="104"/>
      <c r="O880" s="104"/>
      <c r="P880" s="104"/>
      <c r="Q880" s="104"/>
      <c r="R880" s="106"/>
      <c r="S880" s="104"/>
      <c r="T880" s="104"/>
      <c r="U880" s="104"/>
      <c r="V880" s="104"/>
      <c r="W880" s="105"/>
      <c r="X880" s="104"/>
      <c r="Y880" s="104"/>
      <c r="Z880" s="104"/>
      <c r="AA880" s="104"/>
      <c r="AB880" s="104"/>
      <c r="AC880" s="104"/>
      <c r="AD880" s="104"/>
      <c r="AE880" s="104"/>
      <c r="AF880" s="104"/>
      <c r="AG880" s="104"/>
      <c r="AH880" s="104"/>
      <c r="AI880" s="104"/>
      <c r="AJ880" s="104"/>
      <c r="AK880" s="104"/>
      <c r="AL880" s="104"/>
      <c r="AM880" s="104"/>
      <c r="AN880" s="104"/>
      <c r="AO880" s="104"/>
      <c r="AP880" s="104"/>
      <c r="AQ880" s="104"/>
      <c r="AR880" s="104"/>
      <c r="AS880" s="104"/>
      <c r="AT880" s="104"/>
      <c r="AU880" s="104"/>
      <c r="AV880" s="104"/>
      <c r="AW880" s="104"/>
      <c r="AX880" s="104"/>
      <c r="AY880" s="104"/>
      <c r="AZ880" s="104"/>
      <c r="BA880" s="104"/>
      <c r="BB880" s="104"/>
      <c r="BC880" s="104"/>
      <c r="BD880" s="104"/>
      <c r="BE880" s="104"/>
      <c r="BF880" s="104"/>
      <c r="BG880" s="104"/>
      <c r="BH880" s="104"/>
      <c r="BI880" s="104"/>
      <c r="BJ880" s="104"/>
      <c r="BK880" s="104"/>
      <c r="BL880" s="104"/>
      <c r="BM880" s="104"/>
      <c r="BN880" s="104"/>
    </row>
    <row r="881">
      <c r="A881" s="104"/>
      <c r="B881" s="104"/>
      <c r="C881" s="104"/>
      <c r="D881" s="104"/>
      <c r="E881" s="104"/>
      <c r="F881" s="104"/>
      <c r="G881" s="104"/>
      <c r="H881" s="104"/>
      <c r="I881" s="104"/>
      <c r="J881" s="104"/>
      <c r="K881" s="105"/>
      <c r="L881" s="106"/>
      <c r="M881" s="104"/>
      <c r="N881" s="104"/>
      <c r="O881" s="104"/>
      <c r="P881" s="104"/>
      <c r="Q881" s="104"/>
      <c r="R881" s="106"/>
      <c r="S881" s="104"/>
      <c r="T881" s="104"/>
      <c r="U881" s="104"/>
      <c r="V881" s="104"/>
      <c r="W881" s="105"/>
      <c r="X881" s="104"/>
      <c r="Y881" s="104"/>
      <c r="Z881" s="104"/>
      <c r="AA881" s="104"/>
      <c r="AB881" s="104"/>
      <c r="AC881" s="104"/>
      <c r="AD881" s="104"/>
      <c r="AE881" s="104"/>
      <c r="AF881" s="104"/>
      <c r="AG881" s="104"/>
      <c r="AH881" s="104"/>
      <c r="AI881" s="104"/>
      <c r="AJ881" s="104"/>
      <c r="AK881" s="104"/>
      <c r="AL881" s="104"/>
      <c r="AM881" s="104"/>
      <c r="AN881" s="104"/>
      <c r="AO881" s="104"/>
      <c r="AP881" s="104"/>
      <c r="AQ881" s="104"/>
      <c r="AR881" s="104"/>
      <c r="AS881" s="104"/>
      <c r="AT881" s="104"/>
      <c r="AU881" s="104"/>
      <c r="AV881" s="104"/>
      <c r="AW881" s="104"/>
      <c r="AX881" s="104"/>
      <c r="AY881" s="104"/>
      <c r="AZ881" s="104"/>
      <c r="BA881" s="104"/>
      <c r="BB881" s="104"/>
      <c r="BC881" s="104"/>
      <c r="BD881" s="104"/>
      <c r="BE881" s="104"/>
      <c r="BF881" s="104"/>
      <c r="BG881" s="104"/>
      <c r="BH881" s="104"/>
      <c r="BI881" s="104"/>
      <c r="BJ881" s="104"/>
      <c r="BK881" s="104"/>
      <c r="BL881" s="104"/>
      <c r="BM881" s="104"/>
      <c r="BN881" s="104"/>
    </row>
    <row r="882">
      <c r="A882" s="104"/>
      <c r="B882" s="104"/>
      <c r="C882" s="104"/>
      <c r="D882" s="104"/>
      <c r="E882" s="104"/>
      <c r="F882" s="104"/>
      <c r="G882" s="104"/>
      <c r="H882" s="104"/>
      <c r="I882" s="104"/>
      <c r="J882" s="104"/>
      <c r="K882" s="105"/>
      <c r="L882" s="106"/>
      <c r="M882" s="104"/>
      <c r="N882" s="104"/>
      <c r="O882" s="104"/>
      <c r="P882" s="104"/>
      <c r="Q882" s="104"/>
      <c r="R882" s="106"/>
      <c r="S882" s="104"/>
      <c r="T882" s="104"/>
      <c r="U882" s="104"/>
      <c r="V882" s="104"/>
      <c r="W882" s="105"/>
      <c r="X882" s="104"/>
      <c r="Y882" s="104"/>
      <c r="Z882" s="104"/>
      <c r="AA882" s="104"/>
      <c r="AB882" s="104"/>
      <c r="AC882" s="104"/>
      <c r="AD882" s="104"/>
      <c r="AE882" s="104"/>
      <c r="AF882" s="104"/>
      <c r="AG882" s="104"/>
      <c r="AH882" s="104"/>
      <c r="AI882" s="104"/>
      <c r="AJ882" s="104"/>
      <c r="AK882" s="104"/>
      <c r="AL882" s="104"/>
      <c r="AM882" s="104"/>
      <c r="AN882" s="104"/>
      <c r="AO882" s="104"/>
      <c r="AP882" s="104"/>
      <c r="AQ882" s="104"/>
      <c r="AR882" s="104"/>
      <c r="AS882" s="104"/>
      <c r="AT882" s="104"/>
      <c r="AU882" s="104"/>
      <c r="AV882" s="104"/>
      <c r="AW882" s="104"/>
      <c r="AX882" s="104"/>
      <c r="AY882" s="104"/>
      <c r="AZ882" s="104"/>
      <c r="BA882" s="104"/>
      <c r="BB882" s="104"/>
      <c r="BC882" s="104"/>
      <c r="BD882" s="104"/>
      <c r="BE882" s="104"/>
      <c r="BF882" s="104"/>
      <c r="BG882" s="104"/>
      <c r="BH882" s="104"/>
      <c r="BI882" s="104"/>
      <c r="BJ882" s="104"/>
      <c r="BK882" s="104"/>
      <c r="BL882" s="104"/>
      <c r="BM882" s="104"/>
      <c r="BN882" s="104"/>
    </row>
    <row r="883">
      <c r="A883" s="104"/>
      <c r="B883" s="104"/>
      <c r="C883" s="104"/>
      <c r="D883" s="104"/>
      <c r="E883" s="104"/>
      <c r="F883" s="104"/>
      <c r="G883" s="104"/>
      <c r="H883" s="104"/>
      <c r="I883" s="104"/>
      <c r="J883" s="104"/>
      <c r="K883" s="105"/>
      <c r="L883" s="106"/>
      <c r="M883" s="104"/>
      <c r="N883" s="104"/>
      <c r="O883" s="104"/>
      <c r="P883" s="104"/>
      <c r="Q883" s="104"/>
      <c r="R883" s="106"/>
      <c r="S883" s="104"/>
      <c r="T883" s="104"/>
      <c r="U883" s="104"/>
      <c r="V883" s="104"/>
      <c r="W883" s="105"/>
      <c r="X883" s="104"/>
      <c r="Y883" s="104"/>
      <c r="Z883" s="104"/>
      <c r="AA883" s="104"/>
      <c r="AB883" s="104"/>
      <c r="AC883" s="104"/>
      <c r="AD883" s="104"/>
      <c r="AE883" s="104"/>
      <c r="AF883" s="104"/>
      <c r="AG883" s="104"/>
      <c r="AH883" s="104"/>
      <c r="AI883" s="104"/>
      <c r="AJ883" s="104"/>
      <c r="AK883" s="104"/>
      <c r="AL883" s="104"/>
      <c r="AM883" s="104"/>
      <c r="AN883" s="104"/>
      <c r="AO883" s="104"/>
      <c r="AP883" s="104"/>
      <c r="AQ883" s="104"/>
      <c r="AR883" s="104"/>
      <c r="AS883" s="104"/>
      <c r="AT883" s="104"/>
      <c r="AU883" s="104"/>
      <c r="AV883" s="104"/>
      <c r="AW883" s="104"/>
      <c r="AX883" s="104"/>
      <c r="AY883" s="104"/>
      <c r="AZ883" s="104"/>
      <c r="BA883" s="104"/>
      <c r="BB883" s="104"/>
      <c r="BC883" s="104"/>
      <c r="BD883" s="104"/>
      <c r="BE883" s="104"/>
      <c r="BF883" s="104"/>
      <c r="BG883" s="104"/>
      <c r="BH883" s="104"/>
      <c r="BI883" s="104"/>
      <c r="BJ883" s="104"/>
      <c r="BK883" s="104"/>
      <c r="BL883" s="104"/>
      <c r="BM883" s="104"/>
      <c r="BN883" s="104"/>
    </row>
    <row r="884">
      <c r="A884" s="104"/>
      <c r="B884" s="104"/>
      <c r="C884" s="104"/>
      <c r="D884" s="104"/>
      <c r="E884" s="104"/>
      <c r="F884" s="104"/>
      <c r="G884" s="104"/>
      <c r="H884" s="104"/>
      <c r="I884" s="104"/>
      <c r="J884" s="104"/>
      <c r="K884" s="105"/>
      <c r="L884" s="106"/>
      <c r="M884" s="104"/>
      <c r="N884" s="104"/>
      <c r="O884" s="104"/>
      <c r="P884" s="104"/>
      <c r="Q884" s="104"/>
      <c r="R884" s="106"/>
      <c r="S884" s="104"/>
      <c r="T884" s="104"/>
      <c r="U884" s="104"/>
      <c r="V884" s="104"/>
      <c r="W884" s="105"/>
      <c r="X884" s="104"/>
      <c r="Y884" s="104"/>
      <c r="Z884" s="104"/>
      <c r="AA884" s="104"/>
      <c r="AB884" s="104"/>
      <c r="AC884" s="104"/>
      <c r="AD884" s="104"/>
      <c r="AE884" s="104"/>
      <c r="AF884" s="104"/>
      <c r="AG884" s="104"/>
      <c r="AH884" s="104"/>
      <c r="AI884" s="104"/>
      <c r="AJ884" s="104"/>
      <c r="AK884" s="104"/>
      <c r="AL884" s="104"/>
      <c r="AM884" s="104"/>
      <c r="AN884" s="104"/>
      <c r="AO884" s="104"/>
      <c r="AP884" s="104"/>
      <c r="AQ884" s="104"/>
      <c r="AR884" s="104"/>
      <c r="AS884" s="104"/>
      <c r="AT884" s="104"/>
      <c r="AU884" s="104"/>
      <c r="AV884" s="104"/>
      <c r="AW884" s="104"/>
      <c r="AX884" s="104"/>
      <c r="AY884" s="104"/>
      <c r="AZ884" s="104"/>
      <c r="BA884" s="104"/>
      <c r="BB884" s="104"/>
      <c r="BC884" s="104"/>
      <c r="BD884" s="104"/>
      <c r="BE884" s="104"/>
      <c r="BF884" s="104"/>
      <c r="BG884" s="104"/>
      <c r="BH884" s="104"/>
      <c r="BI884" s="104"/>
      <c r="BJ884" s="104"/>
      <c r="BK884" s="104"/>
      <c r="BL884" s="104"/>
      <c r="BM884" s="104"/>
      <c r="BN884" s="104"/>
    </row>
    <row r="885">
      <c r="A885" s="104"/>
      <c r="B885" s="104"/>
      <c r="C885" s="104"/>
      <c r="D885" s="104"/>
      <c r="E885" s="104"/>
      <c r="F885" s="104"/>
      <c r="G885" s="104"/>
      <c r="H885" s="104"/>
      <c r="I885" s="104"/>
      <c r="J885" s="104"/>
      <c r="K885" s="105"/>
      <c r="L885" s="106"/>
      <c r="M885" s="104"/>
      <c r="N885" s="104"/>
      <c r="O885" s="104"/>
      <c r="P885" s="104"/>
      <c r="Q885" s="104"/>
      <c r="R885" s="106"/>
      <c r="S885" s="104"/>
      <c r="T885" s="104"/>
      <c r="U885" s="104"/>
      <c r="V885" s="104"/>
      <c r="W885" s="105"/>
      <c r="X885" s="104"/>
      <c r="Y885" s="104"/>
      <c r="Z885" s="104"/>
      <c r="AA885" s="104"/>
      <c r="AB885" s="104"/>
      <c r="AC885" s="104"/>
      <c r="AD885" s="104"/>
      <c r="AE885" s="104"/>
      <c r="AF885" s="104"/>
      <c r="AG885" s="104"/>
      <c r="AH885" s="104"/>
      <c r="AI885" s="104"/>
      <c r="AJ885" s="104"/>
      <c r="AK885" s="104"/>
      <c r="AL885" s="104"/>
      <c r="AM885" s="104"/>
      <c r="AN885" s="104"/>
      <c r="AO885" s="104"/>
      <c r="AP885" s="104"/>
      <c r="AQ885" s="104"/>
      <c r="AR885" s="104"/>
      <c r="AS885" s="104"/>
      <c r="AT885" s="104"/>
      <c r="AU885" s="104"/>
      <c r="AV885" s="104"/>
      <c r="AW885" s="104"/>
      <c r="AX885" s="104"/>
      <c r="AY885" s="104"/>
      <c r="AZ885" s="104"/>
      <c r="BA885" s="104"/>
      <c r="BB885" s="104"/>
      <c r="BC885" s="104"/>
      <c r="BD885" s="104"/>
      <c r="BE885" s="104"/>
      <c r="BF885" s="104"/>
      <c r="BG885" s="104"/>
      <c r="BH885" s="104"/>
      <c r="BI885" s="104"/>
      <c r="BJ885" s="104"/>
      <c r="BK885" s="104"/>
      <c r="BL885" s="104"/>
      <c r="BM885" s="104"/>
      <c r="BN885" s="104"/>
    </row>
    <row r="886">
      <c r="A886" s="104"/>
      <c r="B886" s="104"/>
      <c r="C886" s="104"/>
      <c r="D886" s="104"/>
      <c r="E886" s="104"/>
      <c r="F886" s="104"/>
      <c r="G886" s="104"/>
      <c r="H886" s="104"/>
      <c r="I886" s="104"/>
      <c r="J886" s="104"/>
      <c r="K886" s="105"/>
      <c r="L886" s="106"/>
      <c r="M886" s="104"/>
      <c r="N886" s="104"/>
      <c r="O886" s="104"/>
      <c r="P886" s="104"/>
      <c r="Q886" s="104"/>
      <c r="R886" s="106"/>
      <c r="S886" s="104"/>
      <c r="T886" s="104"/>
      <c r="U886" s="104"/>
      <c r="V886" s="104"/>
      <c r="W886" s="105"/>
      <c r="X886" s="104"/>
      <c r="Y886" s="104"/>
      <c r="Z886" s="104"/>
      <c r="AA886" s="104"/>
      <c r="AB886" s="104"/>
      <c r="AC886" s="104"/>
      <c r="AD886" s="104"/>
      <c r="AE886" s="104"/>
      <c r="AF886" s="104"/>
      <c r="AG886" s="104"/>
      <c r="AH886" s="104"/>
      <c r="AI886" s="104"/>
      <c r="AJ886" s="104"/>
      <c r="AK886" s="104"/>
      <c r="AL886" s="104"/>
      <c r="AM886" s="104"/>
      <c r="AN886" s="104"/>
      <c r="AO886" s="104"/>
      <c r="AP886" s="104"/>
      <c r="AQ886" s="104"/>
      <c r="AR886" s="104"/>
      <c r="AS886" s="104"/>
      <c r="AT886" s="104"/>
      <c r="AU886" s="104"/>
      <c r="AV886" s="104"/>
      <c r="AW886" s="104"/>
      <c r="AX886" s="104"/>
      <c r="AY886" s="104"/>
      <c r="AZ886" s="104"/>
      <c r="BA886" s="104"/>
      <c r="BB886" s="104"/>
      <c r="BC886" s="104"/>
      <c r="BD886" s="104"/>
      <c r="BE886" s="104"/>
      <c r="BF886" s="104"/>
      <c r="BG886" s="104"/>
      <c r="BH886" s="104"/>
      <c r="BI886" s="104"/>
      <c r="BJ886" s="104"/>
      <c r="BK886" s="104"/>
      <c r="BL886" s="104"/>
      <c r="BM886" s="104"/>
      <c r="BN886" s="104"/>
    </row>
    <row r="887">
      <c r="A887" s="104"/>
      <c r="B887" s="104"/>
      <c r="C887" s="104"/>
      <c r="D887" s="104"/>
      <c r="E887" s="104"/>
      <c r="F887" s="104"/>
      <c r="G887" s="104"/>
      <c r="H887" s="104"/>
      <c r="I887" s="104"/>
      <c r="J887" s="104"/>
      <c r="K887" s="105"/>
      <c r="L887" s="106"/>
      <c r="M887" s="104"/>
      <c r="N887" s="104"/>
      <c r="O887" s="104"/>
      <c r="P887" s="104"/>
      <c r="Q887" s="104"/>
      <c r="R887" s="106"/>
      <c r="S887" s="104"/>
      <c r="T887" s="104"/>
      <c r="U887" s="104"/>
      <c r="V887" s="104"/>
      <c r="W887" s="105"/>
      <c r="X887" s="104"/>
      <c r="Y887" s="104"/>
      <c r="Z887" s="104"/>
      <c r="AA887" s="104"/>
      <c r="AB887" s="104"/>
      <c r="AC887" s="104"/>
      <c r="AD887" s="104"/>
      <c r="AE887" s="104"/>
      <c r="AF887" s="104"/>
      <c r="AG887" s="104"/>
      <c r="AH887" s="104"/>
      <c r="AI887" s="104"/>
      <c r="AJ887" s="104"/>
      <c r="AK887" s="104"/>
      <c r="AL887" s="104"/>
      <c r="AM887" s="104"/>
      <c r="AN887" s="104"/>
      <c r="AO887" s="104"/>
      <c r="AP887" s="104"/>
      <c r="AQ887" s="104"/>
      <c r="AR887" s="104"/>
      <c r="AS887" s="104"/>
      <c r="AT887" s="104"/>
      <c r="AU887" s="104"/>
      <c r="AV887" s="104"/>
      <c r="AW887" s="104"/>
      <c r="AX887" s="104"/>
      <c r="AY887" s="104"/>
      <c r="AZ887" s="104"/>
      <c r="BA887" s="104"/>
      <c r="BB887" s="104"/>
      <c r="BC887" s="104"/>
      <c r="BD887" s="104"/>
      <c r="BE887" s="104"/>
      <c r="BF887" s="104"/>
      <c r="BG887" s="104"/>
      <c r="BH887" s="104"/>
      <c r="BI887" s="104"/>
      <c r="BJ887" s="104"/>
      <c r="BK887" s="104"/>
      <c r="BL887" s="104"/>
      <c r="BM887" s="104"/>
      <c r="BN887" s="104"/>
    </row>
    <row r="888">
      <c r="A888" s="104"/>
      <c r="B888" s="104"/>
      <c r="C888" s="104"/>
      <c r="D888" s="104"/>
      <c r="E888" s="104"/>
      <c r="F888" s="104"/>
      <c r="G888" s="104"/>
      <c r="H888" s="104"/>
      <c r="I888" s="104"/>
      <c r="J888" s="104"/>
      <c r="K888" s="105"/>
      <c r="L888" s="106"/>
      <c r="M888" s="104"/>
      <c r="N888" s="104"/>
      <c r="O888" s="104"/>
      <c r="P888" s="104"/>
      <c r="Q888" s="104"/>
      <c r="R888" s="106"/>
      <c r="S888" s="104"/>
      <c r="T888" s="104"/>
      <c r="U888" s="104"/>
      <c r="V888" s="104"/>
      <c r="W888" s="105"/>
      <c r="X888" s="104"/>
      <c r="Y888" s="104"/>
      <c r="Z888" s="104"/>
      <c r="AA888" s="104"/>
      <c r="AB888" s="104"/>
      <c r="AC888" s="104"/>
      <c r="AD888" s="104"/>
      <c r="AE888" s="104"/>
      <c r="AF888" s="104"/>
      <c r="AG888" s="104"/>
      <c r="AH888" s="104"/>
      <c r="AI888" s="104"/>
      <c r="AJ888" s="104"/>
      <c r="AK888" s="104"/>
      <c r="AL888" s="104"/>
      <c r="AM888" s="104"/>
      <c r="AN888" s="104"/>
      <c r="AO888" s="104"/>
      <c r="AP888" s="104"/>
      <c r="AQ888" s="104"/>
      <c r="AR888" s="104"/>
      <c r="AS888" s="104"/>
      <c r="AT888" s="104"/>
      <c r="AU888" s="104"/>
      <c r="AV888" s="104"/>
      <c r="AW888" s="104"/>
      <c r="AX888" s="104"/>
      <c r="AY888" s="104"/>
      <c r="AZ888" s="104"/>
      <c r="BA888" s="104"/>
      <c r="BB888" s="104"/>
      <c r="BC888" s="104"/>
      <c r="BD888" s="104"/>
      <c r="BE888" s="104"/>
      <c r="BF888" s="104"/>
      <c r="BG888" s="104"/>
      <c r="BH888" s="104"/>
      <c r="BI888" s="104"/>
      <c r="BJ888" s="104"/>
      <c r="BK888" s="104"/>
      <c r="BL888" s="104"/>
      <c r="BM888" s="104"/>
      <c r="BN888" s="104"/>
    </row>
    <row r="889">
      <c r="A889" s="104"/>
      <c r="B889" s="104"/>
      <c r="C889" s="104"/>
      <c r="D889" s="104"/>
      <c r="E889" s="104"/>
      <c r="F889" s="104"/>
      <c r="G889" s="104"/>
      <c r="H889" s="104"/>
      <c r="I889" s="104"/>
      <c r="J889" s="104"/>
      <c r="K889" s="105"/>
      <c r="L889" s="106"/>
      <c r="M889" s="104"/>
      <c r="N889" s="104"/>
      <c r="O889" s="104"/>
      <c r="P889" s="104"/>
      <c r="Q889" s="104"/>
      <c r="R889" s="106"/>
      <c r="S889" s="104"/>
      <c r="T889" s="104"/>
      <c r="U889" s="104"/>
      <c r="V889" s="104"/>
      <c r="W889" s="105"/>
      <c r="X889" s="104"/>
      <c r="Y889" s="104"/>
      <c r="Z889" s="104"/>
      <c r="AA889" s="104"/>
      <c r="AB889" s="104"/>
      <c r="AC889" s="104"/>
      <c r="AD889" s="104"/>
      <c r="AE889" s="104"/>
      <c r="AF889" s="104"/>
      <c r="AG889" s="104"/>
      <c r="AH889" s="104"/>
      <c r="AI889" s="104"/>
      <c r="AJ889" s="104"/>
      <c r="AK889" s="104"/>
      <c r="AL889" s="104"/>
      <c r="AM889" s="104"/>
      <c r="AN889" s="104"/>
      <c r="AO889" s="104"/>
      <c r="AP889" s="104"/>
      <c r="AQ889" s="104"/>
      <c r="AR889" s="104"/>
      <c r="AS889" s="104"/>
      <c r="AT889" s="104"/>
      <c r="AU889" s="104"/>
      <c r="AV889" s="104"/>
      <c r="AW889" s="104"/>
      <c r="AX889" s="104"/>
      <c r="AY889" s="104"/>
      <c r="AZ889" s="104"/>
      <c r="BA889" s="104"/>
      <c r="BB889" s="104"/>
      <c r="BC889" s="104"/>
      <c r="BD889" s="104"/>
      <c r="BE889" s="104"/>
      <c r="BF889" s="104"/>
      <c r="BG889" s="104"/>
      <c r="BH889" s="104"/>
      <c r="BI889" s="104"/>
      <c r="BJ889" s="104"/>
      <c r="BK889" s="104"/>
      <c r="BL889" s="104"/>
      <c r="BM889" s="104"/>
      <c r="BN889" s="104"/>
    </row>
    <row r="890">
      <c r="A890" s="104"/>
      <c r="B890" s="104"/>
      <c r="C890" s="104"/>
      <c r="D890" s="104"/>
      <c r="E890" s="104"/>
      <c r="F890" s="104"/>
      <c r="G890" s="104"/>
      <c r="H890" s="104"/>
      <c r="I890" s="104"/>
      <c r="J890" s="104"/>
      <c r="K890" s="105"/>
      <c r="L890" s="106"/>
      <c r="M890" s="104"/>
      <c r="N890" s="104"/>
      <c r="O890" s="104"/>
      <c r="P890" s="104"/>
      <c r="Q890" s="104"/>
      <c r="R890" s="106"/>
      <c r="S890" s="104"/>
      <c r="T890" s="104"/>
      <c r="U890" s="104"/>
      <c r="V890" s="104"/>
      <c r="W890" s="105"/>
      <c r="X890" s="104"/>
      <c r="Y890" s="104"/>
      <c r="Z890" s="104"/>
      <c r="AA890" s="104"/>
      <c r="AB890" s="104"/>
      <c r="AC890" s="104"/>
      <c r="AD890" s="104"/>
      <c r="AE890" s="104"/>
      <c r="AF890" s="104"/>
      <c r="AG890" s="104"/>
      <c r="AH890" s="104"/>
      <c r="AI890" s="104"/>
      <c r="AJ890" s="104"/>
      <c r="AK890" s="104"/>
      <c r="AL890" s="104"/>
      <c r="AM890" s="104"/>
      <c r="AN890" s="104"/>
      <c r="AO890" s="104"/>
      <c r="AP890" s="104"/>
      <c r="AQ890" s="104"/>
      <c r="AR890" s="104"/>
      <c r="AS890" s="104"/>
      <c r="AT890" s="104"/>
      <c r="AU890" s="104"/>
      <c r="AV890" s="104"/>
      <c r="AW890" s="104"/>
      <c r="AX890" s="104"/>
      <c r="AY890" s="104"/>
      <c r="AZ890" s="104"/>
      <c r="BA890" s="104"/>
      <c r="BB890" s="104"/>
      <c r="BC890" s="104"/>
      <c r="BD890" s="104"/>
      <c r="BE890" s="104"/>
      <c r="BF890" s="104"/>
      <c r="BG890" s="104"/>
      <c r="BH890" s="104"/>
      <c r="BI890" s="104"/>
      <c r="BJ890" s="104"/>
      <c r="BK890" s="104"/>
      <c r="BL890" s="104"/>
      <c r="BM890" s="104"/>
      <c r="BN890" s="104"/>
    </row>
    <row r="891">
      <c r="A891" s="104"/>
      <c r="B891" s="104"/>
      <c r="C891" s="104"/>
      <c r="D891" s="104"/>
      <c r="E891" s="104"/>
      <c r="F891" s="104"/>
      <c r="G891" s="104"/>
      <c r="H891" s="104"/>
      <c r="I891" s="104"/>
      <c r="J891" s="104"/>
      <c r="K891" s="105"/>
      <c r="L891" s="106"/>
      <c r="M891" s="104"/>
      <c r="N891" s="104"/>
      <c r="O891" s="104"/>
      <c r="P891" s="104"/>
      <c r="Q891" s="104"/>
      <c r="R891" s="106"/>
      <c r="S891" s="104"/>
      <c r="T891" s="104"/>
      <c r="U891" s="104"/>
      <c r="V891" s="104"/>
      <c r="W891" s="105"/>
      <c r="X891" s="104"/>
      <c r="Y891" s="104"/>
      <c r="Z891" s="104"/>
      <c r="AA891" s="104"/>
      <c r="AB891" s="104"/>
      <c r="AC891" s="104"/>
      <c r="AD891" s="104"/>
      <c r="AE891" s="104"/>
      <c r="AF891" s="104"/>
      <c r="AG891" s="104"/>
      <c r="AH891" s="104"/>
      <c r="AI891" s="104"/>
      <c r="AJ891" s="104"/>
      <c r="AK891" s="104"/>
      <c r="AL891" s="104"/>
      <c r="AM891" s="104"/>
      <c r="AN891" s="104"/>
      <c r="AO891" s="104"/>
      <c r="AP891" s="104"/>
      <c r="AQ891" s="104"/>
      <c r="AR891" s="104"/>
      <c r="AS891" s="104"/>
      <c r="AT891" s="104"/>
      <c r="AU891" s="104"/>
      <c r="AV891" s="104"/>
      <c r="AW891" s="104"/>
      <c r="AX891" s="104"/>
      <c r="AY891" s="104"/>
      <c r="AZ891" s="104"/>
      <c r="BA891" s="104"/>
      <c r="BB891" s="104"/>
      <c r="BC891" s="104"/>
      <c r="BD891" s="104"/>
      <c r="BE891" s="104"/>
      <c r="BF891" s="104"/>
      <c r="BG891" s="104"/>
      <c r="BH891" s="104"/>
      <c r="BI891" s="104"/>
      <c r="BJ891" s="104"/>
      <c r="BK891" s="104"/>
      <c r="BL891" s="104"/>
      <c r="BM891" s="104"/>
      <c r="BN891" s="104"/>
    </row>
    <row r="892">
      <c r="A892" s="104"/>
      <c r="B892" s="104"/>
      <c r="C892" s="104"/>
      <c r="D892" s="104"/>
      <c r="E892" s="104"/>
      <c r="F892" s="104"/>
      <c r="G892" s="104"/>
      <c r="H892" s="104"/>
      <c r="I892" s="104"/>
      <c r="J892" s="104"/>
      <c r="K892" s="105"/>
      <c r="L892" s="106"/>
      <c r="M892" s="104"/>
      <c r="N892" s="104"/>
      <c r="O892" s="104"/>
      <c r="P892" s="104"/>
      <c r="Q892" s="104"/>
      <c r="R892" s="106"/>
      <c r="S892" s="104"/>
      <c r="T892" s="104"/>
      <c r="U892" s="104"/>
      <c r="V892" s="104"/>
      <c r="W892" s="105"/>
      <c r="X892" s="104"/>
      <c r="Y892" s="104"/>
      <c r="Z892" s="104"/>
      <c r="AA892" s="104"/>
      <c r="AB892" s="104"/>
      <c r="AC892" s="104"/>
      <c r="AD892" s="104"/>
      <c r="AE892" s="104"/>
      <c r="AF892" s="104"/>
      <c r="AG892" s="104"/>
      <c r="AH892" s="104"/>
      <c r="AI892" s="104"/>
      <c r="AJ892" s="104"/>
      <c r="AK892" s="104"/>
      <c r="AL892" s="104"/>
      <c r="AM892" s="104"/>
      <c r="AN892" s="104"/>
      <c r="AO892" s="104"/>
      <c r="AP892" s="104"/>
      <c r="AQ892" s="104"/>
      <c r="AR892" s="104"/>
      <c r="AS892" s="104"/>
      <c r="AT892" s="104"/>
      <c r="AU892" s="104"/>
      <c r="AV892" s="104"/>
      <c r="AW892" s="104"/>
      <c r="AX892" s="104"/>
      <c r="AY892" s="104"/>
      <c r="AZ892" s="104"/>
      <c r="BA892" s="104"/>
      <c r="BB892" s="104"/>
      <c r="BC892" s="104"/>
      <c r="BD892" s="104"/>
      <c r="BE892" s="104"/>
      <c r="BF892" s="104"/>
      <c r="BG892" s="104"/>
      <c r="BH892" s="104"/>
      <c r="BI892" s="104"/>
      <c r="BJ892" s="104"/>
      <c r="BK892" s="104"/>
      <c r="BL892" s="104"/>
      <c r="BM892" s="104"/>
      <c r="BN892" s="104"/>
    </row>
    <row r="893">
      <c r="A893" s="104"/>
      <c r="B893" s="104"/>
      <c r="C893" s="104"/>
      <c r="D893" s="104"/>
      <c r="E893" s="104"/>
      <c r="F893" s="104"/>
      <c r="G893" s="104"/>
      <c r="H893" s="104"/>
      <c r="I893" s="104"/>
      <c r="J893" s="104"/>
      <c r="K893" s="105"/>
      <c r="L893" s="106"/>
      <c r="M893" s="104"/>
      <c r="N893" s="104"/>
      <c r="O893" s="104"/>
      <c r="P893" s="104"/>
      <c r="Q893" s="104"/>
      <c r="R893" s="106"/>
      <c r="S893" s="104"/>
      <c r="T893" s="104"/>
      <c r="U893" s="104"/>
      <c r="V893" s="104"/>
      <c r="W893" s="105"/>
      <c r="X893" s="104"/>
      <c r="Y893" s="104"/>
      <c r="Z893" s="104"/>
      <c r="AA893" s="104"/>
      <c r="AB893" s="104"/>
      <c r="AC893" s="104"/>
      <c r="AD893" s="104"/>
      <c r="AE893" s="104"/>
      <c r="AF893" s="104"/>
      <c r="AG893" s="104"/>
      <c r="AH893" s="104"/>
      <c r="AI893" s="104"/>
      <c r="AJ893" s="104"/>
      <c r="AK893" s="104"/>
      <c r="AL893" s="104"/>
      <c r="AM893" s="104"/>
      <c r="AN893" s="104"/>
      <c r="AO893" s="104"/>
      <c r="AP893" s="104"/>
      <c r="AQ893" s="104"/>
      <c r="AR893" s="104"/>
      <c r="AS893" s="104"/>
      <c r="AT893" s="104"/>
      <c r="AU893" s="104"/>
      <c r="AV893" s="104"/>
      <c r="AW893" s="104"/>
      <c r="AX893" s="104"/>
      <c r="AY893" s="104"/>
      <c r="AZ893" s="104"/>
      <c r="BA893" s="104"/>
      <c r="BB893" s="104"/>
      <c r="BC893" s="104"/>
      <c r="BD893" s="104"/>
      <c r="BE893" s="104"/>
      <c r="BF893" s="104"/>
      <c r="BG893" s="104"/>
      <c r="BH893" s="104"/>
      <c r="BI893" s="104"/>
      <c r="BJ893" s="104"/>
      <c r="BK893" s="104"/>
      <c r="BL893" s="104"/>
      <c r="BM893" s="104"/>
      <c r="BN893" s="104"/>
    </row>
    <row r="894">
      <c r="A894" s="104"/>
      <c r="B894" s="104"/>
      <c r="C894" s="104"/>
      <c r="D894" s="104"/>
      <c r="E894" s="104"/>
      <c r="F894" s="104"/>
      <c r="G894" s="104"/>
      <c r="H894" s="104"/>
      <c r="I894" s="104"/>
      <c r="J894" s="104"/>
      <c r="K894" s="105"/>
      <c r="L894" s="106"/>
      <c r="M894" s="104"/>
      <c r="N894" s="104"/>
      <c r="O894" s="104"/>
      <c r="P894" s="104"/>
      <c r="Q894" s="104"/>
      <c r="R894" s="106"/>
      <c r="S894" s="104"/>
      <c r="T894" s="104"/>
      <c r="U894" s="104"/>
      <c r="V894" s="104"/>
      <c r="W894" s="105"/>
      <c r="X894" s="104"/>
      <c r="Y894" s="104"/>
      <c r="Z894" s="104"/>
      <c r="AA894" s="104"/>
      <c r="AB894" s="104"/>
      <c r="AC894" s="104"/>
      <c r="AD894" s="104"/>
      <c r="AE894" s="104"/>
      <c r="AF894" s="104"/>
      <c r="AG894" s="104"/>
      <c r="AH894" s="104"/>
      <c r="AI894" s="104"/>
      <c r="AJ894" s="104"/>
      <c r="AK894" s="104"/>
      <c r="AL894" s="104"/>
      <c r="AM894" s="104"/>
      <c r="AN894" s="104"/>
      <c r="AO894" s="104"/>
      <c r="AP894" s="104"/>
      <c r="AQ894" s="104"/>
      <c r="AR894" s="104"/>
      <c r="AS894" s="104"/>
      <c r="AT894" s="104"/>
      <c r="AU894" s="104"/>
      <c r="AV894" s="104"/>
      <c r="AW894" s="104"/>
      <c r="AX894" s="104"/>
      <c r="AY894" s="104"/>
      <c r="AZ894" s="104"/>
      <c r="BA894" s="104"/>
      <c r="BB894" s="104"/>
      <c r="BC894" s="104"/>
      <c r="BD894" s="104"/>
      <c r="BE894" s="104"/>
      <c r="BF894" s="104"/>
      <c r="BG894" s="104"/>
      <c r="BH894" s="104"/>
      <c r="BI894" s="104"/>
      <c r="BJ894" s="104"/>
      <c r="BK894" s="104"/>
      <c r="BL894" s="104"/>
      <c r="BM894" s="104"/>
      <c r="BN894" s="104"/>
    </row>
    <row r="895">
      <c r="A895" s="104"/>
      <c r="B895" s="104"/>
      <c r="C895" s="104"/>
      <c r="D895" s="104"/>
      <c r="E895" s="104"/>
      <c r="F895" s="104"/>
      <c r="G895" s="104"/>
      <c r="H895" s="104"/>
      <c r="I895" s="104"/>
      <c r="J895" s="104"/>
      <c r="K895" s="105"/>
      <c r="L895" s="106"/>
      <c r="M895" s="104"/>
      <c r="N895" s="104"/>
      <c r="O895" s="104"/>
      <c r="P895" s="104"/>
      <c r="Q895" s="104"/>
      <c r="R895" s="106"/>
      <c r="S895" s="104"/>
      <c r="T895" s="104"/>
      <c r="U895" s="104"/>
      <c r="V895" s="104"/>
      <c r="W895" s="105"/>
      <c r="X895" s="104"/>
      <c r="Y895" s="104"/>
      <c r="Z895" s="104"/>
      <c r="AA895" s="104"/>
      <c r="AB895" s="104"/>
      <c r="AC895" s="104"/>
      <c r="AD895" s="104"/>
      <c r="AE895" s="104"/>
      <c r="AF895" s="104"/>
      <c r="AG895" s="104"/>
      <c r="AH895" s="104"/>
      <c r="AI895" s="104"/>
      <c r="AJ895" s="104"/>
      <c r="AK895" s="104"/>
      <c r="AL895" s="104"/>
      <c r="AM895" s="104"/>
      <c r="AN895" s="104"/>
      <c r="AO895" s="104"/>
      <c r="AP895" s="104"/>
      <c r="AQ895" s="104"/>
      <c r="AR895" s="104"/>
      <c r="AS895" s="104"/>
      <c r="AT895" s="104"/>
      <c r="AU895" s="104"/>
      <c r="AV895" s="104"/>
      <c r="AW895" s="104"/>
      <c r="AX895" s="104"/>
      <c r="AY895" s="104"/>
      <c r="AZ895" s="104"/>
      <c r="BA895" s="104"/>
      <c r="BB895" s="104"/>
      <c r="BC895" s="104"/>
      <c r="BD895" s="104"/>
      <c r="BE895" s="104"/>
      <c r="BF895" s="104"/>
      <c r="BG895" s="104"/>
      <c r="BH895" s="104"/>
      <c r="BI895" s="104"/>
      <c r="BJ895" s="104"/>
      <c r="BK895" s="104"/>
      <c r="BL895" s="104"/>
      <c r="BM895" s="104"/>
      <c r="BN895" s="104"/>
    </row>
    <row r="896">
      <c r="A896" s="104"/>
      <c r="B896" s="104"/>
      <c r="C896" s="104"/>
      <c r="D896" s="104"/>
      <c r="E896" s="104"/>
      <c r="F896" s="104"/>
      <c r="G896" s="104"/>
      <c r="H896" s="104"/>
      <c r="I896" s="104"/>
      <c r="J896" s="104"/>
      <c r="K896" s="105"/>
      <c r="L896" s="106"/>
      <c r="M896" s="104"/>
      <c r="N896" s="104"/>
      <c r="O896" s="104"/>
      <c r="P896" s="104"/>
      <c r="Q896" s="104"/>
      <c r="R896" s="106"/>
      <c r="S896" s="104"/>
      <c r="T896" s="104"/>
      <c r="U896" s="104"/>
      <c r="V896" s="104"/>
      <c r="W896" s="105"/>
      <c r="X896" s="104"/>
      <c r="Y896" s="104"/>
      <c r="Z896" s="104"/>
      <c r="AA896" s="104"/>
      <c r="AB896" s="104"/>
      <c r="AC896" s="104"/>
      <c r="AD896" s="104"/>
      <c r="AE896" s="104"/>
      <c r="AF896" s="104"/>
      <c r="AG896" s="104"/>
      <c r="AH896" s="104"/>
      <c r="AI896" s="104"/>
      <c r="AJ896" s="104"/>
      <c r="AK896" s="104"/>
      <c r="AL896" s="104"/>
      <c r="AM896" s="104"/>
      <c r="AN896" s="104"/>
      <c r="AO896" s="104"/>
      <c r="AP896" s="104"/>
      <c r="AQ896" s="104"/>
      <c r="AR896" s="104"/>
      <c r="AS896" s="104"/>
      <c r="AT896" s="104"/>
      <c r="AU896" s="104"/>
      <c r="AV896" s="104"/>
      <c r="AW896" s="104"/>
      <c r="AX896" s="104"/>
      <c r="AY896" s="104"/>
      <c r="AZ896" s="104"/>
      <c r="BA896" s="104"/>
      <c r="BB896" s="104"/>
      <c r="BC896" s="104"/>
      <c r="BD896" s="104"/>
      <c r="BE896" s="104"/>
      <c r="BF896" s="104"/>
      <c r="BG896" s="104"/>
      <c r="BH896" s="104"/>
      <c r="BI896" s="104"/>
      <c r="BJ896" s="104"/>
      <c r="BK896" s="104"/>
      <c r="BL896" s="104"/>
      <c r="BM896" s="104"/>
      <c r="BN896" s="104"/>
    </row>
    <row r="897">
      <c r="A897" s="104"/>
      <c r="B897" s="104"/>
      <c r="C897" s="104"/>
      <c r="D897" s="104"/>
      <c r="E897" s="104"/>
      <c r="F897" s="104"/>
      <c r="G897" s="104"/>
      <c r="H897" s="104"/>
      <c r="I897" s="104"/>
      <c r="J897" s="104"/>
      <c r="K897" s="105"/>
      <c r="L897" s="106"/>
      <c r="M897" s="104"/>
      <c r="N897" s="104"/>
      <c r="O897" s="104"/>
      <c r="P897" s="104"/>
      <c r="Q897" s="104"/>
      <c r="R897" s="106"/>
      <c r="S897" s="104"/>
      <c r="T897" s="104"/>
      <c r="U897" s="104"/>
      <c r="V897" s="104"/>
      <c r="W897" s="105"/>
      <c r="X897" s="104"/>
      <c r="Y897" s="104"/>
      <c r="Z897" s="104"/>
      <c r="AA897" s="104"/>
      <c r="AB897" s="104"/>
      <c r="AC897" s="104"/>
      <c r="AD897" s="104"/>
      <c r="AE897" s="104"/>
      <c r="AF897" s="104"/>
      <c r="AG897" s="104"/>
      <c r="AH897" s="104"/>
      <c r="AI897" s="104"/>
      <c r="AJ897" s="104"/>
      <c r="AK897" s="104"/>
      <c r="AL897" s="104"/>
      <c r="AM897" s="104"/>
      <c r="AN897" s="104"/>
      <c r="AO897" s="104"/>
      <c r="AP897" s="104"/>
      <c r="AQ897" s="104"/>
      <c r="AR897" s="104"/>
      <c r="AS897" s="104"/>
      <c r="AT897" s="104"/>
      <c r="AU897" s="104"/>
      <c r="AV897" s="104"/>
      <c r="AW897" s="104"/>
      <c r="AX897" s="104"/>
      <c r="AY897" s="104"/>
      <c r="AZ897" s="104"/>
      <c r="BA897" s="104"/>
      <c r="BB897" s="104"/>
      <c r="BC897" s="104"/>
      <c r="BD897" s="104"/>
      <c r="BE897" s="104"/>
      <c r="BF897" s="104"/>
      <c r="BG897" s="104"/>
      <c r="BH897" s="104"/>
      <c r="BI897" s="104"/>
      <c r="BJ897" s="104"/>
      <c r="BK897" s="104"/>
      <c r="BL897" s="104"/>
      <c r="BM897" s="104"/>
      <c r="BN897" s="104"/>
    </row>
    <row r="898">
      <c r="A898" s="104"/>
      <c r="B898" s="104"/>
      <c r="C898" s="104"/>
      <c r="D898" s="104"/>
      <c r="E898" s="104"/>
      <c r="F898" s="104"/>
      <c r="G898" s="104"/>
      <c r="H898" s="104"/>
      <c r="I898" s="104"/>
      <c r="J898" s="104"/>
      <c r="K898" s="105"/>
      <c r="L898" s="106"/>
      <c r="M898" s="104"/>
      <c r="N898" s="104"/>
      <c r="O898" s="104"/>
      <c r="P898" s="104"/>
      <c r="Q898" s="104"/>
      <c r="R898" s="106"/>
      <c r="S898" s="104"/>
      <c r="T898" s="104"/>
      <c r="U898" s="104"/>
      <c r="V898" s="104"/>
      <c r="W898" s="105"/>
      <c r="X898" s="104"/>
      <c r="Y898" s="104"/>
      <c r="Z898" s="104"/>
      <c r="AA898" s="104"/>
      <c r="AB898" s="104"/>
      <c r="AC898" s="104"/>
      <c r="AD898" s="104"/>
      <c r="AE898" s="104"/>
      <c r="AF898" s="104"/>
      <c r="AG898" s="104"/>
      <c r="AH898" s="104"/>
      <c r="AI898" s="104"/>
      <c r="AJ898" s="104"/>
      <c r="AK898" s="104"/>
      <c r="AL898" s="104"/>
      <c r="AM898" s="104"/>
      <c r="AN898" s="104"/>
      <c r="AO898" s="104"/>
      <c r="AP898" s="104"/>
      <c r="AQ898" s="104"/>
      <c r="AR898" s="104"/>
      <c r="AS898" s="104"/>
      <c r="AT898" s="104"/>
      <c r="AU898" s="104"/>
      <c r="AV898" s="104"/>
      <c r="AW898" s="104"/>
      <c r="AX898" s="104"/>
      <c r="AY898" s="104"/>
      <c r="AZ898" s="104"/>
      <c r="BA898" s="104"/>
      <c r="BB898" s="104"/>
      <c r="BC898" s="104"/>
      <c r="BD898" s="104"/>
      <c r="BE898" s="104"/>
      <c r="BF898" s="104"/>
      <c r="BG898" s="104"/>
      <c r="BH898" s="104"/>
      <c r="BI898" s="104"/>
      <c r="BJ898" s="104"/>
      <c r="BK898" s="104"/>
      <c r="BL898" s="104"/>
      <c r="BM898" s="104"/>
      <c r="BN898" s="104"/>
    </row>
    <row r="899">
      <c r="A899" s="104"/>
      <c r="B899" s="104"/>
      <c r="C899" s="104"/>
      <c r="D899" s="104"/>
      <c r="E899" s="104"/>
      <c r="F899" s="104"/>
      <c r="G899" s="104"/>
      <c r="H899" s="104"/>
      <c r="I899" s="104"/>
      <c r="J899" s="104"/>
      <c r="K899" s="105"/>
      <c r="L899" s="106"/>
      <c r="M899" s="104"/>
      <c r="N899" s="104"/>
      <c r="O899" s="104"/>
      <c r="P899" s="104"/>
      <c r="Q899" s="104"/>
      <c r="R899" s="106"/>
      <c r="S899" s="104"/>
      <c r="T899" s="104"/>
      <c r="U899" s="104"/>
      <c r="V899" s="104"/>
      <c r="W899" s="105"/>
      <c r="X899" s="104"/>
      <c r="Y899" s="104"/>
      <c r="Z899" s="104"/>
      <c r="AA899" s="104"/>
      <c r="AB899" s="104"/>
      <c r="AC899" s="104"/>
      <c r="AD899" s="104"/>
      <c r="AE899" s="104"/>
      <c r="AF899" s="104"/>
      <c r="AG899" s="104"/>
      <c r="AH899" s="104"/>
      <c r="AI899" s="104"/>
      <c r="AJ899" s="104"/>
      <c r="AK899" s="104"/>
      <c r="AL899" s="104"/>
      <c r="AM899" s="104"/>
      <c r="AN899" s="104"/>
      <c r="AO899" s="104"/>
      <c r="AP899" s="104"/>
      <c r="AQ899" s="104"/>
      <c r="AR899" s="104"/>
      <c r="AS899" s="104"/>
      <c r="AT899" s="104"/>
      <c r="AU899" s="104"/>
      <c r="AV899" s="104"/>
      <c r="AW899" s="104"/>
      <c r="AX899" s="104"/>
      <c r="AY899" s="104"/>
      <c r="AZ899" s="104"/>
      <c r="BA899" s="104"/>
      <c r="BB899" s="104"/>
      <c r="BC899" s="104"/>
      <c r="BD899" s="104"/>
      <c r="BE899" s="104"/>
      <c r="BF899" s="104"/>
      <c r="BG899" s="104"/>
      <c r="BH899" s="104"/>
      <c r="BI899" s="104"/>
      <c r="BJ899" s="104"/>
      <c r="BK899" s="104"/>
      <c r="BL899" s="104"/>
      <c r="BM899" s="104"/>
      <c r="BN899" s="104"/>
    </row>
    <row r="900">
      <c r="A900" s="104"/>
      <c r="B900" s="104"/>
      <c r="C900" s="104"/>
      <c r="D900" s="104"/>
      <c r="E900" s="104"/>
      <c r="F900" s="104"/>
      <c r="G900" s="104"/>
      <c r="H900" s="104"/>
      <c r="I900" s="104"/>
      <c r="J900" s="104"/>
      <c r="K900" s="105"/>
      <c r="L900" s="106"/>
      <c r="M900" s="104"/>
      <c r="N900" s="104"/>
      <c r="O900" s="104"/>
      <c r="P900" s="104"/>
      <c r="Q900" s="104"/>
      <c r="R900" s="106"/>
      <c r="S900" s="104"/>
      <c r="T900" s="104"/>
      <c r="U900" s="104"/>
      <c r="V900" s="104"/>
      <c r="W900" s="105"/>
      <c r="X900" s="104"/>
      <c r="Y900" s="104"/>
      <c r="Z900" s="104"/>
      <c r="AA900" s="104"/>
      <c r="AB900" s="104"/>
      <c r="AC900" s="104"/>
      <c r="AD900" s="104"/>
      <c r="AE900" s="104"/>
      <c r="AF900" s="104"/>
      <c r="AG900" s="104"/>
      <c r="AH900" s="104"/>
      <c r="AI900" s="104"/>
      <c r="AJ900" s="104"/>
      <c r="AK900" s="104"/>
      <c r="AL900" s="104"/>
      <c r="AM900" s="104"/>
      <c r="AN900" s="104"/>
      <c r="AO900" s="104"/>
      <c r="AP900" s="104"/>
      <c r="AQ900" s="104"/>
      <c r="AR900" s="104"/>
      <c r="AS900" s="104"/>
      <c r="AT900" s="104"/>
      <c r="AU900" s="104"/>
      <c r="AV900" s="104"/>
      <c r="AW900" s="104"/>
      <c r="AX900" s="104"/>
      <c r="AY900" s="104"/>
      <c r="AZ900" s="104"/>
      <c r="BA900" s="104"/>
      <c r="BB900" s="104"/>
      <c r="BC900" s="104"/>
      <c r="BD900" s="104"/>
      <c r="BE900" s="104"/>
      <c r="BF900" s="104"/>
      <c r="BG900" s="104"/>
      <c r="BH900" s="104"/>
      <c r="BI900" s="104"/>
      <c r="BJ900" s="104"/>
      <c r="BK900" s="104"/>
      <c r="BL900" s="104"/>
      <c r="BM900" s="104"/>
      <c r="BN900" s="104"/>
    </row>
    <row r="901">
      <c r="A901" s="104"/>
      <c r="B901" s="104"/>
      <c r="C901" s="104"/>
      <c r="D901" s="104"/>
      <c r="E901" s="104"/>
      <c r="F901" s="104"/>
      <c r="G901" s="104"/>
      <c r="H901" s="104"/>
      <c r="I901" s="104"/>
      <c r="J901" s="104"/>
      <c r="K901" s="105"/>
      <c r="L901" s="106"/>
      <c r="M901" s="104"/>
      <c r="N901" s="104"/>
      <c r="O901" s="104"/>
      <c r="P901" s="104"/>
      <c r="Q901" s="104"/>
      <c r="R901" s="106"/>
      <c r="S901" s="104"/>
      <c r="T901" s="104"/>
      <c r="U901" s="104"/>
      <c r="V901" s="104"/>
      <c r="W901" s="105"/>
      <c r="X901" s="104"/>
      <c r="Y901" s="104"/>
      <c r="Z901" s="104"/>
      <c r="AA901" s="104"/>
      <c r="AB901" s="104"/>
      <c r="AC901" s="104"/>
      <c r="AD901" s="104"/>
      <c r="AE901" s="104"/>
      <c r="AF901" s="104"/>
      <c r="AG901" s="104"/>
      <c r="AH901" s="104"/>
      <c r="AI901" s="104"/>
      <c r="AJ901" s="104"/>
      <c r="AK901" s="104"/>
      <c r="AL901" s="104"/>
      <c r="AM901" s="104"/>
      <c r="AN901" s="104"/>
      <c r="AO901" s="104"/>
      <c r="AP901" s="104"/>
      <c r="AQ901" s="104"/>
      <c r="AR901" s="104"/>
      <c r="AS901" s="104"/>
      <c r="AT901" s="104"/>
      <c r="AU901" s="104"/>
      <c r="AV901" s="104"/>
      <c r="AW901" s="104"/>
      <c r="AX901" s="104"/>
      <c r="AY901" s="104"/>
      <c r="AZ901" s="104"/>
      <c r="BA901" s="104"/>
      <c r="BB901" s="104"/>
      <c r="BC901" s="104"/>
      <c r="BD901" s="104"/>
      <c r="BE901" s="104"/>
      <c r="BF901" s="104"/>
      <c r="BG901" s="104"/>
      <c r="BH901" s="104"/>
      <c r="BI901" s="104"/>
      <c r="BJ901" s="104"/>
      <c r="BK901" s="104"/>
      <c r="BL901" s="104"/>
      <c r="BM901" s="104"/>
      <c r="BN901" s="104"/>
    </row>
    <row r="902">
      <c r="A902" s="104"/>
      <c r="B902" s="104"/>
      <c r="C902" s="104"/>
      <c r="D902" s="104"/>
      <c r="E902" s="104"/>
      <c r="F902" s="104"/>
      <c r="G902" s="104"/>
      <c r="H902" s="104"/>
      <c r="I902" s="104"/>
      <c r="J902" s="104"/>
      <c r="K902" s="105"/>
      <c r="L902" s="106"/>
      <c r="M902" s="104"/>
      <c r="N902" s="104"/>
      <c r="O902" s="104"/>
      <c r="P902" s="104"/>
      <c r="Q902" s="104"/>
      <c r="R902" s="106"/>
      <c r="S902" s="104"/>
      <c r="T902" s="104"/>
      <c r="U902" s="104"/>
      <c r="V902" s="104"/>
      <c r="W902" s="105"/>
      <c r="X902" s="104"/>
      <c r="Y902" s="104"/>
      <c r="Z902" s="104"/>
      <c r="AA902" s="104"/>
      <c r="AB902" s="104"/>
      <c r="AC902" s="104"/>
      <c r="AD902" s="104"/>
      <c r="AE902" s="104"/>
      <c r="AF902" s="104"/>
      <c r="AG902" s="104"/>
      <c r="AH902" s="104"/>
      <c r="AI902" s="104"/>
      <c r="AJ902" s="104"/>
      <c r="AK902" s="104"/>
      <c r="AL902" s="104"/>
      <c r="AM902" s="104"/>
      <c r="AN902" s="104"/>
      <c r="AO902" s="104"/>
      <c r="AP902" s="104"/>
      <c r="AQ902" s="104"/>
      <c r="AR902" s="104"/>
      <c r="AS902" s="104"/>
      <c r="AT902" s="104"/>
      <c r="AU902" s="104"/>
      <c r="AV902" s="104"/>
      <c r="AW902" s="104"/>
      <c r="AX902" s="104"/>
      <c r="AY902" s="104"/>
      <c r="AZ902" s="104"/>
      <c r="BA902" s="104"/>
      <c r="BB902" s="104"/>
      <c r="BC902" s="104"/>
      <c r="BD902" s="104"/>
      <c r="BE902" s="104"/>
      <c r="BF902" s="104"/>
      <c r="BG902" s="104"/>
      <c r="BH902" s="104"/>
      <c r="BI902" s="104"/>
      <c r="BJ902" s="104"/>
      <c r="BK902" s="104"/>
      <c r="BL902" s="104"/>
      <c r="BM902" s="104"/>
      <c r="BN902" s="104"/>
    </row>
    <row r="903">
      <c r="A903" s="104"/>
      <c r="B903" s="104"/>
      <c r="C903" s="104"/>
      <c r="D903" s="104"/>
      <c r="E903" s="104"/>
      <c r="F903" s="104"/>
      <c r="G903" s="104"/>
      <c r="H903" s="104"/>
      <c r="I903" s="104"/>
      <c r="J903" s="104"/>
      <c r="K903" s="105"/>
      <c r="L903" s="106"/>
      <c r="M903" s="104"/>
      <c r="N903" s="104"/>
      <c r="O903" s="104"/>
      <c r="P903" s="104"/>
      <c r="Q903" s="104"/>
      <c r="R903" s="106"/>
      <c r="S903" s="104"/>
      <c r="T903" s="104"/>
      <c r="U903" s="104"/>
      <c r="V903" s="104"/>
      <c r="W903" s="105"/>
      <c r="X903" s="104"/>
      <c r="Y903" s="104"/>
      <c r="Z903" s="104"/>
      <c r="AA903" s="104"/>
      <c r="AB903" s="104"/>
      <c r="AC903" s="104"/>
      <c r="AD903" s="104"/>
      <c r="AE903" s="104"/>
      <c r="AF903" s="104"/>
      <c r="AG903" s="104"/>
      <c r="AH903" s="104"/>
      <c r="AI903" s="104"/>
      <c r="AJ903" s="104"/>
      <c r="AK903" s="104"/>
      <c r="AL903" s="104"/>
      <c r="AM903" s="104"/>
      <c r="AN903" s="104"/>
      <c r="AO903" s="104"/>
      <c r="AP903" s="104"/>
      <c r="AQ903" s="104"/>
      <c r="AR903" s="104"/>
      <c r="AS903" s="104"/>
      <c r="AT903" s="104"/>
      <c r="AU903" s="104"/>
      <c r="AV903" s="104"/>
      <c r="AW903" s="104"/>
      <c r="AX903" s="104"/>
      <c r="AY903" s="104"/>
      <c r="AZ903" s="104"/>
      <c r="BA903" s="104"/>
      <c r="BB903" s="104"/>
      <c r="BC903" s="104"/>
      <c r="BD903" s="104"/>
      <c r="BE903" s="104"/>
      <c r="BF903" s="104"/>
      <c r="BG903" s="104"/>
      <c r="BH903" s="104"/>
      <c r="BI903" s="104"/>
      <c r="BJ903" s="104"/>
      <c r="BK903" s="104"/>
      <c r="BL903" s="104"/>
      <c r="BM903" s="104"/>
      <c r="BN903" s="104"/>
    </row>
    <row r="904">
      <c r="A904" s="104"/>
      <c r="B904" s="104"/>
      <c r="C904" s="104"/>
      <c r="D904" s="104"/>
      <c r="E904" s="104"/>
      <c r="F904" s="104"/>
      <c r="G904" s="104"/>
      <c r="H904" s="104"/>
      <c r="I904" s="104"/>
      <c r="J904" s="104"/>
      <c r="K904" s="105"/>
      <c r="L904" s="106"/>
      <c r="M904" s="104"/>
      <c r="N904" s="104"/>
      <c r="O904" s="104"/>
      <c r="P904" s="104"/>
      <c r="Q904" s="104"/>
      <c r="R904" s="106"/>
      <c r="S904" s="104"/>
      <c r="T904" s="104"/>
      <c r="U904" s="104"/>
      <c r="V904" s="104"/>
      <c r="W904" s="105"/>
      <c r="X904" s="104"/>
      <c r="Y904" s="104"/>
      <c r="Z904" s="104"/>
      <c r="AA904" s="104"/>
      <c r="AB904" s="104"/>
      <c r="AC904" s="104"/>
      <c r="AD904" s="104"/>
      <c r="AE904" s="104"/>
      <c r="AF904" s="104"/>
      <c r="AG904" s="104"/>
      <c r="AH904" s="104"/>
      <c r="AI904" s="104"/>
      <c r="AJ904" s="104"/>
      <c r="AK904" s="104"/>
      <c r="AL904" s="104"/>
      <c r="AM904" s="104"/>
      <c r="AN904" s="104"/>
      <c r="AO904" s="104"/>
      <c r="AP904" s="104"/>
      <c r="AQ904" s="104"/>
      <c r="AR904" s="104"/>
      <c r="AS904" s="104"/>
      <c r="AT904" s="104"/>
      <c r="AU904" s="104"/>
      <c r="AV904" s="104"/>
      <c r="AW904" s="104"/>
      <c r="AX904" s="104"/>
      <c r="AY904" s="104"/>
      <c r="AZ904" s="104"/>
      <c r="BA904" s="104"/>
      <c r="BB904" s="104"/>
      <c r="BC904" s="104"/>
      <c r="BD904" s="104"/>
      <c r="BE904" s="104"/>
      <c r="BF904" s="104"/>
      <c r="BG904" s="104"/>
      <c r="BH904" s="104"/>
      <c r="BI904" s="104"/>
      <c r="BJ904" s="104"/>
      <c r="BK904" s="104"/>
      <c r="BL904" s="104"/>
      <c r="BM904" s="104"/>
      <c r="BN904" s="104"/>
    </row>
    <row r="905">
      <c r="A905" s="104"/>
      <c r="B905" s="104"/>
      <c r="C905" s="104"/>
      <c r="D905" s="104"/>
      <c r="E905" s="104"/>
      <c r="F905" s="104"/>
      <c r="G905" s="104"/>
      <c r="H905" s="104"/>
      <c r="I905" s="104"/>
      <c r="J905" s="104"/>
      <c r="K905" s="105"/>
      <c r="L905" s="106"/>
      <c r="M905" s="104"/>
      <c r="N905" s="104"/>
      <c r="O905" s="104"/>
      <c r="P905" s="104"/>
      <c r="Q905" s="104"/>
      <c r="R905" s="106"/>
      <c r="S905" s="104"/>
      <c r="T905" s="104"/>
      <c r="U905" s="104"/>
      <c r="V905" s="104"/>
      <c r="W905" s="105"/>
      <c r="X905" s="104"/>
      <c r="Y905" s="104"/>
      <c r="Z905" s="104"/>
      <c r="AA905" s="104"/>
      <c r="AB905" s="104"/>
      <c r="AC905" s="104"/>
      <c r="AD905" s="104"/>
      <c r="AE905" s="104"/>
      <c r="AF905" s="104"/>
      <c r="AG905" s="104"/>
      <c r="AH905" s="104"/>
      <c r="AI905" s="104"/>
      <c r="AJ905" s="104"/>
      <c r="AK905" s="104"/>
      <c r="AL905" s="104"/>
      <c r="AM905" s="104"/>
      <c r="AN905" s="104"/>
      <c r="AO905" s="104"/>
      <c r="AP905" s="104"/>
      <c r="AQ905" s="104"/>
      <c r="AR905" s="104"/>
      <c r="AS905" s="104"/>
      <c r="AT905" s="104"/>
      <c r="AU905" s="104"/>
      <c r="AV905" s="104"/>
      <c r="AW905" s="104"/>
      <c r="AX905" s="104"/>
      <c r="AY905" s="104"/>
      <c r="AZ905" s="104"/>
      <c r="BA905" s="104"/>
      <c r="BB905" s="104"/>
      <c r="BC905" s="104"/>
      <c r="BD905" s="104"/>
      <c r="BE905" s="104"/>
      <c r="BF905" s="104"/>
      <c r="BG905" s="104"/>
      <c r="BH905" s="104"/>
      <c r="BI905" s="104"/>
      <c r="BJ905" s="104"/>
      <c r="BK905" s="104"/>
      <c r="BL905" s="104"/>
      <c r="BM905" s="104"/>
      <c r="BN905" s="104"/>
    </row>
    <row r="906">
      <c r="A906" s="104"/>
      <c r="B906" s="104"/>
      <c r="C906" s="104"/>
      <c r="D906" s="104"/>
      <c r="E906" s="104"/>
      <c r="F906" s="104"/>
      <c r="G906" s="104"/>
      <c r="H906" s="104"/>
      <c r="I906" s="104"/>
      <c r="J906" s="104"/>
      <c r="K906" s="105"/>
      <c r="L906" s="106"/>
      <c r="M906" s="104"/>
      <c r="N906" s="104"/>
      <c r="O906" s="104"/>
      <c r="P906" s="104"/>
      <c r="Q906" s="104"/>
      <c r="R906" s="106"/>
      <c r="S906" s="104"/>
      <c r="T906" s="104"/>
      <c r="U906" s="104"/>
      <c r="V906" s="104"/>
      <c r="W906" s="105"/>
      <c r="X906" s="104"/>
      <c r="Y906" s="104"/>
      <c r="Z906" s="104"/>
      <c r="AA906" s="104"/>
      <c r="AB906" s="104"/>
      <c r="AC906" s="104"/>
      <c r="AD906" s="104"/>
      <c r="AE906" s="104"/>
      <c r="AF906" s="104"/>
      <c r="AG906" s="104"/>
      <c r="AH906" s="104"/>
      <c r="AI906" s="104"/>
      <c r="AJ906" s="104"/>
      <c r="AK906" s="104"/>
      <c r="AL906" s="104"/>
      <c r="AM906" s="104"/>
      <c r="AN906" s="104"/>
      <c r="AO906" s="104"/>
      <c r="AP906" s="104"/>
      <c r="AQ906" s="104"/>
      <c r="AR906" s="104"/>
      <c r="AS906" s="104"/>
      <c r="AT906" s="104"/>
      <c r="AU906" s="104"/>
      <c r="AV906" s="104"/>
      <c r="AW906" s="104"/>
      <c r="AX906" s="104"/>
      <c r="AY906" s="104"/>
      <c r="AZ906" s="104"/>
      <c r="BA906" s="104"/>
      <c r="BB906" s="104"/>
      <c r="BC906" s="104"/>
      <c r="BD906" s="104"/>
      <c r="BE906" s="104"/>
      <c r="BF906" s="104"/>
      <c r="BG906" s="104"/>
      <c r="BH906" s="104"/>
      <c r="BI906" s="104"/>
      <c r="BJ906" s="104"/>
      <c r="BK906" s="104"/>
      <c r="BL906" s="104"/>
      <c r="BM906" s="104"/>
      <c r="BN906" s="104"/>
    </row>
    <row r="907">
      <c r="A907" s="104"/>
      <c r="B907" s="104"/>
      <c r="C907" s="104"/>
      <c r="D907" s="104"/>
      <c r="E907" s="104"/>
      <c r="F907" s="104"/>
      <c r="G907" s="104"/>
      <c r="H907" s="104"/>
      <c r="I907" s="104"/>
      <c r="J907" s="104"/>
      <c r="K907" s="105"/>
      <c r="L907" s="106"/>
      <c r="M907" s="104"/>
      <c r="N907" s="104"/>
      <c r="O907" s="104"/>
      <c r="P907" s="104"/>
      <c r="Q907" s="104"/>
      <c r="R907" s="106"/>
      <c r="S907" s="104"/>
      <c r="T907" s="104"/>
      <c r="U907" s="104"/>
      <c r="V907" s="104"/>
      <c r="W907" s="105"/>
      <c r="X907" s="104"/>
      <c r="Y907" s="104"/>
      <c r="Z907" s="104"/>
      <c r="AA907" s="104"/>
      <c r="AB907" s="104"/>
      <c r="AC907" s="104"/>
      <c r="AD907" s="104"/>
      <c r="AE907" s="104"/>
      <c r="AF907" s="104"/>
      <c r="AG907" s="104"/>
      <c r="AH907" s="104"/>
      <c r="AI907" s="104"/>
      <c r="AJ907" s="104"/>
      <c r="AK907" s="104"/>
      <c r="AL907" s="104"/>
      <c r="AM907" s="104"/>
      <c r="AN907" s="104"/>
      <c r="AO907" s="104"/>
      <c r="AP907" s="104"/>
      <c r="AQ907" s="104"/>
      <c r="AR907" s="104"/>
      <c r="AS907" s="104"/>
      <c r="AT907" s="104"/>
      <c r="AU907" s="104"/>
      <c r="AV907" s="104"/>
      <c r="AW907" s="104"/>
      <c r="AX907" s="104"/>
      <c r="AY907" s="104"/>
      <c r="AZ907" s="104"/>
      <c r="BA907" s="104"/>
      <c r="BB907" s="104"/>
      <c r="BC907" s="104"/>
      <c r="BD907" s="104"/>
      <c r="BE907" s="104"/>
      <c r="BF907" s="104"/>
      <c r="BG907" s="104"/>
      <c r="BH907" s="104"/>
      <c r="BI907" s="104"/>
      <c r="BJ907" s="104"/>
      <c r="BK907" s="104"/>
      <c r="BL907" s="104"/>
      <c r="BM907" s="104"/>
      <c r="BN907" s="104"/>
    </row>
    <row r="908">
      <c r="A908" s="104"/>
      <c r="B908" s="104"/>
      <c r="C908" s="104"/>
      <c r="D908" s="104"/>
      <c r="E908" s="104"/>
      <c r="F908" s="104"/>
      <c r="G908" s="104"/>
      <c r="H908" s="104"/>
      <c r="I908" s="104"/>
      <c r="J908" s="104"/>
      <c r="K908" s="105"/>
      <c r="L908" s="106"/>
      <c r="M908" s="104"/>
      <c r="N908" s="104"/>
      <c r="O908" s="104"/>
      <c r="P908" s="104"/>
      <c r="Q908" s="104"/>
      <c r="R908" s="106"/>
      <c r="S908" s="104"/>
      <c r="T908" s="104"/>
      <c r="U908" s="104"/>
      <c r="V908" s="104"/>
      <c r="W908" s="105"/>
      <c r="X908" s="104"/>
      <c r="Y908" s="104"/>
      <c r="Z908" s="104"/>
      <c r="AA908" s="104"/>
      <c r="AB908" s="104"/>
      <c r="AC908" s="104"/>
      <c r="AD908" s="104"/>
      <c r="AE908" s="104"/>
      <c r="AF908" s="104"/>
      <c r="AG908" s="104"/>
      <c r="AH908" s="104"/>
      <c r="AI908" s="104"/>
      <c r="AJ908" s="104"/>
      <c r="AK908" s="104"/>
      <c r="AL908" s="104"/>
      <c r="AM908" s="104"/>
      <c r="AN908" s="104"/>
      <c r="AO908" s="104"/>
      <c r="AP908" s="104"/>
      <c r="AQ908" s="104"/>
      <c r="AR908" s="104"/>
      <c r="AS908" s="104"/>
      <c r="AT908" s="104"/>
      <c r="AU908" s="104"/>
      <c r="AV908" s="104"/>
      <c r="AW908" s="104"/>
      <c r="AX908" s="104"/>
      <c r="AY908" s="104"/>
      <c r="AZ908" s="104"/>
      <c r="BA908" s="104"/>
      <c r="BB908" s="104"/>
      <c r="BC908" s="104"/>
      <c r="BD908" s="104"/>
      <c r="BE908" s="104"/>
      <c r="BF908" s="104"/>
      <c r="BG908" s="104"/>
      <c r="BH908" s="104"/>
      <c r="BI908" s="104"/>
      <c r="BJ908" s="104"/>
      <c r="BK908" s="104"/>
      <c r="BL908" s="104"/>
      <c r="BM908" s="104"/>
      <c r="BN908" s="104"/>
    </row>
    <row r="909">
      <c r="A909" s="104"/>
      <c r="B909" s="104"/>
      <c r="C909" s="104"/>
      <c r="D909" s="104"/>
      <c r="E909" s="104"/>
      <c r="F909" s="104"/>
      <c r="G909" s="104"/>
      <c r="H909" s="104"/>
      <c r="I909" s="104"/>
      <c r="J909" s="104"/>
      <c r="K909" s="105"/>
      <c r="L909" s="106"/>
      <c r="M909" s="104"/>
      <c r="N909" s="104"/>
      <c r="O909" s="104"/>
      <c r="P909" s="104"/>
      <c r="Q909" s="104"/>
      <c r="R909" s="106"/>
      <c r="S909" s="104"/>
      <c r="T909" s="104"/>
      <c r="U909" s="104"/>
      <c r="V909" s="104"/>
      <c r="W909" s="105"/>
      <c r="X909" s="104"/>
      <c r="Y909" s="104"/>
      <c r="Z909" s="104"/>
      <c r="AA909" s="104"/>
      <c r="AB909" s="104"/>
      <c r="AC909" s="104"/>
      <c r="AD909" s="104"/>
      <c r="AE909" s="104"/>
      <c r="AF909" s="104"/>
      <c r="AG909" s="104"/>
      <c r="AH909" s="104"/>
      <c r="AI909" s="104"/>
      <c r="AJ909" s="104"/>
      <c r="AK909" s="104"/>
      <c r="AL909" s="104"/>
      <c r="AM909" s="104"/>
      <c r="AN909" s="104"/>
      <c r="AO909" s="104"/>
      <c r="AP909" s="104"/>
      <c r="AQ909" s="104"/>
      <c r="AR909" s="104"/>
      <c r="AS909" s="104"/>
      <c r="AT909" s="104"/>
      <c r="AU909" s="104"/>
      <c r="AV909" s="104"/>
      <c r="AW909" s="104"/>
      <c r="AX909" s="104"/>
      <c r="AY909" s="104"/>
      <c r="AZ909" s="104"/>
      <c r="BA909" s="104"/>
      <c r="BB909" s="104"/>
      <c r="BC909" s="104"/>
      <c r="BD909" s="104"/>
      <c r="BE909" s="104"/>
      <c r="BF909" s="104"/>
      <c r="BG909" s="104"/>
      <c r="BH909" s="104"/>
      <c r="BI909" s="104"/>
      <c r="BJ909" s="104"/>
      <c r="BK909" s="104"/>
      <c r="BL909" s="104"/>
      <c r="BM909" s="104"/>
      <c r="BN909" s="104"/>
    </row>
    <row r="910">
      <c r="A910" s="104"/>
      <c r="B910" s="104"/>
      <c r="C910" s="104"/>
      <c r="D910" s="104"/>
      <c r="E910" s="104"/>
      <c r="F910" s="104"/>
      <c r="G910" s="104"/>
      <c r="H910" s="104"/>
      <c r="I910" s="104"/>
      <c r="J910" s="104"/>
      <c r="K910" s="105"/>
      <c r="L910" s="106"/>
      <c r="M910" s="104"/>
      <c r="N910" s="104"/>
      <c r="O910" s="104"/>
      <c r="P910" s="104"/>
      <c r="Q910" s="104"/>
      <c r="R910" s="106"/>
      <c r="S910" s="104"/>
      <c r="T910" s="104"/>
      <c r="U910" s="104"/>
      <c r="V910" s="104"/>
      <c r="W910" s="105"/>
      <c r="X910" s="104"/>
      <c r="Y910" s="104"/>
      <c r="Z910" s="104"/>
      <c r="AA910" s="104"/>
      <c r="AB910" s="104"/>
      <c r="AC910" s="104"/>
      <c r="AD910" s="104"/>
      <c r="AE910" s="104"/>
      <c r="AF910" s="104"/>
      <c r="AG910" s="104"/>
      <c r="AH910" s="104"/>
      <c r="AI910" s="104"/>
      <c r="AJ910" s="104"/>
      <c r="AK910" s="104"/>
      <c r="AL910" s="104"/>
      <c r="AM910" s="104"/>
      <c r="AN910" s="104"/>
      <c r="AO910" s="104"/>
      <c r="AP910" s="104"/>
      <c r="AQ910" s="104"/>
      <c r="AR910" s="104"/>
      <c r="AS910" s="104"/>
      <c r="AT910" s="104"/>
      <c r="AU910" s="104"/>
      <c r="AV910" s="104"/>
      <c r="AW910" s="104"/>
      <c r="AX910" s="104"/>
      <c r="AY910" s="104"/>
      <c r="AZ910" s="104"/>
      <c r="BA910" s="104"/>
      <c r="BB910" s="104"/>
      <c r="BC910" s="104"/>
      <c r="BD910" s="104"/>
      <c r="BE910" s="104"/>
      <c r="BF910" s="104"/>
      <c r="BG910" s="104"/>
      <c r="BH910" s="104"/>
      <c r="BI910" s="104"/>
      <c r="BJ910" s="104"/>
      <c r="BK910" s="104"/>
      <c r="BL910" s="104"/>
      <c r="BM910" s="104"/>
      <c r="BN910" s="104"/>
    </row>
    <row r="911">
      <c r="A911" s="104"/>
      <c r="B911" s="104"/>
      <c r="C911" s="104"/>
      <c r="D911" s="104"/>
      <c r="E911" s="104"/>
      <c r="F911" s="104"/>
      <c r="G911" s="104"/>
      <c r="H911" s="104"/>
      <c r="I911" s="104"/>
      <c r="J911" s="104"/>
      <c r="K911" s="105"/>
      <c r="L911" s="106"/>
      <c r="M911" s="104"/>
      <c r="N911" s="104"/>
      <c r="O911" s="104"/>
      <c r="P911" s="104"/>
      <c r="Q911" s="104"/>
      <c r="R911" s="106"/>
      <c r="S911" s="104"/>
      <c r="T911" s="104"/>
      <c r="U911" s="104"/>
      <c r="V911" s="104"/>
      <c r="W911" s="105"/>
      <c r="X911" s="104"/>
      <c r="Y911" s="104"/>
      <c r="Z911" s="104"/>
      <c r="AA911" s="104"/>
      <c r="AB911" s="104"/>
      <c r="AC911" s="104"/>
      <c r="AD911" s="104"/>
      <c r="AE911" s="104"/>
      <c r="AF911" s="104"/>
      <c r="AG911" s="104"/>
      <c r="AH911" s="104"/>
      <c r="AI911" s="104"/>
      <c r="AJ911" s="104"/>
      <c r="AK911" s="104"/>
      <c r="AL911" s="104"/>
      <c r="AM911" s="104"/>
      <c r="AN911" s="104"/>
      <c r="AO911" s="104"/>
      <c r="AP911" s="104"/>
      <c r="AQ911" s="104"/>
      <c r="AR911" s="104"/>
      <c r="AS911" s="104"/>
      <c r="AT911" s="104"/>
      <c r="AU911" s="104"/>
      <c r="AV911" s="104"/>
      <c r="AW911" s="104"/>
      <c r="AX911" s="104"/>
      <c r="AY911" s="104"/>
      <c r="AZ911" s="104"/>
      <c r="BA911" s="104"/>
      <c r="BB911" s="104"/>
      <c r="BC911" s="104"/>
      <c r="BD911" s="104"/>
      <c r="BE911" s="104"/>
      <c r="BF911" s="104"/>
      <c r="BG911" s="104"/>
      <c r="BH911" s="104"/>
      <c r="BI911" s="104"/>
      <c r="BJ911" s="104"/>
      <c r="BK911" s="104"/>
      <c r="BL911" s="104"/>
      <c r="BM911" s="104"/>
      <c r="BN911" s="104"/>
    </row>
    <row r="912">
      <c r="A912" s="104"/>
      <c r="B912" s="104"/>
      <c r="C912" s="104"/>
      <c r="D912" s="104"/>
      <c r="E912" s="104"/>
      <c r="F912" s="104"/>
      <c r="G912" s="104"/>
      <c r="H912" s="104"/>
      <c r="I912" s="104"/>
      <c r="J912" s="104"/>
      <c r="K912" s="105"/>
      <c r="L912" s="106"/>
      <c r="M912" s="104"/>
      <c r="N912" s="104"/>
      <c r="O912" s="104"/>
      <c r="P912" s="104"/>
      <c r="Q912" s="104"/>
      <c r="R912" s="106"/>
      <c r="S912" s="104"/>
      <c r="T912" s="104"/>
      <c r="U912" s="104"/>
      <c r="V912" s="104"/>
      <c r="W912" s="105"/>
      <c r="X912" s="104"/>
      <c r="Y912" s="104"/>
      <c r="Z912" s="104"/>
      <c r="AA912" s="104"/>
      <c r="AB912" s="104"/>
      <c r="AC912" s="104"/>
      <c r="AD912" s="104"/>
      <c r="AE912" s="104"/>
      <c r="AF912" s="104"/>
      <c r="AG912" s="104"/>
      <c r="AH912" s="104"/>
      <c r="AI912" s="104"/>
      <c r="AJ912" s="104"/>
      <c r="AK912" s="104"/>
      <c r="AL912" s="104"/>
      <c r="AM912" s="104"/>
      <c r="AN912" s="104"/>
      <c r="AO912" s="104"/>
      <c r="AP912" s="104"/>
      <c r="AQ912" s="104"/>
      <c r="AR912" s="104"/>
      <c r="AS912" s="104"/>
      <c r="AT912" s="104"/>
      <c r="AU912" s="104"/>
      <c r="AV912" s="104"/>
      <c r="AW912" s="104"/>
      <c r="AX912" s="104"/>
      <c r="AY912" s="104"/>
      <c r="AZ912" s="104"/>
      <c r="BA912" s="104"/>
      <c r="BB912" s="104"/>
      <c r="BC912" s="104"/>
      <c r="BD912" s="104"/>
      <c r="BE912" s="104"/>
      <c r="BF912" s="104"/>
      <c r="BG912" s="104"/>
      <c r="BH912" s="104"/>
      <c r="BI912" s="104"/>
      <c r="BJ912" s="104"/>
      <c r="BK912" s="104"/>
      <c r="BL912" s="104"/>
      <c r="BM912" s="104"/>
      <c r="BN912" s="104"/>
    </row>
    <row r="913">
      <c r="A913" s="104"/>
      <c r="B913" s="104"/>
      <c r="C913" s="104"/>
      <c r="D913" s="104"/>
      <c r="E913" s="104"/>
      <c r="F913" s="104"/>
      <c r="G913" s="104"/>
      <c r="H913" s="104"/>
      <c r="I913" s="104"/>
      <c r="J913" s="104"/>
      <c r="K913" s="105"/>
      <c r="L913" s="106"/>
      <c r="M913" s="104"/>
      <c r="N913" s="104"/>
      <c r="O913" s="104"/>
      <c r="P913" s="104"/>
      <c r="Q913" s="104"/>
      <c r="R913" s="106"/>
      <c r="S913" s="104"/>
      <c r="T913" s="104"/>
      <c r="U913" s="104"/>
      <c r="V913" s="104"/>
      <c r="W913" s="105"/>
      <c r="X913" s="104"/>
      <c r="Y913" s="104"/>
      <c r="Z913" s="104"/>
      <c r="AA913" s="104"/>
      <c r="AB913" s="104"/>
      <c r="AC913" s="104"/>
      <c r="AD913" s="104"/>
      <c r="AE913" s="104"/>
      <c r="AF913" s="104"/>
      <c r="AG913" s="104"/>
      <c r="AH913" s="104"/>
      <c r="AI913" s="104"/>
      <c r="AJ913" s="104"/>
      <c r="AK913" s="104"/>
      <c r="AL913" s="104"/>
      <c r="AM913" s="104"/>
      <c r="AN913" s="104"/>
      <c r="AO913" s="104"/>
      <c r="AP913" s="104"/>
      <c r="AQ913" s="104"/>
      <c r="AR913" s="104"/>
      <c r="AS913" s="104"/>
      <c r="AT913" s="104"/>
      <c r="AU913" s="104"/>
      <c r="AV913" s="104"/>
      <c r="AW913" s="104"/>
      <c r="AX913" s="104"/>
      <c r="AY913" s="104"/>
      <c r="AZ913" s="104"/>
      <c r="BA913" s="104"/>
      <c r="BB913" s="104"/>
      <c r="BC913" s="104"/>
      <c r="BD913" s="104"/>
      <c r="BE913" s="104"/>
      <c r="BF913" s="104"/>
      <c r="BG913" s="104"/>
      <c r="BH913" s="104"/>
      <c r="BI913" s="104"/>
      <c r="BJ913" s="104"/>
      <c r="BK913" s="104"/>
      <c r="BL913" s="104"/>
      <c r="BM913" s="104"/>
      <c r="BN913" s="104"/>
    </row>
    <row r="914">
      <c r="A914" s="104"/>
      <c r="B914" s="104"/>
      <c r="C914" s="104"/>
      <c r="D914" s="104"/>
      <c r="E914" s="104"/>
      <c r="F914" s="104"/>
      <c r="G914" s="104"/>
      <c r="H914" s="104"/>
      <c r="I914" s="104"/>
      <c r="J914" s="104"/>
      <c r="K914" s="105"/>
      <c r="L914" s="106"/>
      <c r="M914" s="104"/>
      <c r="N914" s="104"/>
      <c r="O914" s="104"/>
      <c r="P914" s="104"/>
      <c r="Q914" s="104"/>
      <c r="R914" s="106"/>
      <c r="S914" s="104"/>
      <c r="T914" s="104"/>
      <c r="U914" s="104"/>
      <c r="V914" s="104"/>
      <c r="W914" s="105"/>
      <c r="X914" s="104"/>
      <c r="Y914" s="104"/>
      <c r="Z914" s="104"/>
      <c r="AA914" s="104"/>
      <c r="AB914" s="104"/>
      <c r="AC914" s="104"/>
      <c r="AD914" s="104"/>
      <c r="AE914" s="104"/>
      <c r="AF914" s="104"/>
      <c r="AG914" s="104"/>
      <c r="AH914" s="104"/>
      <c r="AI914" s="104"/>
      <c r="AJ914" s="104"/>
      <c r="AK914" s="104"/>
      <c r="AL914" s="104"/>
      <c r="AM914" s="104"/>
      <c r="AN914" s="104"/>
      <c r="AO914" s="104"/>
      <c r="AP914" s="104"/>
      <c r="AQ914" s="104"/>
      <c r="AR914" s="104"/>
      <c r="AS914" s="104"/>
      <c r="AT914" s="104"/>
      <c r="AU914" s="104"/>
      <c r="AV914" s="104"/>
      <c r="AW914" s="104"/>
      <c r="AX914" s="104"/>
      <c r="AY914" s="104"/>
      <c r="AZ914" s="104"/>
      <c r="BA914" s="104"/>
      <c r="BB914" s="104"/>
      <c r="BC914" s="104"/>
      <c r="BD914" s="104"/>
      <c r="BE914" s="104"/>
      <c r="BF914" s="104"/>
      <c r="BG914" s="104"/>
      <c r="BH914" s="104"/>
      <c r="BI914" s="104"/>
      <c r="BJ914" s="104"/>
      <c r="BK914" s="104"/>
      <c r="BL914" s="104"/>
      <c r="BM914" s="104"/>
      <c r="BN914" s="104"/>
    </row>
    <row r="915">
      <c r="A915" s="104"/>
      <c r="B915" s="104"/>
      <c r="C915" s="104"/>
      <c r="D915" s="104"/>
      <c r="E915" s="104"/>
      <c r="F915" s="104"/>
      <c r="G915" s="104"/>
      <c r="H915" s="104"/>
      <c r="I915" s="104"/>
      <c r="J915" s="104"/>
      <c r="K915" s="105"/>
      <c r="L915" s="106"/>
      <c r="M915" s="104"/>
      <c r="N915" s="104"/>
      <c r="O915" s="104"/>
      <c r="P915" s="104"/>
      <c r="Q915" s="104"/>
      <c r="R915" s="106"/>
      <c r="S915" s="104"/>
      <c r="T915" s="104"/>
      <c r="U915" s="104"/>
      <c r="V915" s="104"/>
      <c r="W915" s="105"/>
      <c r="X915" s="104"/>
      <c r="Y915" s="104"/>
      <c r="Z915" s="104"/>
      <c r="AA915" s="104"/>
      <c r="AB915" s="104"/>
      <c r="AC915" s="104"/>
      <c r="AD915" s="104"/>
      <c r="AE915" s="104"/>
      <c r="AF915" s="104"/>
      <c r="AG915" s="104"/>
      <c r="AH915" s="104"/>
      <c r="AI915" s="104"/>
      <c r="AJ915" s="104"/>
      <c r="AK915" s="104"/>
      <c r="AL915" s="104"/>
      <c r="AM915" s="104"/>
      <c r="AN915" s="104"/>
      <c r="AO915" s="104"/>
      <c r="AP915" s="104"/>
      <c r="AQ915" s="104"/>
      <c r="AR915" s="104"/>
      <c r="AS915" s="104"/>
      <c r="AT915" s="104"/>
      <c r="AU915" s="104"/>
      <c r="AV915" s="104"/>
      <c r="AW915" s="104"/>
      <c r="AX915" s="104"/>
      <c r="AY915" s="104"/>
      <c r="AZ915" s="104"/>
      <c r="BA915" s="104"/>
      <c r="BB915" s="104"/>
      <c r="BC915" s="104"/>
      <c r="BD915" s="104"/>
      <c r="BE915" s="104"/>
      <c r="BF915" s="104"/>
      <c r="BG915" s="104"/>
      <c r="BH915" s="104"/>
      <c r="BI915" s="104"/>
      <c r="BJ915" s="104"/>
      <c r="BK915" s="104"/>
      <c r="BL915" s="104"/>
      <c r="BM915" s="104"/>
      <c r="BN915" s="104"/>
    </row>
    <row r="916">
      <c r="A916" s="104"/>
      <c r="B916" s="104"/>
      <c r="C916" s="104"/>
      <c r="D916" s="104"/>
      <c r="E916" s="104"/>
      <c r="F916" s="104"/>
      <c r="G916" s="104"/>
      <c r="H916" s="104"/>
      <c r="I916" s="104"/>
      <c r="J916" s="104"/>
      <c r="K916" s="105"/>
      <c r="L916" s="106"/>
      <c r="M916" s="104"/>
      <c r="N916" s="104"/>
      <c r="O916" s="104"/>
      <c r="P916" s="104"/>
      <c r="Q916" s="104"/>
      <c r="R916" s="106"/>
      <c r="S916" s="104"/>
      <c r="T916" s="104"/>
      <c r="U916" s="104"/>
      <c r="V916" s="104"/>
      <c r="W916" s="105"/>
      <c r="X916" s="104"/>
      <c r="Y916" s="104"/>
      <c r="Z916" s="104"/>
      <c r="AA916" s="104"/>
      <c r="AB916" s="104"/>
      <c r="AC916" s="104"/>
      <c r="AD916" s="104"/>
      <c r="AE916" s="104"/>
      <c r="AF916" s="104"/>
      <c r="AG916" s="104"/>
      <c r="AH916" s="104"/>
      <c r="AI916" s="104"/>
      <c r="AJ916" s="104"/>
      <c r="AK916" s="104"/>
      <c r="AL916" s="104"/>
      <c r="AM916" s="104"/>
      <c r="AN916" s="104"/>
      <c r="AO916" s="104"/>
      <c r="AP916" s="104"/>
      <c r="AQ916" s="104"/>
      <c r="AR916" s="104"/>
      <c r="AS916" s="104"/>
      <c r="AT916" s="104"/>
      <c r="AU916" s="104"/>
      <c r="AV916" s="104"/>
      <c r="AW916" s="104"/>
      <c r="AX916" s="104"/>
      <c r="AY916" s="104"/>
      <c r="AZ916" s="104"/>
      <c r="BA916" s="104"/>
      <c r="BB916" s="104"/>
      <c r="BC916" s="104"/>
      <c r="BD916" s="104"/>
      <c r="BE916" s="104"/>
      <c r="BF916" s="104"/>
      <c r="BG916" s="104"/>
      <c r="BH916" s="104"/>
      <c r="BI916" s="104"/>
      <c r="BJ916" s="104"/>
      <c r="BK916" s="104"/>
      <c r="BL916" s="104"/>
      <c r="BM916" s="104"/>
      <c r="BN916" s="104"/>
    </row>
    <row r="917">
      <c r="A917" s="104"/>
      <c r="B917" s="104"/>
      <c r="C917" s="104"/>
      <c r="D917" s="104"/>
      <c r="E917" s="104"/>
      <c r="F917" s="104"/>
      <c r="G917" s="104"/>
      <c r="H917" s="104"/>
      <c r="I917" s="104"/>
      <c r="J917" s="104"/>
      <c r="K917" s="105"/>
      <c r="L917" s="106"/>
      <c r="M917" s="104"/>
      <c r="N917" s="104"/>
      <c r="O917" s="104"/>
      <c r="P917" s="104"/>
      <c r="Q917" s="104"/>
      <c r="R917" s="106"/>
      <c r="S917" s="104"/>
      <c r="T917" s="104"/>
      <c r="U917" s="104"/>
      <c r="V917" s="104"/>
      <c r="W917" s="105"/>
      <c r="X917" s="104"/>
      <c r="Y917" s="104"/>
      <c r="Z917" s="104"/>
      <c r="AA917" s="104"/>
      <c r="AB917" s="104"/>
      <c r="AC917" s="104"/>
      <c r="AD917" s="104"/>
      <c r="AE917" s="104"/>
      <c r="AF917" s="104"/>
      <c r="AG917" s="104"/>
      <c r="AH917" s="104"/>
      <c r="AI917" s="104"/>
      <c r="AJ917" s="104"/>
      <c r="AK917" s="104"/>
      <c r="AL917" s="104"/>
      <c r="AM917" s="104"/>
      <c r="AN917" s="104"/>
      <c r="AO917" s="104"/>
      <c r="AP917" s="104"/>
      <c r="AQ917" s="104"/>
      <c r="AR917" s="104"/>
      <c r="AS917" s="104"/>
      <c r="AT917" s="104"/>
      <c r="AU917" s="104"/>
      <c r="AV917" s="104"/>
      <c r="AW917" s="104"/>
      <c r="AX917" s="104"/>
      <c r="AY917" s="104"/>
      <c r="AZ917" s="104"/>
      <c r="BA917" s="104"/>
      <c r="BB917" s="104"/>
      <c r="BC917" s="104"/>
      <c r="BD917" s="104"/>
      <c r="BE917" s="104"/>
      <c r="BF917" s="104"/>
      <c r="BG917" s="104"/>
      <c r="BH917" s="104"/>
      <c r="BI917" s="104"/>
      <c r="BJ917" s="104"/>
      <c r="BK917" s="104"/>
      <c r="BL917" s="104"/>
      <c r="BM917" s="104"/>
      <c r="BN917" s="104"/>
    </row>
    <row r="918">
      <c r="A918" s="104"/>
      <c r="B918" s="104"/>
      <c r="C918" s="104"/>
      <c r="D918" s="104"/>
      <c r="E918" s="104"/>
      <c r="F918" s="104"/>
      <c r="G918" s="104"/>
      <c r="H918" s="104"/>
      <c r="I918" s="104"/>
      <c r="J918" s="104"/>
      <c r="K918" s="105"/>
      <c r="L918" s="106"/>
      <c r="M918" s="104"/>
      <c r="N918" s="104"/>
      <c r="O918" s="104"/>
      <c r="P918" s="104"/>
      <c r="Q918" s="104"/>
      <c r="R918" s="106"/>
      <c r="S918" s="104"/>
      <c r="T918" s="104"/>
      <c r="U918" s="104"/>
      <c r="V918" s="104"/>
      <c r="W918" s="105"/>
      <c r="X918" s="104"/>
      <c r="Y918" s="104"/>
      <c r="Z918" s="104"/>
      <c r="AA918" s="104"/>
      <c r="AB918" s="104"/>
      <c r="AC918" s="104"/>
      <c r="AD918" s="104"/>
      <c r="AE918" s="104"/>
      <c r="AF918" s="104"/>
      <c r="AG918" s="104"/>
      <c r="AH918" s="104"/>
      <c r="AI918" s="104"/>
      <c r="AJ918" s="104"/>
      <c r="AK918" s="104"/>
      <c r="AL918" s="104"/>
      <c r="AM918" s="104"/>
      <c r="AN918" s="104"/>
      <c r="AO918" s="104"/>
      <c r="AP918" s="104"/>
      <c r="AQ918" s="104"/>
      <c r="AR918" s="104"/>
      <c r="AS918" s="104"/>
      <c r="AT918" s="104"/>
      <c r="AU918" s="104"/>
      <c r="AV918" s="104"/>
      <c r="AW918" s="104"/>
      <c r="AX918" s="104"/>
      <c r="AY918" s="104"/>
      <c r="AZ918" s="104"/>
      <c r="BA918" s="104"/>
      <c r="BB918" s="104"/>
      <c r="BC918" s="104"/>
      <c r="BD918" s="104"/>
      <c r="BE918" s="104"/>
      <c r="BF918" s="104"/>
      <c r="BG918" s="104"/>
      <c r="BH918" s="104"/>
      <c r="BI918" s="104"/>
      <c r="BJ918" s="104"/>
      <c r="BK918" s="104"/>
      <c r="BL918" s="104"/>
      <c r="BM918" s="104"/>
      <c r="BN918" s="104"/>
    </row>
    <row r="919">
      <c r="A919" s="104"/>
      <c r="B919" s="104"/>
      <c r="C919" s="104"/>
      <c r="D919" s="104"/>
      <c r="E919" s="104"/>
      <c r="F919" s="104"/>
      <c r="G919" s="104"/>
      <c r="H919" s="104"/>
      <c r="I919" s="104"/>
      <c r="J919" s="104"/>
      <c r="K919" s="105"/>
      <c r="L919" s="106"/>
      <c r="M919" s="104"/>
      <c r="N919" s="104"/>
      <c r="O919" s="104"/>
      <c r="P919" s="104"/>
      <c r="Q919" s="104"/>
      <c r="R919" s="106"/>
      <c r="S919" s="104"/>
      <c r="T919" s="104"/>
      <c r="U919" s="104"/>
      <c r="V919" s="104"/>
      <c r="W919" s="105"/>
      <c r="X919" s="104"/>
      <c r="Y919" s="104"/>
      <c r="Z919" s="104"/>
      <c r="AA919" s="104"/>
      <c r="AB919" s="104"/>
      <c r="AC919" s="104"/>
      <c r="AD919" s="104"/>
      <c r="AE919" s="104"/>
      <c r="AF919" s="104"/>
      <c r="AG919" s="104"/>
      <c r="AH919" s="104"/>
      <c r="AI919" s="104"/>
      <c r="AJ919" s="104"/>
      <c r="AK919" s="104"/>
      <c r="AL919" s="104"/>
      <c r="AM919" s="104"/>
      <c r="AN919" s="104"/>
      <c r="AO919" s="104"/>
      <c r="AP919" s="104"/>
      <c r="AQ919" s="104"/>
      <c r="AR919" s="104"/>
      <c r="AS919" s="104"/>
      <c r="AT919" s="104"/>
      <c r="AU919" s="104"/>
      <c r="AV919" s="104"/>
      <c r="AW919" s="104"/>
      <c r="AX919" s="104"/>
      <c r="AY919" s="104"/>
      <c r="AZ919" s="104"/>
      <c r="BA919" s="104"/>
      <c r="BB919" s="104"/>
      <c r="BC919" s="104"/>
      <c r="BD919" s="104"/>
      <c r="BE919" s="104"/>
      <c r="BF919" s="104"/>
      <c r="BG919" s="104"/>
      <c r="BH919" s="104"/>
      <c r="BI919" s="104"/>
      <c r="BJ919" s="104"/>
      <c r="BK919" s="104"/>
      <c r="BL919" s="104"/>
      <c r="BM919" s="104"/>
      <c r="BN919" s="104"/>
    </row>
    <row r="920">
      <c r="A920" s="104"/>
      <c r="B920" s="104"/>
      <c r="C920" s="104"/>
      <c r="D920" s="104"/>
      <c r="E920" s="104"/>
      <c r="F920" s="104"/>
      <c r="G920" s="104"/>
      <c r="H920" s="104"/>
      <c r="I920" s="104"/>
      <c r="J920" s="104"/>
      <c r="K920" s="105"/>
      <c r="L920" s="106"/>
      <c r="M920" s="104"/>
      <c r="N920" s="104"/>
      <c r="O920" s="104"/>
      <c r="P920" s="104"/>
      <c r="Q920" s="104"/>
      <c r="R920" s="106"/>
      <c r="S920" s="104"/>
      <c r="T920" s="104"/>
      <c r="U920" s="104"/>
      <c r="V920" s="104"/>
      <c r="W920" s="105"/>
      <c r="X920" s="104"/>
      <c r="Y920" s="104"/>
      <c r="Z920" s="104"/>
      <c r="AA920" s="104"/>
      <c r="AB920" s="104"/>
      <c r="AC920" s="104"/>
      <c r="AD920" s="104"/>
      <c r="AE920" s="104"/>
      <c r="AF920" s="104"/>
      <c r="AG920" s="104"/>
      <c r="AH920" s="104"/>
      <c r="AI920" s="104"/>
      <c r="AJ920" s="104"/>
      <c r="AK920" s="104"/>
      <c r="AL920" s="104"/>
      <c r="AM920" s="104"/>
      <c r="AN920" s="104"/>
      <c r="AO920" s="104"/>
      <c r="AP920" s="104"/>
      <c r="AQ920" s="104"/>
      <c r="AR920" s="104"/>
      <c r="AS920" s="104"/>
      <c r="AT920" s="104"/>
      <c r="AU920" s="104"/>
      <c r="AV920" s="104"/>
      <c r="AW920" s="104"/>
      <c r="AX920" s="104"/>
      <c r="AY920" s="104"/>
      <c r="AZ920" s="104"/>
      <c r="BA920" s="104"/>
      <c r="BB920" s="104"/>
      <c r="BC920" s="104"/>
      <c r="BD920" s="104"/>
      <c r="BE920" s="104"/>
      <c r="BF920" s="104"/>
      <c r="BG920" s="104"/>
      <c r="BH920" s="104"/>
      <c r="BI920" s="104"/>
      <c r="BJ920" s="104"/>
      <c r="BK920" s="104"/>
      <c r="BL920" s="104"/>
      <c r="BM920" s="104"/>
      <c r="BN920" s="104"/>
    </row>
    <row r="921">
      <c r="A921" s="104"/>
      <c r="B921" s="104"/>
      <c r="C921" s="104"/>
      <c r="D921" s="104"/>
      <c r="E921" s="104"/>
      <c r="F921" s="104"/>
      <c r="G921" s="104"/>
      <c r="H921" s="104"/>
      <c r="I921" s="104"/>
      <c r="J921" s="104"/>
      <c r="K921" s="105"/>
      <c r="L921" s="106"/>
      <c r="M921" s="104"/>
      <c r="N921" s="104"/>
      <c r="O921" s="104"/>
      <c r="P921" s="104"/>
      <c r="Q921" s="104"/>
      <c r="R921" s="106"/>
      <c r="S921" s="104"/>
      <c r="T921" s="104"/>
      <c r="U921" s="104"/>
      <c r="V921" s="104"/>
      <c r="W921" s="105"/>
      <c r="X921" s="104"/>
      <c r="Y921" s="104"/>
      <c r="Z921" s="104"/>
      <c r="AA921" s="104"/>
      <c r="AB921" s="104"/>
      <c r="AC921" s="104"/>
      <c r="AD921" s="104"/>
      <c r="AE921" s="104"/>
      <c r="AF921" s="104"/>
      <c r="AG921" s="104"/>
      <c r="AH921" s="104"/>
      <c r="AI921" s="104"/>
      <c r="AJ921" s="104"/>
      <c r="AK921" s="104"/>
      <c r="AL921" s="104"/>
      <c r="AM921" s="104"/>
      <c r="AN921" s="104"/>
      <c r="AO921" s="104"/>
      <c r="AP921" s="104"/>
      <c r="AQ921" s="104"/>
      <c r="AR921" s="104"/>
      <c r="AS921" s="104"/>
      <c r="AT921" s="104"/>
      <c r="AU921" s="104"/>
      <c r="AV921" s="104"/>
      <c r="AW921" s="104"/>
      <c r="AX921" s="104"/>
      <c r="AY921" s="104"/>
      <c r="AZ921" s="104"/>
      <c r="BA921" s="104"/>
      <c r="BB921" s="104"/>
      <c r="BC921" s="104"/>
      <c r="BD921" s="104"/>
      <c r="BE921" s="104"/>
      <c r="BF921" s="104"/>
      <c r="BG921" s="104"/>
      <c r="BH921" s="104"/>
      <c r="BI921" s="104"/>
      <c r="BJ921" s="104"/>
      <c r="BK921" s="104"/>
      <c r="BL921" s="104"/>
      <c r="BM921" s="104"/>
      <c r="BN921" s="104"/>
    </row>
    <row r="922">
      <c r="A922" s="104"/>
      <c r="B922" s="104"/>
      <c r="C922" s="104"/>
      <c r="D922" s="104"/>
      <c r="E922" s="104"/>
      <c r="F922" s="104"/>
      <c r="G922" s="104"/>
      <c r="H922" s="104"/>
      <c r="I922" s="104"/>
      <c r="J922" s="104"/>
      <c r="K922" s="105"/>
      <c r="L922" s="106"/>
      <c r="M922" s="104"/>
      <c r="N922" s="104"/>
      <c r="O922" s="104"/>
      <c r="P922" s="104"/>
      <c r="Q922" s="104"/>
      <c r="R922" s="106"/>
      <c r="S922" s="104"/>
      <c r="T922" s="104"/>
      <c r="U922" s="104"/>
      <c r="V922" s="104"/>
      <c r="W922" s="105"/>
      <c r="X922" s="104"/>
      <c r="Y922" s="104"/>
      <c r="Z922" s="104"/>
      <c r="AA922" s="104"/>
      <c r="AB922" s="104"/>
      <c r="AC922" s="104"/>
      <c r="AD922" s="104"/>
      <c r="AE922" s="104"/>
      <c r="AF922" s="104"/>
      <c r="AG922" s="104"/>
      <c r="AH922" s="104"/>
      <c r="AI922" s="104"/>
      <c r="AJ922" s="104"/>
      <c r="AK922" s="104"/>
      <c r="AL922" s="104"/>
      <c r="AM922" s="104"/>
      <c r="AN922" s="104"/>
      <c r="AO922" s="104"/>
      <c r="AP922" s="104"/>
      <c r="AQ922" s="104"/>
      <c r="AR922" s="104"/>
      <c r="AS922" s="104"/>
      <c r="AT922" s="104"/>
      <c r="AU922" s="104"/>
      <c r="AV922" s="104"/>
      <c r="AW922" s="104"/>
      <c r="AX922" s="104"/>
      <c r="AY922" s="104"/>
      <c r="AZ922" s="104"/>
      <c r="BA922" s="104"/>
      <c r="BB922" s="104"/>
      <c r="BC922" s="104"/>
      <c r="BD922" s="104"/>
      <c r="BE922" s="104"/>
      <c r="BF922" s="104"/>
      <c r="BG922" s="104"/>
      <c r="BH922" s="104"/>
      <c r="BI922" s="104"/>
      <c r="BJ922" s="104"/>
      <c r="BK922" s="104"/>
      <c r="BL922" s="104"/>
      <c r="BM922" s="104"/>
      <c r="BN922" s="104"/>
    </row>
    <row r="923">
      <c r="A923" s="104"/>
      <c r="B923" s="104"/>
      <c r="C923" s="104"/>
      <c r="D923" s="104"/>
      <c r="E923" s="104"/>
      <c r="F923" s="104"/>
      <c r="G923" s="104"/>
      <c r="H923" s="104"/>
      <c r="I923" s="104"/>
      <c r="J923" s="104"/>
      <c r="K923" s="105"/>
      <c r="L923" s="106"/>
      <c r="M923" s="104"/>
      <c r="N923" s="104"/>
      <c r="O923" s="104"/>
      <c r="P923" s="104"/>
      <c r="Q923" s="104"/>
      <c r="R923" s="106"/>
      <c r="S923" s="104"/>
      <c r="T923" s="104"/>
      <c r="U923" s="104"/>
      <c r="V923" s="104"/>
      <c r="W923" s="105"/>
      <c r="X923" s="104"/>
      <c r="Y923" s="104"/>
      <c r="Z923" s="104"/>
      <c r="AA923" s="104"/>
      <c r="AB923" s="104"/>
      <c r="AC923" s="104"/>
      <c r="AD923" s="104"/>
      <c r="AE923" s="104"/>
      <c r="AF923" s="104"/>
      <c r="AG923" s="104"/>
      <c r="AH923" s="104"/>
      <c r="AI923" s="104"/>
      <c r="AJ923" s="104"/>
      <c r="AK923" s="104"/>
      <c r="AL923" s="104"/>
      <c r="AM923" s="104"/>
      <c r="AN923" s="104"/>
      <c r="AO923" s="104"/>
      <c r="AP923" s="104"/>
      <c r="AQ923" s="104"/>
      <c r="AR923" s="104"/>
      <c r="AS923" s="104"/>
      <c r="AT923" s="104"/>
      <c r="AU923" s="104"/>
      <c r="AV923" s="104"/>
      <c r="AW923" s="104"/>
      <c r="AX923" s="104"/>
      <c r="AY923" s="104"/>
      <c r="AZ923" s="104"/>
      <c r="BA923" s="104"/>
      <c r="BB923" s="104"/>
      <c r="BC923" s="104"/>
      <c r="BD923" s="104"/>
      <c r="BE923" s="104"/>
      <c r="BF923" s="104"/>
      <c r="BG923" s="104"/>
      <c r="BH923" s="104"/>
      <c r="BI923" s="104"/>
      <c r="BJ923" s="104"/>
      <c r="BK923" s="104"/>
      <c r="BL923" s="104"/>
      <c r="BM923" s="104"/>
      <c r="BN923" s="104"/>
    </row>
    <row r="924">
      <c r="A924" s="104"/>
      <c r="B924" s="104"/>
      <c r="C924" s="104"/>
      <c r="D924" s="104"/>
      <c r="E924" s="104"/>
      <c r="F924" s="104"/>
      <c r="G924" s="104"/>
      <c r="H924" s="104"/>
      <c r="I924" s="104"/>
      <c r="J924" s="104"/>
      <c r="K924" s="105"/>
      <c r="L924" s="106"/>
      <c r="M924" s="104"/>
      <c r="N924" s="104"/>
      <c r="O924" s="104"/>
      <c r="P924" s="104"/>
      <c r="Q924" s="104"/>
      <c r="R924" s="106"/>
      <c r="S924" s="104"/>
      <c r="T924" s="104"/>
      <c r="U924" s="104"/>
      <c r="V924" s="104"/>
      <c r="W924" s="105"/>
      <c r="X924" s="104"/>
      <c r="Y924" s="104"/>
      <c r="Z924" s="104"/>
      <c r="AA924" s="104"/>
      <c r="AB924" s="104"/>
      <c r="AC924" s="104"/>
      <c r="AD924" s="104"/>
      <c r="AE924" s="104"/>
      <c r="AF924" s="104"/>
      <c r="AG924" s="104"/>
      <c r="AH924" s="104"/>
      <c r="AI924" s="104"/>
      <c r="AJ924" s="104"/>
      <c r="AK924" s="104"/>
      <c r="AL924" s="104"/>
      <c r="AM924" s="104"/>
      <c r="AN924" s="104"/>
      <c r="AO924" s="104"/>
      <c r="AP924" s="104"/>
      <c r="AQ924" s="104"/>
      <c r="AR924" s="104"/>
      <c r="AS924" s="104"/>
      <c r="AT924" s="104"/>
      <c r="AU924" s="104"/>
      <c r="AV924" s="104"/>
      <c r="AW924" s="104"/>
      <c r="AX924" s="104"/>
      <c r="AY924" s="104"/>
      <c r="AZ924" s="104"/>
      <c r="BA924" s="104"/>
      <c r="BB924" s="104"/>
      <c r="BC924" s="104"/>
      <c r="BD924" s="104"/>
      <c r="BE924" s="104"/>
      <c r="BF924" s="104"/>
      <c r="BG924" s="104"/>
      <c r="BH924" s="104"/>
      <c r="BI924" s="104"/>
      <c r="BJ924" s="104"/>
      <c r="BK924" s="104"/>
      <c r="BL924" s="104"/>
      <c r="BM924" s="104"/>
      <c r="BN924" s="104"/>
    </row>
    <row r="925">
      <c r="A925" s="104"/>
      <c r="B925" s="104"/>
      <c r="C925" s="104"/>
      <c r="D925" s="104"/>
      <c r="E925" s="104"/>
      <c r="F925" s="104"/>
      <c r="G925" s="104"/>
      <c r="H925" s="104"/>
      <c r="I925" s="104"/>
      <c r="J925" s="104"/>
      <c r="K925" s="105"/>
      <c r="L925" s="106"/>
      <c r="M925" s="104"/>
      <c r="N925" s="104"/>
      <c r="O925" s="104"/>
      <c r="P925" s="104"/>
      <c r="Q925" s="104"/>
      <c r="R925" s="106"/>
      <c r="S925" s="104"/>
      <c r="T925" s="104"/>
      <c r="U925" s="104"/>
      <c r="V925" s="104"/>
      <c r="W925" s="105"/>
      <c r="X925" s="104"/>
      <c r="Y925" s="104"/>
      <c r="Z925" s="104"/>
      <c r="AA925" s="104"/>
      <c r="AB925" s="104"/>
      <c r="AC925" s="104"/>
      <c r="AD925" s="104"/>
      <c r="AE925" s="104"/>
      <c r="AF925" s="104"/>
      <c r="AG925" s="104"/>
      <c r="AH925" s="104"/>
      <c r="AI925" s="104"/>
      <c r="AJ925" s="104"/>
      <c r="AK925" s="104"/>
      <c r="AL925" s="104"/>
      <c r="AM925" s="104"/>
      <c r="AN925" s="104"/>
      <c r="AO925" s="104"/>
      <c r="AP925" s="104"/>
      <c r="AQ925" s="104"/>
      <c r="AR925" s="104"/>
      <c r="AS925" s="104"/>
      <c r="AT925" s="104"/>
      <c r="AU925" s="104"/>
      <c r="AV925" s="104"/>
      <c r="AW925" s="104"/>
      <c r="AX925" s="104"/>
      <c r="AY925" s="104"/>
      <c r="AZ925" s="104"/>
      <c r="BA925" s="104"/>
      <c r="BB925" s="104"/>
      <c r="BC925" s="104"/>
      <c r="BD925" s="104"/>
      <c r="BE925" s="104"/>
      <c r="BF925" s="104"/>
      <c r="BG925" s="104"/>
      <c r="BH925" s="104"/>
      <c r="BI925" s="104"/>
      <c r="BJ925" s="104"/>
      <c r="BK925" s="104"/>
      <c r="BL925" s="104"/>
      <c r="BM925" s="104"/>
      <c r="BN925" s="104"/>
    </row>
    <row r="926">
      <c r="A926" s="104"/>
      <c r="B926" s="104"/>
      <c r="C926" s="104"/>
      <c r="D926" s="104"/>
      <c r="E926" s="104"/>
      <c r="F926" s="104"/>
      <c r="G926" s="104"/>
      <c r="H926" s="104"/>
      <c r="I926" s="104"/>
      <c r="J926" s="104"/>
      <c r="K926" s="105"/>
      <c r="L926" s="106"/>
      <c r="M926" s="104"/>
      <c r="N926" s="104"/>
      <c r="O926" s="104"/>
      <c r="P926" s="104"/>
      <c r="Q926" s="104"/>
      <c r="R926" s="106"/>
      <c r="S926" s="104"/>
      <c r="T926" s="104"/>
      <c r="U926" s="104"/>
      <c r="V926" s="104"/>
      <c r="W926" s="105"/>
      <c r="X926" s="104"/>
      <c r="Y926" s="104"/>
      <c r="Z926" s="104"/>
      <c r="AA926" s="104"/>
      <c r="AB926" s="104"/>
      <c r="AC926" s="104"/>
      <c r="AD926" s="104"/>
      <c r="AE926" s="104"/>
      <c r="AF926" s="104"/>
      <c r="AG926" s="104"/>
      <c r="AH926" s="104"/>
      <c r="AI926" s="104"/>
      <c r="AJ926" s="104"/>
      <c r="AK926" s="104"/>
      <c r="AL926" s="104"/>
      <c r="AM926" s="104"/>
      <c r="AN926" s="104"/>
      <c r="AO926" s="104"/>
      <c r="AP926" s="104"/>
      <c r="AQ926" s="104"/>
      <c r="AR926" s="104"/>
      <c r="AS926" s="104"/>
      <c r="AT926" s="104"/>
      <c r="AU926" s="104"/>
      <c r="AV926" s="104"/>
      <c r="AW926" s="104"/>
      <c r="AX926" s="104"/>
      <c r="AY926" s="104"/>
      <c r="AZ926" s="104"/>
      <c r="BA926" s="104"/>
      <c r="BB926" s="104"/>
      <c r="BC926" s="104"/>
      <c r="BD926" s="104"/>
      <c r="BE926" s="104"/>
      <c r="BF926" s="104"/>
      <c r="BG926" s="104"/>
      <c r="BH926" s="104"/>
      <c r="BI926" s="104"/>
      <c r="BJ926" s="104"/>
      <c r="BK926" s="104"/>
      <c r="BL926" s="104"/>
      <c r="BM926" s="104"/>
      <c r="BN926" s="104"/>
    </row>
    <row r="927">
      <c r="A927" s="104"/>
      <c r="B927" s="104"/>
      <c r="C927" s="104"/>
      <c r="D927" s="104"/>
      <c r="E927" s="104"/>
      <c r="F927" s="104"/>
      <c r="G927" s="104"/>
      <c r="H927" s="104"/>
      <c r="I927" s="104"/>
      <c r="J927" s="104"/>
      <c r="K927" s="105"/>
      <c r="L927" s="106"/>
      <c r="M927" s="104"/>
      <c r="N927" s="104"/>
      <c r="O927" s="104"/>
      <c r="P927" s="104"/>
      <c r="Q927" s="104"/>
      <c r="R927" s="106"/>
      <c r="S927" s="104"/>
      <c r="T927" s="104"/>
      <c r="U927" s="104"/>
      <c r="V927" s="104"/>
      <c r="W927" s="105"/>
      <c r="X927" s="104"/>
      <c r="Y927" s="104"/>
      <c r="Z927" s="104"/>
      <c r="AA927" s="104"/>
      <c r="AB927" s="104"/>
      <c r="AC927" s="104"/>
      <c r="AD927" s="104"/>
      <c r="AE927" s="104"/>
      <c r="AF927" s="104"/>
      <c r="AG927" s="104"/>
      <c r="AH927" s="104"/>
      <c r="AI927" s="104"/>
      <c r="AJ927" s="104"/>
      <c r="AK927" s="104"/>
      <c r="AL927" s="104"/>
      <c r="AM927" s="104"/>
      <c r="AN927" s="104"/>
      <c r="AO927" s="104"/>
      <c r="AP927" s="104"/>
      <c r="AQ927" s="104"/>
      <c r="AR927" s="104"/>
      <c r="AS927" s="104"/>
      <c r="AT927" s="104"/>
      <c r="AU927" s="104"/>
      <c r="AV927" s="104"/>
      <c r="AW927" s="104"/>
      <c r="AX927" s="104"/>
      <c r="AY927" s="104"/>
      <c r="AZ927" s="104"/>
      <c r="BA927" s="104"/>
      <c r="BB927" s="104"/>
      <c r="BC927" s="104"/>
      <c r="BD927" s="104"/>
      <c r="BE927" s="104"/>
      <c r="BF927" s="104"/>
      <c r="BG927" s="104"/>
      <c r="BH927" s="104"/>
      <c r="BI927" s="104"/>
      <c r="BJ927" s="104"/>
      <c r="BK927" s="104"/>
      <c r="BL927" s="104"/>
      <c r="BM927" s="104"/>
      <c r="BN927" s="104"/>
    </row>
    <row r="928">
      <c r="A928" s="104"/>
      <c r="B928" s="104"/>
      <c r="C928" s="104"/>
      <c r="D928" s="104"/>
      <c r="E928" s="104"/>
      <c r="F928" s="104"/>
      <c r="G928" s="104"/>
      <c r="H928" s="104"/>
      <c r="I928" s="104"/>
      <c r="J928" s="104"/>
      <c r="K928" s="105"/>
      <c r="L928" s="106"/>
      <c r="M928" s="104"/>
      <c r="N928" s="104"/>
      <c r="O928" s="104"/>
      <c r="P928" s="104"/>
      <c r="Q928" s="104"/>
      <c r="R928" s="106"/>
      <c r="S928" s="104"/>
      <c r="T928" s="104"/>
      <c r="U928" s="104"/>
      <c r="V928" s="104"/>
      <c r="W928" s="105"/>
      <c r="X928" s="104"/>
      <c r="Y928" s="104"/>
      <c r="Z928" s="104"/>
      <c r="AA928" s="104"/>
      <c r="AB928" s="104"/>
      <c r="AC928" s="104"/>
      <c r="AD928" s="104"/>
      <c r="AE928" s="104"/>
      <c r="AF928" s="104"/>
      <c r="AG928" s="104"/>
      <c r="AH928" s="104"/>
      <c r="AI928" s="104"/>
      <c r="AJ928" s="104"/>
      <c r="AK928" s="104"/>
      <c r="AL928" s="104"/>
      <c r="AM928" s="104"/>
      <c r="AN928" s="104"/>
      <c r="AO928" s="104"/>
      <c r="AP928" s="104"/>
      <c r="AQ928" s="104"/>
      <c r="AR928" s="104"/>
      <c r="AS928" s="104"/>
      <c r="AT928" s="104"/>
      <c r="AU928" s="104"/>
      <c r="AV928" s="104"/>
      <c r="AW928" s="104"/>
      <c r="AX928" s="104"/>
      <c r="AY928" s="104"/>
      <c r="AZ928" s="104"/>
      <c r="BA928" s="104"/>
      <c r="BB928" s="104"/>
      <c r="BC928" s="104"/>
      <c r="BD928" s="104"/>
      <c r="BE928" s="104"/>
      <c r="BF928" s="104"/>
      <c r="BG928" s="104"/>
      <c r="BH928" s="104"/>
      <c r="BI928" s="104"/>
      <c r="BJ928" s="104"/>
      <c r="BK928" s="104"/>
      <c r="BL928" s="104"/>
      <c r="BM928" s="104"/>
      <c r="BN928" s="104"/>
    </row>
    <row r="929">
      <c r="A929" s="104"/>
      <c r="B929" s="104"/>
      <c r="C929" s="104"/>
      <c r="D929" s="104"/>
      <c r="E929" s="104"/>
      <c r="F929" s="104"/>
      <c r="G929" s="104"/>
      <c r="H929" s="104"/>
      <c r="I929" s="104"/>
      <c r="J929" s="104"/>
      <c r="K929" s="105"/>
      <c r="L929" s="106"/>
      <c r="M929" s="104"/>
      <c r="N929" s="104"/>
      <c r="O929" s="104"/>
      <c r="P929" s="104"/>
      <c r="Q929" s="104"/>
      <c r="R929" s="106"/>
      <c r="S929" s="104"/>
      <c r="T929" s="104"/>
      <c r="U929" s="104"/>
      <c r="V929" s="104"/>
      <c r="W929" s="105"/>
      <c r="X929" s="104"/>
      <c r="Y929" s="104"/>
      <c r="Z929" s="104"/>
      <c r="AA929" s="104"/>
      <c r="AB929" s="104"/>
      <c r="AC929" s="104"/>
      <c r="AD929" s="104"/>
      <c r="AE929" s="104"/>
      <c r="AF929" s="104"/>
      <c r="AG929" s="104"/>
      <c r="AH929" s="104"/>
      <c r="AI929" s="104"/>
      <c r="AJ929" s="104"/>
      <c r="AK929" s="104"/>
      <c r="AL929" s="104"/>
      <c r="AM929" s="104"/>
      <c r="AN929" s="104"/>
      <c r="AO929" s="104"/>
      <c r="AP929" s="104"/>
      <c r="AQ929" s="104"/>
      <c r="AR929" s="104"/>
      <c r="AS929" s="104"/>
      <c r="AT929" s="104"/>
      <c r="AU929" s="104"/>
      <c r="AV929" s="104"/>
      <c r="AW929" s="104"/>
      <c r="AX929" s="104"/>
      <c r="AY929" s="104"/>
      <c r="AZ929" s="104"/>
      <c r="BA929" s="104"/>
      <c r="BB929" s="104"/>
      <c r="BC929" s="104"/>
      <c r="BD929" s="104"/>
      <c r="BE929" s="104"/>
      <c r="BF929" s="104"/>
      <c r="BG929" s="104"/>
      <c r="BH929" s="104"/>
      <c r="BI929" s="104"/>
      <c r="BJ929" s="104"/>
      <c r="BK929" s="104"/>
      <c r="BL929" s="104"/>
      <c r="BM929" s="104"/>
      <c r="BN929" s="104"/>
    </row>
    <row r="930">
      <c r="A930" s="104"/>
      <c r="B930" s="104"/>
      <c r="C930" s="104"/>
      <c r="D930" s="104"/>
      <c r="E930" s="104"/>
      <c r="F930" s="104"/>
      <c r="G930" s="104"/>
      <c r="H930" s="104"/>
      <c r="I930" s="104"/>
      <c r="J930" s="104"/>
      <c r="K930" s="105"/>
      <c r="L930" s="106"/>
      <c r="M930" s="104"/>
      <c r="N930" s="104"/>
      <c r="O930" s="104"/>
      <c r="P930" s="104"/>
      <c r="Q930" s="104"/>
      <c r="R930" s="106"/>
      <c r="S930" s="104"/>
      <c r="T930" s="104"/>
      <c r="U930" s="104"/>
      <c r="V930" s="104"/>
      <c r="W930" s="105"/>
      <c r="X930" s="104"/>
      <c r="Y930" s="104"/>
      <c r="Z930" s="104"/>
      <c r="AA930" s="104"/>
      <c r="AB930" s="104"/>
      <c r="AC930" s="104"/>
      <c r="AD930" s="104"/>
      <c r="AE930" s="104"/>
      <c r="AF930" s="104"/>
      <c r="AG930" s="104"/>
      <c r="AH930" s="104"/>
      <c r="AI930" s="104"/>
      <c r="AJ930" s="104"/>
      <c r="AK930" s="104"/>
      <c r="AL930" s="104"/>
      <c r="AM930" s="104"/>
      <c r="AN930" s="104"/>
      <c r="AO930" s="104"/>
      <c r="AP930" s="104"/>
      <c r="AQ930" s="104"/>
      <c r="AR930" s="104"/>
      <c r="AS930" s="104"/>
      <c r="AT930" s="104"/>
      <c r="AU930" s="104"/>
      <c r="AV930" s="104"/>
      <c r="AW930" s="104"/>
      <c r="AX930" s="104"/>
      <c r="AY930" s="104"/>
      <c r="AZ930" s="104"/>
      <c r="BA930" s="104"/>
      <c r="BB930" s="104"/>
      <c r="BC930" s="104"/>
      <c r="BD930" s="104"/>
      <c r="BE930" s="104"/>
      <c r="BF930" s="104"/>
      <c r="BG930" s="104"/>
      <c r="BH930" s="104"/>
      <c r="BI930" s="104"/>
      <c r="BJ930" s="104"/>
      <c r="BK930" s="104"/>
      <c r="BL930" s="104"/>
      <c r="BM930" s="104"/>
      <c r="BN930" s="104"/>
    </row>
    <row r="931">
      <c r="A931" s="104"/>
      <c r="B931" s="104"/>
      <c r="C931" s="104"/>
      <c r="D931" s="104"/>
      <c r="E931" s="104"/>
      <c r="F931" s="104"/>
      <c r="G931" s="104"/>
      <c r="H931" s="104"/>
      <c r="I931" s="104"/>
      <c r="J931" s="104"/>
      <c r="K931" s="105"/>
      <c r="L931" s="106"/>
      <c r="M931" s="104"/>
      <c r="N931" s="104"/>
      <c r="O931" s="104"/>
      <c r="P931" s="104"/>
      <c r="Q931" s="104"/>
      <c r="R931" s="106"/>
      <c r="S931" s="104"/>
      <c r="T931" s="104"/>
      <c r="U931" s="104"/>
      <c r="V931" s="104"/>
      <c r="W931" s="105"/>
      <c r="X931" s="104"/>
      <c r="Y931" s="104"/>
      <c r="Z931" s="104"/>
      <c r="AA931" s="104"/>
      <c r="AB931" s="104"/>
      <c r="AC931" s="104"/>
      <c r="AD931" s="104"/>
      <c r="AE931" s="104"/>
      <c r="AF931" s="104"/>
      <c r="AG931" s="104"/>
      <c r="AH931" s="104"/>
      <c r="AI931" s="104"/>
      <c r="AJ931" s="104"/>
      <c r="AK931" s="104"/>
      <c r="AL931" s="104"/>
      <c r="AM931" s="104"/>
      <c r="AN931" s="104"/>
      <c r="AO931" s="104"/>
      <c r="AP931" s="104"/>
      <c r="AQ931" s="104"/>
      <c r="AR931" s="104"/>
      <c r="AS931" s="104"/>
      <c r="AT931" s="104"/>
      <c r="AU931" s="104"/>
      <c r="AV931" s="104"/>
      <c r="AW931" s="104"/>
      <c r="AX931" s="104"/>
      <c r="AY931" s="104"/>
      <c r="AZ931" s="104"/>
      <c r="BA931" s="104"/>
      <c r="BB931" s="104"/>
      <c r="BC931" s="104"/>
      <c r="BD931" s="104"/>
      <c r="BE931" s="104"/>
      <c r="BF931" s="104"/>
      <c r="BG931" s="104"/>
      <c r="BH931" s="104"/>
      <c r="BI931" s="104"/>
      <c r="BJ931" s="104"/>
      <c r="BK931" s="104"/>
      <c r="BL931" s="104"/>
      <c r="BM931" s="104"/>
      <c r="BN931" s="104"/>
    </row>
    <row r="932">
      <c r="A932" s="104"/>
      <c r="B932" s="104"/>
      <c r="C932" s="104"/>
      <c r="D932" s="104"/>
      <c r="E932" s="104"/>
      <c r="F932" s="104"/>
      <c r="G932" s="104"/>
      <c r="H932" s="104"/>
      <c r="I932" s="104"/>
      <c r="J932" s="104"/>
      <c r="K932" s="105"/>
      <c r="L932" s="106"/>
      <c r="M932" s="104"/>
      <c r="N932" s="104"/>
      <c r="O932" s="104"/>
      <c r="P932" s="104"/>
      <c r="Q932" s="104"/>
      <c r="R932" s="106"/>
      <c r="S932" s="104"/>
      <c r="T932" s="104"/>
      <c r="U932" s="104"/>
      <c r="V932" s="104"/>
      <c r="W932" s="105"/>
      <c r="X932" s="104"/>
      <c r="Y932" s="104"/>
      <c r="Z932" s="104"/>
      <c r="AA932" s="104"/>
      <c r="AB932" s="104"/>
      <c r="AC932" s="104"/>
      <c r="AD932" s="104"/>
      <c r="AE932" s="104"/>
      <c r="AF932" s="104"/>
      <c r="AG932" s="104"/>
      <c r="AH932" s="104"/>
      <c r="AI932" s="104"/>
      <c r="AJ932" s="104"/>
      <c r="AK932" s="104"/>
      <c r="AL932" s="104"/>
      <c r="AM932" s="104"/>
      <c r="AN932" s="104"/>
      <c r="AO932" s="104"/>
      <c r="AP932" s="104"/>
      <c r="AQ932" s="104"/>
      <c r="AR932" s="104"/>
      <c r="AS932" s="104"/>
      <c r="AT932" s="104"/>
      <c r="AU932" s="104"/>
      <c r="AV932" s="104"/>
      <c r="AW932" s="104"/>
      <c r="AX932" s="104"/>
      <c r="AY932" s="104"/>
      <c r="AZ932" s="104"/>
      <c r="BA932" s="104"/>
      <c r="BB932" s="104"/>
      <c r="BC932" s="104"/>
      <c r="BD932" s="104"/>
      <c r="BE932" s="104"/>
      <c r="BF932" s="104"/>
      <c r="BG932" s="104"/>
      <c r="BH932" s="104"/>
      <c r="BI932" s="104"/>
      <c r="BJ932" s="104"/>
      <c r="BK932" s="104"/>
      <c r="BL932" s="104"/>
      <c r="BM932" s="104"/>
      <c r="BN932" s="104"/>
    </row>
    <row r="933">
      <c r="A933" s="104"/>
      <c r="B933" s="104"/>
      <c r="C933" s="104"/>
      <c r="D933" s="104"/>
      <c r="E933" s="104"/>
      <c r="F933" s="104"/>
      <c r="G933" s="104"/>
      <c r="H933" s="104"/>
      <c r="I933" s="104"/>
      <c r="J933" s="104"/>
      <c r="K933" s="105"/>
      <c r="L933" s="106"/>
      <c r="M933" s="104"/>
      <c r="N933" s="104"/>
      <c r="O933" s="104"/>
      <c r="P933" s="104"/>
      <c r="Q933" s="104"/>
      <c r="R933" s="106"/>
      <c r="S933" s="104"/>
      <c r="T933" s="104"/>
      <c r="U933" s="104"/>
      <c r="V933" s="104"/>
      <c r="W933" s="105"/>
      <c r="X933" s="104"/>
      <c r="Y933" s="104"/>
      <c r="Z933" s="104"/>
      <c r="AA933" s="104"/>
      <c r="AB933" s="104"/>
      <c r="AC933" s="104"/>
      <c r="AD933" s="104"/>
      <c r="AE933" s="104"/>
      <c r="AF933" s="104"/>
      <c r="AG933" s="104"/>
      <c r="AH933" s="104"/>
      <c r="AI933" s="104"/>
      <c r="AJ933" s="104"/>
      <c r="AK933" s="104"/>
      <c r="AL933" s="104"/>
      <c r="AM933" s="104"/>
      <c r="AN933" s="104"/>
      <c r="AO933" s="104"/>
      <c r="AP933" s="104"/>
      <c r="AQ933" s="104"/>
      <c r="AR933" s="104"/>
      <c r="AS933" s="104"/>
      <c r="AT933" s="104"/>
      <c r="AU933" s="104"/>
      <c r="AV933" s="104"/>
      <c r="AW933" s="104"/>
      <c r="AX933" s="104"/>
      <c r="AY933" s="104"/>
      <c r="AZ933" s="104"/>
      <c r="BA933" s="104"/>
      <c r="BB933" s="104"/>
      <c r="BC933" s="104"/>
      <c r="BD933" s="104"/>
      <c r="BE933" s="104"/>
      <c r="BF933" s="104"/>
      <c r="BG933" s="104"/>
      <c r="BH933" s="104"/>
      <c r="BI933" s="104"/>
      <c r="BJ933" s="104"/>
      <c r="BK933" s="104"/>
      <c r="BL933" s="104"/>
      <c r="BM933" s="104"/>
      <c r="BN933" s="104"/>
    </row>
    <row r="934">
      <c r="A934" s="104"/>
      <c r="B934" s="104"/>
      <c r="C934" s="104"/>
      <c r="D934" s="104"/>
      <c r="E934" s="104"/>
      <c r="F934" s="104"/>
      <c r="G934" s="104"/>
      <c r="H934" s="104"/>
      <c r="I934" s="104"/>
      <c r="J934" s="104"/>
      <c r="K934" s="105"/>
      <c r="L934" s="106"/>
      <c r="M934" s="104"/>
      <c r="N934" s="104"/>
      <c r="O934" s="104"/>
      <c r="P934" s="104"/>
      <c r="Q934" s="104"/>
      <c r="R934" s="106"/>
      <c r="S934" s="104"/>
      <c r="T934" s="104"/>
      <c r="U934" s="104"/>
      <c r="V934" s="104"/>
      <c r="W934" s="105"/>
      <c r="X934" s="104"/>
      <c r="Y934" s="104"/>
      <c r="Z934" s="104"/>
      <c r="AA934" s="104"/>
      <c r="AB934" s="104"/>
      <c r="AC934" s="104"/>
      <c r="AD934" s="104"/>
      <c r="AE934" s="104"/>
      <c r="AF934" s="104"/>
      <c r="AG934" s="104"/>
      <c r="AH934" s="104"/>
      <c r="AI934" s="104"/>
      <c r="AJ934" s="104"/>
      <c r="AK934" s="104"/>
      <c r="AL934" s="104"/>
      <c r="AM934" s="104"/>
      <c r="AN934" s="104"/>
      <c r="AO934" s="104"/>
      <c r="AP934" s="104"/>
      <c r="AQ934" s="104"/>
      <c r="AR934" s="104"/>
      <c r="AS934" s="104"/>
      <c r="AT934" s="104"/>
      <c r="AU934" s="104"/>
      <c r="AV934" s="104"/>
      <c r="AW934" s="104"/>
      <c r="AX934" s="104"/>
      <c r="AY934" s="104"/>
      <c r="AZ934" s="104"/>
      <c r="BA934" s="104"/>
      <c r="BB934" s="104"/>
      <c r="BC934" s="104"/>
      <c r="BD934" s="104"/>
      <c r="BE934" s="104"/>
      <c r="BF934" s="104"/>
      <c r="BG934" s="104"/>
      <c r="BH934" s="104"/>
      <c r="BI934" s="104"/>
      <c r="BJ934" s="104"/>
      <c r="BK934" s="104"/>
      <c r="BL934" s="104"/>
      <c r="BM934" s="104"/>
      <c r="BN934" s="104"/>
    </row>
    <row r="935">
      <c r="A935" s="104"/>
      <c r="B935" s="104"/>
      <c r="C935" s="104"/>
      <c r="D935" s="104"/>
      <c r="E935" s="104"/>
      <c r="F935" s="104"/>
      <c r="G935" s="104"/>
      <c r="H935" s="104"/>
      <c r="I935" s="104"/>
      <c r="J935" s="104"/>
      <c r="K935" s="105"/>
      <c r="L935" s="106"/>
      <c r="M935" s="104"/>
      <c r="N935" s="104"/>
      <c r="O935" s="104"/>
      <c r="P935" s="104"/>
      <c r="Q935" s="104"/>
      <c r="R935" s="106"/>
      <c r="S935" s="104"/>
      <c r="T935" s="104"/>
      <c r="U935" s="104"/>
      <c r="V935" s="104"/>
      <c r="W935" s="105"/>
      <c r="X935" s="104"/>
      <c r="Y935" s="104"/>
      <c r="Z935" s="104"/>
      <c r="AA935" s="104"/>
      <c r="AB935" s="104"/>
      <c r="AC935" s="104"/>
      <c r="AD935" s="104"/>
      <c r="AE935" s="104"/>
      <c r="AF935" s="104"/>
      <c r="AG935" s="104"/>
      <c r="AH935" s="104"/>
      <c r="AI935" s="104"/>
      <c r="AJ935" s="104"/>
      <c r="AK935" s="104"/>
      <c r="AL935" s="104"/>
      <c r="AM935" s="104"/>
      <c r="AN935" s="104"/>
      <c r="AO935" s="104"/>
      <c r="AP935" s="104"/>
      <c r="AQ935" s="104"/>
      <c r="AR935" s="104"/>
      <c r="AS935" s="104"/>
      <c r="AT935" s="104"/>
      <c r="AU935" s="104"/>
      <c r="AV935" s="104"/>
      <c r="AW935" s="104"/>
      <c r="AX935" s="104"/>
      <c r="AY935" s="104"/>
      <c r="AZ935" s="104"/>
      <c r="BA935" s="104"/>
      <c r="BB935" s="104"/>
      <c r="BC935" s="104"/>
      <c r="BD935" s="104"/>
      <c r="BE935" s="104"/>
      <c r="BF935" s="104"/>
      <c r="BG935" s="104"/>
      <c r="BH935" s="104"/>
      <c r="BI935" s="104"/>
      <c r="BJ935" s="104"/>
      <c r="BK935" s="104"/>
      <c r="BL935" s="104"/>
      <c r="BM935" s="104"/>
      <c r="BN935" s="104"/>
    </row>
    <row r="936">
      <c r="A936" s="104"/>
      <c r="B936" s="104"/>
      <c r="C936" s="104"/>
      <c r="D936" s="104"/>
      <c r="E936" s="104"/>
      <c r="F936" s="104"/>
      <c r="G936" s="104"/>
      <c r="H936" s="104"/>
      <c r="I936" s="104"/>
      <c r="J936" s="104"/>
      <c r="K936" s="105"/>
      <c r="L936" s="106"/>
      <c r="M936" s="104"/>
      <c r="N936" s="104"/>
      <c r="O936" s="104"/>
      <c r="P936" s="104"/>
      <c r="Q936" s="104"/>
      <c r="R936" s="106"/>
      <c r="S936" s="104"/>
      <c r="T936" s="104"/>
      <c r="U936" s="104"/>
      <c r="V936" s="104"/>
      <c r="W936" s="105"/>
      <c r="X936" s="104"/>
      <c r="Y936" s="104"/>
      <c r="Z936" s="104"/>
      <c r="AA936" s="104"/>
      <c r="AB936" s="104"/>
      <c r="AC936" s="104"/>
      <c r="AD936" s="104"/>
      <c r="AE936" s="104"/>
      <c r="AF936" s="104"/>
      <c r="AG936" s="104"/>
      <c r="AH936" s="104"/>
      <c r="AI936" s="104"/>
      <c r="AJ936" s="104"/>
      <c r="AK936" s="104"/>
      <c r="AL936" s="104"/>
      <c r="AM936" s="104"/>
      <c r="AN936" s="104"/>
      <c r="AO936" s="104"/>
      <c r="AP936" s="104"/>
      <c r="AQ936" s="104"/>
      <c r="AR936" s="104"/>
      <c r="AS936" s="104"/>
      <c r="AT936" s="104"/>
      <c r="AU936" s="104"/>
      <c r="AV936" s="104"/>
      <c r="AW936" s="104"/>
      <c r="AX936" s="104"/>
      <c r="AY936" s="104"/>
      <c r="AZ936" s="104"/>
      <c r="BA936" s="104"/>
      <c r="BB936" s="104"/>
      <c r="BC936" s="104"/>
      <c r="BD936" s="104"/>
      <c r="BE936" s="104"/>
      <c r="BF936" s="104"/>
      <c r="BG936" s="104"/>
      <c r="BH936" s="104"/>
      <c r="BI936" s="104"/>
      <c r="BJ936" s="104"/>
      <c r="BK936" s="104"/>
      <c r="BL936" s="104"/>
      <c r="BM936" s="104"/>
      <c r="BN936" s="104"/>
    </row>
    <row r="937">
      <c r="A937" s="104"/>
      <c r="B937" s="104"/>
      <c r="C937" s="104"/>
      <c r="D937" s="104"/>
      <c r="E937" s="104"/>
      <c r="F937" s="104"/>
      <c r="G937" s="104"/>
      <c r="H937" s="104"/>
      <c r="I937" s="104"/>
      <c r="J937" s="104"/>
      <c r="K937" s="105"/>
      <c r="L937" s="106"/>
      <c r="M937" s="104"/>
      <c r="N937" s="104"/>
      <c r="O937" s="104"/>
      <c r="P937" s="104"/>
      <c r="Q937" s="104"/>
      <c r="R937" s="106"/>
      <c r="S937" s="104"/>
      <c r="T937" s="104"/>
      <c r="U937" s="104"/>
      <c r="V937" s="104"/>
      <c r="W937" s="105"/>
      <c r="X937" s="104"/>
      <c r="Y937" s="104"/>
      <c r="Z937" s="104"/>
      <c r="AA937" s="104"/>
      <c r="AB937" s="104"/>
      <c r="AC937" s="104"/>
      <c r="AD937" s="104"/>
      <c r="AE937" s="104"/>
      <c r="AF937" s="104"/>
      <c r="AG937" s="104"/>
      <c r="AH937" s="104"/>
      <c r="AI937" s="104"/>
      <c r="AJ937" s="104"/>
      <c r="AK937" s="104"/>
      <c r="AL937" s="104"/>
      <c r="AM937" s="104"/>
      <c r="AN937" s="104"/>
      <c r="AO937" s="104"/>
      <c r="AP937" s="104"/>
      <c r="AQ937" s="104"/>
      <c r="AR937" s="104"/>
      <c r="AS937" s="104"/>
      <c r="AT937" s="104"/>
      <c r="AU937" s="104"/>
      <c r="AV937" s="104"/>
      <c r="AW937" s="104"/>
      <c r="AX937" s="104"/>
      <c r="AY937" s="104"/>
      <c r="AZ937" s="104"/>
      <c r="BA937" s="104"/>
      <c r="BB937" s="104"/>
      <c r="BC937" s="104"/>
      <c r="BD937" s="104"/>
      <c r="BE937" s="104"/>
      <c r="BF937" s="104"/>
      <c r="BG937" s="104"/>
      <c r="BH937" s="104"/>
      <c r="BI937" s="104"/>
      <c r="BJ937" s="104"/>
      <c r="BK937" s="104"/>
      <c r="BL937" s="104"/>
      <c r="BM937" s="104"/>
      <c r="BN937" s="104"/>
    </row>
    <row r="938">
      <c r="A938" s="104"/>
      <c r="B938" s="104"/>
      <c r="C938" s="104"/>
      <c r="D938" s="104"/>
      <c r="E938" s="104"/>
      <c r="F938" s="104"/>
      <c r="G938" s="104"/>
      <c r="H938" s="104"/>
      <c r="I938" s="104"/>
      <c r="J938" s="104"/>
      <c r="K938" s="105"/>
      <c r="L938" s="106"/>
      <c r="M938" s="104"/>
      <c r="N938" s="104"/>
      <c r="O938" s="104"/>
      <c r="P938" s="104"/>
      <c r="Q938" s="104"/>
      <c r="R938" s="106"/>
      <c r="S938" s="104"/>
      <c r="T938" s="104"/>
      <c r="U938" s="104"/>
      <c r="V938" s="104"/>
      <c r="W938" s="105"/>
      <c r="X938" s="104"/>
      <c r="Y938" s="104"/>
      <c r="Z938" s="104"/>
      <c r="AA938" s="104"/>
      <c r="AB938" s="104"/>
      <c r="AC938" s="104"/>
      <c r="AD938" s="104"/>
      <c r="AE938" s="104"/>
      <c r="AF938" s="104"/>
      <c r="AG938" s="104"/>
      <c r="AH938" s="104"/>
      <c r="AI938" s="104"/>
      <c r="AJ938" s="104"/>
      <c r="AK938" s="104"/>
      <c r="AL938" s="104"/>
      <c r="AM938" s="104"/>
      <c r="AN938" s="104"/>
      <c r="AO938" s="104"/>
      <c r="AP938" s="104"/>
      <c r="AQ938" s="104"/>
      <c r="AR938" s="104"/>
      <c r="AS938" s="104"/>
      <c r="AT938" s="104"/>
      <c r="AU938" s="104"/>
      <c r="AV938" s="104"/>
      <c r="AW938" s="104"/>
      <c r="AX938" s="104"/>
      <c r="AY938" s="104"/>
      <c r="AZ938" s="104"/>
      <c r="BA938" s="104"/>
      <c r="BB938" s="104"/>
      <c r="BC938" s="104"/>
      <c r="BD938" s="104"/>
      <c r="BE938" s="104"/>
      <c r="BF938" s="104"/>
      <c r="BG938" s="104"/>
      <c r="BH938" s="104"/>
      <c r="BI938" s="104"/>
      <c r="BJ938" s="104"/>
      <c r="BK938" s="104"/>
      <c r="BL938" s="104"/>
      <c r="BM938" s="104"/>
      <c r="BN938" s="104"/>
    </row>
    <row r="939">
      <c r="A939" s="104"/>
      <c r="B939" s="104"/>
      <c r="C939" s="104"/>
      <c r="D939" s="104"/>
      <c r="E939" s="104"/>
      <c r="F939" s="104"/>
      <c r="G939" s="104"/>
      <c r="H939" s="104"/>
      <c r="I939" s="104"/>
      <c r="J939" s="104"/>
      <c r="K939" s="105"/>
      <c r="L939" s="106"/>
      <c r="M939" s="104"/>
      <c r="N939" s="104"/>
      <c r="O939" s="104"/>
      <c r="P939" s="104"/>
      <c r="Q939" s="104"/>
      <c r="R939" s="106"/>
      <c r="S939" s="104"/>
      <c r="T939" s="104"/>
      <c r="U939" s="104"/>
      <c r="V939" s="104"/>
      <c r="W939" s="105"/>
      <c r="X939" s="104"/>
      <c r="Y939" s="104"/>
      <c r="Z939" s="104"/>
      <c r="AA939" s="104"/>
      <c r="AB939" s="104"/>
      <c r="AC939" s="104"/>
      <c r="AD939" s="104"/>
      <c r="AE939" s="104"/>
      <c r="AF939" s="104"/>
      <c r="AG939" s="104"/>
      <c r="AH939" s="104"/>
      <c r="AI939" s="104"/>
      <c r="AJ939" s="104"/>
      <c r="AK939" s="104"/>
      <c r="AL939" s="104"/>
      <c r="AM939" s="104"/>
      <c r="AN939" s="104"/>
      <c r="AO939" s="104"/>
      <c r="AP939" s="104"/>
      <c r="AQ939" s="104"/>
      <c r="AR939" s="104"/>
      <c r="AS939" s="104"/>
      <c r="AT939" s="104"/>
      <c r="AU939" s="104"/>
      <c r="AV939" s="104"/>
      <c r="AW939" s="104"/>
      <c r="AX939" s="104"/>
      <c r="AY939" s="104"/>
      <c r="AZ939" s="104"/>
      <c r="BA939" s="104"/>
      <c r="BB939" s="104"/>
      <c r="BC939" s="104"/>
      <c r="BD939" s="104"/>
      <c r="BE939" s="104"/>
      <c r="BF939" s="104"/>
      <c r="BG939" s="104"/>
      <c r="BH939" s="104"/>
      <c r="BI939" s="104"/>
      <c r="BJ939" s="104"/>
      <c r="BK939" s="104"/>
      <c r="BL939" s="104"/>
      <c r="BM939" s="104"/>
      <c r="BN939" s="104"/>
    </row>
    <row r="940">
      <c r="A940" s="104"/>
      <c r="B940" s="104"/>
      <c r="C940" s="104"/>
      <c r="D940" s="104"/>
      <c r="E940" s="104"/>
      <c r="F940" s="104"/>
      <c r="G940" s="104"/>
      <c r="H940" s="104"/>
      <c r="I940" s="104"/>
      <c r="J940" s="104"/>
      <c r="K940" s="105"/>
      <c r="L940" s="106"/>
      <c r="M940" s="104"/>
      <c r="N940" s="104"/>
      <c r="O940" s="104"/>
      <c r="P940" s="104"/>
      <c r="Q940" s="104"/>
      <c r="R940" s="106"/>
      <c r="S940" s="104"/>
      <c r="T940" s="104"/>
      <c r="U940" s="104"/>
      <c r="V940" s="104"/>
      <c r="W940" s="105"/>
      <c r="X940" s="104"/>
      <c r="Y940" s="104"/>
      <c r="Z940" s="104"/>
      <c r="AA940" s="104"/>
      <c r="AB940" s="104"/>
      <c r="AC940" s="104"/>
      <c r="AD940" s="104"/>
      <c r="AE940" s="104"/>
      <c r="AF940" s="104"/>
      <c r="AG940" s="104"/>
      <c r="AH940" s="104"/>
      <c r="AI940" s="104"/>
      <c r="AJ940" s="104"/>
      <c r="AK940" s="104"/>
      <c r="AL940" s="104"/>
      <c r="AM940" s="104"/>
      <c r="AN940" s="104"/>
      <c r="AO940" s="104"/>
      <c r="AP940" s="104"/>
      <c r="AQ940" s="104"/>
      <c r="AR940" s="104"/>
      <c r="AS940" s="104"/>
      <c r="AT940" s="104"/>
      <c r="AU940" s="104"/>
      <c r="AV940" s="104"/>
      <c r="AW940" s="104"/>
      <c r="AX940" s="104"/>
      <c r="AY940" s="104"/>
      <c r="AZ940" s="104"/>
      <c r="BA940" s="104"/>
      <c r="BB940" s="104"/>
      <c r="BC940" s="104"/>
      <c r="BD940" s="104"/>
      <c r="BE940" s="104"/>
      <c r="BF940" s="104"/>
      <c r="BG940" s="104"/>
      <c r="BH940" s="104"/>
      <c r="BI940" s="104"/>
      <c r="BJ940" s="104"/>
      <c r="BK940" s="104"/>
      <c r="BL940" s="104"/>
      <c r="BM940" s="104"/>
      <c r="BN940" s="104"/>
    </row>
    <row r="941">
      <c r="A941" s="104"/>
      <c r="B941" s="104"/>
      <c r="C941" s="104"/>
      <c r="D941" s="104"/>
      <c r="E941" s="104"/>
      <c r="F941" s="104"/>
      <c r="G941" s="104"/>
      <c r="H941" s="104"/>
      <c r="I941" s="104"/>
      <c r="J941" s="104"/>
      <c r="K941" s="105"/>
      <c r="L941" s="106"/>
      <c r="M941" s="104"/>
      <c r="N941" s="104"/>
      <c r="O941" s="104"/>
      <c r="P941" s="104"/>
      <c r="Q941" s="104"/>
      <c r="R941" s="106"/>
      <c r="S941" s="104"/>
      <c r="T941" s="104"/>
      <c r="U941" s="104"/>
      <c r="V941" s="104"/>
      <c r="W941" s="105"/>
      <c r="X941" s="104"/>
      <c r="Y941" s="104"/>
      <c r="Z941" s="104"/>
      <c r="AA941" s="104"/>
      <c r="AB941" s="104"/>
      <c r="AC941" s="104"/>
      <c r="AD941" s="104"/>
      <c r="AE941" s="104"/>
      <c r="AF941" s="104"/>
      <c r="AG941" s="104"/>
      <c r="AH941" s="104"/>
      <c r="AI941" s="104"/>
      <c r="AJ941" s="104"/>
      <c r="AK941" s="104"/>
      <c r="AL941" s="104"/>
      <c r="AM941" s="104"/>
      <c r="AN941" s="104"/>
      <c r="AO941" s="104"/>
      <c r="AP941" s="104"/>
      <c r="AQ941" s="104"/>
      <c r="AR941" s="104"/>
      <c r="AS941" s="104"/>
      <c r="AT941" s="104"/>
      <c r="AU941" s="104"/>
      <c r="AV941" s="104"/>
      <c r="AW941" s="104"/>
      <c r="AX941" s="104"/>
      <c r="AY941" s="104"/>
      <c r="AZ941" s="104"/>
      <c r="BA941" s="104"/>
      <c r="BB941" s="104"/>
      <c r="BC941" s="104"/>
      <c r="BD941" s="104"/>
      <c r="BE941" s="104"/>
      <c r="BF941" s="104"/>
      <c r="BG941" s="104"/>
      <c r="BH941" s="104"/>
      <c r="BI941" s="104"/>
      <c r="BJ941" s="104"/>
      <c r="BK941" s="104"/>
      <c r="BL941" s="104"/>
      <c r="BM941" s="104"/>
      <c r="BN941" s="104"/>
    </row>
    <row r="942">
      <c r="A942" s="104"/>
      <c r="B942" s="104"/>
      <c r="C942" s="104"/>
      <c r="D942" s="104"/>
      <c r="E942" s="104"/>
      <c r="F942" s="104"/>
      <c r="G942" s="104"/>
      <c r="H942" s="104"/>
      <c r="I942" s="104"/>
      <c r="J942" s="104"/>
      <c r="K942" s="105"/>
      <c r="L942" s="106"/>
      <c r="M942" s="104"/>
      <c r="N942" s="104"/>
      <c r="O942" s="104"/>
      <c r="P942" s="104"/>
      <c r="Q942" s="104"/>
      <c r="R942" s="106"/>
      <c r="S942" s="104"/>
      <c r="T942" s="104"/>
      <c r="U942" s="104"/>
      <c r="V942" s="104"/>
      <c r="W942" s="105"/>
      <c r="X942" s="104"/>
      <c r="Y942" s="104"/>
      <c r="Z942" s="104"/>
      <c r="AA942" s="104"/>
      <c r="AB942" s="104"/>
      <c r="AC942" s="104"/>
      <c r="AD942" s="104"/>
      <c r="AE942" s="104"/>
      <c r="AF942" s="104"/>
      <c r="AG942" s="104"/>
      <c r="AH942" s="104"/>
      <c r="AI942" s="104"/>
      <c r="AJ942" s="104"/>
      <c r="AK942" s="104"/>
      <c r="AL942" s="104"/>
      <c r="AM942" s="104"/>
      <c r="AN942" s="104"/>
      <c r="AO942" s="104"/>
      <c r="AP942" s="104"/>
      <c r="AQ942" s="104"/>
      <c r="AR942" s="104"/>
      <c r="AS942" s="104"/>
      <c r="AT942" s="104"/>
      <c r="AU942" s="104"/>
      <c r="AV942" s="104"/>
      <c r="AW942" s="104"/>
      <c r="AX942" s="104"/>
      <c r="AY942" s="104"/>
      <c r="AZ942" s="104"/>
      <c r="BA942" s="104"/>
      <c r="BB942" s="104"/>
      <c r="BC942" s="104"/>
      <c r="BD942" s="104"/>
      <c r="BE942" s="104"/>
      <c r="BF942" s="104"/>
      <c r="BG942" s="104"/>
      <c r="BH942" s="104"/>
      <c r="BI942" s="104"/>
      <c r="BJ942" s="104"/>
      <c r="BK942" s="104"/>
      <c r="BL942" s="104"/>
      <c r="BM942" s="104"/>
      <c r="BN942" s="104"/>
    </row>
    <row r="943">
      <c r="A943" s="104"/>
      <c r="B943" s="104"/>
      <c r="C943" s="104"/>
      <c r="D943" s="104"/>
      <c r="E943" s="104"/>
      <c r="F943" s="104"/>
      <c r="G943" s="104"/>
      <c r="H943" s="104"/>
      <c r="I943" s="104"/>
      <c r="J943" s="104"/>
      <c r="K943" s="105"/>
      <c r="L943" s="106"/>
      <c r="M943" s="104"/>
      <c r="N943" s="104"/>
      <c r="O943" s="104"/>
      <c r="P943" s="104"/>
      <c r="Q943" s="104"/>
      <c r="R943" s="106"/>
      <c r="S943" s="104"/>
      <c r="T943" s="104"/>
      <c r="U943" s="104"/>
      <c r="V943" s="104"/>
      <c r="W943" s="105"/>
      <c r="X943" s="104"/>
      <c r="Y943" s="104"/>
      <c r="Z943" s="104"/>
      <c r="AA943" s="104"/>
      <c r="AB943" s="104"/>
      <c r="AC943" s="104"/>
      <c r="AD943" s="104"/>
      <c r="AE943" s="104"/>
      <c r="AF943" s="104"/>
      <c r="AG943" s="104"/>
      <c r="AH943" s="104"/>
      <c r="AI943" s="104"/>
      <c r="AJ943" s="104"/>
      <c r="AK943" s="104"/>
      <c r="AL943" s="104"/>
      <c r="AM943" s="104"/>
      <c r="AN943" s="104"/>
      <c r="AO943" s="104"/>
      <c r="AP943" s="104"/>
      <c r="AQ943" s="104"/>
      <c r="AR943" s="104"/>
      <c r="AS943" s="104"/>
      <c r="AT943" s="104"/>
      <c r="AU943" s="104"/>
      <c r="AV943" s="104"/>
      <c r="AW943" s="104"/>
      <c r="AX943" s="104"/>
      <c r="AY943" s="104"/>
      <c r="AZ943" s="104"/>
      <c r="BA943" s="104"/>
      <c r="BB943" s="104"/>
      <c r="BC943" s="104"/>
      <c r="BD943" s="104"/>
      <c r="BE943" s="104"/>
      <c r="BF943" s="104"/>
      <c r="BG943" s="104"/>
      <c r="BH943" s="104"/>
      <c r="BI943" s="104"/>
      <c r="BJ943" s="104"/>
      <c r="BK943" s="104"/>
      <c r="BL943" s="104"/>
      <c r="BM943" s="104"/>
      <c r="BN943" s="104"/>
    </row>
    <row r="944">
      <c r="A944" s="104"/>
      <c r="B944" s="104"/>
      <c r="C944" s="104"/>
      <c r="D944" s="104"/>
      <c r="E944" s="104"/>
      <c r="F944" s="104"/>
      <c r="G944" s="104"/>
      <c r="H944" s="104"/>
      <c r="I944" s="104"/>
      <c r="J944" s="104"/>
      <c r="K944" s="105"/>
      <c r="L944" s="106"/>
      <c r="M944" s="104"/>
      <c r="N944" s="104"/>
      <c r="O944" s="104"/>
      <c r="P944" s="104"/>
      <c r="Q944" s="104"/>
      <c r="R944" s="106"/>
      <c r="S944" s="104"/>
      <c r="T944" s="104"/>
      <c r="U944" s="104"/>
      <c r="V944" s="104"/>
      <c r="W944" s="105"/>
      <c r="X944" s="104"/>
      <c r="Y944" s="104"/>
      <c r="Z944" s="104"/>
      <c r="AA944" s="104"/>
      <c r="AB944" s="104"/>
      <c r="AC944" s="104"/>
      <c r="AD944" s="104"/>
      <c r="AE944" s="104"/>
      <c r="AF944" s="104"/>
      <c r="AG944" s="104"/>
      <c r="AH944" s="104"/>
      <c r="AI944" s="104"/>
      <c r="AJ944" s="104"/>
      <c r="AK944" s="104"/>
      <c r="AL944" s="104"/>
      <c r="AM944" s="104"/>
      <c r="AN944" s="104"/>
      <c r="AO944" s="104"/>
      <c r="AP944" s="104"/>
      <c r="AQ944" s="104"/>
      <c r="AR944" s="104"/>
      <c r="AS944" s="104"/>
      <c r="AT944" s="104"/>
      <c r="AU944" s="104"/>
      <c r="AV944" s="104"/>
      <c r="AW944" s="104"/>
      <c r="AX944" s="104"/>
      <c r="AY944" s="104"/>
      <c r="AZ944" s="104"/>
      <c r="BA944" s="104"/>
      <c r="BB944" s="104"/>
      <c r="BC944" s="104"/>
      <c r="BD944" s="104"/>
      <c r="BE944" s="104"/>
      <c r="BF944" s="104"/>
      <c r="BG944" s="104"/>
      <c r="BH944" s="104"/>
      <c r="BI944" s="104"/>
      <c r="BJ944" s="104"/>
      <c r="BK944" s="104"/>
      <c r="BL944" s="104"/>
      <c r="BM944" s="104"/>
      <c r="BN944" s="104"/>
    </row>
    <row r="945">
      <c r="A945" s="104"/>
      <c r="B945" s="104"/>
      <c r="C945" s="104"/>
      <c r="D945" s="104"/>
      <c r="E945" s="104"/>
      <c r="F945" s="104"/>
      <c r="G945" s="104"/>
      <c r="H945" s="104"/>
      <c r="I945" s="104"/>
      <c r="J945" s="104"/>
      <c r="K945" s="105"/>
      <c r="L945" s="106"/>
      <c r="M945" s="104"/>
      <c r="N945" s="104"/>
      <c r="O945" s="104"/>
      <c r="P945" s="104"/>
      <c r="Q945" s="104"/>
      <c r="R945" s="106"/>
      <c r="S945" s="104"/>
      <c r="T945" s="104"/>
      <c r="U945" s="104"/>
      <c r="V945" s="104"/>
      <c r="W945" s="105"/>
      <c r="X945" s="104"/>
      <c r="Y945" s="104"/>
      <c r="Z945" s="104"/>
      <c r="AA945" s="104"/>
      <c r="AB945" s="104"/>
      <c r="AC945" s="104"/>
      <c r="AD945" s="104"/>
      <c r="AE945" s="104"/>
      <c r="AF945" s="104"/>
      <c r="AG945" s="104"/>
      <c r="AH945" s="104"/>
      <c r="AI945" s="104"/>
      <c r="AJ945" s="104"/>
      <c r="AK945" s="104"/>
      <c r="AL945" s="104"/>
      <c r="AM945" s="104"/>
      <c r="AN945" s="104"/>
      <c r="AO945" s="104"/>
      <c r="AP945" s="104"/>
      <c r="AQ945" s="104"/>
      <c r="AR945" s="104"/>
      <c r="AS945" s="104"/>
      <c r="AT945" s="104"/>
      <c r="AU945" s="104"/>
      <c r="AV945" s="104"/>
      <c r="AW945" s="104"/>
      <c r="AX945" s="104"/>
      <c r="AY945" s="104"/>
      <c r="AZ945" s="104"/>
      <c r="BA945" s="104"/>
      <c r="BB945" s="104"/>
      <c r="BC945" s="104"/>
      <c r="BD945" s="104"/>
      <c r="BE945" s="104"/>
      <c r="BF945" s="104"/>
      <c r="BG945" s="104"/>
      <c r="BH945" s="104"/>
      <c r="BI945" s="104"/>
      <c r="BJ945" s="104"/>
      <c r="BK945" s="104"/>
      <c r="BL945" s="104"/>
      <c r="BM945" s="104"/>
      <c r="BN945" s="104"/>
    </row>
    <row r="946">
      <c r="A946" s="104"/>
      <c r="B946" s="104"/>
      <c r="C946" s="104"/>
      <c r="D946" s="104"/>
      <c r="E946" s="104"/>
      <c r="F946" s="104"/>
      <c r="G946" s="104"/>
      <c r="H946" s="104"/>
      <c r="I946" s="104"/>
      <c r="J946" s="104"/>
      <c r="K946" s="105"/>
      <c r="L946" s="106"/>
      <c r="M946" s="104"/>
      <c r="N946" s="104"/>
      <c r="O946" s="104"/>
      <c r="P946" s="104"/>
      <c r="Q946" s="104"/>
      <c r="R946" s="106"/>
      <c r="S946" s="104"/>
      <c r="T946" s="104"/>
      <c r="U946" s="104"/>
      <c r="V946" s="104"/>
      <c r="W946" s="105"/>
      <c r="X946" s="104"/>
      <c r="Y946" s="104"/>
      <c r="Z946" s="104"/>
      <c r="AA946" s="104"/>
      <c r="AB946" s="104"/>
      <c r="AC946" s="104"/>
      <c r="AD946" s="104"/>
      <c r="AE946" s="104"/>
      <c r="AF946" s="104"/>
      <c r="AG946" s="104"/>
      <c r="AH946" s="104"/>
      <c r="AI946" s="104"/>
      <c r="AJ946" s="104"/>
      <c r="AK946" s="104"/>
      <c r="AL946" s="104"/>
      <c r="AM946" s="104"/>
      <c r="AN946" s="104"/>
      <c r="AO946" s="104"/>
      <c r="AP946" s="104"/>
      <c r="AQ946" s="104"/>
      <c r="AR946" s="104"/>
      <c r="AS946" s="104"/>
      <c r="AT946" s="104"/>
      <c r="AU946" s="104"/>
      <c r="AV946" s="104"/>
      <c r="AW946" s="104"/>
      <c r="AX946" s="104"/>
      <c r="AY946" s="104"/>
      <c r="AZ946" s="104"/>
      <c r="BA946" s="104"/>
      <c r="BB946" s="104"/>
      <c r="BC946" s="104"/>
      <c r="BD946" s="104"/>
      <c r="BE946" s="104"/>
      <c r="BF946" s="104"/>
      <c r="BG946" s="104"/>
      <c r="BH946" s="104"/>
      <c r="BI946" s="104"/>
      <c r="BJ946" s="104"/>
      <c r="BK946" s="104"/>
      <c r="BL946" s="104"/>
      <c r="BM946" s="104"/>
      <c r="BN946" s="104"/>
    </row>
    <row r="947">
      <c r="A947" s="104"/>
      <c r="B947" s="104"/>
      <c r="C947" s="104"/>
      <c r="D947" s="104"/>
      <c r="E947" s="104"/>
      <c r="F947" s="104"/>
      <c r="G947" s="104"/>
      <c r="H947" s="104"/>
      <c r="I947" s="104"/>
      <c r="J947" s="104"/>
      <c r="K947" s="105"/>
      <c r="L947" s="106"/>
      <c r="M947" s="104"/>
      <c r="N947" s="104"/>
      <c r="O947" s="104"/>
      <c r="P947" s="104"/>
      <c r="Q947" s="104"/>
      <c r="R947" s="106"/>
      <c r="S947" s="104"/>
      <c r="T947" s="104"/>
      <c r="U947" s="104"/>
      <c r="V947" s="104"/>
      <c r="W947" s="105"/>
      <c r="X947" s="104"/>
      <c r="Y947" s="104"/>
      <c r="Z947" s="104"/>
      <c r="AA947" s="104"/>
      <c r="AB947" s="104"/>
      <c r="AC947" s="104"/>
      <c r="AD947" s="104"/>
      <c r="AE947" s="104"/>
      <c r="AF947" s="104"/>
      <c r="AG947" s="104"/>
      <c r="AH947" s="104"/>
      <c r="AI947" s="104"/>
      <c r="AJ947" s="104"/>
      <c r="AK947" s="104"/>
      <c r="AL947" s="104"/>
      <c r="AM947" s="104"/>
      <c r="AN947" s="104"/>
      <c r="AO947" s="104"/>
      <c r="AP947" s="104"/>
      <c r="AQ947" s="104"/>
      <c r="AR947" s="104"/>
      <c r="AS947" s="104"/>
      <c r="AT947" s="104"/>
      <c r="AU947" s="104"/>
      <c r="AV947" s="104"/>
      <c r="AW947" s="104"/>
      <c r="AX947" s="104"/>
      <c r="AY947" s="104"/>
      <c r="AZ947" s="104"/>
      <c r="BA947" s="104"/>
      <c r="BB947" s="104"/>
      <c r="BC947" s="104"/>
      <c r="BD947" s="104"/>
      <c r="BE947" s="104"/>
      <c r="BF947" s="104"/>
      <c r="BG947" s="104"/>
      <c r="BH947" s="104"/>
      <c r="BI947" s="104"/>
      <c r="BJ947" s="104"/>
      <c r="BK947" s="104"/>
      <c r="BL947" s="104"/>
      <c r="BM947" s="104"/>
      <c r="BN947" s="104"/>
    </row>
    <row r="948">
      <c r="A948" s="104"/>
      <c r="B948" s="104"/>
      <c r="C948" s="104"/>
      <c r="D948" s="104"/>
      <c r="E948" s="104"/>
      <c r="F948" s="104"/>
      <c r="G948" s="104"/>
      <c r="H948" s="104"/>
      <c r="I948" s="104"/>
      <c r="J948" s="104"/>
      <c r="K948" s="105"/>
      <c r="L948" s="106"/>
      <c r="M948" s="104"/>
      <c r="N948" s="104"/>
      <c r="O948" s="104"/>
      <c r="P948" s="104"/>
      <c r="Q948" s="104"/>
      <c r="R948" s="106"/>
      <c r="S948" s="104"/>
      <c r="T948" s="104"/>
      <c r="U948" s="104"/>
      <c r="V948" s="104"/>
      <c r="W948" s="105"/>
      <c r="X948" s="104"/>
      <c r="Y948" s="104"/>
      <c r="Z948" s="104"/>
      <c r="AA948" s="104"/>
      <c r="AB948" s="104"/>
      <c r="AC948" s="104"/>
      <c r="AD948" s="104"/>
      <c r="AE948" s="104"/>
      <c r="AF948" s="104"/>
      <c r="AG948" s="104"/>
      <c r="AH948" s="104"/>
      <c r="AI948" s="104"/>
      <c r="AJ948" s="104"/>
      <c r="AK948" s="104"/>
      <c r="AL948" s="104"/>
      <c r="AM948" s="104"/>
      <c r="AN948" s="104"/>
      <c r="AO948" s="104"/>
      <c r="AP948" s="104"/>
      <c r="AQ948" s="104"/>
      <c r="AR948" s="104"/>
      <c r="AS948" s="104"/>
      <c r="AT948" s="104"/>
      <c r="AU948" s="104"/>
      <c r="AV948" s="104"/>
      <c r="AW948" s="104"/>
      <c r="AX948" s="104"/>
      <c r="AY948" s="104"/>
      <c r="AZ948" s="104"/>
      <c r="BA948" s="104"/>
      <c r="BB948" s="104"/>
      <c r="BC948" s="104"/>
      <c r="BD948" s="104"/>
      <c r="BE948" s="104"/>
      <c r="BF948" s="104"/>
      <c r="BG948" s="104"/>
      <c r="BH948" s="104"/>
      <c r="BI948" s="104"/>
      <c r="BJ948" s="104"/>
      <c r="BK948" s="104"/>
      <c r="BL948" s="104"/>
      <c r="BM948" s="104"/>
      <c r="BN948" s="104"/>
    </row>
    <row r="949">
      <c r="A949" s="104"/>
      <c r="B949" s="104"/>
      <c r="C949" s="104"/>
      <c r="D949" s="104"/>
      <c r="E949" s="104"/>
      <c r="F949" s="104"/>
      <c r="G949" s="104"/>
      <c r="H949" s="104"/>
      <c r="I949" s="104"/>
      <c r="J949" s="104"/>
      <c r="K949" s="105"/>
      <c r="L949" s="106"/>
      <c r="M949" s="104"/>
      <c r="N949" s="104"/>
      <c r="O949" s="104"/>
      <c r="P949" s="104"/>
      <c r="Q949" s="104"/>
      <c r="R949" s="106"/>
      <c r="S949" s="104"/>
      <c r="T949" s="104"/>
      <c r="U949" s="104"/>
      <c r="V949" s="104"/>
      <c r="W949" s="105"/>
      <c r="X949" s="104"/>
      <c r="Y949" s="104"/>
      <c r="Z949" s="104"/>
      <c r="AA949" s="104"/>
      <c r="AB949" s="104"/>
      <c r="AC949" s="104"/>
      <c r="AD949" s="104"/>
      <c r="AE949" s="104"/>
      <c r="AF949" s="104"/>
      <c r="AG949" s="104"/>
      <c r="AH949" s="104"/>
      <c r="AI949" s="104"/>
      <c r="AJ949" s="104"/>
      <c r="AK949" s="104"/>
      <c r="AL949" s="104"/>
      <c r="AM949" s="104"/>
      <c r="AN949" s="104"/>
      <c r="AO949" s="104"/>
      <c r="AP949" s="104"/>
      <c r="AQ949" s="104"/>
      <c r="AR949" s="104"/>
      <c r="AS949" s="104"/>
      <c r="AT949" s="104"/>
      <c r="AU949" s="104"/>
      <c r="AV949" s="104"/>
      <c r="AW949" s="104"/>
      <c r="AX949" s="104"/>
      <c r="AY949" s="104"/>
      <c r="AZ949" s="104"/>
      <c r="BA949" s="104"/>
      <c r="BB949" s="104"/>
      <c r="BC949" s="104"/>
      <c r="BD949" s="104"/>
      <c r="BE949" s="104"/>
      <c r="BF949" s="104"/>
      <c r="BG949" s="104"/>
      <c r="BH949" s="104"/>
      <c r="BI949" s="104"/>
      <c r="BJ949" s="104"/>
      <c r="BK949" s="104"/>
      <c r="BL949" s="104"/>
      <c r="BM949" s="104"/>
      <c r="BN949" s="104"/>
    </row>
    <row r="950">
      <c r="A950" s="104"/>
      <c r="B950" s="104"/>
      <c r="C950" s="104"/>
      <c r="D950" s="104"/>
      <c r="E950" s="104"/>
      <c r="F950" s="104"/>
      <c r="G950" s="104"/>
      <c r="H950" s="104"/>
      <c r="I950" s="104"/>
      <c r="J950" s="104"/>
      <c r="K950" s="105"/>
      <c r="L950" s="106"/>
      <c r="M950" s="104"/>
      <c r="N950" s="104"/>
      <c r="O950" s="104"/>
      <c r="P950" s="104"/>
      <c r="Q950" s="104"/>
      <c r="R950" s="106"/>
      <c r="S950" s="104"/>
      <c r="T950" s="104"/>
      <c r="U950" s="104"/>
      <c r="V950" s="104"/>
      <c r="W950" s="105"/>
      <c r="X950" s="104"/>
      <c r="Y950" s="104"/>
      <c r="Z950" s="104"/>
      <c r="AA950" s="104"/>
      <c r="AB950" s="104"/>
      <c r="AC950" s="104"/>
      <c r="AD950" s="104"/>
      <c r="AE950" s="104"/>
      <c r="AF950" s="104"/>
      <c r="AG950" s="104"/>
      <c r="AH950" s="104"/>
      <c r="AI950" s="104"/>
      <c r="AJ950" s="104"/>
      <c r="AK950" s="104"/>
      <c r="AL950" s="104"/>
      <c r="AM950" s="104"/>
      <c r="AN950" s="104"/>
      <c r="AO950" s="104"/>
      <c r="AP950" s="104"/>
      <c r="AQ950" s="104"/>
      <c r="AR950" s="104"/>
      <c r="AS950" s="104"/>
      <c r="AT950" s="104"/>
      <c r="AU950" s="104"/>
      <c r="AV950" s="104"/>
      <c r="AW950" s="104"/>
      <c r="AX950" s="104"/>
      <c r="AY950" s="104"/>
      <c r="AZ950" s="104"/>
      <c r="BA950" s="104"/>
      <c r="BB950" s="104"/>
      <c r="BC950" s="104"/>
      <c r="BD950" s="104"/>
      <c r="BE950" s="104"/>
      <c r="BF950" s="104"/>
      <c r="BG950" s="104"/>
      <c r="BH950" s="104"/>
      <c r="BI950" s="104"/>
      <c r="BJ950" s="104"/>
      <c r="BK950" s="104"/>
      <c r="BL950" s="104"/>
      <c r="BM950" s="104"/>
      <c r="BN950" s="104"/>
    </row>
    <row r="951">
      <c r="A951" s="104"/>
      <c r="B951" s="104"/>
      <c r="C951" s="104"/>
      <c r="D951" s="104"/>
      <c r="E951" s="104"/>
      <c r="F951" s="104"/>
      <c r="G951" s="104"/>
      <c r="H951" s="104"/>
      <c r="I951" s="104"/>
      <c r="J951" s="104"/>
      <c r="K951" s="105"/>
      <c r="L951" s="106"/>
      <c r="M951" s="104"/>
      <c r="N951" s="104"/>
      <c r="O951" s="104"/>
      <c r="P951" s="104"/>
      <c r="Q951" s="104"/>
      <c r="R951" s="106"/>
      <c r="S951" s="104"/>
      <c r="T951" s="104"/>
      <c r="U951" s="104"/>
      <c r="V951" s="104"/>
      <c r="W951" s="105"/>
      <c r="X951" s="104"/>
      <c r="Y951" s="104"/>
      <c r="Z951" s="104"/>
      <c r="AA951" s="104"/>
      <c r="AB951" s="104"/>
      <c r="AC951" s="104"/>
      <c r="AD951" s="104"/>
      <c r="AE951" s="104"/>
      <c r="AF951" s="104"/>
      <c r="AG951" s="104"/>
      <c r="AH951" s="104"/>
      <c r="AI951" s="104"/>
      <c r="AJ951" s="104"/>
      <c r="AK951" s="104"/>
      <c r="AL951" s="104"/>
      <c r="AM951" s="104"/>
      <c r="AN951" s="104"/>
      <c r="AO951" s="104"/>
      <c r="AP951" s="104"/>
      <c r="AQ951" s="104"/>
      <c r="AR951" s="104"/>
      <c r="AS951" s="104"/>
      <c r="AT951" s="104"/>
      <c r="AU951" s="104"/>
      <c r="AV951" s="104"/>
      <c r="AW951" s="104"/>
      <c r="AX951" s="104"/>
      <c r="AY951" s="104"/>
      <c r="AZ951" s="104"/>
      <c r="BA951" s="104"/>
      <c r="BB951" s="104"/>
      <c r="BC951" s="104"/>
      <c r="BD951" s="104"/>
      <c r="BE951" s="104"/>
      <c r="BF951" s="104"/>
      <c r="BG951" s="104"/>
      <c r="BH951" s="104"/>
      <c r="BI951" s="104"/>
      <c r="BJ951" s="104"/>
      <c r="BK951" s="104"/>
      <c r="BL951" s="104"/>
      <c r="BM951" s="104"/>
      <c r="BN951" s="104"/>
    </row>
    <row r="952">
      <c r="A952" s="104"/>
      <c r="B952" s="104"/>
      <c r="C952" s="104"/>
      <c r="D952" s="104"/>
      <c r="E952" s="104"/>
      <c r="F952" s="104"/>
      <c r="G952" s="104"/>
      <c r="H952" s="104"/>
      <c r="I952" s="104"/>
      <c r="J952" s="104"/>
      <c r="K952" s="105"/>
      <c r="L952" s="106"/>
      <c r="M952" s="104"/>
      <c r="N952" s="104"/>
      <c r="O952" s="104"/>
      <c r="P952" s="104"/>
      <c r="Q952" s="104"/>
      <c r="R952" s="106"/>
      <c r="S952" s="104"/>
      <c r="T952" s="104"/>
      <c r="U952" s="104"/>
      <c r="V952" s="104"/>
      <c r="W952" s="105"/>
      <c r="X952" s="104"/>
      <c r="Y952" s="104"/>
      <c r="Z952" s="104"/>
      <c r="AA952" s="104"/>
      <c r="AB952" s="104"/>
      <c r="AC952" s="104"/>
      <c r="AD952" s="104"/>
      <c r="AE952" s="104"/>
      <c r="AF952" s="104"/>
      <c r="AG952" s="104"/>
      <c r="AH952" s="104"/>
      <c r="AI952" s="104"/>
      <c r="AJ952" s="104"/>
      <c r="AK952" s="104"/>
      <c r="AL952" s="104"/>
      <c r="AM952" s="104"/>
      <c r="AN952" s="104"/>
      <c r="AO952" s="104"/>
      <c r="AP952" s="104"/>
      <c r="AQ952" s="104"/>
      <c r="AR952" s="104"/>
      <c r="AS952" s="104"/>
      <c r="AT952" s="104"/>
      <c r="AU952" s="104"/>
      <c r="AV952" s="104"/>
      <c r="AW952" s="104"/>
      <c r="AX952" s="104"/>
      <c r="AY952" s="104"/>
      <c r="AZ952" s="104"/>
      <c r="BA952" s="104"/>
      <c r="BB952" s="104"/>
      <c r="BC952" s="104"/>
      <c r="BD952" s="104"/>
      <c r="BE952" s="104"/>
      <c r="BF952" s="104"/>
      <c r="BG952" s="104"/>
      <c r="BH952" s="104"/>
      <c r="BI952" s="104"/>
      <c r="BJ952" s="104"/>
      <c r="BK952" s="104"/>
      <c r="BL952" s="104"/>
      <c r="BM952" s="104"/>
      <c r="BN952" s="104"/>
    </row>
    <row r="953">
      <c r="A953" s="104"/>
      <c r="B953" s="104"/>
      <c r="C953" s="104"/>
      <c r="D953" s="104"/>
      <c r="E953" s="104"/>
      <c r="F953" s="104"/>
      <c r="G953" s="104"/>
      <c r="H953" s="104"/>
      <c r="I953" s="104"/>
      <c r="J953" s="104"/>
      <c r="K953" s="105"/>
      <c r="L953" s="106"/>
      <c r="M953" s="104"/>
      <c r="N953" s="104"/>
      <c r="O953" s="104"/>
      <c r="P953" s="104"/>
      <c r="Q953" s="104"/>
      <c r="R953" s="106"/>
      <c r="S953" s="104"/>
      <c r="T953" s="104"/>
      <c r="U953" s="104"/>
      <c r="V953" s="104"/>
      <c r="W953" s="105"/>
      <c r="X953" s="104"/>
      <c r="Y953" s="104"/>
      <c r="Z953" s="104"/>
      <c r="AA953" s="104"/>
      <c r="AB953" s="104"/>
      <c r="AC953" s="104"/>
      <c r="AD953" s="104"/>
      <c r="AE953" s="104"/>
      <c r="AF953" s="104"/>
      <c r="AG953" s="104"/>
      <c r="AH953" s="104"/>
      <c r="AI953" s="104"/>
      <c r="AJ953" s="104"/>
      <c r="AK953" s="104"/>
      <c r="AL953" s="104"/>
      <c r="AM953" s="104"/>
      <c r="AN953" s="104"/>
      <c r="AO953" s="104"/>
      <c r="AP953" s="104"/>
      <c r="AQ953" s="104"/>
      <c r="AR953" s="104"/>
      <c r="AS953" s="104"/>
      <c r="AT953" s="104"/>
      <c r="AU953" s="104"/>
      <c r="AV953" s="104"/>
      <c r="AW953" s="104"/>
      <c r="AX953" s="104"/>
      <c r="AY953" s="104"/>
      <c r="AZ953" s="104"/>
      <c r="BA953" s="104"/>
      <c r="BB953" s="104"/>
      <c r="BC953" s="104"/>
      <c r="BD953" s="104"/>
      <c r="BE953" s="104"/>
      <c r="BF953" s="104"/>
      <c r="BG953" s="104"/>
      <c r="BH953" s="104"/>
      <c r="BI953" s="104"/>
      <c r="BJ953" s="104"/>
      <c r="BK953" s="104"/>
      <c r="BL953" s="104"/>
      <c r="BM953" s="104"/>
      <c r="BN953" s="104"/>
    </row>
    <row r="954">
      <c r="A954" s="104"/>
      <c r="B954" s="104"/>
      <c r="C954" s="104"/>
      <c r="D954" s="104"/>
      <c r="E954" s="104"/>
      <c r="F954" s="104"/>
      <c r="G954" s="104"/>
      <c r="H954" s="104"/>
      <c r="I954" s="104"/>
      <c r="J954" s="104"/>
      <c r="K954" s="105"/>
      <c r="L954" s="106"/>
      <c r="M954" s="104"/>
      <c r="N954" s="104"/>
      <c r="O954" s="104"/>
      <c r="P954" s="104"/>
      <c r="Q954" s="104"/>
      <c r="R954" s="106"/>
      <c r="S954" s="104"/>
      <c r="T954" s="104"/>
      <c r="U954" s="104"/>
      <c r="V954" s="104"/>
      <c r="W954" s="105"/>
      <c r="X954" s="104"/>
      <c r="Y954" s="104"/>
      <c r="Z954" s="104"/>
      <c r="AA954" s="104"/>
      <c r="AB954" s="104"/>
      <c r="AC954" s="104"/>
      <c r="AD954" s="104"/>
      <c r="AE954" s="104"/>
      <c r="AF954" s="104"/>
      <c r="AG954" s="104"/>
      <c r="AH954" s="104"/>
      <c r="AI954" s="104"/>
      <c r="AJ954" s="104"/>
      <c r="AK954" s="104"/>
      <c r="AL954" s="104"/>
      <c r="AM954" s="104"/>
      <c r="AN954" s="104"/>
      <c r="AO954" s="104"/>
      <c r="AP954" s="104"/>
      <c r="AQ954" s="104"/>
      <c r="AR954" s="104"/>
      <c r="AS954" s="104"/>
      <c r="AT954" s="104"/>
      <c r="AU954" s="104"/>
      <c r="AV954" s="104"/>
      <c r="AW954" s="104"/>
      <c r="AX954" s="104"/>
      <c r="AY954" s="104"/>
      <c r="AZ954" s="104"/>
      <c r="BA954" s="104"/>
      <c r="BB954" s="104"/>
      <c r="BC954" s="104"/>
      <c r="BD954" s="104"/>
      <c r="BE954" s="104"/>
      <c r="BF954" s="104"/>
      <c r="BG954" s="104"/>
      <c r="BH954" s="104"/>
      <c r="BI954" s="104"/>
      <c r="BJ954" s="104"/>
      <c r="BK954" s="104"/>
      <c r="BL954" s="104"/>
      <c r="BM954" s="104"/>
      <c r="BN954" s="104"/>
    </row>
    <row r="955">
      <c r="A955" s="104"/>
      <c r="B955" s="104"/>
      <c r="C955" s="104"/>
      <c r="D955" s="104"/>
      <c r="E955" s="104"/>
      <c r="F955" s="104"/>
      <c r="G955" s="104"/>
      <c r="H955" s="104"/>
      <c r="I955" s="104"/>
      <c r="J955" s="104"/>
      <c r="K955" s="105"/>
      <c r="L955" s="106"/>
      <c r="M955" s="104"/>
      <c r="N955" s="104"/>
      <c r="O955" s="104"/>
      <c r="P955" s="104"/>
      <c r="Q955" s="104"/>
      <c r="R955" s="106"/>
      <c r="S955" s="104"/>
      <c r="T955" s="104"/>
      <c r="U955" s="104"/>
      <c r="V955" s="104"/>
      <c r="W955" s="105"/>
      <c r="X955" s="104"/>
      <c r="Y955" s="104"/>
      <c r="Z955" s="104"/>
      <c r="AA955" s="104"/>
      <c r="AB955" s="104"/>
      <c r="AC955" s="104"/>
      <c r="AD955" s="104"/>
      <c r="AE955" s="104"/>
      <c r="AF955" s="104"/>
      <c r="AG955" s="104"/>
      <c r="AH955" s="104"/>
      <c r="AI955" s="104"/>
      <c r="AJ955" s="104"/>
      <c r="AK955" s="104"/>
      <c r="AL955" s="104"/>
      <c r="AM955" s="104"/>
      <c r="AN955" s="104"/>
      <c r="AO955" s="104"/>
      <c r="AP955" s="104"/>
      <c r="AQ955" s="104"/>
      <c r="AR955" s="104"/>
      <c r="AS955" s="104"/>
      <c r="AT955" s="104"/>
      <c r="AU955" s="104"/>
      <c r="AV955" s="104"/>
      <c r="AW955" s="104"/>
      <c r="AX955" s="104"/>
      <c r="AY955" s="104"/>
      <c r="AZ955" s="104"/>
      <c r="BA955" s="104"/>
      <c r="BB955" s="104"/>
      <c r="BC955" s="104"/>
      <c r="BD955" s="104"/>
      <c r="BE955" s="104"/>
      <c r="BF955" s="104"/>
      <c r="BG955" s="104"/>
      <c r="BH955" s="104"/>
      <c r="BI955" s="104"/>
      <c r="BJ955" s="104"/>
      <c r="BK955" s="104"/>
      <c r="BL955" s="104"/>
      <c r="BM955" s="104"/>
      <c r="BN955" s="104"/>
    </row>
    <row r="956">
      <c r="A956" s="104"/>
      <c r="B956" s="104"/>
      <c r="C956" s="104"/>
      <c r="D956" s="104"/>
      <c r="E956" s="104"/>
      <c r="F956" s="104"/>
      <c r="G956" s="104"/>
      <c r="H956" s="104"/>
      <c r="I956" s="104"/>
      <c r="J956" s="104"/>
      <c r="K956" s="105"/>
      <c r="L956" s="106"/>
      <c r="M956" s="104"/>
      <c r="N956" s="104"/>
      <c r="O956" s="104"/>
      <c r="P956" s="104"/>
      <c r="Q956" s="104"/>
      <c r="R956" s="106"/>
      <c r="S956" s="104"/>
      <c r="T956" s="104"/>
      <c r="U956" s="104"/>
      <c r="V956" s="104"/>
      <c r="W956" s="105"/>
      <c r="X956" s="104"/>
      <c r="Y956" s="104"/>
      <c r="Z956" s="104"/>
      <c r="AA956" s="104"/>
      <c r="AB956" s="104"/>
      <c r="AC956" s="104"/>
      <c r="AD956" s="104"/>
      <c r="AE956" s="104"/>
      <c r="AF956" s="104"/>
      <c r="AG956" s="104"/>
      <c r="AH956" s="104"/>
      <c r="AI956" s="104"/>
      <c r="AJ956" s="104"/>
      <c r="AK956" s="104"/>
      <c r="AL956" s="104"/>
      <c r="AM956" s="104"/>
      <c r="AN956" s="104"/>
      <c r="AO956" s="104"/>
      <c r="AP956" s="104"/>
      <c r="AQ956" s="104"/>
      <c r="AR956" s="104"/>
      <c r="AS956" s="104"/>
      <c r="AT956" s="104"/>
      <c r="AU956" s="104"/>
      <c r="AV956" s="104"/>
      <c r="AW956" s="104"/>
      <c r="AX956" s="104"/>
      <c r="AY956" s="104"/>
      <c r="AZ956" s="104"/>
      <c r="BA956" s="104"/>
      <c r="BB956" s="104"/>
      <c r="BC956" s="104"/>
      <c r="BD956" s="104"/>
      <c r="BE956" s="104"/>
      <c r="BF956" s="104"/>
      <c r="BG956" s="104"/>
      <c r="BH956" s="104"/>
      <c r="BI956" s="104"/>
      <c r="BJ956" s="104"/>
      <c r="BK956" s="104"/>
      <c r="BL956" s="104"/>
      <c r="BM956" s="104"/>
      <c r="BN956" s="104"/>
    </row>
    <row r="957">
      <c r="A957" s="104"/>
      <c r="B957" s="104"/>
      <c r="C957" s="104"/>
      <c r="D957" s="104"/>
      <c r="E957" s="104"/>
      <c r="F957" s="104"/>
      <c r="G957" s="104"/>
      <c r="H957" s="104"/>
      <c r="I957" s="104"/>
      <c r="J957" s="104"/>
      <c r="K957" s="105"/>
      <c r="L957" s="106"/>
      <c r="M957" s="104"/>
      <c r="N957" s="104"/>
      <c r="O957" s="104"/>
      <c r="P957" s="104"/>
      <c r="Q957" s="104"/>
      <c r="R957" s="106"/>
      <c r="S957" s="104"/>
      <c r="T957" s="104"/>
      <c r="U957" s="104"/>
      <c r="V957" s="104"/>
      <c r="W957" s="105"/>
      <c r="X957" s="104"/>
      <c r="Y957" s="104"/>
      <c r="Z957" s="104"/>
      <c r="AA957" s="104"/>
      <c r="AB957" s="104"/>
      <c r="AC957" s="104"/>
      <c r="AD957" s="104"/>
      <c r="AE957" s="104"/>
      <c r="AF957" s="104"/>
      <c r="AG957" s="104"/>
      <c r="AH957" s="104"/>
      <c r="AI957" s="104"/>
      <c r="AJ957" s="104"/>
      <c r="AK957" s="104"/>
      <c r="AL957" s="104"/>
      <c r="AM957" s="104"/>
      <c r="AN957" s="104"/>
      <c r="AO957" s="104"/>
      <c r="AP957" s="104"/>
      <c r="AQ957" s="104"/>
      <c r="AR957" s="104"/>
      <c r="AS957" s="104"/>
      <c r="AT957" s="104"/>
      <c r="AU957" s="104"/>
      <c r="AV957" s="104"/>
      <c r="AW957" s="104"/>
      <c r="AX957" s="104"/>
      <c r="AY957" s="104"/>
      <c r="AZ957" s="104"/>
      <c r="BA957" s="104"/>
      <c r="BB957" s="104"/>
      <c r="BC957" s="104"/>
      <c r="BD957" s="104"/>
      <c r="BE957" s="104"/>
      <c r="BF957" s="104"/>
      <c r="BG957" s="104"/>
      <c r="BH957" s="104"/>
      <c r="BI957" s="104"/>
      <c r="BJ957" s="104"/>
      <c r="BK957" s="104"/>
      <c r="BL957" s="104"/>
      <c r="BM957" s="104"/>
      <c r="BN957" s="104"/>
    </row>
    <row r="958">
      <c r="A958" s="104"/>
      <c r="B958" s="104"/>
      <c r="C958" s="104"/>
      <c r="D958" s="104"/>
      <c r="E958" s="104"/>
      <c r="F958" s="104"/>
      <c r="G958" s="104"/>
      <c r="H958" s="104"/>
      <c r="I958" s="104"/>
      <c r="J958" s="104"/>
      <c r="K958" s="105"/>
      <c r="L958" s="106"/>
      <c r="M958" s="104"/>
      <c r="N958" s="104"/>
      <c r="O958" s="104"/>
      <c r="P958" s="104"/>
      <c r="Q958" s="104"/>
      <c r="R958" s="106"/>
      <c r="S958" s="104"/>
      <c r="T958" s="104"/>
      <c r="U958" s="104"/>
      <c r="V958" s="104"/>
      <c r="W958" s="105"/>
      <c r="X958" s="104"/>
      <c r="Y958" s="104"/>
      <c r="Z958" s="104"/>
      <c r="AA958" s="104"/>
      <c r="AB958" s="104"/>
      <c r="AC958" s="104"/>
      <c r="AD958" s="104"/>
      <c r="AE958" s="104"/>
      <c r="AF958" s="104"/>
      <c r="AG958" s="104"/>
      <c r="AH958" s="104"/>
      <c r="AI958" s="104"/>
      <c r="AJ958" s="104"/>
      <c r="AK958" s="104"/>
      <c r="AL958" s="104"/>
      <c r="AM958" s="104"/>
      <c r="AN958" s="104"/>
      <c r="AO958" s="104"/>
      <c r="AP958" s="104"/>
      <c r="AQ958" s="104"/>
      <c r="AR958" s="104"/>
      <c r="AS958" s="104"/>
      <c r="AT958" s="104"/>
      <c r="AU958" s="104"/>
      <c r="AV958" s="104"/>
      <c r="AW958" s="104"/>
      <c r="AX958" s="104"/>
      <c r="AY958" s="104"/>
      <c r="AZ958" s="104"/>
      <c r="BA958" s="104"/>
      <c r="BB958" s="104"/>
      <c r="BC958" s="104"/>
      <c r="BD958" s="104"/>
      <c r="BE958" s="104"/>
      <c r="BF958" s="104"/>
      <c r="BG958" s="104"/>
      <c r="BH958" s="104"/>
      <c r="BI958" s="104"/>
      <c r="BJ958" s="104"/>
      <c r="BK958" s="104"/>
      <c r="BL958" s="104"/>
      <c r="BM958" s="104"/>
      <c r="BN958" s="104"/>
    </row>
    <row r="959">
      <c r="A959" s="104"/>
      <c r="B959" s="104"/>
      <c r="C959" s="104"/>
      <c r="D959" s="104"/>
      <c r="E959" s="104"/>
      <c r="F959" s="104"/>
      <c r="G959" s="104"/>
      <c r="H959" s="104"/>
      <c r="I959" s="104"/>
      <c r="J959" s="104"/>
      <c r="K959" s="105"/>
      <c r="L959" s="106"/>
      <c r="M959" s="104"/>
      <c r="N959" s="104"/>
      <c r="O959" s="104"/>
      <c r="P959" s="104"/>
      <c r="Q959" s="104"/>
      <c r="R959" s="106"/>
      <c r="S959" s="104"/>
      <c r="T959" s="104"/>
      <c r="U959" s="104"/>
      <c r="V959" s="104"/>
      <c r="W959" s="105"/>
      <c r="X959" s="104"/>
      <c r="Y959" s="104"/>
      <c r="Z959" s="104"/>
      <c r="AA959" s="104"/>
      <c r="AB959" s="104"/>
      <c r="AC959" s="104"/>
      <c r="AD959" s="104"/>
      <c r="AE959" s="104"/>
      <c r="AF959" s="104"/>
      <c r="AG959" s="104"/>
      <c r="AH959" s="104"/>
      <c r="AI959" s="104"/>
      <c r="AJ959" s="104"/>
      <c r="AK959" s="104"/>
      <c r="AL959" s="104"/>
      <c r="AM959" s="104"/>
      <c r="AN959" s="104"/>
      <c r="AO959" s="104"/>
      <c r="AP959" s="104"/>
      <c r="AQ959" s="104"/>
      <c r="AR959" s="104"/>
      <c r="AS959" s="104"/>
      <c r="AT959" s="104"/>
      <c r="AU959" s="104"/>
      <c r="AV959" s="104"/>
      <c r="AW959" s="104"/>
      <c r="AX959" s="104"/>
      <c r="AY959" s="104"/>
      <c r="AZ959" s="104"/>
      <c r="BA959" s="104"/>
      <c r="BB959" s="104"/>
      <c r="BC959" s="104"/>
      <c r="BD959" s="104"/>
      <c r="BE959" s="104"/>
      <c r="BF959" s="104"/>
      <c r="BG959" s="104"/>
      <c r="BH959" s="104"/>
      <c r="BI959" s="104"/>
      <c r="BJ959" s="104"/>
      <c r="BK959" s="104"/>
      <c r="BL959" s="104"/>
      <c r="BM959" s="104"/>
      <c r="BN959" s="104"/>
    </row>
    <row r="960">
      <c r="A960" s="104"/>
      <c r="B960" s="104"/>
      <c r="C960" s="104"/>
      <c r="D960" s="104"/>
      <c r="E960" s="104"/>
      <c r="F960" s="104"/>
      <c r="G960" s="104"/>
      <c r="H960" s="104"/>
      <c r="I960" s="104"/>
      <c r="J960" s="104"/>
      <c r="K960" s="105"/>
      <c r="L960" s="106"/>
      <c r="M960" s="104"/>
      <c r="N960" s="104"/>
      <c r="O960" s="104"/>
      <c r="P960" s="104"/>
      <c r="Q960" s="104"/>
      <c r="R960" s="106"/>
      <c r="S960" s="104"/>
      <c r="T960" s="104"/>
      <c r="U960" s="104"/>
      <c r="V960" s="104"/>
      <c r="W960" s="105"/>
      <c r="X960" s="104"/>
      <c r="Y960" s="104"/>
      <c r="Z960" s="104"/>
      <c r="AA960" s="104"/>
      <c r="AB960" s="104"/>
      <c r="AC960" s="104"/>
      <c r="AD960" s="104"/>
      <c r="AE960" s="104"/>
      <c r="AF960" s="104"/>
      <c r="AG960" s="104"/>
      <c r="AH960" s="104"/>
      <c r="AI960" s="104"/>
      <c r="AJ960" s="104"/>
      <c r="AK960" s="104"/>
      <c r="AL960" s="104"/>
      <c r="AM960" s="104"/>
      <c r="AN960" s="104"/>
      <c r="AO960" s="104"/>
      <c r="AP960" s="104"/>
      <c r="AQ960" s="104"/>
      <c r="AR960" s="104"/>
      <c r="AS960" s="104"/>
      <c r="AT960" s="104"/>
      <c r="AU960" s="104"/>
      <c r="AV960" s="104"/>
      <c r="AW960" s="104"/>
      <c r="AX960" s="104"/>
      <c r="AY960" s="104"/>
      <c r="AZ960" s="104"/>
      <c r="BA960" s="104"/>
      <c r="BB960" s="104"/>
      <c r="BC960" s="104"/>
      <c r="BD960" s="104"/>
      <c r="BE960" s="104"/>
      <c r="BF960" s="104"/>
      <c r="BG960" s="104"/>
      <c r="BH960" s="104"/>
      <c r="BI960" s="104"/>
      <c r="BJ960" s="104"/>
      <c r="BK960" s="104"/>
      <c r="BL960" s="104"/>
      <c r="BM960" s="104"/>
      <c r="BN960" s="104"/>
    </row>
    <row r="961">
      <c r="A961" s="104"/>
      <c r="B961" s="104"/>
      <c r="C961" s="104"/>
      <c r="D961" s="104"/>
      <c r="E961" s="104"/>
      <c r="F961" s="104"/>
      <c r="G961" s="104"/>
      <c r="H961" s="104"/>
      <c r="I961" s="104"/>
      <c r="J961" s="104"/>
      <c r="K961" s="105"/>
      <c r="L961" s="106"/>
      <c r="M961" s="104"/>
      <c r="N961" s="104"/>
      <c r="O961" s="104"/>
      <c r="P961" s="104"/>
      <c r="Q961" s="104"/>
      <c r="R961" s="106"/>
      <c r="S961" s="104"/>
      <c r="T961" s="104"/>
      <c r="U961" s="104"/>
      <c r="V961" s="104"/>
      <c r="W961" s="105"/>
      <c r="X961" s="104"/>
      <c r="Y961" s="104"/>
      <c r="Z961" s="104"/>
      <c r="AA961" s="104"/>
      <c r="AB961" s="104"/>
      <c r="AC961" s="104"/>
      <c r="AD961" s="104"/>
      <c r="AE961" s="104"/>
      <c r="AF961" s="104"/>
      <c r="AG961" s="104"/>
      <c r="AH961" s="104"/>
      <c r="AI961" s="104"/>
      <c r="AJ961" s="104"/>
      <c r="AK961" s="104"/>
      <c r="AL961" s="104"/>
      <c r="AM961" s="104"/>
      <c r="AN961" s="104"/>
      <c r="AO961" s="104"/>
      <c r="AP961" s="104"/>
      <c r="AQ961" s="104"/>
      <c r="AR961" s="104"/>
      <c r="AS961" s="104"/>
      <c r="AT961" s="104"/>
      <c r="AU961" s="104"/>
      <c r="AV961" s="104"/>
      <c r="AW961" s="104"/>
      <c r="AX961" s="104"/>
      <c r="AY961" s="104"/>
      <c r="AZ961" s="104"/>
      <c r="BA961" s="104"/>
      <c r="BB961" s="104"/>
      <c r="BC961" s="104"/>
      <c r="BD961" s="104"/>
      <c r="BE961" s="104"/>
      <c r="BF961" s="104"/>
      <c r="BG961" s="104"/>
      <c r="BH961" s="104"/>
      <c r="BI961" s="104"/>
      <c r="BJ961" s="104"/>
      <c r="BK961" s="104"/>
      <c r="BL961" s="104"/>
      <c r="BM961" s="104"/>
      <c r="BN961" s="104"/>
    </row>
    <row r="962">
      <c r="A962" s="104"/>
      <c r="B962" s="104"/>
      <c r="C962" s="104"/>
      <c r="D962" s="104"/>
      <c r="E962" s="104"/>
      <c r="F962" s="104"/>
      <c r="G962" s="104"/>
      <c r="H962" s="104"/>
      <c r="I962" s="104"/>
      <c r="J962" s="104"/>
      <c r="K962" s="105"/>
      <c r="L962" s="106"/>
      <c r="M962" s="104"/>
      <c r="N962" s="104"/>
      <c r="O962" s="104"/>
      <c r="P962" s="104"/>
      <c r="Q962" s="104"/>
      <c r="R962" s="106"/>
      <c r="S962" s="104"/>
      <c r="T962" s="104"/>
      <c r="U962" s="104"/>
      <c r="V962" s="104"/>
      <c r="W962" s="105"/>
      <c r="X962" s="104"/>
      <c r="Y962" s="104"/>
      <c r="Z962" s="104"/>
      <c r="AA962" s="104"/>
      <c r="AB962" s="104"/>
      <c r="AC962" s="104"/>
      <c r="AD962" s="104"/>
      <c r="AE962" s="104"/>
      <c r="AF962" s="104"/>
      <c r="AG962" s="104"/>
      <c r="AH962" s="104"/>
      <c r="AI962" s="104"/>
      <c r="AJ962" s="104"/>
      <c r="AK962" s="104"/>
      <c r="AL962" s="104"/>
      <c r="AM962" s="104"/>
      <c r="AN962" s="104"/>
      <c r="AO962" s="104"/>
      <c r="AP962" s="104"/>
      <c r="AQ962" s="104"/>
      <c r="AR962" s="104"/>
      <c r="AS962" s="104"/>
      <c r="AT962" s="104"/>
      <c r="AU962" s="104"/>
      <c r="AV962" s="104"/>
      <c r="AW962" s="104"/>
      <c r="AX962" s="104"/>
      <c r="AY962" s="104"/>
      <c r="AZ962" s="104"/>
      <c r="BA962" s="104"/>
      <c r="BB962" s="104"/>
      <c r="BC962" s="104"/>
      <c r="BD962" s="104"/>
      <c r="BE962" s="104"/>
      <c r="BF962" s="104"/>
      <c r="BG962" s="104"/>
      <c r="BH962" s="104"/>
      <c r="BI962" s="104"/>
      <c r="BJ962" s="104"/>
      <c r="BK962" s="104"/>
      <c r="BL962" s="104"/>
      <c r="BM962" s="104"/>
      <c r="BN962" s="104"/>
    </row>
    <row r="963">
      <c r="A963" s="104"/>
      <c r="B963" s="104"/>
      <c r="C963" s="104"/>
      <c r="D963" s="104"/>
      <c r="E963" s="104"/>
      <c r="F963" s="104"/>
      <c r="G963" s="104"/>
      <c r="H963" s="104"/>
      <c r="I963" s="104"/>
      <c r="J963" s="104"/>
      <c r="K963" s="105"/>
      <c r="L963" s="106"/>
      <c r="M963" s="104"/>
      <c r="N963" s="104"/>
      <c r="O963" s="104"/>
      <c r="P963" s="104"/>
      <c r="Q963" s="104"/>
      <c r="R963" s="106"/>
      <c r="S963" s="104"/>
      <c r="T963" s="104"/>
      <c r="U963" s="104"/>
      <c r="V963" s="104"/>
      <c r="W963" s="105"/>
      <c r="X963" s="104"/>
      <c r="Y963" s="104"/>
      <c r="Z963" s="104"/>
      <c r="AA963" s="104"/>
      <c r="AB963" s="104"/>
      <c r="AC963" s="104"/>
      <c r="AD963" s="104"/>
      <c r="AE963" s="104"/>
      <c r="AF963" s="104"/>
      <c r="AG963" s="104"/>
      <c r="AH963" s="104"/>
      <c r="AI963" s="104"/>
      <c r="AJ963" s="104"/>
      <c r="AK963" s="104"/>
      <c r="AL963" s="104"/>
      <c r="AM963" s="104"/>
      <c r="AN963" s="104"/>
      <c r="AO963" s="104"/>
      <c r="AP963" s="104"/>
      <c r="AQ963" s="104"/>
      <c r="AR963" s="104"/>
      <c r="AS963" s="104"/>
      <c r="AT963" s="104"/>
      <c r="AU963" s="104"/>
      <c r="AV963" s="104"/>
      <c r="AW963" s="104"/>
      <c r="AX963" s="104"/>
      <c r="AY963" s="104"/>
      <c r="AZ963" s="104"/>
      <c r="BA963" s="104"/>
      <c r="BB963" s="104"/>
      <c r="BC963" s="104"/>
      <c r="BD963" s="104"/>
      <c r="BE963" s="104"/>
      <c r="BF963" s="104"/>
      <c r="BG963" s="104"/>
      <c r="BH963" s="104"/>
      <c r="BI963" s="104"/>
      <c r="BJ963" s="104"/>
      <c r="BK963" s="104"/>
      <c r="BL963" s="104"/>
      <c r="BM963" s="104"/>
      <c r="BN963" s="104"/>
    </row>
    <row r="964">
      <c r="A964" s="104"/>
      <c r="B964" s="104"/>
      <c r="C964" s="104"/>
      <c r="D964" s="104"/>
      <c r="E964" s="104"/>
      <c r="F964" s="104"/>
      <c r="G964" s="104"/>
      <c r="H964" s="104"/>
      <c r="I964" s="104"/>
      <c r="J964" s="104"/>
      <c r="K964" s="105"/>
      <c r="L964" s="106"/>
      <c r="M964" s="104"/>
      <c r="N964" s="104"/>
      <c r="O964" s="104"/>
      <c r="P964" s="104"/>
      <c r="Q964" s="104"/>
      <c r="R964" s="106"/>
      <c r="S964" s="104"/>
      <c r="T964" s="104"/>
      <c r="U964" s="104"/>
      <c r="V964" s="104"/>
      <c r="W964" s="105"/>
      <c r="X964" s="104"/>
      <c r="Y964" s="104"/>
      <c r="Z964" s="104"/>
      <c r="AA964" s="104"/>
      <c r="AB964" s="104"/>
      <c r="AC964" s="104"/>
      <c r="AD964" s="104"/>
      <c r="AE964" s="104"/>
      <c r="AF964" s="104"/>
      <c r="AG964" s="104"/>
      <c r="AH964" s="104"/>
      <c r="AI964" s="104"/>
      <c r="AJ964" s="104"/>
      <c r="AK964" s="104"/>
      <c r="AL964" s="104"/>
      <c r="AM964" s="104"/>
      <c r="AN964" s="104"/>
      <c r="AO964" s="104"/>
      <c r="AP964" s="104"/>
      <c r="AQ964" s="104"/>
      <c r="AR964" s="104"/>
      <c r="AS964" s="104"/>
      <c r="AT964" s="104"/>
      <c r="AU964" s="104"/>
      <c r="AV964" s="104"/>
      <c r="AW964" s="104"/>
      <c r="AX964" s="104"/>
      <c r="AY964" s="104"/>
      <c r="AZ964" s="104"/>
      <c r="BA964" s="104"/>
      <c r="BB964" s="104"/>
      <c r="BC964" s="104"/>
      <c r="BD964" s="104"/>
      <c r="BE964" s="104"/>
      <c r="BF964" s="104"/>
      <c r="BG964" s="104"/>
      <c r="BH964" s="104"/>
      <c r="BI964" s="104"/>
      <c r="BJ964" s="104"/>
      <c r="BK964" s="104"/>
      <c r="BL964" s="104"/>
      <c r="BM964" s="104"/>
      <c r="BN964" s="104"/>
    </row>
    <row r="965">
      <c r="A965" s="104"/>
      <c r="B965" s="104"/>
      <c r="C965" s="104"/>
      <c r="D965" s="104"/>
      <c r="E965" s="104"/>
      <c r="F965" s="104"/>
      <c r="G965" s="104"/>
      <c r="H965" s="104"/>
      <c r="I965" s="104"/>
      <c r="J965" s="104"/>
      <c r="K965" s="105"/>
      <c r="L965" s="106"/>
      <c r="M965" s="104"/>
      <c r="N965" s="104"/>
      <c r="O965" s="104"/>
      <c r="P965" s="104"/>
      <c r="Q965" s="104"/>
      <c r="R965" s="106"/>
      <c r="S965" s="104"/>
      <c r="T965" s="104"/>
      <c r="U965" s="104"/>
      <c r="V965" s="104"/>
      <c r="W965" s="105"/>
      <c r="X965" s="104"/>
      <c r="Y965" s="104"/>
      <c r="Z965" s="104"/>
      <c r="AA965" s="104"/>
      <c r="AB965" s="104"/>
      <c r="AC965" s="104"/>
      <c r="AD965" s="104"/>
      <c r="AE965" s="104"/>
      <c r="AF965" s="104"/>
      <c r="AG965" s="104"/>
      <c r="AH965" s="104"/>
      <c r="AI965" s="104"/>
      <c r="AJ965" s="104"/>
      <c r="AK965" s="104"/>
      <c r="AL965" s="104"/>
      <c r="AM965" s="104"/>
      <c r="AN965" s="104"/>
      <c r="AO965" s="104"/>
      <c r="AP965" s="104"/>
      <c r="AQ965" s="104"/>
      <c r="AR965" s="104"/>
      <c r="AS965" s="104"/>
      <c r="AT965" s="104"/>
      <c r="AU965" s="104"/>
      <c r="AV965" s="104"/>
      <c r="AW965" s="104"/>
      <c r="AX965" s="104"/>
      <c r="AY965" s="104"/>
      <c r="AZ965" s="104"/>
      <c r="BA965" s="104"/>
      <c r="BB965" s="104"/>
      <c r="BC965" s="104"/>
      <c r="BD965" s="104"/>
      <c r="BE965" s="104"/>
      <c r="BF965" s="104"/>
      <c r="BG965" s="104"/>
      <c r="BH965" s="104"/>
      <c r="BI965" s="104"/>
      <c r="BJ965" s="104"/>
      <c r="BK965" s="104"/>
      <c r="BL965" s="104"/>
      <c r="BM965" s="104"/>
      <c r="BN965" s="104"/>
    </row>
    <row r="966">
      <c r="A966" s="104"/>
      <c r="B966" s="104"/>
      <c r="C966" s="104"/>
      <c r="D966" s="104"/>
      <c r="E966" s="104"/>
      <c r="F966" s="104"/>
      <c r="G966" s="104"/>
      <c r="H966" s="104"/>
      <c r="I966" s="104"/>
      <c r="J966" s="104"/>
      <c r="K966" s="105"/>
      <c r="L966" s="106"/>
      <c r="M966" s="104"/>
      <c r="N966" s="104"/>
      <c r="O966" s="104"/>
      <c r="P966" s="104"/>
      <c r="Q966" s="104"/>
      <c r="R966" s="106"/>
      <c r="S966" s="104"/>
      <c r="T966" s="104"/>
      <c r="U966" s="104"/>
      <c r="V966" s="104"/>
      <c r="W966" s="105"/>
      <c r="X966" s="104"/>
      <c r="Y966" s="104"/>
      <c r="Z966" s="104"/>
      <c r="AA966" s="104"/>
      <c r="AB966" s="104"/>
      <c r="AC966" s="104"/>
      <c r="AD966" s="104"/>
      <c r="AE966" s="104"/>
      <c r="AF966" s="104"/>
      <c r="AG966" s="104"/>
      <c r="AH966" s="104"/>
      <c r="AI966" s="104"/>
      <c r="AJ966" s="104"/>
      <c r="AK966" s="104"/>
      <c r="AL966" s="104"/>
      <c r="AM966" s="104"/>
      <c r="AN966" s="104"/>
      <c r="AO966" s="104"/>
      <c r="AP966" s="104"/>
      <c r="AQ966" s="104"/>
      <c r="AR966" s="104"/>
      <c r="AS966" s="104"/>
      <c r="AT966" s="104"/>
      <c r="AU966" s="104"/>
      <c r="AV966" s="104"/>
      <c r="AW966" s="104"/>
      <c r="AX966" s="104"/>
      <c r="AY966" s="104"/>
      <c r="AZ966" s="104"/>
      <c r="BA966" s="104"/>
      <c r="BB966" s="104"/>
      <c r="BC966" s="104"/>
      <c r="BD966" s="104"/>
      <c r="BE966" s="104"/>
      <c r="BF966" s="104"/>
      <c r="BG966" s="104"/>
      <c r="BH966" s="104"/>
      <c r="BI966" s="104"/>
      <c r="BJ966" s="104"/>
      <c r="BK966" s="104"/>
      <c r="BL966" s="104"/>
      <c r="BM966" s="104"/>
      <c r="BN966" s="104"/>
    </row>
    <row r="967">
      <c r="A967" s="104"/>
      <c r="B967" s="104"/>
      <c r="C967" s="104"/>
      <c r="D967" s="104"/>
      <c r="E967" s="104"/>
      <c r="F967" s="104"/>
      <c r="G967" s="104"/>
      <c r="H967" s="104"/>
      <c r="I967" s="104"/>
      <c r="J967" s="104"/>
      <c r="K967" s="105"/>
      <c r="L967" s="106"/>
      <c r="M967" s="104"/>
      <c r="N967" s="104"/>
      <c r="O967" s="104"/>
      <c r="P967" s="104"/>
      <c r="Q967" s="104"/>
      <c r="R967" s="106"/>
      <c r="S967" s="104"/>
      <c r="T967" s="104"/>
      <c r="U967" s="104"/>
      <c r="V967" s="104"/>
      <c r="W967" s="105"/>
      <c r="X967" s="104"/>
      <c r="Y967" s="104"/>
      <c r="Z967" s="104"/>
      <c r="AA967" s="104"/>
      <c r="AB967" s="104"/>
      <c r="AC967" s="104"/>
      <c r="AD967" s="104"/>
      <c r="AE967" s="104"/>
      <c r="AF967" s="104"/>
      <c r="AG967" s="104"/>
      <c r="AH967" s="104"/>
      <c r="AI967" s="104"/>
      <c r="AJ967" s="104"/>
      <c r="AK967" s="104"/>
      <c r="AL967" s="104"/>
      <c r="AM967" s="104"/>
      <c r="AN967" s="104"/>
      <c r="AO967" s="104"/>
      <c r="AP967" s="104"/>
      <c r="AQ967" s="104"/>
      <c r="AR967" s="104"/>
      <c r="AS967" s="104"/>
      <c r="AT967" s="104"/>
      <c r="AU967" s="104"/>
      <c r="AV967" s="104"/>
      <c r="AW967" s="104"/>
      <c r="AX967" s="104"/>
      <c r="AY967" s="104"/>
      <c r="AZ967" s="104"/>
      <c r="BA967" s="104"/>
      <c r="BB967" s="104"/>
      <c r="BC967" s="104"/>
      <c r="BD967" s="104"/>
      <c r="BE967" s="104"/>
      <c r="BF967" s="104"/>
      <c r="BG967" s="104"/>
      <c r="BH967" s="104"/>
      <c r="BI967" s="104"/>
      <c r="BJ967" s="104"/>
      <c r="BK967" s="104"/>
      <c r="BL967" s="104"/>
      <c r="BM967" s="104"/>
      <c r="BN967" s="104"/>
    </row>
    <row r="968">
      <c r="A968" s="104"/>
      <c r="B968" s="104"/>
      <c r="C968" s="104"/>
      <c r="D968" s="104"/>
      <c r="E968" s="104"/>
      <c r="F968" s="104"/>
      <c r="G968" s="104"/>
      <c r="H968" s="104"/>
      <c r="I968" s="104"/>
      <c r="J968" s="104"/>
      <c r="K968" s="105"/>
      <c r="L968" s="106"/>
      <c r="M968" s="104"/>
      <c r="N968" s="104"/>
      <c r="O968" s="104"/>
      <c r="P968" s="104"/>
      <c r="Q968" s="104"/>
      <c r="R968" s="106"/>
      <c r="S968" s="104"/>
      <c r="T968" s="104"/>
      <c r="U968" s="104"/>
      <c r="V968" s="104"/>
      <c r="W968" s="105"/>
      <c r="X968" s="104"/>
      <c r="Y968" s="104"/>
      <c r="Z968" s="104"/>
      <c r="AA968" s="104"/>
      <c r="AB968" s="104"/>
      <c r="AC968" s="104"/>
      <c r="AD968" s="104"/>
      <c r="AE968" s="104"/>
      <c r="AF968" s="104"/>
      <c r="AG968" s="104"/>
      <c r="AH968" s="104"/>
      <c r="AI968" s="104"/>
      <c r="AJ968" s="104"/>
      <c r="AK968" s="104"/>
      <c r="AL968" s="104"/>
      <c r="AM968" s="104"/>
      <c r="AN968" s="104"/>
      <c r="AO968" s="104"/>
      <c r="AP968" s="104"/>
      <c r="AQ968" s="104"/>
      <c r="AR968" s="104"/>
      <c r="AS968" s="104"/>
      <c r="AT968" s="104"/>
      <c r="AU968" s="104"/>
      <c r="AV968" s="104"/>
      <c r="AW968" s="104"/>
      <c r="AX968" s="104"/>
      <c r="AY968" s="104"/>
      <c r="AZ968" s="104"/>
      <c r="BA968" s="104"/>
      <c r="BB968" s="104"/>
      <c r="BC968" s="104"/>
      <c r="BD968" s="104"/>
      <c r="BE968" s="104"/>
      <c r="BF968" s="104"/>
      <c r="BG968" s="104"/>
      <c r="BH968" s="104"/>
      <c r="BI968" s="104"/>
      <c r="BJ968" s="104"/>
      <c r="BK968" s="104"/>
      <c r="BL968" s="104"/>
      <c r="BM968" s="104"/>
      <c r="BN968" s="104"/>
    </row>
    <row r="969">
      <c r="A969" s="104"/>
      <c r="B969" s="104"/>
      <c r="C969" s="104"/>
      <c r="D969" s="104"/>
      <c r="E969" s="104"/>
      <c r="F969" s="104"/>
      <c r="G969" s="104"/>
      <c r="H969" s="104"/>
      <c r="I969" s="104"/>
      <c r="J969" s="104"/>
      <c r="K969" s="105"/>
      <c r="L969" s="106"/>
      <c r="M969" s="104"/>
      <c r="N969" s="104"/>
      <c r="O969" s="104"/>
      <c r="P969" s="104"/>
      <c r="Q969" s="104"/>
      <c r="R969" s="106"/>
      <c r="S969" s="104"/>
      <c r="T969" s="104"/>
      <c r="U969" s="104"/>
      <c r="V969" s="104"/>
      <c r="W969" s="105"/>
      <c r="X969" s="104"/>
      <c r="Y969" s="104"/>
      <c r="Z969" s="104"/>
      <c r="AA969" s="104"/>
      <c r="AB969" s="104"/>
      <c r="AC969" s="104"/>
      <c r="AD969" s="104"/>
      <c r="AE969" s="104"/>
      <c r="AF969" s="104"/>
      <c r="AG969" s="104"/>
      <c r="AH969" s="104"/>
      <c r="AI969" s="104"/>
      <c r="AJ969" s="104"/>
      <c r="AK969" s="104"/>
      <c r="AL969" s="104"/>
      <c r="AM969" s="104"/>
      <c r="AN969" s="104"/>
      <c r="AO969" s="104"/>
      <c r="AP969" s="104"/>
      <c r="AQ969" s="104"/>
      <c r="AR969" s="104"/>
      <c r="AS969" s="104"/>
      <c r="AT969" s="104"/>
      <c r="AU969" s="104"/>
      <c r="AV969" s="104"/>
      <c r="AW969" s="104"/>
      <c r="AX969" s="104"/>
      <c r="AY969" s="104"/>
      <c r="AZ969" s="104"/>
      <c r="BA969" s="104"/>
      <c r="BB969" s="104"/>
      <c r="BC969" s="104"/>
      <c r="BD969" s="104"/>
      <c r="BE969" s="104"/>
      <c r="BF969" s="104"/>
      <c r="BG969" s="104"/>
      <c r="BH969" s="104"/>
      <c r="BI969" s="104"/>
      <c r="BJ969" s="104"/>
      <c r="BK969" s="104"/>
      <c r="BL969" s="104"/>
      <c r="BM969" s="104"/>
      <c r="BN969" s="104"/>
    </row>
    <row r="970">
      <c r="A970" s="104"/>
      <c r="B970" s="104"/>
      <c r="C970" s="104"/>
      <c r="D970" s="104"/>
      <c r="E970" s="104"/>
      <c r="F970" s="104"/>
      <c r="G970" s="104"/>
      <c r="H970" s="104"/>
      <c r="I970" s="104"/>
      <c r="J970" s="104"/>
      <c r="K970" s="105"/>
      <c r="L970" s="106"/>
      <c r="M970" s="104"/>
      <c r="N970" s="104"/>
      <c r="O970" s="104"/>
      <c r="P970" s="104"/>
      <c r="Q970" s="104"/>
      <c r="R970" s="106"/>
      <c r="S970" s="104"/>
      <c r="T970" s="104"/>
      <c r="U970" s="104"/>
      <c r="V970" s="104"/>
      <c r="W970" s="105"/>
      <c r="X970" s="104"/>
      <c r="Y970" s="104"/>
      <c r="Z970" s="104"/>
      <c r="AA970" s="104"/>
      <c r="AB970" s="104"/>
      <c r="AC970" s="104"/>
      <c r="AD970" s="104"/>
      <c r="AE970" s="104"/>
      <c r="AF970" s="104"/>
      <c r="AG970" s="104"/>
      <c r="AH970" s="104"/>
      <c r="AI970" s="104"/>
      <c r="AJ970" s="104"/>
      <c r="AK970" s="104"/>
      <c r="AL970" s="104"/>
      <c r="AM970" s="104"/>
      <c r="AN970" s="104"/>
      <c r="AO970" s="104"/>
      <c r="AP970" s="104"/>
      <c r="AQ970" s="104"/>
      <c r="AR970" s="104"/>
      <c r="AS970" s="104"/>
      <c r="AT970" s="104"/>
      <c r="AU970" s="104"/>
      <c r="AV970" s="104"/>
      <c r="AW970" s="104"/>
      <c r="AX970" s="104"/>
      <c r="AY970" s="104"/>
      <c r="AZ970" s="104"/>
      <c r="BA970" s="104"/>
      <c r="BB970" s="104"/>
      <c r="BC970" s="104"/>
      <c r="BD970" s="104"/>
      <c r="BE970" s="104"/>
      <c r="BF970" s="104"/>
      <c r="BG970" s="104"/>
      <c r="BH970" s="104"/>
      <c r="BI970" s="104"/>
      <c r="BJ970" s="104"/>
      <c r="BK970" s="104"/>
      <c r="BL970" s="104"/>
      <c r="BM970" s="104"/>
      <c r="BN970" s="104"/>
    </row>
    <row r="971">
      <c r="A971" s="104"/>
      <c r="B971" s="104"/>
      <c r="C971" s="104"/>
      <c r="D971" s="104"/>
      <c r="E971" s="104"/>
      <c r="F971" s="104"/>
      <c r="G971" s="104"/>
      <c r="H971" s="104"/>
      <c r="I971" s="104"/>
      <c r="J971" s="104"/>
      <c r="K971" s="105"/>
      <c r="L971" s="106"/>
      <c r="M971" s="104"/>
      <c r="N971" s="104"/>
      <c r="O971" s="104"/>
      <c r="P971" s="104"/>
      <c r="Q971" s="104"/>
      <c r="R971" s="106"/>
      <c r="S971" s="104"/>
      <c r="T971" s="104"/>
      <c r="U971" s="104"/>
      <c r="V971" s="104"/>
      <c r="W971" s="105"/>
      <c r="X971" s="104"/>
      <c r="Y971" s="104"/>
      <c r="Z971" s="104"/>
      <c r="AA971" s="104"/>
      <c r="AB971" s="104"/>
      <c r="AC971" s="104"/>
      <c r="AD971" s="104"/>
      <c r="AE971" s="104"/>
      <c r="AF971" s="104"/>
      <c r="AG971" s="104"/>
      <c r="AH971" s="104"/>
      <c r="AI971" s="104"/>
      <c r="AJ971" s="104"/>
      <c r="AK971" s="104"/>
      <c r="AL971" s="104"/>
      <c r="AM971" s="104"/>
      <c r="AN971" s="104"/>
      <c r="AO971" s="104"/>
      <c r="AP971" s="104"/>
      <c r="AQ971" s="104"/>
      <c r="AR971" s="104"/>
      <c r="AS971" s="104"/>
      <c r="AT971" s="104"/>
      <c r="AU971" s="104"/>
      <c r="AV971" s="104"/>
      <c r="AW971" s="104"/>
      <c r="AX971" s="104"/>
      <c r="AY971" s="104"/>
      <c r="AZ971" s="104"/>
      <c r="BA971" s="104"/>
      <c r="BB971" s="104"/>
      <c r="BC971" s="104"/>
      <c r="BD971" s="104"/>
      <c r="BE971" s="104"/>
      <c r="BF971" s="104"/>
      <c r="BG971" s="104"/>
      <c r="BH971" s="104"/>
      <c r="BI971" s="104"/>
      <c r="BJ971" s="104"/>
      <c r="BK971" s="104"/>
      <c r="BL971" s="104"/>
      <c r="BM971" s="104"/>
      <c r="BN971" s="104"/>
    </row>
    <row r="972">
      <c r="A972" s="104"/>
      <c r="B972" s="104"/>
      <c r="C972" s="104"/>
      <c r="D972" s="104"/>
      <c r="E972" s="104"/>
      <c r="F972" s="104"/>
      <c r="G972" s="104"/>
      <c r="H972" s="104"/>
      <c r="I972" s="104"/>
      <c r="J972" s="104"/>
      <c r="K972" s="105"/>
      <c r="L972" s="106"/>
      <c r="M972" s="104"/>
      <c r="N972" s="104"/>
      <c r="O972" s="104"/>
      <c r="P972" s="104"/>
      <c r="Q972" s="104"/>
      <c r="R972" s="106"/>
      <c r="S972" s="104"/>
      <c r="T972" s="104"/>
      <c r="U972" s="104"/>
      <c r="V972" s="104"/>
      <c r="W972" s="105"/>
      <c r="X972" s="104"/>
      <c r="Y972" s="104"/>
      <c r="Z972" s="104"/>
      <c r="AA972" s="104"/>
      <c r="AB972" s="104"/>
      <c r="AC972" s="104"/>
      <c r="AD972" s="104"/>
      <c r="AE972" s="104"/>
      <c r="AF972" s="104"/>
      <c r="AG972" s="104"/>
      <c r="AH972" s="104"/>
      <c r="AI972" s="104"/>
      <c r="AJ972" s="104"/>
      <c r="AK972" s="104"/>
      <c r="AL972" s="104"/>
      <c r="AM972" s="104"/>
      <c r="AN972" s="104"/>
      <c r="AO972" s="104"/>
      <c r="AP972" s="104"/>
      <c r="AQ972" s="104"/>
      <c r="AR972" s="104"/>
      <c r="AS972" s="104"/>
      <c r="AT972" s="104"/>
      <c r="AU972" s="104"/>
      <c r="AV972" s="104"/>
      <c r="AW972" s="104"/>
      <c r="AX972" s="104"/>
      <c r="AY972" s="104"/>
      <c r="AZ972" s="104"/>
      <c r="BA972" s="104"/>
      <c r="BB972" s="104"/>
      <c r="BC972" s="104"/>
      <c r="BD972" s="104"/>
      <c r="BE972" s="104"/>
      <c r="BF972" s="104"/>
      <c r="BG972" s="104"/>
      <c r="BH972" s="104"/>
      <c r="BI972" s="104"/>
      <c r="BJ972" s="104"/>
      <c r="BK972" s="104"/>
      <c r="BL972" s="104"/>
      <c r="BM972" s="104"/>
      <c r="BN972" s="104"/>
    </row>
    <row r="973">
      <c r="A973" s="104"/>
      <c r="B973" s="104"/>
      <c r="C973" s="104"/>
      <c r="D973" s="104"/>
      <c r="E973" s="104"/>
      <c r="F973" s="104"/>
      <c r="G973" s="104"/>
      <c r="H973" s="104"/>
      <c r="I973" s="104"/>
      <c r="J973" s="104"/>
      <c r="K973" s="105"/>
      <c r="L973" s="106"/>
      <c r="M973" s="104"/>
      <c r="N973" s="104"/>
      <c r="O973" s="104"/>
      <c r="P973" s="104"/>
      <c r="Q973" s="104"/>
      <c r="R973" s="106"/>
      <c r="S973" s="104"/>
      <c r="T973" s="104"/>
      <c r="U973" s="104"/>
      <c r="V973" s="104"/>
      <c r="W973" s="105"/>
      <c r="X973" s="104"/>
      <c r="Y973" s="104"/>
      <c r="Z973" s="104"/>
      <c r="AA973" s="104"/>
      <c r="AB973" s="104"/>
      <c r="AC973" s="104"/>
      <c r="AD973" s="104"/>
      <c r="AE973" s="104"/>
      <c r="AF973" s="104"/>
      <c r="AG973" s="104"/>
      <c r="AH973" s="104"/>
      <c r="AI973" s="104"/>
      <c r="AJ973" s="104"/>
      <c r="AK973" s="104"/>
      <c r="AL973" s="104"/>
      <c r="AM973" s="104"/>
      <c r="AN973" s="104"/>
      <c r="AO973" s="104"/>
      <c r="AP973" s="104"/>
      <c r="AQ973" s="104"/>
      <c r="AR973" s="104"/>
      <c r="AS973" s="104"/>
      <c r="AT973" s="104"/>
      <c r="AU973" s="104"/>
      <c r="AV973" s="104"/>
      <c r="AW973" s="104"/>
      <c r="AX973" s="104"/>
      <c r="AY973" s="104"/>
      <c r="AZ973" s="104"/>
      <c r="BA973" s="104"/>
      <c r="BB973" s="104"/>
      <c r="BC973" s="104"/>
      <c r="BD973" s="104"/>
      <c r="BE973" s="104"/>
      <c r="BF973" s="104"/>
      <c r="BG973" s="104"/>
      <c r="BH973" s="104"/>
      <c r="BI973" s="104"/>
      <c r="BJ973" s="104"/>
      <c r="BK973" s="104"/>
      <c r="BL973" s="104"/>
      <c r="BM973" s="104"/>
      <c r="BN973" s="104"/>
    </row>
    <row r="974">
      <c r="A974" s="104"/>
      <c r="B974" s="104"/>
      <c r="C974" s="104"/>
      <c r="D974" s="104"/>
      <c r="E974" s="104"/>
      <c r="F974" s="104"/>
      <c r="G974" s="104"/>
      <c r="H974" s="104"/>
      <c r="I974" s="104"/>
      <c r="J974" s="104"/>
      <c r="K974" s="105"/>
      <c r="L974" s="106"/>
      <c r="M974" s="104"/>
      <c r="N974" s="104"/>
      <c r="O974" s="104"/>
      <c r="P974" s="104"/>
      <c r="Q974" s="104"/>
      <c r="R974" s="106"/>
      <c r="S974" s="104"/>
      <c r="T974" s="104"/>
      <c r="U974" s="104"/>
      <c r="V974" s="104"/>
      <c r="W974" s="105"/>
      <c r="X974" s="104"/>
      <c r="Y974" s="104"/>
      <c r="Z974" s="104"/>
      <c r="AA974" s="104"/>
      <c r="AB974" s="104"/>
      <c r="AC974" s="104"/>
      <c r="AD974" s="104"/>
      <c r="AE974" s="104"/>
      <c r="AF974" s="104"/>
      <c r="AG974" s="104"/>
      <c r="AH974" s="104"/>
      <c r="AI974" s="104"/>
      <c r="AJ974" s="104"/>
      <c r="AK974" s="104"/>
      <c r="AL974" s="104"/>
      <c r="AM974" s="104"/>
      <c r="AN974" s="104"/>
      <c r="AO974" s="104"/>
      <c r="AP974" s="104"/>
      <c r="AQ974" s="104"/>
      <c r="AR974" s="104"/>
      <c r="AS974" s="104"/>
      <c r="AT974" s="104"/>
      <c r="AU974" s="104"/>
      <c r="AV974" s="104"/>
      <c r="AW974" s="104"/>
      <c r="AX974" s="104"/>
      <c r="AY974" s="104"/>
      <c r="AZ974" s="104"/>
      <c r="BA974" s="104"/>
      <c r="BB974" s="104"/>
      <c r="BC974" s="104"/>
      <c r="BD974" s="104"/>
      <c r="BE974" s="104"/>
      <c r="BF974" s="104"/>
      <c r="BG974" s="104"/>
      <c r="BH974" s="104"/>
      <c r="BI974" s="104"/>
      <c r="BJ974" s="104"/>
      <c r="BK974" s="104"/>
      <c r="BL974" s="104"/>
      <c r="BM974" s="104"/>
      <c r="BN974" s="104"/>
    </row>
    <row r="975">
      <c r="A975" s="104"/>
      <c r="B975" s="104"/>
      <c r="C975" s="104"/>
      <c r="D975" s="104"/>
      <c r="E975" s="104"/>
      <c r="F975" s="104"/>
      <c r="G975" s="104"/>
      <c r="H975" s="104"/>
      <c r="I975" s="104"/>
      <c r="J975" s="104"/>
      <c r="K975" s="105"/>
      <c r="L975" s="106"/>
      <c r="M975" s="104"/>
      <c r="N975" s="104"/>
      <c r="O975" s="104"/>
      <c r="P975" s="104"/>
      <c r="Q975" s="104"/>
      <c r="R975" s="106"/>
      <c r="S975" s="104"/>
      <c r="T975" s="104"/>
      <c r="U975" s="104"/>
      <c r="V975" s="104"/>
      <c r="W975" s="105"/>
      <c r="X975" s="104"/>
      <c r="Y975" s="104"/>
      <c r="Z975" s="104"/>
      <c r="AA975" s="104"/>
      <c r="AB975" s="104"/>
      <c r="AC975" s="104"/>
      <c r="AD975" s="104"/>
      <c r="AE975" s="104"/>
      <c r="AF975" s="104"/>
      <c r="AG975" s="104"/>
      <c r="AH975" s="104"/>
      <c r="AI975" s="104"/>
      <c r="AJ975" s="104"/>
      <c r="AK975" s="104"/>
      <c r="AL975" s="104"/>
      <c r="AM975" s="104"/>
      <c r="AN975" s="104"/>
      <c r="AO975" s="104"/>
      <c r="AP975" s="104"/>
      <c r="AQ975" s="104"/>
      <c r="AR975" s="104"/>
      <c r="AS975" s="104"/>
      <c r="AT975" s="104"/>
      <c r="AU975" s="104"/>
      <c r="AV975" s="104"/>
      <c r="AW975" s="104"/>
      <c r="AX975" s="104"/>
      <c r="AY975" s="104"/>
      <c r="AZ975" s="104"/>
      <c r="BA975" s="104"/>
      <c r="BB975" s="104"/>
      <c r="BC975" s="104"/>
      <c r="BD975" s="104"/>
      <c r="BE975" s="104"/>
      <c r="BF975" s="104"/>
      <c r="BG975" s="104"/>
      <c r="BH975" s="104"/>
      <c r="BI975" s="104"/>
      <c r="BJ975" s="104"/>
      <c r="BK975" s="104"/>
      <c r="BL975" s="104"/>
      <c r="BM975" s="104"/>
      <c r="BN975" s="104"/>
    </row>
    <row r="976">
      <c r="A976" s="104"/>
      <c r="B976" s="104"/>
      <c r="C976" s="104"/>
      <c r="D976" s="104"/>
      <c r="E976" s="104"/>
      <c r="F976" s="104"/>
      <c r="G976" s="104"/>
      <c r="H976" s="104"/>
      <c r="I976" s="104"/>
      <c r="J976" s="104"/>
      <c r="K976" s="105"/>
      <c r="L976" s="106"/>
      <c r="M976" s="104"/>
      <c r="N976" s="104"/>
      <c r="O976" s="104"/>
      <c r="P976" s="104"/>
      <c r="Q976" s="104"/>
      <c r="R976" s="106"/>
      <c r="S976" s="104"/>
      <c r="T976" s="104"/>
      <c r="U976" s="104"/>
      <c r="V976" s="104"/>
      <c r="W976" s="105"/>
      <c r="X976" s="104"/>
      <c r="Y976" s="104"/>
      <c r="Z976" s="104"/>
      <c r="AA976" s="104"/>
      <c r="AB976" s="104"/>
      <c r="AC976" s="104"/>
      <c r="AD976" s="104"/>
      <c r="AE976" s="104"/>
      <c r="AF976" s="104"/>
      <c r="AG976" s="104"/>
      <c r="AH976" s="104"/>
      <c r="AI976" s="104"/>
      <c r="AJ976" s="104"/>
      <c r="AK976" s="104"/>
      <c r="AL976" s="104"/>
      <c r="AM976" s="104"/>
      <c r="AN976" s="104"/>
      <c r="AO976" s="104"/>
      <c r="AP976" s="104"/>
      <c r="AQ976" s="104"/>
      <c r="AR976" s="104"/>
      <c r="AS976" s="104"/>
      <c r="AT976" s="104"/>
      <c r="AU976" s="104"/>
      <c r="AV976" s="104"/>
      <c r="AW976" s="104"/>
      <c r="AX976" s="104"/>
      <c r="AY976" s="104"/>
      <c r="AZ976" s="104"/>
      <c r="BA976" s="104"/>
      <c r="BB976" s="104"/>
      <c r="BC976" s="104"/>
      <c r="BD976" s="104"/>
      <c r="BE976" s="104"/>
      <c r="BF976" s="104"/>
      <c r="BG976" s="104"/>
      <c r="BH976" s="104"/>
      <c r="BI976" s="104"/>
      <c r="BJ976" s="104"/>
      <c r="BK976" s="104"/>
      <c r="BL976" s="104"/>
      <c r="BM976" s="104"/>
      <c r="BN976" s="104"/>
    </row>
    <row r="977">
      <c r="A977" s="104"/>
      <c r="B977" s="104"/>
      <c r="C977" s="104"/>
      <c r="D977" s="104"/>
      <c r="E977" s="104"/>
      <c r="F977" s="104"/>
      <c r="G977" s="104"/>
      <c r="H977" s="104"/>
      <c r="I977" s="104"/>
      <c r="J977" s="104"/>
      <c r="K977" s="105"/>
      <c r="L977" s="106"/>
      <c r="M977" s="104"/>
      <c r="N977" s="104"/>
      <c r="O977" s="104"/>
      <c r="P977" s="104"/>
      <c r="Q977" s="104"/>
      <c r="R977" s="106"/>
      <c r="S977" s="104"/>
      <c r="T977" s="104"/>
      <c r="U977" s="104"/>
      <c r="V977" s="104"/>
      <c r="W977" s="105"/>
      <c r="X977" s="104"/>
      <c r="Y977" s="104"/>
      <c r="Z977" s="104"/>
      <c r="AA977" s="104"/>
      <c r="AB977" s="104"/>
      <c r="AC977" s="104"/>
      <c r="AD977" s="104"/>
      <c r="AE977" s="104"/>
      <c r="AF977" s="104"/>
      <c r="AG977" s="104"/>
      <c r="AH977" s="104"/>
      <c r="AI977" s="104"/>
      <c r="AJ977" s="104"/>
      <c r="AK977" s="104"/>
      <c r="AL977" s="104"/>
      <c r="AM977" s="104"/>
      <c r="AN977" s="104"/>
      <c r="AO977" s="104"/>
      <c r="AP977" s="104"/>
      <c r="AQ977" s="104"/>
      <c r="AR977" s="104"/>
      <c r="AS977" s="104"/>
      <c r="AT977" s="104"/>
      <c r="AU977" s="104"/>
      <c r="AV977" s="104"/>
      <c r="AW977" s="104"/>
      <c r="AX977" s="104"/>
      <c r="AY977" s="104"/>
      <c r="AZ977" s="104"/>
      <c r="BA977" s="104"/>
      <c r="BB977" s="104"/>
      <c r="BC977" s="104"/>
      <c r="BD977" s="104"/>
      <c r="BE977" s="104"/>
      <c r="BF977" s="104"/>
      <c r="BG977" s="104"/>
      <c r="BH977" s="104"/>
      <c r="BI977" s="104"/>
      <c r="BJ977" s="104"/>
      <c r="BK977" s="104"/>
      <c r="BL977" s="104"/>
      <c r="BM977" s="104"/>
      <c r="BN977" s="104"/>
    </row>
    <row r="978">
      <c r="A978" s="104"/>
      <c r="B978" s="104"/>
      <c r="C978" s="104"/>
      <c r="D978" s="104"/>
      <c r="E978" s="104"/>
      <c r="F978" s="104"/>
      <c r="G978" s="104"/>
      <c r="H978" s="104"/>
      <c r="I978" s="104"/>
      <c r="J978" s="104"/>
      <c r="K978" s="105"/>
      <c r="L978" s="106"/>
      <c r="M978" s="104"/>
      <c r="N978" s="104"/>
      <c r="O978" s="104"/>
      <c r="P978" s="104"/>
      <c r="Q978" s="104"/>
      <c r="R978" s="106"/>
      <c r="S978" s="104"/>
      <c r="T978" s="104"/>
      <c r="U978" s="104"/>
      <c r="V978" s="104"/>
      <c r="W978" s="105"/>
      <c r="X978" s="104"/>
      <c r="Y978" s="104"/>
      <c r="Z978" s="104"/>
      <c r="AA978" s="104"/>
      <c r="AB978" s="104"/>
      <c r="AC978" s="104"/>
      <c r="AD978" s="104"/>
      <c r="AE978" s="104"/>
      <c r="AF978" s="104"/>
      <c r="AG978" s="104"/>
      <c r="AH978" s="104"/>
      <c r="AI978" s="104"/>
      <c r="AJ978" s="104"/>
      <c r="AK978" s="104"/>
      <c r="AL978" s="104"/>
      <c r="AM978" s="104"/>
      <c r="AN978" s="104"/>
      <c r="AO978" s="104"/>
      <c r="AP978" s="104"/>
      <c r="AQ978" s="104"/>
      <c r="AR978" s="104"/>
      <c r="AS978" s="104"/>
      <c r="AT978" s="104"/>
      <c r="AU978" s="104"/>
      <c r="AV978" s="104"/>
      <c r="AW978" s="104"/>
      <c r="AX978" s="104"/>
      <c r="AY978" s="104"/>
      <c r="AZ978" s="104"/>
      <c r="BA978" s="104"/>
      <c r="BB978" s="104"/>
      <c r="BC978" s="104"/>
      <c r="BD978" s="104"/>
      <c r="BE978" s="104"/>
      <c r="BF978" s="104"/>
      <c r="BG978" s="104"/>
      <c r="BH978" s="104"/>
      <c r="BI978" s="104"/>
      <c r="BJ978" s="104"/>
      <c r="BK978" s="104"/>
      <c r="BL978" s="104"/>
      <c r="BM978" s="104"/>
      <c r="BN978" s="104"/>
    </row>
    <row r="979">
      <c r="A979" s="104"/>
      <c r="B979" s="104"/>
      <c r="C979" s="104"/>
      <c r="D979" s="104"/>
      <c r="E979" s="104"/>
      <c r="F979" s="104"/>
      <c r="G979" s="104"/>
      <c r="H979" s="104"/>
      <c r="I979" s="104"/>
      <c r="J979" s="104"/>
      <c r="K979" s="105"/>
      <c r="L979" s="106"/>
      <c r="M979" s="104"/>
      <c r="N979" s="104"/>
      <c r="O979" s="104"/>
      <c r="P979" s="104"/>
      <c r="Q979" s="104"/>
      <c r="R979" s="106"/>
      <c r="S979" s="104"/>
      <c r="T979" s="104"/>
      <c r="U979" s="104"/>
      <c r="V979" s="104"/>
      <c r="W979" s="105"/>
      <c r="X979" s="104"/>
      <c r="Y979" s="104"/>
      <c r="Z979" s="104"/>
      <c r="AA979" s="104"/>
      <c r="AB979" s="104"/>
      <c r="AC979" s="104"/>
      <c r="AD979" s="104"/>
      <c r="AE979" s="104"/>
      <c r="AF979" s="104"/>
      <c r="AG979" s="104"/>
      <c r="AH979" s="104"/>
      <c r="AI979" s="104"/>
      <c r="AJ979" s="104"/>
      <c r="AK979" s="104"/>
      <c r="AL979" s="104"/>
      <c r="AM979" s="104"/>
      <c r="AN979" s="104"/>
      <c r="AO979" s="104"/>
      <c r="AP979" s="104"/>
      <c r="AQ979" s="104"/>
      <c r="AR979" s="104"/>
      <c r="AS979" s="104"/>
      <c r="AT979" s="104"/>
      <c r="AU979" s="104"/>
      <c r="AV979" s="104"/>
      <c r="AW979" s="104"/>
      <c r="AX979" s="104"/>
      <c r="AY979" s="104"/>
      <c r="AZ979" s="104"/>
      <c r="BA979" s="104"/>
      <c r="BB979" s="104"/>
      <c r="BC979" s="104"/>
      <c r="BD979" s="104"/>
      <c r="BE979" s="104"/>
      <c r="BF979" s="104"/>
      <c r="BG979" s="104"/>
      <c r="BH979" s="104"/>
      <c r="BI979" s="104"/>
      <c r="BJ979" s="104"/>
      <c r="BK979" s="104"/>
      <c r="BL979" s="104"/>
      <c r="BM979" s="104"/>
      <c r="BN979" s="104"/>
    </row>
    <row r="980">
      <c r="A980" s="104"/>
      <c r="B980" s="104"/>
      <c r="C980" s="104"/>
      <c r="D980" s="104"/>
      <c r="E980" s="104"/>
      <c r="F980" s="104"/>
      <c r="G980" s="104"/>
      <c r="H980" s="104"/>
      <c r="I980" s="104"/>
      <c r="J980" s="104"/>
      <c r="K980" s="105"/>
      <c r="L980" s="106"/>
      <c r="M980" s="104"/>
      <c r="N980" s="104"/>
      <c r="O980" s="104"/>
      <c r="P980" s="104"/>
      <c r="Q980" s="104"/>
      <c r="R980" s="106"/>
      <c r="S980" s="104"/>
      <c r="T980" s="104"/>
      <c r="U980" s="104"/>
      <c r="V980" s="104"/>
      <c r="W980" s="105"/>
      <c r="X980" s="104"/>
      <c r="Y980" s="104"/>
      <c r="Z980" s="104"/>
      <c r="AA980" s="104"/>
      <c r="AB980" s="104"/>
      <c r="AC980" s="104"/>
      <c r="AD980" s="104"/>
      <c r="AE980" s="104"/>
      <c r="AF980" s="104"/>
      <c r="AG980" s="104"/>
      <c r="AH980" s="104"/>
      <c r="AI980" s="104"/>
      <c r="AJ980" s="104"/>
      <c r="AK980" s="104"/>
      <c r="AL980" s="104"/>
      <c r="AM980" s="104"/>
      <c r="AN980" s="104"/>
      <c r="AO980" s="104"/>
      <c r="AP980" s="104"/>
      <c r="AQ980" s="104"/>
      <c r="AR980" s="104"/>
      <c r="AS980" s="104"/>
      <c r="AT980" s="104"/>
      <c r="AU980" s="104"/>
      <c r="AV980" s="104"/>
      <c r="AW980" s="104"/>
      <c r="AX980" s="104"/>
      <c r="AY980" s="104"/>
      <c r="AZ980" s="104"/>
      <c r="BA980" s="104"/>
      <c r="BB980" s="104"/>
      <c r="BC980" s="104"/>
      <c r="BD980" s="104"/>
      <c r="BE980" s="104"/>
      <c r="BF980" s="104"/>
      <c r="BG980" s="104"/>
      <c r="BH980" s="104"/>
      <c r="BI980" s="104"/>
      <c r="BJ980" s="104"/>
      <c r="BK980" s="104"/>
      <c r="BL980" s="104"/>
      <c r="BM980" s="104"/>
      <c r="BN980" s="104"/>
    </row>
    <row r="981">
      <c r="A981" s="104"/>
      <c r="B981" s="104"/>
      <c r="C981" s="104"/>
      <c r="D981" s="104"/>
      <c r="E981" s="104"/>
      <c r="F981" s="104"/>
      <c r="G981" s="104"/>
      <c r="H981" s="104"/>
      <c r="I981" s="104"/>
      <c r="J981" s="104"/>
      <c r="K981" s="105"/>
      <c r="L981" s="106"/>
      <c r="M981" s="104"/>
      <c r="N981" s="104"/>
      <c r="O981" s="104"/>
      <c r="P981" s="104"/>
      <c r="Q981" s="104"/>
      <c r="R981" s="106"/>
      <c r="S981" s="104"/>
      <c r="T981" s="104"/>
      <c r="U981" s="104"/>
      <c r="V981" s="104"/>
      <c r="W981" s="105"/>
      <c r="X981" s="104"/>
      <c r="Y981" s="104"/>
      <c r="Z981" s="104"/>
      <c r="AA981" s="104"/>
      <c r="AB981" s="104"/>
      <c r="AC981" s="104"/>
      <c r="AD981" s="104"/>
      <c r="AE981" s="104"/>
      <c r="AF981" s="104"/>
      <c r="AG981" s="104"/>
      <c r="AH981" s="104"/>
      <c r="AI981" s="104"/>
      <c r="AJ981" s="104"/>
      <c r="AK981" s="104"/>
      <c r="AL981" s="104"/>
      <c r="AM981" s="104"/>
      <c r="AN981" s="104"/>
      <c r="AO981" s="104"/>
      <c r="AP981" s="104"/>
      <c r="AQ981" s="104"/>
      <c r="AR981" s="104"/>
      <c r="AS981" s="104"/>
      <c r="AT981" s="104"/>
      <c r="AU981" s="104"/>
      <c r="AV981" s="104"/>
      <c r="AW981" s="104"/>
      <c r="AX981" s="104"/>
      <c r="AY981" s="104"/>
      <c r="AZ981" s="104"/>
      <c r="BA981" s="104"/>
      <c r="BB981" s="104"/>
      <c r="BC981" s="104"/>
      <c r="BD981" s="104"/>
      <c r="BE981" s="104"/>
      <c r="BF981" s="104"/>
      <c r="BG981" s="104"/>
      <c r="BH981" s="104"/>
      <c r="BI981" s="104"/>
      <c r="BJ981" s="104"/>
      <c r="BK981" s="104"/>
      <c r="BL981" s="104"/>
      <c r="BM981" s="104"/>
      <c r="BN981" s="104"/>
    </row>
    <row r="982">
      <c r="A982" s="104"/>
      <c r="B982" s="104"/>
      <c r="C982" s="104"/>
      <c r="D982" s="104"/>
      <c r="E982" s="104"/>
      <c r="F982" s="104"/>
      <c r="G982" s="104"/>
      <c r="H982" s="104"/>
      <c r="I982" s="104"/>
      <c r="J982" s="104"/>
      <c r="K982" s="105"/>
      <c r="L982" s="106"/>
      <c r="M982" s="104"/>
      <c r="N982" s="104"/>
      <c r="O982" s="104"/>
      <c r="P982" s="104"/>
      <c r="Q982" s="104"/>
      <c r="R982" s="106"/>
      <c r="S982" s="104"/>
      <c r="T982" s="104"/>
      <c r="U982" s="104"/>
      <c r="V982" s="104"/>
      <c r="W982" s="105"/>
      <c r="X982" s="104"/>
      <c r="Y982" s="104"/>
      <c r="Z982" s="104"/>
      <c r="AA982" s="104"/>
      <c r="AB982" s="104"/>
      <c r="AC982" s="104"/>
      <c r="AD982" s="104"/>
      <c r="AE982" s="104"/>
      <c r="AF982" s="104"/>
      <c r="AG982" s="104"/>
      <c r="AH982" s="104"/>
      <c r="AI982" s="104"/>
      <c r="AJ982" s="104"/>
      <c r="AK982" s="104"/>
      <c r="AL982" s="104"/>
      <c r="AM982" s="104"/>
      <c r="AN982" s="104"/>
      <c r="AO982" s="104"/>
      <c r="AP982" s="104"/>
      <c r="AQ982" s="104"/>
      <c r="AR982" s="104"/>
      <c r="AS982" s="104"/>
      <c r="AT982" s="104"/>
      <c r="AU982" s="104"/>
      <c r="AV982" s="104"/>
      <c r="AW982" s="104"/>
      <c r="AX982" s="104"/>
      <c r="AY982" s="104"/>
      <c r="AZ982" s="104"/>
      <c r="BA982" s="104"/>
      <c r="BB982" s="104"/>
      <c r="BC982" s="104"/>
      <c r="BD982" s="104"/>
      <c r="BE982" s="104"/>
      <c r="BF982" s="104"/>
      <c r="BG982" s="104"/>
      <c r="BH982" s="104"/>
      <c r="BI982" s="104"/>
      <c r="BJ982" s="104"/>
      <c r="BK982" s="104"/>
      <c r="BL982" s="104"/>
      <c r="BM982" s="104"/>
      <c r="BN982" s="104"/>
    </row>
    <row r="983">
      <c r="A983" s="104"/>
      <c r="B983" s="104"/>
      <c r="C983" s="104"/>
      <c r="D983" s="104"/>
      <c r="E983" s="104"/>
      <c r="F983" s="104"/>
      <c r="G983" s="104"/>
      <c r="H983" s="104"/>
      <c r="I983" s="104"/>
      <c r="J983" s="104"/>
      <c r="K983" s="105"/>
      <c r="L983" s="106"/>
      <c r="M983" s="104"/>
      <c r="N983" s="104"/>
      <c r="O983" s="104"/>
      <c r="P983" s="104"/>
      <c r="Q983" s="104"/>
      <c r="R983" s="106"/>
      <c r="S983" s="104"/>
      <c r="T983" s="104"/>
      <c r="U983" s="104"/>
      <c r="V983" s="104"/>
      <c r="W983" s="105"/>
      <c r="X983" s="104"/>
      <c r="Y983" s="104"/>
      <c r="Z983" s="104"/>
      <c r="AA983" s="104"/>
      <c r="AB983" s="104"/>
      <c r="AC983" s="104"/>
      <c r="AD983" s="104"/>
      <c r="AE983" s="104"/>
      <c r="AF983" s="104"/>
      <c r="AG983" s="104"/>
      <c r="AH983" s="104"/>
      <c r="AI983" s="104"/>
      <c r="AJ983" s="104"/>
      <c r="AK983" s="104"/>
      <c r="AL983" s="104"/>
      <c r="AM983" s="104"/>
      <c r="AN983" s="104"/>
      <c r="AO983" s="104"/>
      <c r="AP983" s="104"/>
      <c r="AQ983" s="104"/>
      <c r="AR983" s="104"/>
      <c r="AS983" s="104"/>
      <c r="AT983" s="104"/>
      <c r="AU983" s="104"/>
      <c r="AV983" s="104"/>
      <c r="AW983" s="104"/>
      <c r="AX983" s="104"/>
      <c r="AY983" s="104"/>
      <c r="AZ983" s="104"/>
      <c r="BA983" s="104"/>
      <c r="BB983" s="104"/>
      <c r="BC983" s="104"/>
      <c r="BD983" s="104"/>
      <c r="BE983" s="104"/>
      <c r="BF983" s="104"/>
      <c r="BG983" s="104"/>
      <c r="BH983" s="104"/>
      <c r="BI983" s="104"/>
      <c r="BJ983" s="104"/>
      <c r="BK983" s="104"/>
      <c r="BL983" s="104"/>
      <c r="BM983" s="104"/>
      <c r="BN983" s="104"/>
    </row>
    <row r="984">
      <c r="A984" s="104"/>
      <c r="B984" s="104"/>
      <c r="C984" s="104"/>
      <c r="D984" s="104"/>
      <c r="E984" s="104"/>
      <c r="F984" s="104"/>
      <c r="G984" s="104"/>
      <c r="H984" s="104"/>
      <c r="I984" s="104"/>
      <c r="J984" s="104"/>
      <c r="K984" s="105"/>
      <c r="L984" s="106"/>
      <c r="M984" s="104"/>
      <c r="N984" s="104"/>
      <c r="O984" s="104"/>
      <c r="P984" s="104"/>
      <c r="Q984" s="104"/>
      <c r="R984" s="106"/>
      <c r="S984" s="104"/>
      <c r="T984" s="104"/>
      <c r="U984" s="104"/>
      <c r="V984" s="104"/>
      <c r="W984" s="105"/>
      <c r="X984" s="104"/>
      <c r="Y984" s="104"/>
      <c r="Z984" s="104"/>
      <c r="AA984" s="104"/>
      <c r="AB984" s="104"/>
      <c r="AC984" s="104"/>
      <c r="AD984" s="104"/>
      <c r="AE984" s="104"/>
      <c r="AF984" s="104"/>
      <c r="AG984" s="104"/>
      <c r="AH984" s="104"/>
      <c r="AI984" s="104"/>
      <c r="AJ984" s="104"/>
      <c r="AK984" s="104"/>
      <c r="AL984" s="104"/>
      <c r="AM984" s="104"/>
      <c r="AN984" s="104"/>
      <c r="AO984" s="104"/>
      <c r="AP984" s="104"/>
      <c r="AQ984" s="104"/>
      <c r="AR984" s="104"/>
      <c r="AS984" s="104"/>
      <c r="AT984" s="104"/>
      <c r="AU984" s="104"/>
      <c r="AV984" s="104"/>
      <c r="AW984" s="104"/>
      <c r="AX984" s="104"/>
      <c r="AY984" s="104"/>
      <c r="AZ984" s="104"/>
      <c r="BA984" s="104"/>
      <c r="BB984" s="104"/>
      <c r="BC984" s="104"/>
      <c r="BD984" s="104"/>
      <c r="BE984" s="104"/>
      <c r="BF984" s="104"/>
      <c r="BG984" s="104"/>
      <c r="BH984" s="104"/>
      <c r="BI984" s="104"/>
      <c r="BJ984" s="104"/>
      <c r="BK984" s="104"/>
      <c r="BL984" s="104"/>
      <c r="BM984" s="104"/>
      <c r="BN984" s="104"/>
    </row>
    <row r="985">
      <c r="A985" s="104"/>
      <c r="B985" s="104"/>
      <c r="C985" s="104"/>
      <c r="D985" s="104"/>
      <c r="E985" s="104"/>
      <c r="F985" s="104"/>
      <c r="G985" s="104"/>
      <c r="H985" s="104"/>
      <c r="I985" s="104"/>
      <c r="J985" s="104"/>
      <c r="K985" s="105"/>
      <c r="L985" s="106"/>
      <c r="M985" s="104"/>
      <c r="N985" s="104"/>
      <c r="O985" s="104"/>
      <c r="P985" s="104"/>
      <c r="Q985" s="104"/>
      <c r="R985" s="106"/>
      <c r="S985" s="104"/>
      <c r="T985" s="104"/>
      <c r="U985" s="104"/>
      <c r="V985" s="104"/>
      <c r="W985" s="105"/>
      <c r="X985" s="104"/>
      <c r="Y985" s="104"/>
      <c r="Z985" s="104"/>
      <c r="AA985" s="104"/>
      <c r="AB985" s="104"/>
      <c r="AC985" s="104"/>
      <c r="AD985" s="104"/>
      <c r="AE985" s="104"/>
      <c r="AF985" s="104"/>
      <c r="AG985" s="104"/>
      <c r="AH985" s="104"/>
      <c r="AI985" s="104"/>
      <c r="AJ985" s="104"/>
      <c r="AK985" s="104"/>
      <c r="AL985" s="104"/>
      <c r="AM985" s="104"/>
      <c r="AN985" s="104"/>
      <c r="AO985" s="104"/>
      <c r="AP985" s="104"/>
      <c r="AQ985" s="104"/>
      <c r="AR985" s="104"/>
      <c r="AS985" s="104"/>
      <c r="AT985" s="104"/>
      <c r="AU985" s="104"/>
      <c r="AV985" s="104"/>
      <c r="AW985" s="104"/>
      <c r="AX985" s="104"/>
      <c r="AY985" s="104"/>
      <c r="AZ985" s="104"/>
      <c r="BA985" s="104"/>
      <c r="BB985" s="104"/>
      <c r="BC985" s="104"/>
      <c r="BD985" s="104"/>
      <c r="BE985" s="104"/>
      <c r="BF985" s="104"/>
      <c r="BG985" s="104"/>
      <c r="BH985" s="104"/>
      <c r="BI985" s="104"/>
      <c r="BJ985" s="104"/>
      <c r="BK985" s="104"/>
      <c r="BL985" s="104"/>
      <c r="BM985" s="104"/>
      <c r="BN985" s="104"/>
    </row>
    <row r="986">
      <c r="A986" s="104"/>
      <c r="B986" s="104"/>
      <c r="C986" s="104"/>
      <c r="D986" s="104"/>
      <c r="E986" s="104"/>
      <c r="F986" s="104"/>
      <c r="G986" s="104"/>
      <c r="H986" s="104"/>
      <c r="I986" s="104"/>
      <c r="J986" s="104"/>
      <c r="K986" s="105"/>
      <c r="L986" s="106"/>
      <c r="M986" s="104"/>
      <c r="N986" s="104"/>
      <c r="O986" s="104"/>
      <c r="P986" s="104"/>
      <c r="Q986" s="104"/>
      <c r="R986" s="106"/>
      <c r="S986" s="104"/>
      <c r="T986" s="104"/>
      <c r="U986" s="104"/>
      <c r="V986" s="104"/>
      <c r="W986" s="105"/>
      <c r="X986" s="104"/>
      <c r="Y986" s="104"/>
      <c r="Z986" s="104"/>
      <c r="AA986" s="104"/>
      <c r="AB986" s="104"/>
      <c r="AC986" s="104"/>
      <c r="AD986" s="104"/>
      <c r="AE986" s="104"/>
      <c r="AF986" s="104"/>
      <c r="AG986" s="104"/>
      <c r="AH986" s="104"/>
      <c r="AI986" s="104"/>
      <c r="AJ986" s="104"/>
      <c r="AK986" s="104"/>
      <c r="AL986" s="104"/>
      <c r="AM986" s="104"/>
      <c r="AN986" s="104"/>
      <c r="AO986" s="104"/>
      <c r="AP986" s="104"/>
      <c r="AQ986" s="104"/>
      <c r="AR986" s="104"/>
      <c r="AS986" s="104"/>
      <c r="AT986" s="104"/>
      <c r="AU986" s="104"/>
      <c r="AV986" s="104"/>
      <c r="AW986" s="104"/>
      <c r="AX986" s="104"/>
      <c r="AY986" s="104"/>
      <c r="AZ986" s="104"/>
      <c r="BA986" s="104"/>
      <c r="BB986" s="104"/>
      <c r="BC986" s="104"/>
      <c r="BD986" s="104"/>
      <c r="BE986" s="104"/>
      <c r="BF986" s="104"/>
      <c r="BG986" s="104"/>
      <c r="BH986" s="104"/>
      <c r="BI986" s="104"/>
      <c r="BJ986" s="104"/>
      <c r="BK986" s="104"/>
      <c r="BL986" s="104"/>
      <c r="BM986" s="104"/>
      <c r="BN986" s="104"/>
    </row>
    <row r="987">
      <c r="A987" s="104"/>
      <c r="B987" s="104"/>
      <c r="C987" s="104"/>
      <c r="D987" s="104"/>
      <c r="E987" s="104"/>
      <c r="F987" s="104"/>
      <c r="G987" s="104"/>
      <c r="H987" s="104"/>
      <c r="I987" s="104"/>
      <c r="J987" s="104"/>
      <c r="K987" s="105"/>
      <c r="L987" s="106"/>
      <c r="M987" s="104"/>
      <c r="N987" s="104"/>
      <c r="O987" s="104"/>
      <c r="P987" s="104"/>
      <c r="Q987" s="104"/>
      <c r="R987" s="106"/>
      <c r="S987" s="104"/>
      <c r="T987" s="104"/>
      <c r="U987" s="104"/>
      <c r="V987" s="104"/>
      <c r="W987" s="105"/>
      <c r="X987" s="104"/>
      <c r="Y987" s="104"/>
      <c r="Z987" s="104"/>
      <c r="AA987" s="104"/>
      <c r="AB987" s="104"/>
      <c r="AC987" s="104"/>
      <c r="AD987" s="104"/>
      <c r="AE987" s="104"/>
      <c r="AF987" s="104"/>
      <c r="AG987" s="104"/>
      <c r="AH987" s="104"/>
      <c r="AI987" s="104"/>
      <c r="AJ987" s="104"/>
      <c r="AK987" s="104"/>
      <c r="AL987" s="104"/>
      <c r="AM987" s="104"/>
      <c r="AN987" s="104"/>
      <c r="AO987" s="104"/>
      <c r="AP987" s="104"/>
      <c r="AQ987" s="104"/>
      <c r="AR987" s="104"/>
      <c r="AS987" s="104"/>
      <c r="AT987" s="104"/>
      <c r="AU987" s="104"/>
      <c r="AV987" s="104"/>
      <c r="AW987" s="104"/>
      <c r="AX987" s="104"/>
      <c r="AY987" s="104"/>
      <c r="AZ987" s="104"/>
      <c r="BA987" s="104"/>
      <c r="BB987" s="104"/>
      <c r="BC987" s="104"/>
      <c r="BD987" s="104"/>
      <c r="BE987" s="104"/>
      <c r="BF987" s="104"/>
      <c r="BG987" s="104"/>
      <c r="BH987" s="104"/>
      <c r="BI987" s="104"/>
      <c r="BJ987" s="104"/>
      <c r="BK987" s="104"/>
      <c r="BL987" s="104"/>
      <c r="BM987" s="104"/>
      <c r="BN987" s="104"/>
    </row>
    <row r="988">
      <c r="A988" s="104"/>
      <c r="B988" s="104"/>
      <c r="C988" s="104"/>
      <c r="D988" s="104"/>
      <c r="E988" s="104"/>
      <c r="F988" s="104"/>
      <c r="G988" s="104"/>
      <c r="H988" s="104"/>
      <c r="I988" s="104"/>
      <c r="J988" s="104"/>
      <c r="K988" s="105"/>
      <c r="L988" s="106"/>
      <c r="M988" s="104"/>
      <c r="N988" s="104"/>
      <c r="O988" s="104"/>
      <c r="P988" s="104"/>
      <c r="Q988" s="104"/>
      <c r="R988" s="106"/>
      <c r="S988" s="104"/>
      <c r="T988" s="104"/>
      <c r="U988" s="104"/>
      <c r="V988" s="104"/>
      <c r="W988" s="105"/>
      <c r="X988" s="104"/>
      <c r="Y988" s="104"/>
      <c r="Z988" s="104"/>
      <c r="AA988" s="104"/>
      <c r="AB988" s="104"/>
      <c r="AC988" s="104"/>
      <c r="AD988" s="104"/>
      <c r="AE988" s="104"/>
      <c r="AF988" s="104"/>
      <c r="AG988" s="104"/>
      <c r="AH988" s="104"/>
      <c r="AI988" s="104"/>
      <c r="AJ988" s="104"/>
      <c r="AK988" s="104"/>
      <c r="AL988" s="104"/>
      <c r="AM988" s="104"/>
      <c r="AN988" s="104"/>
      <c r="AO988" s="104"/>
      <c r="AP988" s="104"/>
      <c r="AQ988" s="104"/>
      <c r="AR988" s="104"/>
      <c r="AS988" s="104"/>
      <c r="AT988" s="104"/>
      <c r="AU988" s="104"/>
      <c r="AV988" s="104"/>
      <c r="AW988" s="104"/>
      <c r="AX988" s="104"/>
      <c r="AY988" s="104"/>
      <c r="AZ988" s="104"/>
      <c r="BA988" s="104"/>
      <c r="BB988" s="104"/>
      <c r="BC988" s="104"/>
      <c r="BD988" s="104"/>
      <c r="BE988" s="104"/>
      <c r="BF988" s="104"/>
      <c r="BG988" s="104"/>
      <c r="BH988" s="104"/>
      <c r="BI988" s="104"/>
      <c r="BJ988" s="104"/>
      <c r="BK988" s="104"/>
      <c r="BL988" s="104"/>
      <c r="BM988" s="104"/>
      <c r="BN988" s="104"/>
    </row>
    <row r="989">
      <c r="A989" s="104"/>
      <c r="B989" s="104"/>
      <c r="C989" s="104"/>
      <c r="D989" s="104"/>
      <c r="E989" s="104"/>
      <c r="F989" s="104"/>
      <c r="G989" s="104"/>
      <c r="H989" s="104"/>
      <c r="I989" s="104"/>
      <c r="J989" s="104"/>
      <c r="K989" s="105"/>
      <c r="L989" s="106"/>
      <c r="M989" s="104"/>
      <c r="N989" s="104"/>
      <c r="O989" s="104"/>
      <c r="P989" s="104"/>
      <c r="Q989" s="104"/>
      <c r="R989" s="106"/>
      <c r="S989" s="104"/>
      <c r="T989" s="104"/>
      <c r="U989" s="104"/>
      <c r="V989" s="104"/>
      <c r="W989" s="105"/>
      <c r="X989" s="104"/>
      <c r="Y989" s="104"/>
      <c r="Z989" s="104"/>
      <c r="AA989" s="104"/>
      <c r="AB989" s="104"/>
      <c r="AC989" s="104"/>
      <c r="AD989" s="104"/>
      <c r="AE989" s="104"/>
      <c r="AF989" s="104"/>
      <c r="AG989" s="104"/>
      <c r="AH989" s="104"/>
      <c r="AI989" s="104"/>
      <c r="AJ989" s="104"/>
      <c r="AK989" s="104"/>
      <c r="AL989" s="104"/>
      <c r="AM989" s="104"/>
      <c r="AN989" s="104"/>
      <c r="AO989" s="104"/>
      <c r="AP989" s="104"/>
      <c r="AQ989" s="104"/>
      <c r="AR989" s="104"/>
      <c r="AS989" s="104"/>
      <c r="AT989" s="104"/>
      <c r="AU989" s="104"/>
      <c r="AV989" s="104"/>
      <c r="AW989" s="104"/>
      <c r="AX989" s="104"/>
      <c r="AY989" s="104"/>
      <c r="AZ989" s="104"/>
      <c r="BA989" s="104"/>
      <c r="BB989" s="104"/>
      <c r="BC989" s="104"/>
      <c r="BD989" s="104"/>
      <c r="BE989" s="104"/>
      <c r="BF989" s="104"/>
      <c r="BG989" s="104"/>
      <c r="BH989" s="104"/>
      <c r="BI989" s="104"/>
      <c r="BJ989" s="104"/>
      <c r="BK989" s="104"/>
      <c r="BL989" s="104"/>
      <c r="BM989" s="104"/>
      <c r="BN989" s="104"/>
    </row>
    <row r="990">
      <c r="A990" s="104"/>
      <c r="B990" s="104"/>
      <c r="C990" s="104"/>
      <c r="D990" s="104"/>
      <c r="E990" s="104"/>
      <c r="F990" s="104"/>
      <c r="G990" s="104"/>
      <c r="H990" s="104"/>
      <c r="I990" s="104"/>
      <c r="J990" s="104"/>
      <c r="K990" s="105"/>
      <c r="L990" s="106"/>
      <c r="M990" s="104"/>
      <c r="N990" s="104"/>
      <c r="O990" s="104"/>
      <c r="P990" s="104"/>
      <c r="Q990" s="104"/>
      <c r="R990" s="106"/>
      <c r="S990" s="104"/>
      <c r="T990" s="104"/>
      <c r="U990" s="104"/>
      <c r="V990" s="104"/>
      <c r="W990" s="105"/>
      <c r="X990" s="104"/>
      <c r="Y990" s="104"/>
      <c r="Z990" s="104"/>
      <c r="AA990" s="104"/>
      <c r="AB990" s="104"/>
      <c r="AC990" s="104"/>
      <c r="AD990" s="104"/>
      <c r="AE990" s="104"/>
      <c r="AF990" s="104"/>
      <c r="AG990" s="104"/>
      <c r="AH990" s="104"/>
      <c r="AI990" s="104"/>
      <c r="AJ990" s="104"/>
      <c r="AK990" s="104"/>
      <c r="AL990" s="104"/>
      <c r="AM990" s="104"/>
      <c r="AN990" s="104"/>
      <c r="AO990" s="104"/>
      <c r="AP990" s="104"/>
      <c r="AQ990" s="104"/>
      <c r="AR990" s="104"/>
      <c r="AS990" s="104"/>
      <c r="AT990" s="104"/>
      <c r="AU990" s="104"/>
      <c r="AV990" s="104"/>
      <c r="AW990" s="104"/>
      <c r="AX990" s="104"/>
      <c r="AY990" s="104"/>
      <c r="AZ990" s="104"/>
      <c r="BA990" s="104"/>
      <c r="BB990" s="104"/>
      <c r="BC990" s="104"/>
      <c r="BD990" s="104"/>
      <c r="BE990" s="104"/>
      <c r="BF990" s="104"/>
      <c r="BG990" s="104"/>
      <c r="BH990" s="104"/>
      <c r="BI990" s="104"/>
      <c r="BJ990" s="104"/>
      <c r="BK990" s="104"/>
      <c r="BL990" s="104"/>
      <c r="BM990" s="104"/>
      <c r="BN990" s="104"/>
    </row>
    <row r="991">
      <c r="A991" s="104"/>
      <c r="B991" s="104"/>
      <c r="C991" s="104"/>
      <c r="D991" s="104"/>
      <c r="E991" s="104"/>
      <c r="F991" s="104"/>
      <c r="G991" s="104"/>
      <c r="H991" s="104"/>
      <c r="I991" s="104"/>
      <c r="J991" s="104"/>
      <c r="K991" s="105"/>
      <c r="L991" s="106"/>
      <c r="M991" s="104"/>
      <c r="N991" s="104"/>
      <c r="O991" s="104"/>
      <c r="P991" s="104"/>
      <c r="Q991" s="104"/>
      <c r="R991" s="106"/>
      <c r="S991" s="104"/>
      <c r="T991" s="104"/>
      <c r="U991" s="104"/>
      <c r="V991" s="104"/>
      <c r="W991" s="105"/>
      <c r="X991" s="104"/>
      <c r="Y991" s="104"/>
      <c r="Z991" s="104"/>
      <c r="AA991" s="104"/>
      <c r="AB991" s="104"/>
      <c r="AC991" s="104"/>
      <c r="AD991" s="104"/>
      <c r="AE991" s="104"/>
      <c r="AF991" s="104"/>
      <c r="AG991" s="104"/>
      <c r="AH991" s="104"/>
      <c r="AI991" s="104"/>
      <c r="AJ991" s="104"/>
      <c r="AK991" s="104"/>
      <c r="AL991" s="104"/>
      <c r="AM991" s="104"/>
      <c r="AN991" s="104"/>
      <c r="AO991" s="104"/>
      <c r="AP991" s="104"/>
      <c r="AQ991" s="104"/>
      <c r="AR991" s="104"/>
      <c r="AS991" s="104"/>
      <c r="AT991" s="104"/>
      <c r="AU991" s="104"/>
      <c r="AV991" s="104"/>
      <c r="AW991" s="104"/>
      <c r="AX991" s="104"/>
      <c r="AY991" s="104"/>
      <c r="AZ991" s="104"/>
      <c r="BA991" s="104"/>
      <c r="BB991" s="104"/>
      <c r="BC991" s="104"/>
      <c r="BD991" s="104"/>
      <c r="BE991" s="104"/>
      <c r="BF991" s="104"/>
      <c r="BG991" s="104"/>
      <c r="BH991" s="104"/>
      <c r="BI991" s="104"/>
      <c r="BJ991" s="104"/>
      <c r="BK991" s="104"/>
      <c r="BL991" s="104"/>
      <c r="BM991" s="104"/>
      <c r="BN991" s="104"/>
    </row>
    <row r="992">
      <c r="A992" s="104"/>
      <c r="B992" s="104"/>
      <c r="C992" s="104"/>
      <c r="D992" s="104"/>
      <c r="E992" s="104"/>
      <c r="F992" s="104"/>
      <c r="G992" s="104"/>
      <c r="H992" s="104"/>
      <c r="I992" s="104"/>
      <c r="J992" s="104"/>
      <c r="K992" s="105"/>
      <c r="L992" s="106"/>
      <c r="M992" s="104"/>
      <c r="N992" s="104"/>
      <c r="O992" s="104"/>
      <c r="P992" s="104"/>
      <c r="Q992" s="104"/>
      <c r="R992" s="106"/>
      <c r="S992" s="104"/>
      <c r="T992" s="104"/>
      <c r="U992" s="104"/>
      <c r="V992" s="104"/>
      <c r="W992" s="105"/>
      <c r="X992" s="104"/>
      <c r="Y992" s="104"/>
      <c r="Z992" s="104"/>
      <c r="AA992" s="104"/>
      <c r="AB992" s="104"/>
      <c r="AC992" s="104"/>
      <c r="AD992" s="104"/>
      <c r="AE992" s="104"/>
      <c r="AF992" s="104"/>
      <c r="AG992" s="104"/>
      <c r="AH992" s="104"/>
      <c r="AI992" s="104"/>
      <c r="AJ992" s="104"/>
      <c r="AK992" s="104"/>
      <c r="AL992" s="104"/>
      <c r="AM992" s="104"/>
      <c r="AN992" s="104"/>
      <c r="AO992" s="104"/>
      <c r="AP992" s="104"/>
      <c r="AQ992" s="104"/>
      <c r="AR992" s="104"/>
      <c r="AS992" s="104"/>
      <c r="AT992" s="104"/>
      <c r="AU992" s="104"/>
      <c r="AV992" s="104"/>
      <c r="AW992" s="104"/>
      <c r="AX992" s="104"/>
      <c r="AY992" s="104"/>
      <c r="AZ992" s="104"/>
      <c r="BA992" s="104"/>
      <c r="BB992" s="104"/>
      <c r="BC992" s="104"/>
      <c r="BD992" s="104"/>
      <c r="BE992" s="104"/>
      <c r="BF992" s="104"/>
      <c r="BG992" s="104"/>
      <c r="BH992" s="104"/>
      <c r="BI992" s="104"/>
      <c r="BJ992" s="104"/>
      <c r="BK992" s="104"/>
      <c r="BL992" s="104"/>
      <c r="BM992" s="104"/>
      <c r="BN992" s="104"/>
    </row>
    <row r="993">
      <c r="A993" s="104"/>
      <c r="B993" s="104"/>
      <c r="C993" s="104"/>
      <c r="D993" s="104"/>
      <c r="E993" s="104"/>
      <c r="F993" s="104"/>
      <c r="G993" s="104"/>
      <c r="H993" s="104"/>
      <c r="I993" s="104"/>
      <c r="J993" s="104"/>
      <c r="K993" s="105"/>
      <c r="L993" s="106"/>
      <c r="M993" s="104"/>
      <c r="N993" s="104"/>
      <c r="O993" s="104"/>
      <c r="P993" s="104"/>
      <c r="Q993" s="104"/>
      <c r="R993" s="106"/>
      <c r="S993" s="104"/>
      <c r="T993" s="104"/>
      <c r="U993" s="104"/>
      <c r="V993" s="104"/>
      <c r="W993" s="105"/>
      <c r="X993" s="104"/>
      <c r="Y993" s="104"/>
      <c r="Z993" s="104"/>
      <c r="AA993" s="104"/>
      <c r="AB993" s="104"/>
      <c r="AC993" s="104"/>
      <c r="AD993" s="104"/>
      <c r="AE993" s="104"/>
      <c r="AF993" s="104"/>
      <c r="AG993" s="104"/>
      <c r="AH993" s="104"/>
      <c r="AI993" s="104"/>
      <c r="AJ993" s="104"/>
      <c r="AK993" s="104"/>
      <c r="AL993" s="104"/>
      <c r="AM993" s="104"/>
      <c r="AN993" s="104"/>
      <c r="AO993" s="104"/>
      <c r="AP993" s="104"/>
      <c r="AQ993" s="104"/>
      <c r="AR993" s="104"/>
      <c r="AS993" s="104"/>
      <c r="AT993" s="104"/>
      <c r="AU993" s="104"/>
      <c r="AV993" s="104"/>
      <c r="AW993" s="104"/>
      <c r="AX993" s="104"/>
      <c r="AY993" s="104"/>
      <c r="AZ993" s="104"/>
      <c r="BA993" s="104"/>
      <c r="BB993" s="104"/>
      <c r="BC993" s="104"/>
      <c r="BD993" s="104"/>
      <c r="BE993" s="104"/>
      <c r="BF993" s="104"/>
      <c r="BG993" s="104"/>
      <c r="BH993" s="104"/>
      <c r="BI993" s="104"/>
      <c r="BJ993" s="104"/>
      <c r="BK993" s="104"/>
      <c r="BL993" s="104"/>
      <c r="BM993" s="104"/>
      <c r="BN993" s="104"/>
    </row>
    <row r="994">
      <c r="A994" s="104"/>
      <c r="B994" s="104"/>
      <c r="C994" s="104"/>
      <c r="D994" s="104"/>
      <c r="E994" s="104"/>
      <c r="F994" s="104"/>
      <c r="G994" s="104"/>
      <c r="H994" s="104"/>
      <c r="I994" s="104"/>
      <c r="J994" s="104"/>
      <c r="K994" s="105"/>
      <c r="L994" s="106"/>
      <c r="M994" s="104"/>
      <c r="N994" s="104"/>
      <c r="O994" s="104"/>
      <c r="P994" s="104"/>
      <c r="Q994" s="104"/>
      <c r="R994" s="106"/>
      <c r="S994" s="104"/>
      <c r="T994" s="104"/>
      <c r="U994" s="104"/>
      <c r="V994" s="104"/>
      <c r="W994" s="105"/>
      <c r="X994" s="104"/>
      <c r="Y994" s="104"/>
      <c r="Z994" s="104"/>
      <c r="AA994" s="104"/>
      <c r="AB994" s="104"/>
      <c r="AC994" s="104"/>
      <c r="AD994" s="104"/>
      <c r="AE994" s="104"/>
      <c r="AF994" s="104"/>
      <c r="AG994" s="104"/>
      <c r="AH994" s="104"/>
      <c r="AI994" s="104"/>
      <c r="AJ994" s="104"/>
      <c r="AK994" s="104"/>
      <c r="AL994" s="104"/>
      <c r="AM994" s="104"/>
      <c r="AN994" s="104"/>
      <c r="AO994" s="104"/>
      <c r="AP994" s="104"/>
      <c r="AQ994" s="104"/>
      <c r="AR994" s="104"/>
      <c r="AS994" s="104"/>
      <c r="AT994" s="104"/>
      <c r="AU994" s="104"/>
      <c r="AV994" s="104"/>
      <c r="AW994" s="104"/>
      <c r="AX994" s="104"/>
      <c r="AY994" s="104"/>
      <c r="AZ994" s="104"/>
      <c r="BA994" s="104"/>
      <c r="BB994" s="104"/>
      <c r="BC994" s="104"/>
      <c r="BD994" s="104"/>
      <c r="BE994" s="104"/>
      <c r="BF994" s="104"/>
      <c r="BG994" s="104"/>
      <c r="BH994" s="104"/>
      <c r="BI994" s="104"/>
      <c r="BJ994" s="104"/>
      <c r="BK994" s="104"/>
      <c r="BL994" s="104"/>
      <c r="BM994" s="104"/>
      <c r="BN994" s="104"/>
    </row>
    <row r="995">
      <c r="A995" s="104"/>
      <c r="B995" s="104"/>
      <c r="C995" s="104"/>
      <c r="D995" s="104"/>
      <c r="E995" s="104"/>
      <c r="F995" s="104"/>
      <c r="G995" s="104"/>
      <c r="H995" s="104"/>
      <c r="I995" s="104"/>
      <c r="J995" s="104"/>
      <c r="K995" s="105"/>
      <c r="L995" s="106"/>
      <c r="M995" s="104"/>
      <c r="N995" s="104"/>
      <c r="O995" s="104"/>
      <c r="P995" s="104"/>
      <c r="Q995" s="104"/>
      <c r="R995" s="106"/>
      <c r="S995" s="104"/>
      <c r="T995" s="104"/>
      <c r="U995" s="104"/>
      <c r="V995" s="104"/>
      <c r="W995" s="105"/>
      <c r="X995" s="104"/>
      <c r="Y995" s="104"/>
      <c r="Z995" s="104"/>
      <c r="AA995" s="104"/>
      <c r="AB995" s="104"/>
      <c r="AC995" s="104"/>
      <c r="AD995" s="104"/>
      <c r="AE995" s="104"/>
      <c r="AF995" s="104"/>
      <c r="AG995" s="104"/>
      <c r="AH995" s="104"/>
      <c r="AI995" s="104"/>
      <c r="AJ995" s="104"/>
      <c r="AK995" s="104"/>
      <c r="AL995" s="104"/>
      <c r="AM995" s="104"/>
      <c r="AN995" s="104"/>
      <c r="AO995" s="104"/>
      <c r="AP995" s="104"/>
      <c r="AQ995" s="104"/>
      <c r="AR995" s="104"/>
      <c r="AS995" s="104"/>
      <c r="AT995" s="104"/>
      <c r="AU995" s="104"/>
      <c r="AV995" s="104"/>
      <c r="AW995" s="104"/>
      <c r="AX995" s="104"/>
      <c r="AY995" s="104"/>
      <c r="AZ995" s="104"/>
      <c r="BA995" s="104"/>
      <c r="BB995" s="104"/>
      <c r="BC995" s="104"/>
      <c r="BD995" s="104"/>
      <c r="BE995" s="104"/>
      <c r="BF995" s="104"/>
      <c r="BG995" s="104"/>
      <c r="BH995" s="104"/>
      <c r="BI995" s="104"/>
      <c r="BJ995" s="104"/>
      <c r="BK995" s="104"/>
      <c r="BL995" s="104"/>
      <c r="BM995" s="104"/>
      <c r="BN995" s="104"/>
    </row>
    <row r="996">
      <c r="A996" s="104"/>
      <c r="B996" s="104"/>
      <c r="C996" s="104"/>
      <c r="D996" s="104"/>
      <c r="E996" s="104"/>
      <c r="F996" s="104"/>
      <c r="G996" s="104"/>
      <c r="H996" s="104"/>
      <c r="I996" s="104"/>
      <c r="J996" s="104"/>
      <c r="K996" s="105"/>
      <c r="L996" s="106"/>
      <c r="M996" s="104"/>
      <c r="N996" s="104"/>
      <c r="O996" s="104"/>
      <c r="P996" s="104"/>
      <c r="Q996" s="104"/>
      <c r="R996" s="106"/>
      <c r="S996" s="104"/>
      <c r="T996" s="104"/>
      <c r="U996" s="104"/>
      <c r="V996" s="104"/>
      <c r="W996" s="105"/>
      <c r="X996" s="104"/>
      <c r="Y996" s="104"/>
      <c r="Z996" s="104"/>
      <c r="AA996" s="104"/>
      <c r="AB996" s="104"/>
      <c r="AC996" s="104"/>
      <c r="AD996" s="104"/>
      <c r="AE996" s="104"/>
      <c r="AF996" s="104"/>
      <c r="AG996" s="104"/>
      <c r="AH996" s="104"/>
      <c r="AI996" s="104"/>
      <c r="AJ996" s="104"/>
      <c r="AK996" s="104"/>
      <c r="AL996" s="104"/>
      <c r="AM996" s="104"/>
      <c r="AN996" s="104"/>
      <c r="AO996" s="104"/>
      <c r="AP996" s="104"/>
      <c r="AQ996" s="104"/>
      <c r="AR996" s="104"/>
      <c r="AS996" s="104"/>
      <c r="AT996" s="104"/>
      <c r="AU996" s="104"/>
      <c r="AV996" s="104"/>
      <c r="AW996" s="104"/>
      <c r="AX996" s="104"/>
      <c r="AY996" s="104"/>
      <c r="AZ996" s="104"/>
      <c r="BA996" s="104"/>
      <c r="BB996" s="104"/>
      <c r="BC996" s="104"/>
      <c r="BD996" s="104"/>
      <c r="BE996" s="104"/>
      <c r="BF996" s="104"/>
      <c r="BG996" s="104"/>
      <c r="BH996" s="104"/>
      <c r="BI996" s="104"/>
      <c r="BJ996" s="104"/>
      <c r="BK996" s="104"/>
      <c r="BL996" s="104"/>
      <c r="BM996" s="104"/>
      <c r="BN996" s="104"/>
    </row>
    <row r="997">
      <c r="A997" s="104"/>
      <c r="B997" s="104"/>
      <c r="C997" s="104"/>
      <c r="D997" s="104"/>
      <c r="E997" s="104"/>
      <c r="F997" s="104"/>
      <c r="G997" s="104"/>
      <c r="H997" s="104"/>
      <c r="I997" s="104"/>
      <c r="J997" s="104"/>
      <c r="K997" s="105"/>
      <c r="L997" s="106"/>
      <c r="M997" s="104"/>
      <c r="N997" s="104"/>
      <c r="O997" s="104"/>
      <c r="P997" s="104"/>
      <c r="Q997" s="104"/>
      <c r="R997" s="106"/>
      <c r="S997" s="104"/>
      <c r="T997" s="104"/>
      <c r="U997" s="104"/>
      <c r="V997" s="104"/>
      <c r="W997" s="105"/>
      <c r="X997" s="104"/>
      <c r="Y997" s="104"/>
      <c r="Z997" s="104"/>
      <c r="AA997" s="104"/>
      <c r="AB997" s="104"/>
      <c r="AC997" s="104"/>
      <c r="AD997" s="104"/>
      <c r="AE997" s="104"/>
      <c r="AF997" s="104"/>
      <c r="AG997" s="104"/>
      <c r="AH997" s="104"/>
      <c r="AI997" s="104"/>
      <c r="AJ997" s="104"/>
      <c r="AK997" s="104"/>
      <c r="AL997" s="104"/>
      <c r="AM997" s="104"/>
      <c r="AN997" s="104"/>
      <c r="AO997" s="104"/>
      <c r="AP997" s="104"/>
      <c r="AQ997" s="104"/>
      <c r="AR997" s="104"/>
      <c r="AS997" s="104"/>
      <c r="AT997" s="104"/>
      <c r="AU997" s="104"/>
      <c r="AV997" s="104"/>
      <c r="AW997" s="104"/>
      <c r="AX997" s="104"/>
      <c r="AY997" s="104"/>
      <c r="AZ997" s="104"/>
      <c r="BA997" s="104"/>
      <c r="BB997" s="104"/>
      <c r="BC997" s="104"/>
      <c r="BD997" s="104"/>
      <c r="BE997" s="104"/>
      <c r="BF997" s="104"/>
      <c r="BG997" s="104"/>
      <c r="BH997" s="104"/>
      <c r="BI997" s="104"/>
      <c r="BJ997" s="104"/>
      <c r="BK997" s="104"/>
      <c r="BL997" s="104"/>
      <c r="BM997" s="104"/>
      <c r="BN997" s="104"/>
    </row>
    <row r="998">
      <c r="A998" s="104"/>
      <c r="B998" s="104"/>
      <c r="C998" s="104"/>
      <c r="D998" s="104"/>
      <c r="E998" s="104"/>
      <c r="F998" s="104"/>
      <c r="G998" s="104"/>
      <c r="H998" s="104"/>
      <c r="I998" s="104"/>
      <c r="J998" s="104"/>
      <c r="K998" s="105"/>
      <c r="L998" s="106"/>
      <c r="M998" s="104"/>
      <c r="N998" s="104"/>
      <c r="O998" s="104"/>
      <c r="P998" s="104"/>
      <c r="Q998" s="104"/>
      <c r="R998" s="106"/>
      <c r="S998" s="104"/>
      <c r="T998" s="104"/>
      <c r="U998" s="104"/>
      <c r="V998" s="104"/>
      <c r="W998" s="105"/>
      <c r="X998" s="104"/>
      <c r="Y998" s="104"/>
      <c r="Z998" s="104"/>
      <c r="AA998" s="104"/>
      <c r="AB998" s="104"/>
      <c r="AC998" s="104"/>
      <c r="AD998" s="104"/>
      <c r="AE998" s="104"/>
      <c r="AF998" s="104"/>
      <c r="AG998" s="104"/>
      <c r="AH998" s="104"/>
      <c r="AI998" s="104"/>
      <c r="AJ998" s="104"/>
      <c r="AK998" s="104"/>
      <c r="AL998" s="104"/>
      <c r="AM998" s="104"/>
      <c r="AN998" s="104"/>
      <c r="AO998" s="104"/>
      <c r="AP998" s="104"/>
      <c r="AQ998" s="104"/>
      <c r="AR998" s="104"/>
      <c r="AS998" s="104"/>
      <c r="AT998" s="104"/>
      <c r="AU998" s="104"/>
      <c r="AV998" s="104"/>
      <c r="AW998" s="104"/>
      <c r="AX998" s="104"/>
      <c r="AY998" s="104"/>
      <c r="AZ998" s="104"/>
      <c r="BA998" s="104"/>
      <c r="BB998" s="104"/>
      <c r="BC998" s="104"/>
      <c r="BD998" s="104"/>
      <c r="BE998" s="104"/>
      <c r="BF998" s="104"/>
      <c r="BG998" s="104"/>
      <c r="BH998" s="104"/>
      <c r="BI998" s="104"/>
      <c r="BJ998" s="104"/>
      <c r="BK998" s="104"/>
      <c r="BL998" s="104"/>
      <c r="BM998" s="104"/>
      <c r="BN998" s="104"/>
    </row>
    <row r="999">
      <c r="A999" s="104"/>
      <c r="B999" s="104"/>
      <c r="C999" s="104"/>
      <c r="D999" s="104"/>
      <c r="E999" s="104"/>
      <c r="F999" s="104"/>
      <c r="G999" s="104"/>
      <c r="H999" s="104"/>
      <c r="I999" s="104"/>
      <c r="J999" s="104"/>
      <c r="K999" s="105"/>
      <c r="L999" s="106"/>
      <c r="M999" s="104"/>
      <c r="N999" s="104"/>
      <c r="O999" s="104"/>
      <c r="P999" s="104"/>
      <c r="Q999" s="104"/>
      <c r="R999" s="106"/>
      <c r="S999" s="104"/>
      <c r="T999" s="104"/>
      <c r="U999" s="104"/>
      <c r="V999" s="104"/>
      <c r="W999" s="105"/>
      <c r="X999" s="104"/>
      <c r="Y999" s="104"/>
      <c r="Z999" s="104"/>
      <c r="AA999" s="104"/>
      <c r="AB999" s="104"/>
      <c r="AC999" s="104"/>
      <c r="AD999" s="104"/>
      <c r="AE999" s="104"/>
      <c r="AF999" s="104"/>
      <c r="AG999" s="104"/>
      <c r="AH999" s="104"/>
      <c r="AI999" s="104"/>
      <c r="AJ999" s="104"/>
      <c r="AK999" s="104"/>
      <c r="AL999" s="104"/>
      <c r="AM999" s="104"/>
      <c r="AN999" s="104"/>
      <c r="AO999" s="104"/>
      <c r="AP999" s="104"/>
      <c r="AQ999" s="104"/>
      <c r="AR999" s="104"/>
      <c r="AS999" s="104"/>
      <c r="AT999" s="104"/>
      <c r="AU999" s="104"/>
      <c r="AV999" s="104"/>
      <c r="AW999" s="104"/>
      <c r="AX999" s="104"/>
      <c r="AY999" s="104"/>
      <c r="AZ999" s="104"/>
      <c r="BA999" s="104"/>
      <c r="BB999" s="104"/>
      <c r="BC999" s="104"/>
      <c r="BD999" s="104"/>
      <c r="BE999" s="104"/>
      <c r="BF999" s="104"/>
      <c r="BG999" s="104"/>
      <c r="BH999" s="104"/>
      <c r="BI999" s="104"/>
      <c r="BJ999" s="104"/>
      <c r="BK999" s="104"/>
      <c r="BL999" s="104"/>
      <c r="BM999" s="104"/>
      <c r="BN999" s="104"/>
    </row>
    <row r="1000">
      <c r="A1000" s="104"/>
      <c r="B1000" s="104"/>
      <c r="C1000" s="104"/>
      <c r="D1000" s="104"/>
      <c r="E1000" s="104"/>
      <c r="F1000" s="104"/>
      <c r="G1000" s="104"/>
      <c r="H1000" s="104"/>
      <c r="I1000" s="104"/>
      <c r="J1000" s="104"/>
      <c r="K1000" s="105"/>
      <c r="L1000" s="106"/>
      <c r="M1000" s="104"/>
      <c r="N1000" s="104"/>
      <c r="O1000" s="104"/>
      <c r="P1000" s="104"/>
      <c r="Q1000" s="104"/>
      <c r="R1000" s="106"/>
      <c r="S1000" s="104"/>
      <c r="T1000" s="104"/>
      <c r="U1000" s="104"/>
      <c r="V1000" s="104"/>
      <c r="W1000" s="105"/>
      <c r="X1000" s="104"/>
      <c r="Y1000" s="104"/>
      <c r="Z1000" s="104"/>
      <c r="AA1000" s="104"/>
      <c r="AB1000" s="104"/>
      <c r="AC1000" s="104"/>
      <c r="AD1000" s="104"/>
      <c r="AE1000" s="104"/>
      <c r="AF1000" s="104"/>
      <c r="AG1000" s="104"/>
      <c r="AH1000" s="104"/>
      <c r="AI1000" s="104"/>
      <c r="AJ1000" s="104"/>
      <c r="AK1000" s="104"/>
      <c r="AL1000" s="104"/>
      <c r="AM1000" s="104"/>
      <c r="AN1000" s="104"/>
      <c r="AO1000" s="104"/>
      <c r="AP1000" s="104"/>
      <c r="AQ1000" s="104"/>
      <c r="AR1000" s="104"/>
      <c r="AS1000" s="104"/>
      <c r="AT1000" s="104"/>
      <c r="AU1000" s="104"/>
      <c r="AV1000" s="104"/>
      <c r="AW1000" s="104"/>
      <c r="AX1000" s="104"/>
      <c r="AY1000" s="104"/>
      <c r="AZ1000" s="104"/>
      <c r="BA1000" s="104"/>
      <c r="BB1000" s="104"/>
      <c r="BC1000" s="104"/>
      <c r="BD1000" s="104"/>
      <c r="BE1000" s="104"/>
      <c r="BF1000" s="104"/>
      <c r="BG1000" s="104"/>
      <c r="BH1000" s="104"/>
      <c r="BI1000" s="104"/>
      <c r="BJ1000" s="104"/>
      <c r="BK1000" s="104"/>
      <c r="BL1000" s="104"/>
      <c r="BM1000" s="104"/>
      <c r="BN1000" s="104"/>
    </row>
    <row r="1001">
      <c r="A1001" s="104"/>
      <c r="B1001" s="104"/>
      <c r="C1001" s="104"/>
      <c r="D1001" s="104"/>
      <c r="E1001" s="104"/>
      <c r="F1001" s="104"/>
      <c r="G1001" s="104"/>
      <c r="H1001" s="104"/>
      <c r="I1001" s="104"/>
      <c r="J1001" s="104"/>
      <c r="K1001" s="105"/>
      <c r="L1001" s="106"/>
      <c r="M1001" s="104"/>
      <c r="N1001" s="104"/>
      <c r="O1001" s="104"/>
      <c r="P1001" s="104"/>
      <c r="Q1001" s="104"/>
      <c r="R1001" s="106"/>
      <c r="S1001" s="104"/>
      <c r="T1001" s="104"/>
      <c r="U1001" s="104"/>
      <c r="V1001" s="104"/>
      <c r="W1001" s="105"/>
      <c r="X1001" s="104"/>
      <c r="Y1001" s="104"/>
      <c r="Z1001" s="104"/>
      <c r="AA1001" s="104"/>
      <c r="AB1001" s="104"/>
      <c r="AC1001" s="104"/>
      <c r="AD1001" s="104"/>
      <c r="AE1001" s="104"/>
      <c r="AF1001" s="104"/>
      <c r="AG1001" s="104"/>
      <c r="AH1001" s="104"/>
      <c r="AI1001" s="104"/>
      <c r="AJ1001" s="104"/>
      <c r="AK1001" s="104"/>
      <c r="AL1001" s="104"/>
      <c r="AM1001" s="104"/>
      <c r="AN1001" s="104"/>
      <c r="AO1001" s="104"/>
      <c r="AP1001" s="104"/>
      <c r="AQ1001" s="104"/>
      <c r="AR1001" s="104"/>
      <c r="AS1001" s="104"/>
      <c r="AT1001" s="104"/>
      <c r="AU1001" s="104"/>
      <c r="AV1001" s="104"/>
      <c r="AW1001" s="104"/>
      <c r="AX1001" s="104"/>
      <c r="AY1001" s="104"/>
      <c r="AZ1001" s="104"/>
      <c r="BA1001" s="104"/>
      <c r="BB1001" s="104"/>
      <c r="BC1001" s="104"/>
      <c r="BD1001" s="104"/>
      <c r="BE1001" s="104"/>
      <c r="BF1001" s="104"/>
      <c r="BG1001" s="104"/>
      <c r="BH1001" s="104"/>
      <c r="BI1001" s="104"/>
      <c r="BJ1001" s="104"/>
      <c r="BK1001" s="104"/>
      <c r="BL1001" s="104"/>
      <c r="BM1001" s="104"/>
      <c r="BN1001" s="104"/>
    </row>
    <row r="1002">
      <c r="A1002" s="104"/>
      <c r="B1002" s="104"/>
      <c r="C1002" s="104"/>
      <c r="D1002" s="104"/>
      <c r="E1002" s="104"/>
      <c r="F1002" s="104"/>
      <c r="G1002" s="104"/>
      <c r="H1002" s="104"/>
      <c r="I1002" s="104"/>
      <c r="J1002" s="104"/>
      <c r="K1002" s="105"/>
      <c r="L1002" s="106"/>
      <c r="M1002" s="104"/>
      <c r="N1002" s="104"/>
      <c r="O1002" s="104"/>
      <c r="P1002" s="104"/>
      <c r="Q1002" s="104"/>
      <c r="R1002" s="106"/>
      <c r="S1002" s="104"/>
      <c r="T1002" s="104"/>
      <c r="U1002" s="104"/>
      <c r="V1002" s="104"/>
      <c r="W1002" s="105"/>
      <c r="X1002" s="104"/>
      <c r="Y1002" s="104"/>
      <c r="Z1002" s="104"/>
      <c r="AA1002" s="104"/>
      <c r="AB1002" s="104"/>
      <c r="AC1002" s="104"/>
      <c r="AD1002" s="104"/>
      <c r="AE1002" s="104"/>
      <c r="AF1002" s="104"/>
      <c r="AG1002" s="104"/>
      <c r="AH1002" s="104"/>
      <c r="AI1002" s="104"/>
      <c r="AJ1002" s="104"/>
      <c r="AK1002" s="104"/>
      <c r="AL1002" s="104"/>
      <c r="AM1002" s="104"/>
      <c r="AN1002" s="104"/>
      <c r="AO1002" s="104"/>
      <c r="AP1002" s="104"/>
      <c r="AQ1002" s="104"/>
      <c r="AR1002" s="104"/>
      <c r="AS1002" s="104"/>
      <c r="AT1002" s="104"/>
      <c r="AU1002" s="104"/>
      <c r="AV1002" s="104"/>
      <c r="AW1002" s="104"/>
      <c r="AX1002" s="104"/>
      <c r="AY1002" s="104"/>
      <c r="AZ1002" s="104"/>
      <c r="BA1002" s="104"/>
      <c r="BB1002" s="104"/>
      <c r="BC1002" s="104"/>
      <c r="BD1002" s="104"/>
      <c r="BE1002" s="104"/>
      <c r="BF1002" s="104"/>
      <c r="BG1002" s="104"/>
      <c r="BH1002" s="104"/>
      <c r="BI1002" s="104"/>
      <c r="BJ1002" s="104"/>
      <c r="BK1002" s="104"/>
      <c r="BL1002" s="104"/>
      <c r="BM1002" s="104"/>
      <c r="BN1002" s="104"/>
    </row>
    <row r="1003">
      <c r="A1003" s="104"/>
      <c r="B1003" s="104"/>
      <c r="C1003" s="104"/>
      <c r="D1003" s="104"/>
      <c r="E1003" s="104"/>
      <c r="F1003" s="104"/>
      <c r="G1003" s="104"/>
      <c r="H1003" s="104"/>
      <c r="I1003" s="104"/>
      <c r="J1003" s="104"/>
      <c r="K1003" s="105"/>
      <c r="L1003" s="106"/>
      <c r="M1003" s="104"/>
      <c r="N1003" s="104"/>
      <c r="O1003" s="104"/>
      <c r="P1003" s="104"/>
      <c r="Q1003" s="104"/>
      <c r="R1003" s="106"/>
      <c r="S1003" s="104"/>
      <c r="T1003" s="104"/>
      <c r="U1003" s="104"/>
      <c r="V1003" s="104"/>
      <c r="W1003" s="105"/>
      <c r="X1003" s="104"/>
      <c r="Y1003" s="104"/>
      <c r="Z1003" s="104"/>
      <c r="AA1003" s="104"/>
      <c r="AB1003" s="104"/>
      <c r="AC1003" s="104"/>
      <c r="AD1003" s="104"/>
      <c r="AE1003" s="104"/>
      <c r="AF1003" s="104"/>
      <c r="AG1003" s="104"/>
      <c r="AH1003" s="104"/>
      <c r="AI1003" s="104"/>
      <c r="AJ1003" s="104"/>
      <c r="AK1003" s="104"/>
      <c r="AL1003" s="104"/>
      <c r="AM1003" s="104"/>
      <c r="AN1003" s="104"/>
      <c r="AO1003" s="104"/>
      <c r="AP1003" s="104"/>
      <c r="AQ1003" s="104"/>
      <c r="AR1003" s="104"/>
      <c r="AS1003" s="104"/>
      <c r="AT1003" s="104"/>
      <c r="AU1003" s="104"/>
      <c r="AV1003" s="104"/>
      <c r="AW1003" s="104"/>
      <c r="AX1003" s="104"/>
      <c r="AY1003" s="104"/>
      <c r="AZ1003" s="104"/>
      <c r="BA1003" s="104"/>
      <c r="BB1003" s="104"/>
      <c r="BC1003" s="104"/>
      <c r="BD1003" s="104"/>
      <c r="BE1003" s="104"/>
      <c r="BF1003" s="104"/>
      <c r="BG1003" s="104"/>
      <c r="BH1003" s="104"/>
      <c r="BI1003" s="104"/>
      <c r="BJ1003" s="104"/>
      <c r="BK1003" s="104"/>
      <c r="BL1003" s="104"/>
      <c r="BM1003" s="104"/>
      <c r="BN1003" s="104"/>
    </row>
    <row r="1004">
      <c r="A1004" s="104"/>
      <c r="B1004" s="104"/>
      <c r="C1004" s="104"/>
      <c r="D1004" s="104"/>
      <c r="E1004" s="104"/>
      <c r="F1004" s="104"/>
      <c r="G1004" s="104"/>
      <c r="H1004" s="104"/>
      <c r="I1004" s="104"/>
      <c r="J1004" s="104"/>
      <c r="K1004" s="105"/>
      <c r="L1004" s="106"/>
      <c r="M1004" s="104"/>
      <c r="N1004" s="104"/>
      <c r="O1004" s="104"/>
      <c r="P1004" s="104"/>
      <c r="Q1004" s="104"/>
      <c r="R1004" s="106"/>
      <c r="S1004" s="104"/>
      <c r="T1004" s="104"/>
      <c r="U1004" s="104"/>
      <c r="V1004" s="104"/>
      <c r="W1004" s="105"/>
      <c r="X1004" s="104"/>
      <c r="Y1004" s="104"/>
      <c r="Z1004" s="104"/>
      <c r="AA1004" s="104"/>
      <c r="AB1004" s="104"/>
      <c r="AC1004" s="104"/>
      <c r="AD1004" s="104"/>
      <c r="AE1004" s="104"/>
      <c r="AF1004" s="104"/>
      <c r="AG1004" s="104"/>
      <c r="AH1004" s="104"/>
      <c r="AI1004" s="104"/>
      <c r="AJ1004" s="104"/>
      <c r="AK1004" s="104"/>
      <c r="AL1004" s="104"/>
      <c r="AM1004" s="104"/>
      <c r="AN1004" s="104"/>
      <c r="AO1004" s="104"/>
      <c r="AP1004" s="104"/>
      <c r="AQ1004" s="104"/>
      <c r="AR1004" s="104"/>
      <c r="AS1004" s="104"/>
      <c r="AT1004" s="104"/>
      <c r="AU1004" s="104"/>
      <c r="AV1004" s="104"/>
      <c r="AW1004" s="104"/>
      <c r="AX1004" s="104"/>
      <c r="AY1004" s="104"/>
      <c r="AZ1004" s="104"/>
      <c r="BA1004" s="104"/>
      <c r="BB1004" s="104"/>
      <c r="BC1004" s="104"/>
      <c r="BD1004" s="104"/>
      <c r="BE1004" s="104"/>
      <c r="BF1004" s="104"/>
      <c r="BG1004" s="104"/>
      <c r="BH1004" s="104"/>
      <c r="BI1004" s="104"/>
      <c r="BJ1004" s="104"/>
      <c r="BK1004" s="104"/>
      <c r="BL1004" s="104"/>
      <c r="BM1004" s="104"/>
      <c r="BN1004" s="104"/>
    </row>
    <row r="1005">
      <c r="A1005" s="104"/>
      <c r="B1005" s="104"/>
      <c r="C1005" s="104"/>
      <c r="D1005" s="104"/>
      <c r="E1005" s="104"/>
      <c r="F1005" s="104"/>
      <c r="G1005" s="104"/>
      <c r="H1005" s="104"/>
      <c r="I1005" s="104"/>
      <c r="J1005" s="104"/>
      <c r="K1005" s="105"/>
      <c r="L1005" s="106"/>
      <c r="M1005" s="104"/>
      <c r="N1005" s="104"/>
      <c r="O1005" s="104"/>
      <c r="P1005" s="104"/>
      <c r="Q1005" s="104"/>
      <c r="R1005" s="106"/>
      <c r="S1005" s="104"/>
      <c r="T1005" s="104"/>
      <c r="U1005" s="104"/>
      <c r="V1005" s="104"/>
      <c r="W1005" s="105"/>
      <c r="X1005" s="104"/>
      <c r="Y1005" s="104"/>
      <c r="Z1005" s="104"/>
      <c r="AA1005" s="104"/>
      <c r="AB1005" s="104"/>
      <c r="AC1005" s="104"/>
      <c r="AD1005" s="104"/>
      <c r="AE1005" s="104"/>
      <c r="AF1005" s="104"/>
      <c r="AG1005" s="104"/>
      <c r="AH1005" s="104"/>
      <c r="AI1005" s="104"/>
      <c r="AJ1005" s="104"/>
      <c r="AK1005" s="104"/>
      <c r="AL1005" s="104"/>
      <c r="AM1005" s="104"/>
      <c r="AN1005" s="104"/>
      <c r="AO1005" s="104"/>
      <c r="AP1005" s="104"/>
      <c r="AQ1005" s="104"/>
      <c r="AR1005" s="104"/>
      <c r="AS1005" s="104"/>
      <c r="AT1005" s="104"/>
      <c r="AU1005" s="104"/>
      <c r="AV1005" s="104"/>
      <c r="AW1005" s="104"/>
      <c r="AX1005" s="104"/>
      <c r="AY1005" s="104"/>
      <c r="AZ1005" s="104"/>
      <c r="BA1005" s="104"/>
      <c r="BB1005" s="104"/>
      <c r="BC1005" s="104"/>
      <c r="BD1005" s="104"/>
      <c r="BE1005" s="104"/>
      <c r="BF1005" s="104"/>
      <c r="BG1005" s="104"/>
      <c r="BH1005" s="104"/>
      <c r="BI1005" s="104"/>
      <c r="BJ1005" s="104"/>
      <c r="BK1005" s="104"/>
      <c r="BL1005" s="104"/>
      <c r="BM1005" s="104"/>
      <c r="BN1005" s="104"/>
    </row>
    <row r="1006">
      <c r="A1006" s="104"/>
      <c r="B1006" s="104"/>
      <c r="C1006" s="104"/>
      <c r="D1006" s="104"/>
      <c r="E1006" s="104"/>
      <c r="F1006" s="104"/>
      <c r="G1006" s="104"/>
      <c r="H1006" s="104"/>
      <c r="I1006" s="104"/>
      <c r="J1006" s="104"/>
      <c r="K1006" s="105"/>
      <c r="L1006" s="106"/>
      <c r="M1006" s="104"/>
      <c r="N1006" s="104"/>
      <c r="O1006" s="104"/>
      <c r="P1006" s="104"/>
      <c r="Q1006" s="104"/>
      <c r="R1006" s="106"/>
      <c r="S1006" s="104"/>
      <c r="T1006" s="104"/>
      <c r="U1006" s="104"/>
      <c r="V1006" s="104"/>
      <c r="W1006" s="105"/>
      <c r="X1006" s="104"/>
      <c r="Y1006" s="104"/>
      <c r="Z1006" s="104"/>
      <c r="AA1006" s="104"/>
      <c r="AB1006" s="104"/>
      <c r="AC1006" s="104"/>
      <c r="AD1006" s="104"/>
      <c r="AE1006" s="104"/>
      <c r="AF1006" s="104"/>
      <c r="AG1006" s="104"/>
      <c r="AH1006" s="104"/>
      <c r="AI1006" s="104"/>
      <c r="AJ1006" s="104"/>
      <c r="AK1006" s="104"/>
      <c r="AL1006" s="104"/>
      <c r="AM1006" s="104"/>
      <c r="AN1006" s="104"/>
      <c r="AO1006" s="104"/>
      <c r="AP1006" s="104"/>
      <c r="AQ1006" s="104"/>
      <c r="AR1006" s="104"/>
      <c r="AS1006" s="104"/>
      <c r="AT1006" s="104"/>
      <c r="AU1006" s="104"/>
      <c r="AV1006" s="104"/>
      <c r="AW1006" s="104"/>
      <c r="AX1006" s="104"/>
      <c r="AY1006" s="104"/>
      <c r="AZ1006" s="104"/>
      <c r="BA1006" s="104"/>
      <c r="BB1006" s="104"/>
      <c r="BC1006" s="104"/>
      <c r="BD1006" s="104"/>
      <c r="BE1006" s="104"/>
      <c r="BF1006" s="104"/>
      <c r="BG1006" s="104"/>
      <c r="BH1006" s="104"/>
      <c r="BI1006" s="104"/>
      <c r="BJ1006" s="104"/>
      <c r="BK1006" s="104"/>
      <c r="BL1006" s="104"/>
      <c r="BM1006" s="104"/>
      <c r="BN1006" s="104"/>
    </row>
    <row r="1007">
      <c r="A1007" s="104"/>
      <c r="B1007" s="104"/>
      <c r="C1007" s="104"/>
      <c r="D1007" s="104"/>
      <c r="E1007" s="104"/>
      <c r="F1007" s="104"/>
      <c r="G1007" s="104"/>
      <c r="H1007" s="104"/>
      <c r="I1007" s="104"/>
      <c r="J1007" s="104"/>
      <c r="K1007" s="105"/>
      <c r="L1007" s="106"/>
      <c r="M1007" s="104"/>
      <c r="N1007" s="104"/>
      <c r="O1007" s="104"/>
      <c r="P1007" s="104"/>
      <c r="Q1007" s="104"/>
      <c r="R1007" s="106"/>
      <c r="S1007" s="104"/>
      <c r="T1007" s="104"/>
      <c r="U1007" s="104"/>
      <c r="V1007" s="104"/>
      <c r="W1007" s="105"/>
      <c r="X1007" s="104"/>
      <c r="Y1007" s="104"/>
      <c r="Z1007" s="104"/>
      <c r="AA1007" s="104"/>
      <c r="AB1007" s="104"/>
      <c r="AC1007" s="104"/>
      <c r="AD1007" s="104"/>
      <c r="AE1007" s="104"/>
      <c r="AF1007" s="104"/>
      <c r="AG1007" s="104"/>
      <c r="AH1007" s="104"/>
      <c r="AI1007" s="104"/>
      <c r="AJ1007" s="104"/>
      <c r="AK1007" s="104"/>
      <c r="AL1007" s="104"/>
      <c r="AM1007" s="104"/>
      <c r="AN1007" s="104"/>
      <c r="AO1007" s="104"/>
      <c r="AP1007" s="104"/>
      <c r="AQ1007" s="104"/>
      <c r="AR1007" s="104"/>
      <c r="AS1007" s="104"/>
      <c r="AT1007" s="104"/>
      <c r="AU1007" s="104"/>
      <c r="AV1007" s="104"/>
      <c r="AW1007" s="104"/>
      <c r="AX1007" s="104"/>
      <c r="AY1007" s="104"/>
      <c r="AZ1007" s="104"/>
      <c r="BA1007" s="104"/>
      <c r="BB1007" s="104"/>
      <c r="BC1007" s="104"/>
      <c r="BD1007" s="104"/>
      <c r="BE1007" s="104"/>
      <c r="BF1007" s="104"/>
      <c r="BG1007" s="104"/>
      <c r="BH1007" s="104"/>
      <c r="BI1007" s="104"/>
      <c r="BJ1007" s="104"/>
      <c r="BK1007" s="104"/>
      <c r="BL1007" s="104"/>
      <c r="BM1007" s="104"/>
      <c r="BN1007" s="104"/>
    </row>
    <row r="1008">
      <c r="A1008" s="104"/>
      <c r="B1008" s="104"/>
      <c r="C1008" s="104"/>
      <c r="D1008" s="104"/>
      <c r="E1008" s="104"/>
      <c r="F1008" s="104"/>
      <c r="G1008" s="104"/>
      <c r="H1008" s="104"/>
      <c r="I1008" s="104"/>
      <c r="J1008" s="104"/>
      <c r="K1008" s="105"/>
      <c r="L1008" s="106"/>
      <c r="M1008" s="104"/>
      <c r="N1008" s="104"/>
      <c r="O1008" s="104"/>
      <c r="P1008" s="104"/>
      <c r="Q1008" s="104"/>
      <c r="R1008" s="106"/>
      <c r="S1008" s="104"/>
      <c r="T1008" s="104"/>
      <c r="U1008" s="104"/>
      <c r="V1008" s="104"/>
      <c r="W1008" s="105"/>
      <c r="X1008" s="104"/>
      <c r="Y1008" s="104"/>
      <c r="Z1008" s="104"/>
      <c r="AA1008" s="104"/>
      <c r="AB1008" s="104"/>
      <c r="AC1008" s="104"/>
      <c r="AD1008" s="104"/>
      <c r="AE1008" s="104"/>
      <c r="AF1008" s="104"/>
      <c r="AG1008" s="104"/>
      <c r="AH1008" s="104"/>
      <c r="AI1008" s="104"/>
      <c r="AJ1008" s="104"/>
      <c r="AK1008" s="104"/>
      <c r="AL1008" s="104"/>
      <c r="AM1008" s="104"/>
      <c r="AN1008" s="104"/>
      <c r="AO1008" s="104"/>
      <c r="AP1008" s="104"/>
      <c r="AQ1008" s="104"/>
      <c r="AR1008" s="104"/>
      <c r="AS1008" s="104"/>
      <c r="AT1008" s="104"/>
      <c r="AU1008" s="104"/>
      <c r="AV1008" s="104"/>
      <c r="AW1008" s="104"/>
      <c r="AX1008" s="104"/>
      <c r="AY1008" s="104"/>
      <c r="AZ1008" s="104"/>
      <c r="BA1008" s="104"/>
      <c r="BB1008" s="104"/>
      <c r="BC1008" s="104"/>
      <c r="BD1008" s="104"/>
      <c r="BE1008" s="104"/>
      <c r="BF1008" s="104"/>
      <c r="BG1008" s="104"/>
      <c r="BH1008" s="104"/>
      <c r="BI1008" s="104"/>
      <c r="BJ1008" s="104"/>
      <c r="BK1008" s="104"/>
      <c r="BL1008" s="104"/>
      <c r="BM1008" s="104"/>
      <c r="BN1008" s="104"/>
    </row>
    <row r="1009">
      <c r="A1009" s="104"/>
      <c r="B1009" s="104"/>
      <c r="C1009" s="104"/>
      <c r="D1009" s="104"/>
      <c r="E1009" s="104"/>
      <c r="F1009" s="104"/>
      <c r="G1009" s="104"/>
      <c r="H1009" s="104"/>
      <c r="I1009" s="104"/>
      <c r="J1009" s="104"/>
      <c r="K1009" s="105"/>
      <c r="L1009" s="106"/>
      <c r="M1009" s="104"/>
      <c r="N1009" s="104"/>
      <c r="O1009" s="104"/>
      <c r="P1009" s="104"/>
      <c r="Q1009" s="104"/>
      <c r="R1009" s="106"/>
      <c r="S1009" s="104"/>
      <c r="T1009" s="104"/>
      <c r="U1009" s="104"/>
      <c r="V1009" s="104"/>
      <c r="W1009" s="105"/>
      <c r="X1009" s="104"/>
      <c r="Y1009" s="104"/>
      <c r="Z1009" s="104"/>
      <c r="AA1009" s="104"/>
      <c r="AB1009" s="104"/>
      <c r="AC1009" s="104"/>
      <c r="AD1009" s="104"/>
      <c r="AE1009" s="104"/>
      <c r="AF1009" s="104"/>
      <c r="AG1009" s="104"/>
      <c r="AH1009" s="104"/>
      <c r="AI1009" s="104"/>
      <c r="AJ1009" s="104"/>
      <c r="AK1009" s="104"/>
      <c r="AL1009" s="104"/>
      <c r="AM1009" s="104"/>
      <c r="AN1009" s="104"/>
      <c r="AO1009" s="104"/>
      <c r="AP1009" s="104"/>
      <c r="AQ1009" s="104"/>
      <c r="AR1009" s="104"/>
      <c r="AS1009" s="104"/>
      <c r="AT1009" s="104"/>
      <c r="AU1009" s="104"/>
      <c r="AV1009" s="104"/>
      <c r="AW1009" s="104"/>
      <c r="AX1009" s="104"/>
      <c r="AY1009" s="104"/>
      <c r="AZ1009" s="104"/>
      <c r="BA1009" s="104"/>
      <c r="BB1009" s="104"/>
      <c r="BC1009" s="104"/>
      <c r="BD1009" s="104"/>
      <c r="BE1009" s="104"/>
      <c r="BF1009" s="104"/>
      <c r="BG1009" s="104"/>
      <c r="BH1009" s="104"/>
      <c r="BI1009" s="104"/>
      <c r="BJ1009" s="104"/>
      <c r="BK1009" s="104"/>
      <c r="BL1009" s="104"/>
      <c r="BM1009" s="104"/>
      <c r="BN1009" s="104"/>
    </row>
  </sheetData>
  <hyperlinks>
    <hyperlink r:id="rId1" ref="J11"/>
    <hyperlink r:id="rId2" ref="V11"/>
    <hyperlink r:id="rId3" ref="AH11"/>
    <hyperlink r:id="rId4" ref="AT11"/>
    <hyperlink r:id="rId5" ref="J12"/>
    <hyperlink r:id="rId6" ref="V12"/>
    <hyperlink r:id="rId7" ref="AH12"/>
    <hyperlink r:id="rId8" ref="AT12"/>
    <hyperlink r:id="rId9" ref="J13"/>
    <hyperlink r:id="rId10" ref="V13"/>
    <hyperlink r:id="rId11" ref="AH13"/>
    <hyperlink r:id="rId12" ref="AT13"/>
    <hyperlink r:id="rId13" ref="J14"/>
    <hyperlink r:id="rId14" ref="V14"/>
    <hyperlink r:id="rId15" ref="AH14"/>
    <hyperlink r:id="rId16" ref="AT14"/>
    <hyperlink r:id="rId17" ref="J15"/>
    <hyperlink r:id="rId18" ref="V15"/>
    <hyperlink r:id="rId19" ref="AH15"/>
    <hyperlink r:id="rId20" ref="AT15"/>
    <hyperlink r:id="rId21" ref="J16"/>
    <hyperlink r:id="rId22" ref="V16"/>
    <hyperlink r:id="rId23" ref="AH16"/>
    <hyperlink r:id="rId24" ref="AT16"/>
    <hyperlink r:id="rId25" ref="J17"/>
    <hyperlink r:id="rId26" ref="V17"/>
    <hyperlink r:id="rId27" ref="AH17"/>
    <hyperlink r:id="rId28" ref="J18"/>
    <hyperlink r:id="rId29" ref="V18"/>
    <hyperlink r:id="rId30" ref="AH18"/>
    <hyperlink r:id="rId31" ref="J19"/>
    <hyperlink r:id="rId32" ref="V19"/>
    <hyperlink r:id="rId33" ref="AH19"/>
    <hyperlink r:id="rId34" ref="J20"/>
    <hyperlink r:id="rId35" ref="V20"/>
    <hyperlink r:id="rId36" ref="AH20"/>
    <hyperlink r:id="rId37" ref="J21"/>
    <hyperlink r:id="rId38" ref="V21"/>
    <hyperlink r:id="rId39" ref="AH21"/>
    <hyperlink r:id="rId40" ref="J22"/>
    <hyperlink r:id="rId41" ref="V22"/>
    <hyperlink r:id="rId42" ref="J23"/>
    <hyperlink r:id="rId43" ref="V23"/>
    <hyperlink r:id="rId44" ref="J24"/>
    <hyperlink r:id="rId45" ref="V24"/>
    <hyperlink r:id="rId46" ref="J25"/>
    <hyperlink r:id="rId47" ref="V25"/>
    <hyperlink r:id="rId48" ref="B28"/>
    <hyperlink r:id="rId49" ref="J29"/>
    <hyperlink r:id="rId50" ref="J30"/>
    <hyperlink r:id="rId51" ref="J31"/>
    <hyperlink r:id="rId52" ref="J32"/>
    <hyperlink r:id="rId53" ref="B36"/>
  </hyperlinks>
  <drawing r:id="rId5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88"/>
    <col customWidth="1" min="2" max="2" width="27.75"/>
  </cols>
  <sheetData>
    <row r="1">
      <c r="A1" s="170" t="s">
        <v>2575</v>
      </c>
      <c r="B1" s="171" t="s">
        <v>2576</v>
      </c>
      <c r="C1" s="170" t="s">
        <v>2577</v>
      </c>
      <c r="D1" s="170" t="s">
        <v>2578</v>
      </c>
      <c r="E1" s="170" t="s">
        <v>2579</v>
      </c>
      <c r="F1" s="170" t="s">
        <v>2580</v>
      </c>
      <c r="G1" s="170" t="s">
        <v>2581</v>
      </c>
      <c r="H1" s="170" t="s">
        <v>2582</v>
      </c>
      <c r="I1" s="171" t="s">
        <v>2583</v>
      </c>
      <c r="J1" s="172"/>
      <c r="K1" s="172"/>
      <c r="L1" s="172"/>
      <c r="M1" s="172"/>
      <c r="N1" s="172"/>
      <c r="O1" s="172"/>
      <c r="P1" s="172"/>
      <c r="Q1" s="172"/>
      <c r="R1" s="172"/>
      <c r="S1" s="172"/>
      <c r="T1" s="172"/>
      <c r="U1" s="172"/>
      <c r="V1" s="172"/>
      <c r="W1" s="172"/>
      <c r="X1" s="172"/>
      <c r="Y1" s="172"/>
      <c r="Z1" s="172"/>
    </row>
    <row r="2">
      <c r="A2" s="170" t="s">
        <v>654</v>
      </c>
      <c r="B2" s="173" t="s">
        <v>2584</v>
      </c>
      <c r="C2" s="174" t="s">
        <v>2585</v>
      </c>
      <c r="D2" s="174">
        <v>1.0</v>
      </c>
      <c r="E2" s="174" t="s">
        <v>2586</v>
      </c>
      <c r="F2" s="174">
        <v>0.1</v>
      </c>
      <c r="G2" s="175">
        <f>3332</f>
        <v>3332</v>
      </c>
      <c r="H2" s="175">
        <f t="shared" ref="H2:H3" si="1">G2*D2</f>
        <v>3332</v>
      </c>
      <c r="I2" s="176" t="s">
        <v>2587</v>
      </c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</row>
    <row r="3">
      <c r="A3" s="172"/>
      <c r="B3" s="177" t="s">
        <v>2588</v>
      </c>
      <c r="C3" s="178" t="s">
        <v>2589</v>
      </c>
      <c r="D3" s="178">
        <v>10.0</v>
      </c>
      <c r="E3" s="178" t="s">
        <v>2586</v>
      </c>
      <c r="F3" s="178">
        <v>0.1</v>
      </c>
      <c r="G3" s="179">
        <v>60.46</v>
      </c>
      <c r="H3" s="178">
        <f t="shared" si="1"/>
        <v>604.6</v>
      </c>
      <c r="I3" s="176" t="s">
        <v>2590</v>
      </c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</row>
    <row r="4">
      <c r="A4" s="172"/>
      <c r="B4" s="177" t="s">
        <v>2591</v>
      </c>
      <c r="C4" s="178" t="s">
        <v>2577</v>
      </c>
      <c r="D4" s="178">
        <v>1.0</v>
      </c>
      <c r="E4" s="178" t="s">
        <v>2592</v>
      </c>
      <c r="F4" s="178">
        <v>100.0</v>
      </c>
      <c r="G4" s="180">
        <v>321400.0</v>
      </c>
      <c r="H4" s="180">
        <f>(G4*D4)/$I$11</f>
        <v>269.1792295</v>
      </c>
      <c r="I4" s="176" t="s">
        <v>2593</v>
      </c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</row>
    <row r="5">
      <c r="A5" s="172"/>
      <c r="B5" s="177" t="s">
        <v>2594</v>
      </c>
      <c r="C5" s="178" t="s">
        <v>2595</v>
      </c>
      <c r="D5" s="178">
        <v>5.0</v>
      </c>
      <c r="E5" s="178" t="s">
        <v>2586</v>
      </c>
      <c r="F5" s="181"/>
      <c r="G5" s="179">
        <v>386.0</v>
      </c>
      <c r="H5" s="180">
        <f t="shared" ref="H5:H7" si="2">G5*D5</f>
        <v>1930</v>
      </c>
      <c r="I5" s="176" t="s">
        <v>2596</v>
      </c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</row>
    <row r="6">
      <c r="A6" s="172"/>
      <c r="B6" s="177" t="s">
        <v>2597</v>
      </c>
      <c r="C6" s="178" t="s">
        <v>2595</v>
      </c>
      <c r="D6" s="178">
        <v>5.0</v>
      </c>
      <c r="E6" s="178" t="s">
        <v>2586</v>
      </c>
      <c r="F6" s="181"/>
      <c r="G6" s="179">
        <v>185.0</v>
      </c>
      <c r="H6" s="180">
        <f t="shared" si="2"/>
        <v>925</v>
      </c>
      <c r="I6" s="176" t="s">
        <v>2598</v>
      </c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</row>
    <row r="7">
      <c r="A7" s="172"/>
      <c r="B7" s="177" t="s">
        <v>2599</v>
      </c>
      <c r="C7" s="178" t="s">
        <v>2595</v>
      </c>
      <c r="D7" s="178">
        <v>10.0</v>
      </c>
      <c r="E7" s="178" t="s">
        <v>2586</v>
      </c>
      <c r="F7" s="181"/>
      <c r="G7" s="179">
        <v>215.0</v>
      </c>
      <c r="H7" s="180">
        <f t="shared" si="2"/>
        <v>2150</v>
      </c>
      <c r="I7" s="176" t="s">
        <v>2600</v>
      </c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</row>
    <row r="8">
      <c r="A8" s="172"/>
      <c r="B8" s="182"/>
      <c r="C8" s="172"/>
      <c r="D8" s="172"/>
      <c r="E8" s="172"/>
      <c r="F8" s="172"/>
      <c r="G8" s="172"/>
      <c r="H8" s="172"/>
      <c r="I8" s="18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</row>
    <row r="9">
      <c r="A9" s="172"/>
      <c r="B9" s="182"/>
      <c r="C9" s="172"/>
      <c r="D9" s="172"/>
      <c r="E9" s="172"/>
      <c r="F9" s="172"/>
      <c r="G9" s="172"/>
      <c r="H9" s="172"/>
      <c r="I9" s="18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</row>
    <row r="10">
      <c r="A10" s="172"/>
      <c r="B10" s="171" t="s">
        <v>2601</v>
      </c>
      <c r="C10" s="183">
        <f>SUM(H3:H7)</f>
        <v>5878.779229</v>
      </c>
      <c r="D10" s="172"/>
      <c r="E10" s="172"/>
      <c r="F10" s="172"/>
      <c r="G10" s="172"/>
      <c r="H10" s="172"/>
      <c r="I10" s="184" t="s">
        <v>2602</v>
      </c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</row>
    <row r="11">
      <c r="A11" s="172"/>
      <c r="B11" s="184" t="s">
        <v>2603</v>
      </c>
      <c r="C11" s="185">
        <f>H3+H5+H6+H7</f>
        <v>5609.6</v>
      </c>
      <c r="D11" s="172"/>
      <c r="E11" s="172"/>
      <c r="F11" s="172"/>
      <c r="G11" s="172"/>
      <c r="H11" s="172"/>
      <c r="I11" s="186">
        <v>1194.0</v>
      </c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</row>
    <row r="12">
      <c r="A12" s="172"/>
      <c r="B12" s="182"/>
      <c r="C12" s="172"/>
      <c r="D12" s="172"/>
      <c r="E12" s="172"/>
      <c r="F12" s="172"/>
      <c r="G12" s="172"/>
      <c r="H12" s="172"/>
      <c r="I12" s="18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</row>
    <row r="13">
      <c r="A13" s="172"/>
      <c r="B13" s="182"/>
      <c r="C13" s="172"/>
      <c r="D13" s="172"/>
      <c r="E13" s="172"/>
      <c r="F13" s="172"/>
      <c r="G13" s="172"/>
      <c r="H13" s="172"/>
      <c r="I13" s="18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</row>
    <row r="14">
      <c r="A14" s="172"/>
      <c r="B14" s="182"/>
      <c r="C14" s="172"/>
      <c r="D14" s="172"/>
      <c r="E14" s="172"/>
      <c r="F14" s="172"/>
      <c r="G14" s="172"/>
      <c r="H14" s="172"/>
      <c r="I14" s="18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</row>
    <row r="15">
      <c r="A15" s="172"/>
      <c r="B15" s="187" t="s">
        <v>2604</v>
      </c>
      <c r="C15" s="172"/>
      <c r="D15" s="172"/>
      <c r="E15" s="172"/>
      <c r="F15" s="172"/>
      <c r="G15" s="172"/>
      <c r="H15" s="172"/>
      <c r="I15" s="18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</row>
    <row r="16">
      <c r="A16" s="172"/>
      <c r="B16" s="182"/>
      <c r="C16" s="172"/>
      <c r="D16" s="172"/>
      <c r="E16" s="172"/>
      <c r="F16" s="172"/>
      <c r="G16" s="172"/>
      <c r="H16" s="172"/>
      <c r="I16" s="18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</row>
    <row r="17">
      <c r="A17" s="172"/>
      <c r="B17" s="182"/>
      <c r="C17" s="172"/>
      <c r="D17" s="172"/>
      <c r="E17" s="172"/>
      <c r="F17" s="172"/>
      <c r="G17" s="172"/>
      <c r="H17" s="172"/>
      <c r="I17" s="18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</row>
    <row r="18">
      <c r="A18" s="172"/>
      <c r="B18" s="182"/>
      <c r="C18" s="172"/>
      <c r="D18" s="172"/>
      <c r="E18" s="172"/>
      <c r="F18" s="172"/>
      <c r="G18" s="172"/>
      <c r="H18" s="172"/>
      <c r="I18" s="18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</row>
    <row r="19">
      <c r="A19" s="172"/>
      <c r="B19" s="182"/>
      <c r="C19" s="172"/>
      <c r="D19" s="172"/>
      <c r="E19" s="172"/>
      <c r="F19" s="172"/>
      <c r="G19" s="172"/>
      <c r="H19" s="172"/>
      <c r="I19" s="18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</row>
    <row r="20">
      <c r="A20" s="172"/>
      <c r="B20" s="182"/>
      <c r="C20" s="172"/>
      <c r="D20" s="172"/>
      <c r="E20" s="172"/>
      <c r="F20" s="172"/>
      <c r="G20" s="172"/>
      <c r="H20" s="172"/>
      <c r="I20" s="18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</row>
    <row r="21">
      <c r="A21" s="172"/>
      <c r="B21" s="182"/>
      <c r="C21" s="172"/>
      <c r="D21" s="172"/>
      <c r="E21" s="172"/>
      <c r="F21" s="172"/>
      <c r="G21" s="172"/>
      <c r="H21" s="172"/>
      <c r="I21" s="18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</row>
    <row r="22">
      <c r="A22" s="172"/>
      <c r="B22" s="182"/>
      <c r="C22" s="172"/>
      <c r="D22" s="172"/>
      <c r="E22" s="172"/>
      <c r="F22" s="172"/>
      <c r="G22" s="172"/>
      <c r="H22" s="172"/>
      <c r="I22" s="18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</row>
    <row r="23">
      <c r="A23" s="172"/>
      <c r="B23" s="182"/>
      <c r="C23" s="172"/>
      <c r="D23" s="172"/>
      <c r="E23" s="172"/>
      <c r="F23" s="172"/>
      <c r="G23" s="172"/>
      <c r="H23" s="172"/>
      <c r="I23" s="18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</row>
    <row r="24">
      <c r="A24" s="172"/>
      <c r="B24" s="182"/>
      <c r="C24" s="172"/>
      <c r="D24" s="172"/>
      <c r="E24" s="172"/>
      <c r="F24" s="172"/>
      <c r="G24" s="172"/>
      <c r="H24" s="172"/>
      <c r="I24" s="18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</row>
    <row r="25">
      <c r="A25" s="172"/>
      <c r="B25" s="182"/>
      <c r="C25" s="172"/>
      <c r="D25" s="172"/>
      <c r="E25" s="172"/>
      <c r="F25" s="172"/>
      <c r="G25" s="172"/>
      <c r="H25" s="172"/>
      <c r="I25" s="18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</row>
    <row r="26">
      <c r="A26" s="172"/>
      <c r="B26" s="182"/>
      <c r="C26" s="172"/>
      <c r="D26" s="172"/>
      <c r="E26" s="172"/>
      <c r="F26" s="172"/>
      <c r="G26" s="172"/>
      <c r="H26" s="172"/>
      <c r="I26" s="18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</row>
    <row r="27">
      <c r="A27" s="172"/>
      <c r="B27" s="182"/>
      <c r="C27" s="172"/>
      <c r="D27" s="172"/>
      <c r="E27" s="172"/>
      <c r="F27" s="172"/>
      <c r="G27" s="172"/>
      <c r="H27" s="172"/>
      <c r="I27" s="18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</row>
    <row r="28">
      <c r="A28" s="172"/>
      <c r="B28" s="182"/>
      <c r="C28" s="172"/>
      <c r="D28" s="172"/>
      <c r="E28" s="172"/>
      <c r="F28" s="172"/>
      <c r="G28" s="172"/>
      <c r="H28" s="172"/>
      <c r="I28" s="18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</row>
    <row r="29">
      <c r="A29" s="172"/>
      <c r="B29" s="182"/>
      <c r="C29" s="172"/>
      <c r="D29" s="172"/>
      <c r="E29" s="172"/>
      <c r="F29" s="172"/>
      <c r="G29" s="172"/>
      <c r="H29" s="172"/>
      <c r="I29" s="18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</row>
    <row r="30">
      <c r="A30" s="172"/>
      <c r="B30" s="182"/>
      <c r="C30" s="172"/>
      <c r="D30" s="172"/>
      <c r="E30" s="172"/>
      <c r="F30" s="172"/>
      <c r="G30" s="172"/>
      <c r="H30" s="172"/>
      <c r="I30" s="18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</row>
    <row r="31">
      <c r="A31" s="172"/>
      <c r="B31" s="182"/>
      <c r="C31" s="172"/>
      <c r="D31" s="172"/>
      <c r="E31" s="172"/>
      <c r="F31" s="172"/>
      <c r="G31" s="172"/>
      <c r="H31" s="172"/>
      <c r="I31" s="18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</row>
    <row r="32">
      <c r="A32" s="172"/>
      <c r="B32" s="182"/>
      <c r="C32" s="172"/>
      <c r="D32" s="172"/>
      <c r="E32" s="172"/>
      <c r="F32" s="172"/>
      <c r="G32" s="172"/>
      <c r="H32" s="172"/>
      <c r="I32" s="18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</row>
    <row r="33">
      <c r="A33" s="172"/>
      <c r="B33" s="182"/>
      <c r="C33" s="172"/>
      <c r="D33" s="172"/>
      <c r="E33" s="172"/>
      <c r="F33" s="172"/>
      <c r="G33" s="172"/>
      <c r="H33" s="172"/>
      <c r="I33" s="18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</row>
    <row r="34">
      <c r="A34" s="172"/>
      <c r="B34" s="182"/>
      <c r="C34" s="172"/>
      <c r="D34" s="172"/>
      <c r="E34" s="172"/>
      <c r="F34" s="172"/>
      <c r="G34" s="172"/>
      <c r="H34" s="172"/>
      <c r="I34" s="18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</row>
    <row r="35">
      <c r="A35" s="172"/>
      <c r="B35" s="182"/>
      <c r="C35" s="172"/>
      <c r="D35" s="172"/>
      <c r="E35" s="172"/>
      <c r="F35" s="172"/>
      <c r="G35" s="172"/>
      <c r="H35" s="172"/>
      <c r="I35" s="18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</row>
    <row r="36">
      <c r="A36" s="172"/>
      <c r="B36" s="182"/>
      <c r="C36" s="172"/>
      <c r="D36" s="172"/>
      <c r="E36" s="172"/>
      <c r="F36" s="172"/>
      <c r="G36" s="172"/>
      <c r="H36" s="172"/>
      <c r="I36" s="18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</row>
    <row r="37">
      <c r="A37" s="172"/>
      <c r="B37" s="182"/>
      <c r="C37" s="172"/>
      <c r="D37" s="172"/>
      <c r="E37" s="172"/>
      <c r="F37" s="172"/>
      <c r="G37" s="172"/>
      <c r="H37" s="172"/>
      <c r="I37" s="18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</row>
    <row r="38">
      <c r="A38" s="172"/>
      <c r="B38" s="182"/>
      <c r="C38" s="172"/>
      <c r="D38" s="172"/>
      <c r="E38" s="172"/>
      <c r="F38" s="172"/>
      <c r="G38" s="172"/>
      <c r="H38" s="172"/>
      <c r="I38" s="18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</row>
    <row r="39">
      <c r="A39" s="172"/>
      <c r="B39" s="182"/>
      <c r="C39" s="172"/>
      <c r="D39" s="172"/>
      <c r="E39" s="172"/>
      <c r="F39" s="172"/>
      <c r="G39" s="172"/>
      <c r="H39" s="172"/>
      <c r="I39" s="18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</row>
    <row r="40">
      <c r="A40" s="172"/>
      <c r="B40" s="182"/>
      <c r="C40" s="172"/>
      <c r="D40" s="172"/>
      <c r="E40" s="172"/>
      <c r="F40" s="172"/>
      <c r="G40" s="172"/>
      <c r="H40" s="172"/>
      <c r="I40" s="18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</row>
    <row r="41">
      <c r="A41" s="172"/>
      <c r="B41" s="182"/>
      <c r="C41" s="172"/>
      <c r="D41" s="172"/>
      <c r="E41" s="172"/>
      <c r="F41" s="172"/>
      <c r="G41" s="172"/>
      <c r="H41" s="172"/>
      <c r="I41" s="18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</row>
    <row r="42">
      <c r="A42" s="172"/>
      <c r="B42" s="182"/>
      <c r="C42" s="172"/>
      <c r="D42" s="172"/>
      <c r="E42" s="172"/>
      <c r="F42" s="172"/>
      <c r="G42" s="172"/>
      <c r="H42" s="172"/>
      <c r="I42" s="18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</row>
    <row r="43">
      <c r="A43" s="172"/>
      <c r="B43" s="182"/>
      <c r="C43" s="172"/>
      <c r="D43" s="172"/>
      <c r="E43" s="172"/>
      <c r="F43" s="172"/>
      <c r="G43" s="172"/>
      <c r="H43" s="172"/>
      <c r="I43" s="18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</row>
    <row r="44">
      <c r="A44" s="172"/>
      <c r="B44" s="182"/>
      <c r="C44" s="172"/>
      <c r="D44" s="172"/>
      <c r="E44" s="172"/>
      <c r="F44" s="172"/>
      <c r="G44" s="172"/>
      <c r="H44" s="172"/>
      <c r="I44" s="18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</row>
    <row r="45">
      <c r="A45" s="172"/>
      <c r="B45" s="182"/>
      <c r="C45" s="172"/>
      <c r="D45" s="172"/>
      <c r="E45" s="172"/>
      <c r="F45" s="172"/>
      <c r="G45" s="172"/>
      <c r="H45" s="172"/>
      <c r="I45" s="18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</row>
    <row r="46">
      <c r="A46" s="172"/>
      <c r="B46" s="182"/>
      <c r="C46" s="172"/>
      <c r="D46" s="172"/>
      <c r="E46" s="172"/>
      <c r="F46" s="172"/>
      <c r="G46" s="172"/>
      <c r="H46" s="172"/>
      <c r="I46" s="18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</row>
    <row r="47">
      <c r="A47" s="172"/>
      <c r="B47" s="182"/>
      <c r="C47" s="172"/>
      <c r="D47" s="172"/>
      <c r="E47" s="172"/>
      <c r="F47" s="172"/>
      <c r="G47" s="172"/>
      <c r="H47" s="172"/>
      <c r="I47" s="18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</row>
    <row r="48">
      <c r="A48" s="172"/>
      <c r="B48" s="182"/>
      <c r="C48" s="172"/>
      <c r="D48" s="172"/>
      <c r="E48" s="172"/>
      <c r="F48" s="172"/>
      <c r="G48" s="172"/>
      <c r="H48" s="172"/>
      <c r="I48" s="182"/>
      <c r="J48" s="172"/>
      <c r="K48" s="172"/>
      <c r="L48" s="172"/>
      <c r="M48" s="172"/>
      <c r="N48" s="172"/>
      <c r="O48" s="172"/>
      <c r="P48" s="172"/>
      <c r="Q48" s="172"/>
      <c r="R48" s="172"/>
      <c r="S48" s="172"/>
      <c r="T48" s="172"/>
      <c r="U48" s="172"/>
      <c r="V48" s="172"/>
      <c r="W48" s="172"/>
      <c r="X48" s="172"/>
      <c r="Y48" s="172"/>
      <c r="Z48" s="172"/>
    </row>
    <row r="49">
      <c r="A49" s="172"/>
      <c r="B49" s="182"/>
      <c r="C49" s="172"/>
      <c r="D49" s="172"/>
      <c r="E49" s="172"/>
      <c r="F49" s="172"/>
      <c r="G49" s="172"/>
      <c r="H49" s="172"/>
      <c r="I49" s="182"/>
      <c r="J49" s="172"/>
      <c r="K49" s="172"/>
      <c r="L49" s="172"/>
      <c r="M49" s="172"/>
      <c r="N49" s="172"/>
      <c r="O49" s="172"/>
      <c r="P49" s="172"/>
      <c r="Q49" s="172"/>
      <c r="R49" s="172"/>
      <c r="S49" s="172"/>
      <c r="T49" s="172"/>
      <c r="U49" s="172"/>
      <c r="V49" s="172"/>
      <c r="W49" s="172"/>
      <c r="X49" s="172"/>
      <c r="Y49" s="172"/>
      <c r="Z49" s="172"/>
    </row>
    <row r="50">
      <c r="A50" s="172"/>
      <c r="B50" s="182"/>
      <c r="C50" s="172"/>
      <c r="D50" s="172"/>
      <c r="E50" s="172"/>
      <c r="F50" s="172"/>
      <c r="G50" s="172"/>
      <c r="H50" s="172"/>
      <c r="I50" s="182"/>
      <c r="J50" s="172"/>
      <c r="K50" s="172"/>
      <c r="L50" s="172"/>
      <c r="M50" s="172"/>
      <c r="N50" s="172"/>
      <c r="O50" s="172"/>
      <c r="P50" s="172"/>
      <c r="Q50" s="172"/>
      <c r="R50" s="172"/>
      <c r="S50" s="172"/>
      <c r="T50" s="172"/>
      <c r="U50" s="172"/>
      <c r="V50" s="172"/>
      <c r="W50" s="172"/>
      <c r="X50" s="172"/>
      <c r="Y50" s="172"/>
      <c r="Z50" s="172"/>
    </row>
    <row r="51">
      <c r="A51" s="172"/>
      <c r="B51" s="182"/>
      <c r="C51" s="172"/>
      <c r="D51" s="172"/>
      <c r="E51" s="172"/>
      <c r="F51" s="172"/>
      <c r="G51" s="172"/>
      <c r="H51" s="172"/>
      <c r="I51" s="182"/>
      <c r="J51" s="172"/>
      <c r="K51" s="172"/>
      <c r="L51" s="172"/>
      <c r="M51" s="172"/>
      <c r="N51" s="172"/>
      <c r="O51" s="172"/>
      <c r="P51" s="172"/>
      <c r="Q51" s="172"/>
      <c r="R51" s="172"/>
      <c r="S51" s="172"/>
      <c r="T51" s="172"/>
      <c r="U51" s="172"/>
      <c r="V51" s="172"/>
      <c r="W51" s="172"/>
      <c r="X51" s="172"/>
      <c r="Y51" s="172"/>
      <c r="Z51" s="172"/>
    </row>
    <row r="52">
      <c r="A52" s="172"/>
      <c r="B52" s="182"/>
      <c r="C52" s="172"/>
      <c r="D52" s="172"/>
      <c r="E52" s="172"/>
      <c r="F52" s="172"/>
      <c r="G52" s="172"/>
      <c r="H52" s="172"/>
      <c r="I52" s="182"/>
      <c r="J52" s="172"/>
      <c r="K52" s="172"/>
      <c r="L52" s="172"/>
      <c r="M52" s="172"/>
      <c r="N52" s="172"/>
      <c r="O52" s="172"/>
      <c r="P52" s="172"/>
      <c r="Q52" s="172"/>
      <c r="R52" s="172"/>
      <c r="S52" s="172"/>
      <c r="T52" s="172"/>
      <c r="U52" s="172"/>
      <c r="V52" s="172"/>
      <c r="W52" s="172"/>
      <c r="X52" s="172"/>
      <c r="Y52" s="172"/>
      <c r="Z52" s="172"/>
    </row>
    <row r="53">
      <c r="A53" s="172"/>
      <c r="B53" s="182"/>
      <c r="C53" s="172"/>
      <c r="D53" s="172"/>
      <c r="E53" s="172"/>
      <c r="F53" s="172"/>
      <c r="G53" s="172"/>
      <c r="H53" s="172"/>
      <c r="I53" s="182"/>
      <c r="J53" s="172"/>
      <c r="K53" s="172"/>
      <c r="L53" s="172"/>
      <c r="M53" s="172"/>
      <c r="N53" s="172"/>
      <c r="O53" s="172"/>
      <c r="P53" s="172"/>
      <c r="Q53" s="172"/>
      <c r="R53" s="172"/>
      <c r="S53" s="172"/>
      <c r="T53" s="172"/>
      <c r="U53" s="172"/>
      <c r="V53" s="172"/>
      <c r="W53" s="172"/>
      <c r="X53" s="172"/>
      <c r="Y53" s="172"/>
      <c r="Z53" s="172"/>
    </row>
    <row r="54">
      <c r="A54" s="172"/>
      <c r="B54" s="182"/>
      <c r="C54" s="172"/>
      <c r="D54" s="172"/>
      <c r="E54" s="172"/>
      <c r="F54" s="172"/>
      <c r="G54" s="172"/>
      <c r="H54" s="172"/>
      <c r="I54" s="18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</row>
    <row r="55">
      <c r="A55" s="172"/>
      <c r="B55" s="182"/>
      <c r="C55" s="172"/>
      <c r="D55" s="172"/>
      <c r="E55" s="172"/>
      <c r="F55" s="172"/>
      <c r="G55" s="172"/>
      <c r="H55" s="172"/>
      <c r="I55" s="182"/>
      <c r="J55" s="172"/>
      <c r="K55" s="172"/>
      <c r="L55" s="172"/>
      <c r="M55" s="172"/>
      <c r="N55" s="172"/>
      <c r="O55" s="172"/>
      <c r="P55" s="172"/>
      <c r="Q55" s="172"/>
      <c r="R55" s="172"/>
      <c r="S55" s="172"/>
      <c r="T55" s="172"/>
      <c r="U55" s="172"/>
      <c r="V55" s="172"/>
      <c r="W55" s="172"/>
      <c r="X55" s="172"/>
      <c r="Y55" s="172"/>
      <c r="Z55" s="172"/>
    </row>
    <row r="56">
      <c r="A56" s="172"/>
      <c r="B56" s="182"/>
      <c r="C56" s="172"/>
      <c r="D56" s="172"/>
      <c r="E56" s="172"/>
      <c r="F56" s="172"/>
      <c r="G56" s="172"/>
      <c r="H56" s="172"/>
      <c r="I56" s="182"/>
      <c r="J56" s="172"/>
      <c r="K56" s="172"/>
      <c r="L56" s="172"/>
      <c r="M56" s="172"/>
      <c r="N56" s="172"/>
      <c r="O56" s="172"/>
      <c r="P56" s="172"/>
      <c r="Q56" s="172"/>
      <c r="R56" s="172"/>
      <c r="S56" s="172"/>
      <c r="T56" s="172"/>
      <c r="U56" s="172"/>
      <c r="V56" s="172"/>
      <c r="W56" s="172"/>
      <c r="X56" s="172"/>
      <c r="Y56" s="172"/>
      <c r="Z56" s="172"/>
    </row>
    <row r="57">
      <c r="A57" s="172"/>
      <c r="B57" s="182"/>
      <c r="C57" s="172"/>
      <c r="D57" s="172"/>
      <c r="E57" s="172"/>
      <c r="F57" s="172"/>
      <c r="G57" s="172"/>
      <c r="H57" s="172"/>
      <c r="I57" s="182"/>
      <c r="J57" s="172"/>
      <c r="K57" s="172"/>
      <c r="L57" s="172"/>
      <c r="M57" s="172"/>
      <c r="N57" s="172"/>
      <c r="O57" s="172"/>
      <c r="P57" s="172"/>
      <c r="Q57" s="172"/>
      <c r="R57" s="172"/>
      <c r="S57" s="172"/>
      <c r="T57" s="172"/>
      <c r="U57" s="172"/>
      <c r="V57" s="172"/>
      <c r="W57" s="172"/>
      <c r="X57" s="172"/>
      <c r="Y57" s="172"/>
      <c r="Z57" s="172"/>
    </row>
    <row r="58">
      <c r="A58" s="172"/>
      <c r="B58" s="182"/>
      <c r="C58" s="172"/>
      <c r="D58" s="172"/>
      <c r="E58" s="172"/>
      <c r="F58" s="172"/>
      <c r="G58" s="172"/>
      <c r="H58" s="172"/>
      <c r="I58" s="182"/>
      <c r="J58" s="172"/>
      <c r="K58" s="172"/>
      <c r="L58" s="172"/>
      <c r="M58" s="172"/>
      <c r="N58" s="172"/>
      <c r="O58" s="172"/>
      <c r="P58" s="172"/>
      <c r="Q58" s="172"/>
      <c r="R58" s="172"/>
      <c r="S58" s="172"/>
      <c r="T58" s="172"/>
      <c r="U58" s="172"/>
      <c r="V58" s="172"/>
      <c r="W58" s="172"/>
      <c r="X58" s="172"/>
      <c r="Y58" s="172"/>
      <c r="Z58" s="172"/>
    </row>
    <row r="59">
      <c r="A59" s="172"/>
      <c r="B59" s="182"/>
      <c r="C59" s="172"/>
      <c r="D59" s="172"/>
      <c r="E59" s="172"/>
      <c r="F59" s="172"/>
      <c r="G59" s="172"/>
      <c r="H59" s="172"/>
      <c r="I59" s="182"/>
      <c r="J59" s="172"/>
      <c r="K59" s="172"/>
      <c r="L59" s="172"/>
      <c r="M59" s="172"/>
      <c r="N59" s="172"/>
      <c r="O59" s="172"/>
      <c r="P59" s="172"/>
      <c r="Q59" s="172"/>
      <c r="R59" s="172"/>
      <c r="S59" s="172"/>
      <c r="T59" s="172"/>
      <c r="U59" s="172"/>
      <c r="V59" s="172"/>
      <c r="W59" s="172"/>
      <c r="X59" s="172"/>
      <c r="Y59" s="172"/>
      <c r="Z59" s="172"/>
    </row>
    <row r="60">
      <c r="A60" s="172"/>
      <c r="B60" s="182"/>
      <c r="C60" s="172"/>
      <c r="D60" s="172"/>
      <c r="E60" s="172"/>
      <c r="F60" s="172"/>
      <c r="G60" s="172"/>
      <c r="H60" s="172"/>
      <c r="I60" s="182"/>
      <c r="J60" s="172"/>
      <c r="K60" s="172"/>
      <c r="L60" s="172"/>
      <c r="M60" s="172"/>
      <c r="N60" s="172"/>
      <c r="O60" s="172"/>
      <c r="P60" s="172"/>
      <c r="Q60" s="172"/>
      <c r="R60" s="172"/>
      <c r="S60" s="172"/>
      <c r="T60" s="172"/>
      <c r="U60" s="172"/>
      <c r="V60" s="172"/>
      <c r="W60" s="172"/>
      <c r="X60" s="172"/>
      <c r="Y60" s="172"/>
      <c r="Z60" s="172"/>
    </row>
    <row r="61">
      <c r="A61" s="172"/>
      <c r="B61" s="182"/>
      <c r="C61" s="172"/>
      <c r="D61" s="172"/>
      <c r="E61" s="172"/>
      <c r="F61" s="172"/>
      <c r="G61" s="172"/>
      <c r="H61" s="172"/>
      <c r="I61" s="182"/>
      <c r="J61" s="172"/>
      <c r="K61" s="172"/>
      <c r="L61" s="172"/>
      <c r="M61" s="172"/>
      <c r="N61" s="172"/>
      <c r="O61" s="172"/>
      <c r="P61" s="172"/>
      <c r="Q61" s="172"/>
      <c r="R61" s="172"/>
      <c r="S61" s="172"/>
      <c r="T61" s="172"/>
      <c r="U61" s="172"/>
      <c r="V61" s="172"/>
      <c r="W61" s="172"/>
      <c r="X61" s="172"/>
      <c r="Y61" s="172"/>
      <c r="Z61" s="172"/>
    </row>
    <row r="62">
      <c r="A62" s="172"/>
      <c r="B62" s="182"/>
      <c r="C62" s="172"/>
      <c r="D62" s="172"/>
      <c r="E62" s="172"/>
      <c r="F62" s="172"/>
      <c r="G62" s="172"/>
      <c r="H62" s="172"/>
      <c r="I62" s="18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</row>
    <row r="63">
      <c r="A63" s="172"/>
      <c r="B63" s="182"/>
      <c r="C63" s="172"/>
      <c r="D63" s="172"/>
      <c r="E63" s="172"/>
      <c r="F63" s="172"/>
      <c r="G63" s="172"/>
      <c r="H63" s="172"/>
      <c r="I63" s="182"/>
      <c r="J63" s="172"/>
      <c r="K63" s="172"/>
      <c r="L63" s="172"/>
      <c r="M63" s="172"/>
      <c r="N63" s="172"/>
      <c r="O63" s="172"/>
      <c r="P63" s="172"/>
      <c r="Q63" s="172"/>
      <c r="R63" s="172"/>
      <c r="S63" s="172"/>
      <c r="T63" s="172"/>
      <c r="U63" s="172"/>
      <c r="V63" s="172"/>
      <c r="W63" s="172"/>
      <c r="X63" s="172"/>
      <c r="Y63" s="172"/>
      <c r="Z63" s="172"/>
    </row>
    <row r="64">
      <c r="A64" s="172"/>
      <c r="B64" s="182"/>
      <c r="C64" s="172"/>
      <c r="D64" s="172"/>
      <c r="E64" s="172"/>
      <c r="F64" s="172"/>
      <c r="G64" s="172"/>
      <c r="H64" s="172"/>
      <c r="I64" s="182"/>
      <c r="J64" s="172"/>
      <c r="K64" s="172"/>
      <c r="L64" s="172"/>
      <c r="M64" s="172"/>
      <c r="N64" s="172"/>
      <c r="O64" s="172"/>
      <c r="P64" s="172"/>
      <c r="Q64" s="172"/>
      <c r="R64" s="172"/>
      <c r="S64" s="172"/>
      <c r="T64" s="172"/>
      <c r="U64" s="172"/>
      <c r="V64" s="172"/>
      <c r="W64" s="172"/>
      <c r="X64" s="172"/>
      <c r="Y64" s="172"/>
      <c r="Z64" s="172"/>
    </row>
    <row r="65">
      <c r="A65" s="172"/>
      <c r="B65" s="182"/>
      <c r="C65" s="172"/>
      <c r="D65" s="172"/>
      <c r="E65" s="172"/>
      <c r="F65" s="172"/>
      <c r="G65" s="172"/>
      <c r="H65" s="172"/>
      <c r="I65" s="182"/>
      <c r="J65" s="172"/>
      <c r="K65" s="172"/>
      <c r="L65" s="172"/>
      <c r="M65" s="172"/>
      <c r="N65" s="172"/>
      <c r="O65" s="172"/>
      <c r="P65" s="172"/>
      <c r="Q65" s="172"/>
      <c r="R65" s="172"/>
      <c r="S65" s="172"/>
      <c r="T65" s="172"/>
      <c r="U65" s="172"/>
      <c r="V65" s="172"/>
      <c r="W65" s="172"/>
      <c r="X65" s="172"/>
      <c r="Y65" s="172"/>
      <c r="Z65" s="172"/>
    </row>
    <row r="66">
      <c r="A66" s="172"/>
      <c r="B66" s="182"/>
      <c r="C66" s="172"/>
      <c r="D66" s="172"/>
      <c r="E66" s="172"/>
      <c r="F66" s="172"/>
      <c r="G66" s="172"/>
      <c r="H66" s="172"/>
      <c r="I66" s="182"/>
      <c r="J66" s="172"/>
      <c r="K66" s="172"/>
      <c r="L66" s="172"/>
      <c r="M66" s="172"/>
      <c r="N66" s="172"/>
      <c r="O66" s="172"/>
      <c r="P66" s="172"/>
      <c r="Q66" s="172"/>
      <c r="R66" s="172"/>
      <c r="S66" s="172"/>
      <c r="T66" s="172"/>
      <c r="U66" s="172"/>
      <c r="V66" s="172"/>
      <c r="W66" s="172"/>
      <c r="X66" s="172"/>
      <c r="Y66" s="172"/>
      <c r="Z66" s="172"/>
    </row>
    <row r="67">
      <c r="A67" s="172"/>
      <c r="B67" s="182"/>
      <c r="C67" s="172"/>
      <c r="D67" s="172"/>
      <c r="E67" s="172"/>
      <c r="F67" s="172"/>
      <c r="G67" s="172"/>
      <c r="H67" s="172"/>
      <c r="I67" s="182"/>
      <c r="J67" s="172"/>
      <c r="K67" s="172"/>
      <c r="L67" s="172"/>
      <c r="M67" s="172"/>
      <c r="N67" s="172"/>
      <c r="O67" s="172"/>
      <c r="P67" s="172"/>
      <c r="Q67" s="172"/>
      <c r="R67" s="172"/>
      <c r="S67" s="172"/>
      <c r="T67" s="172"/>
      <c r="U67" s="172"/>
      <c r="V67" s="172"/>
      <c r="W67" s="172"/>
      <c r="X67" s="172"/>
      <c r="Y67" s="172"/>
      <c r="Z67" s="172"/>
    </row>
    <row r="68">
      <c r="A68" s="172"/>
      <c r="B68" s="182"/>
      <c r="C68" s="172"/>
      <c r="D68" s="172"/>
      <c r="E68" s="172"/>
      <c r="F68" s="172"/>
      <c r="G68" s="172"/>
      <c r="H68" s="172"/>
      <c r="I68" s="182"/>
      <c r="J68" s="172"/>
      <c r="K68" s="172"/>
      <c r="L68" s="172"/>
      <c r="M68" s="172"/>
      <c r="N68" s="172"/>
      <c r="O68" s="172"/>
      <c r="P68" s="172"/>
      <c r="Q68" s="172"/>
      <c r="R68" s="172"/>
      <c r="S68" s="172"/>
      <c r="T68" s="172"/>
      <c r="U68" s="172"/>
      <c r="V68" s="172"/>
      <c r="W68" s="172"/>
      <c r="X68" s="172"/>
      <c r="Y68" s="172"/>
      <c r="Z68" s="172"/>
    </row>
    <row r="69">
      <c r="A69" s="172"/>
      <c r="B69" s="182"/>
      <c r="C69" s="172"/>
      <c r="D69" s="172"/>
      <c r="E69" s="172"/>
      <c r="F69" s="172"/>
      <c r="G69" s="172"/>
      <c r="H69" s="172"/>
      <c r="I69" s="182"/>
      <c r="J69" s="172"/>
      <c r="K69" s="172"/>
      <c r="L69" s="172"/>
      <c r="M69" s="172"/>
      <c r="N69" s="172"/>
      <c r="O69" s="172"/>
      <c r="P69" s="172"/>
      <c r="Q69" s="172"/>
      <c r="R69" s="172"/>
      <c r="S69" s="172"/>
      <c r="T69" s="172"/>
      <c r="U69" s="172"/>
      <c r="V69" s="172"/>
      <c r="W69" s="172"/>
      <c r="X69" s="172"/>
      <c r="Y69" s="172"/>
      <c r="Z69" s="172"/>
    </row>
    <row r="70">
      <c r="A70" s="172"/>
      <c r="B70" s="182"/>
      <c r="C70" s="172"/>
      <c r="D70" s="172"/>
      <c r="E70" s="172"/>
      <c r="F70" s="172"/>
      <c r="G70" s="172"/>
      <c r="H70" s="172"/>
      <c r="I70" s="182"/>
      <c r="J70" s="172"/>
      <c r="K70" s="172"/>
      <c r="L70" s="172"/>
      <c r="M70" s="172"/>
      <c r="N70" s="172"/>
      <c r="O70" s="172"/>
      <c r="P70" s="172"/>
      <c r="Q70" s="172"/>
      <c r="R70" s="172"/>
      <c r="S70" s="172"/>
      <c r="T70" s="172"/>
      <c r="U70" s="172"/>
      <c r="V70" s="172"/>
      <c r="W70" s="172"/>
      <c r="X70" s="172"/>
      <c r="Y70" s="172"/>
      <c r="Z70" s="172"/>
    </row>
    <row r="71">
      <c r="A71" s="172"/>
      <c r="B71" s="182"/>
      <c r="C71" s="172"/>
      <c r="D71" s="172"/>
      <c r="E71" s="172"/>
      <c r="F71" s="172"/>
      <c r="G71" s="172"/>
      <c r="H71" s="172"/>
      <c r="I71" s="182"/>
      <c r="J71" s="172"/>
      <c r="K71" s="172"/>
      <c r="L71" s="172"/>
      <c r="M71" s="172"/>
      <c r="N71" s="172"/>
      <c r="O71" s="172"/>
      <c r="P71" s="172"/>
      <c r="Q71" s="172"/>
      <c r="R71" s="172"/>
      <c r="S71" s="172"/>
      <c r="T71" s="172"/>
      <c r="U71" s="172"/>
      <c r="V71" s="172"/>
      <c r="W71" s="172"/>
      <c r="X71" s="172"/>
      <c r="Y71" s="172"/>
      <c r="Z71" s="172"/>
    </row>
    <row r="72">
      <c r="A72" s="172"/>
      <c r="B72" s="182"/>
      <c r="C72" s="172"/>
      <c r="D72" s="172"/>
      <c r="E72" s="172"/>
      <c r="F72" s="172"/>
      <c r="G72" s="172"/>
      <c r="H72" s="172"/>
      <c r="I72" s="182"/>
      <c r="J72" s="172"/>
      <c r="K72" s="172"/>
      <c r="L72" s="172"/>
      <c r="M72" s="172"/>
      <c r="N72" s="172"/>
      <c r="O72" s="172"/>
      <c r="P72" s="172"/>
      <c r="Q72" s="172"/>
      <c r="R72" s="172"/>
      <c r="S72" s="172"/>
      <c r="T72" s="172"/>
      <c r="U72" s="172"/>
      <c r="V72" s="172"/>
      <c r="W72" s="172"/>
      <c r="X72" s="172"/>
      <c r="Y72" s="172"/>
      <c r="Z72" s="172"/>
    </row>
    <row r="73">
      <c r="A73" s="172"/>
      <c r="B73" s="182"/>
      <c r="C73" s="172"/>
      <c r="D73" s="172"/>
      <c r="E73" s="172"/>
      <c r="F73" s="172"/>
      <c r="G73" s="172"/>
      <c r="H73" s="172"/>
      <c r="I73" s="18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</row>
    <row r="74">
      <c r="A74" s="172"/>
      <c r="B74" s="182"/>
      <c r="C74" s="172"/>
      <c r="D74" s="172"/>
      <c r="E74" s="172"/>
      <c r="F74" s="172"/>
      <c r="G74" s="172"/>
      <c r="H74" s="172"/>
      <c r="I74" s="18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</row>
    <row r="75">
      <c r="A75" s="172"/>
      <c r="B75" s="182"/>
      <c r="C75" s="172"/>
      <c r="D75" s="172"/>
      <c r="E75" s="172"/>
      <c r="F75" s="172"/>
      <c r="G75" s="172"/>
      <c r="H75" s="172"/>
      <c r="I75" s="182"/>
      <c r="J75" s="172"/>
      <c r="K75" s="172"/>
      <c r="L75" s="172"/>
      <c r="M75" s="172"/>
      <c r="N75" s="172"/>
      <c r="O75" s="172"/>
      <c r="P75" s="172"/>
      <c r="Q75" s="172"/>
      <c r="R75" s="172"/>
      <c r="S75" s="172"/>
      <c r="T75" s="172"/>
      <c r="U75" s="172"/>
      <c r="V75" s="172"/>
      <c r="W75" s="172"/>
      <c r="X75" s="172"/>
      <c r="Y75" s="172"/>
      <c r="Z75" s="172"/>
    </row>
    <row r="76">
      <c r="A76" s="172"/>
      <c r="B76" s="182"/>
      <c r="C76" s="172"/>
      <c r="D76" s="172"/>
      <c r="E76" s="172"/>
      <c r="F76" s="172"/>
      <c r="G76" s="172"/>
      <c r="H76" s="172"/>
      <c r="I76" s="182"/>
      <c r="J76" s="172"/>
      <c r="K76" s="172"/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  <c r="X76" s="172"/>
      <c r="Y76" s="172"/>
      <c r="Z76" s="172"/>
    </row>
    <row r="77">
      <c r="A77" s="172"/>
      <c r="B77" s="182"/>
      <c r="C77" s="172"/>
      <c r="D77" s="172"/>
      <c r="E77" s="172"/>
      <c r="F77" s="172"/>
      <c r="G77" s="172"/>
      <c r="H77" s="172"/>
      <c r="I77" s="182"/>
      <c r="J77" s="172"/>
      <c r="K77" s="172"/>
      <c r="L77" s="172"/>
      <c r="M77" s="172"/>
      <c r="N77" s="172"/>
      <c r="O77" s="172"/>
      <c r="P77" s="172"/>
      <c r="Q77" s="172"/>
      <c r="R77" s="172"/>
      <c r="S77" s="172"/>
      <c r="T77" s="172"/>
      <c r="U77" s="172"/>
      <c r="V77" s="172"/>
      <c r="W77" s="172"/>
      <c r="X77" s="172"/>
      <c r="Y77" s="172"/>
      <c r="Z77" s="172"/>
    </row>
    <row r="78">
      <c r="A78" s="172"/>
      <c r="B78" s="182"/>
      <c r="C78" s="172"/>
      <c r="D78" s="172"/>
      <c r="E78" s="172"/>
      <c r="F78" s="172"/>
      <c r="G78" s="172"/>
      <c r="H78" s="172"/>
      <c r="I78" s="182"/>
      <c r="J78" s="172"/>
      <c r="K78" s="172"/>
      <c r="L78" s="172"/>
      <c r="M78" s="172"/>
      <c r="N78" s="172"/>
      <c r="O78" s="172"/>
      <c r="P78" s="172"/>
      <c r="Q78" s="172"/>
      <c r="R78" s="172"/>
      <c r="S78" s="172"/>
      <c r="T78" s="172"/>
      <c r="U78" s="172"/>
      <c r="V78" s="172"/>
      <c r="W78" s="172"/>
      <c r="X78" s="172"/>
      <c r="Y78" s="172"/>
      <c r="Z78" s="172"/>
    </row>
    <row r="79">
      <c r="A79" s="172"/>
      <c r="B79" s="182"/>
      <c r="C79" s="172"/>
      <c r="D79" s="172"/>
      <c r="E79" s="172"/>
      <c r="F79" s="172"/>
      <c r="G79" s="172"/>
      <c r="H79" s="172"/>
      <c r="I79" s="182"/>
      <c r="J79" s="172"/>
      <c r="K79" s="172"/>
      <c r="L79" s="172"/>
      <c r="M79" s="172"/>
      <c r="N79" s="172"/>
      <c r="O79" s="172"/>
      <c r="P79" s="172"/>
      <c r="Q79" s="172"/>
      <c r="R79" s="172"/>
      <c r="S79" s="172"/>
      <c r="T79" s="172"/>
      <c r="U79" s="172"/>
      <c r="V79" s="172"/>
      <c r="W79" s="172"/>
      <c r="X79" s="172"/>
      <c r="Y79" s="172"/>
      <c r="Z79" s="172"/>
    </row>
    <row r="80">
      <c r="A80" s="172"/>
      <c r="B80" s="182"/>
      <c r="C80" s="172"/>
      <c r="D80" s="172"/>
      <c r="E80" s="172"/>
      <c r="F80" s="172"/>
      <c r="G80" s="172"/>
      <c r="H80" s="172"/>
      <c r="I80" s="182"/>
      <c r="J80" s="172"/>
      <c r="K80" s="172"/>
      <c r="L80" s="172"/>
      <c r="M80" s="172"/>
      <c r="N80" s="172"/>
      <c r="O80" s="172"/>
      <c r="P80" s="172"/>
      <c r="Q80" s="172"/>
      <c r="R80" s="172"/>
      <c r="S80" s="172"/>
      <c r="T80" s="172"/>
      <c r="U80" s="172"/>
      <c r="V80" s="172"/>
      <c r="W80" s="172"/>
      <c r="X80" s="172"/>
      <c r="Y80" s="172"/>
      <c r="Z80" s="172"/>
    </row>
    <row r="81">
      <c r="A81" s="172"/>
      <c r="B81" s="182"/>
      <c r="C81" s="172"/>
      <c r="D81" s="172"/>
      <c r="E81" s="172"/>
      <c r="F81" s="172"/>
      <c r="G81" s="172"/>
      <c r="H81" s="172"/>
      <c r="I81" s="182"/>
      <c r="J81" s="172"/>
      <c r="K81" s="172"/>
      <c r="L81" s="172"/>
      <c r="M81" s="172"/>
      <c r="N81" s="172"/>
      <c r="O81" s="172"/>
      <c r="P81" s="172"/>
      <c r="Q81" s="172"/>
      <c r="R81" s="172"/>
      <c r="S81" s="172"/>
      <c r="T81" s="172"/>
      <c r="U81" s="172"/>
      <c r="V81" s="172"/>
      <c r="W81" s="172"/>
      <c r="X81" s="172"/>
      <c r="Y81" s="172"/>
      <c r="Z81" s="172"/>
    </row>
    <row r="82">
      <c r="A82" s="172"/>
      <c r="B82" s="182"/>
      <c r="C82" s="172"/>
      <c r="D82" s="172"/>
      <c r="E82" s="172"/>
      <c r="F82" s="172"/>
      <c r="G82" s="172"/>
      <c r="H82" s="172"/>
      <c r="I82" s="18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</row>
    <row r="83">
      <c r="A83" s="172"/>
      <c r="B83" s="182"/>
      <c r="C83" s="172"/>
      <c r="D83" s="172"/>
      <c r="E83" s="172"/>
      <c r="F83" s="172"/>
      <c r="G83" s="172"/>
      <c r="H83" s="172"/>
      <c r="I83" s="182"/>
      <c r="J83" s="172"/>
      <c r="K83" s="172"/>
      <c r="L83" s="172"/>
      <c r="M83" s="172"/>
      <c r="N83" s="172"/>
      <c r="O83" s="172"/>
      <c r="P83" s="172"/>
      <c r="Q83" s="172"/>
      <c r="R83" s="172"/>
      <c r="S83" s="172"/>
      <c r="T83" s="172"/>
      <c r="U83" s="172"/>
      <c r="V83" s="172"/>
      <c r="W83" s="172"/>
      <c r="X83" s="172"/>
      <c r="Y83" s="172"/>
      <c r="Z83" s="172"/>
    </row>
    <row r="84">
      <c r="A84" s="172"/>
      <c r="B84" s="182"/>
      <c r="C84" s="172"/>
      <c r="D84" s="172"/>
      <c r="E84" s="172"/>
      <c r="F84" s="172"/>
      <c r="G84" s="172"/>
      <c r="H84" s="172"/>
      <c r="I84" s="182"/>
      <c r="J84" s="172"/>
      <c r="K84" s="172"/>
      <c r="L84" s="172"/>
      <c r="M84" s="172"/>
      <c r="N84" s="172"/>
      <c r="O84" s="172"/>
      <c r="P84" s="172"/>
      <c r="Q84" s="172"/>
      <c r="R84" s="172"/>
      <c r="S84" s="172"/>
      <c r="T84" s="172"/>
      <c r="U84" s="172"/>
      <c r="V84" s="172"/>
      <c r="W84" s="172"/>
      <c r="X84" s="172"/>
      <c r="Y84" s="172"/>
      <c r="Z84" s="172"/>
    </row>
    <row r="85">
      <c r="A85" s="172"/>
      <c r="B85" s="182"/>
      <c r="C85" s="172"/>
      <c r="D85" s="172"/>
      <c r="E85" s="172"/>
      <c r="F85" s="172"/>
      <c r="G85" s="172"/>
      <c r="H85" s="172"/>
      <c r="I85" s="182"/>
      <c r="J85" s="172"/>
      <c r="K85" s="172"/>
      <c r="L85" s="172"/>
      <c r="M85" s="172"/>
      <c r="N85" s="172"/>
      <c r="O85" s="172"/>
      <c r="P85" s="172"/>
      <c r="Q85" s="172"/>
      <c r="R85" s="172"/>
      <c r="S85" s="172"/>
      <c r="T85" s="172"/>
      <c r="U85" s="172"/>
      <c r="V85" s="172"/>
      <c r="W85" s="172"/>
      <c r="X85" s="172"/>
      <c r="Y85" s="172"/>
      <c r="Z85" s="172"/>
    </row>
    <row r="86">
      <c r="A86" s="172"/>
      <c r="B86" s="182"/>
      <c r="C86" s="172"/>
      <c r="D86" s="172"/>
      <c r="E86" s="172"/>
      <c r="F86" s="172"/>
      <c r="G86" s="172"/>
      <c r="H86" s="172"/>
      <c r="I86" s="182"/>
      <c r="J86" s="172"/>
      <c r="K86" s="172"/>
      <c r="L86" s="172"/>
      <c r="M86" s="172"/>
      <c r="N86" s="172"/>
      <c r="O86" s="172"/>
      <c r="P86" s="172"/>
      <c r="Q86" s="172"/>
      <c r="R86" s="172"/>
      <c r="S86" s="172"/>
      <c r="T86" s="172"/>
      <c r="U86" s="172"/>
      <c r="V86" s="172"/>
      <c r="W86" s="172"/>
      <c r="X86" s="172"/>
      <c r="Y86" s="172"/>
      <c r="Z86" s="172"/>
    </row>
    <row r="87">
      <c r="A87" s="172"/>
      <c r="B87" s="182"/>
      <c r="C87" s="172"/>
      <c r="D87" s="172"/>
      <c r="E87" s="172"/>
      <c r="F87" s="172"/>
      <c r="G87" s="172"/>
      <c r="H87" s="172"/>
      <c r="I87" s="182"/>
      <c r="J87" s="172"/>
      <c r="K87" s="172"/>
      <c r="L87" s="172"/>
      <c r="M87" s="172"/>
      <c r="N87" s="172"/>
      <c r="O87" s="172"/>
      <c r="P87" s="172"/>
      <c r="Q87" s="172"/>
      <c r="R87" s="172"/>
      <c r="S87" s="172"/>
      <c r="T87" s="172"/>
      <c r="U87" s="172"/>
      <c r="V87" s="172"/>
      <c r="W87" s="172"/>
      <c r="X87" s="172"/>
      <c r="Y87" s="172"/>
      <c r="Z87" s="172"/>
    </row>
    <row r="88">
      <c r="A88" s="172"/>
      <c r="B88" s="182"/>
      <c r="C88" s="172"/>
      <c r="D88" s="172"/>
      <c r="E88" s="172"/>
      <c r="F88" s="172"/>
      <c r="G88" s="172"/>
      <c r="H88" s="172"/>
      <c r="I88" s="182"/>
      <c r="J88" s="172"/>
      <c r="K88" s="172"/>
      <c r="L88" s="172"/>
      <c r="M88" s="172"/>
      <c r="N88" s="172"/>
      <c r="O88" s="172"/>
      <c r="P88" s="172"/>
      <c r="Q88" s="172"/>
      <c r="R88" s="172"/>
      <c r="S88" s="172"/>
      <c r="T88" s="172"/>
      <c r="U88" s="172"/>
      <c r="V88" s="172"/>
      <c r="W88" s="172"/>
      <c r="X88" s="172"/>
      <c r="Y88" s="172"/>
      <c r="Z88" s="172"/>
    </row>
    <row r="89">
      <c r="A89" s="172"/>
      <c r="B89" s="182"/>
      <c r="C89" s="172"/>
      <c r="D89" s="172"/>
      <c r="E89" s="172"/>
      <c r="F89" s="172"/>
      <c r="G89" s="172"/>
      <c r="H89" s="172"/>
      <c r="I89" s="182"/>
      <c r="J89" s="172"/>
      <c r="K89" s="172"/>
      <c r="L89" s="172"/>
      <c r="M89" s="172"/>
      <c r="N89" s="172"/>
      <c r="O89" s="172"/>
      <c r="P89" s="172"/>
      <c r="Q89" s="172"/>
      <c r="R89" s="172"/>
      <c r="S89" s="172"/>
      <c r="T89" s="172"/>
      <c r="U89" s="172"/>
      <c r="V89" s="172"/>
      <c r="W89" s="172"/>
      <c r="X89" s="172"/>
      <c r="Y89" s="172"/>
      <c r="Z89" s="172"/>
    </row>
    <row r="90">
      <c r="A90" s="172"/>
      <c r="B90" s="182"/>
      <c r="C90" s="172"/>
      <c r="D90" s="172"/>
      <c r="E90" s="172"/>
      <c r="F90" s="172"/>
      <c r="G90" s="172"/>
      <c r="H90" s="172"/>
      <c r="I90" s="182"/>
      <c r="J90" s="172"/>
      <c r="K90" s="172"/>
      <c r="L90" s="172"/>
      <c r="M90" s="172"/>
      <c r="N90" s="172"/>
      <c r="O90" s="172"/>
      <c r="P90" s="172"/>
      <c r="Q90" s="172"/>
      <c r="R90" s="172"/>
      <c r="S90" s="172"/>
      <c r="T90" s="172"/>
      <c r="U90" s="172"/>
      <c r="V90" s="172"/>
      <c r="W90" s="172"/>
      <c r="X90" s="172"/>
      <c r="Y90" s="172"/>
      <c r="Z90" s="172"/>
    </row>
    <row r="91">
      <c r="A91" s="172"/>
      <c r="B91" s="182"/>
      <c r="C91" s="172"/>
      <c r="D91" s="172"/>
      <c r="E91" s="172"/>
      <c r="F91" s="172"/>
      <c r="G91" s="172"/>
      <c r="H91" s="172"/>
      <c r="I91" s="18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</row>
    <row r="92">
      <c r="A92" s="172"/>
      <c r="B92" s="182"/>
      <c r="C92" s="172"/>
      <c r="D92" s="172"/>
      <c r="E92" s="172"/>
      <c r="F92" s="172"/>
      <c r="G92" s="172"/>
      <c r="H92" s="172"/>
      <c r="I92" s="182"/>
      <c r="J92" s="172"/>
      <c r="K92" s="172"/>
      <c r="L92" s="172"/>
      <c r="M92" s="172"/>
      <c r="N92" s="172"/>
      <c r="O92" s="172"/>
      <c r="P92" s="172"/>
      <c r="Q92" s="172"/>
      <c r="R92" s="172"/>
      <c r="S92" s="172"/>
      <c r="T92" s="172"/>
      <c r="U92" s="172"/>
      <c r="V92" s="172"/>
      <c r="W92" s="172"/>
      <c r="X92" s="172"/>
      <c r="Y92" s="172"/>
      <c r="Z92" s="172"/>
    </row>
    <row r="93">
      <c r="A93" s="172"/>
      <c r="B93" s="182"/>
      <c r="C93" s="172"/>
      <c r="D93" s="172"/>
      <c r="E93" s="172"/>
      <c r="F93" s="172"/>
      <c r="G93" s="172"/>
      <c r="H93" s="172"/>
      <c r="I93" s="182"/>
      <c r="J93" s="172"/>
      <c r="K93" s="172"/>
      <c r="L93" s="172"/>
      <c r="M93" s="172"/>
      <c r="N93" s="172"/>
      <c r="O93" s="172"/>
      <c r="P93" s="172"/>
      <c r="Q93" s="172"/>
      <c r="R93" s="172"/>
      <c r="S93" s="172"/>
      <c r="T93" s="172"/>
      <c r="U93" s="172"/>
      <c r="V93" s="172"/>
      <c r="W93" s="172"/>
      <c r="X93" s="172"/>
      <c r="Y93" s="172"/>
      <c r="Z93" s="172"/>
    </row>
    <row r="94">
      <c r="A94" s="172"/>
      <c r="B94" s="182"/>
      <c r="C94" s="172"/>
      <c r="D94" s="172"/>
      <c r="E94" s="172"/>
      <c r="F94" s="172"/>
      <c r="G94" s="172"/>
      <c r="H94" s="172"/>
      <c r="I94" s="182"/>
      <c r="J94" s="172"/>
      <c r="K94" s="172"/>
      <c r="L94" s="172"/>
      <c r="M94" s="172"/>
      <c r="N94" s="172"/>
      <c r="O94" s="172"/>
      <c r="P94" s="172"/>
      <c r="Q94" s="172"/>
      <c r="R94" s="172"/>
      <c r="S94" s="172"/>
      <c r="T94" s="172"/>
      <c r="U94" s="172"/>
      <c r="V94" s="172"/>
      <c r="W94" s="172"/>
      <c r="X94" s="172"/>
      <c r="Y94" s="172"/>
      <c r="Z94" s="172"/>
    </row>
    <row r="95">
      <c r="A95" s="172"/>
      <c r="B95" s="182"/>
      <c r="C95" s="172"/>
      <c r="D95" s="172"/>
      <c r="E95" s="172"/>
      <c r="F95" s="172"/>
      <c r="G95" s="172"/>
      <c r="H95" s="172"/>
      <c r="I95" s="182"/>
      <c r="J95" s="172"/>
      <c r="K95" s="172"/>
      <c r="L95" s="172"/>
      <c r="M95" s="172"/>
      <c r="N95" s="172"/>
      <c r="O95" s="172"/>
      <c r="P95" s="172"/>
      <c r="Q95" s="172"/>
      <c r="R95" s="172"/>
      <c r="S95" s="172"/>
      <c r="T95" s="172"/>
      <c r="U95" s="172"/>
      <c r="V95" s="172"/>
      <c r="W95" s="172"/>
      <c r="X95" s="172"/>
      <c r="Y95" s="172"/>
      <c r="Z95" s="172"/>
    </row>
    <row r="96">
      <c r="A96" s="172"/>
      <c r="B96" s="182"/>
      <c r="C96" s="172"/>
      <c r="D96" s="172"/>
      <c r="E96" s="172"/>
      <c r="F96" s="172"/>
      <c r="G96" s="172"/>
      <c r="H96" s="172"/>
      <c r="I96" s="182"/>
      <c r="J96" s="172"/>
      <c r="K96" s="172"/>
      <c r="L96" s="172"/>
      <c r="M96" s="172"/>
      <c r="N96" s="172"/>
      <c r="O96" s="172"/>
      <c r="P96" s="172"/>
      <c r="Q96" s="172"/>
      <c r="R96" s="172"/>
      <c r="S96" s="172"/>
      <c r="T96" s="172"/>
      <c r="U96" s="172"/>
      <c r="V96" s="172"/>
      <c r="W96" s="172"/>
      <c r="X96" s="172"/>
      <c r="Y96" s="172"/>
      <c r="Z96" s="172"/>
    </row>
    <row r="97">
      <c r="A97" s="172"/>
      <c r="B97" s="182"/>
      <c r="C97" s="172"/>
      <c r="D97" s="172"/>
      <c r="E97" s="172"/>
      <c r="F97" s="172"/>
      <c r="G97" s="172"/>
      <c r="H97" s="172"/>
      <c r="I97" s="182"/>
      <c r="J97" s="172"/>
      <c r="K97" s="172"/>
      <c r="L97" s="172"/>
      <c r="M97" s="172"/>
      <c r="N97" s="172"/>
      <c r="O97" s="172"/>
      <c r="P97" s="172"/>
      <c r="Q97" s="172"/>
      <c r="R97" s="172"/>
      <c r="S97" s="172"/>
      <c r="T97" s="172"/>
      <c r="U97" s="172"/>
      <c r="V97" s="172"/>
      <c r="W97" s="172"/>
      <c r="X97" s="172"/>
      <c r="Y97" s="172"/>
      <c r="Z97" s="172"/>
    </row>
    <row r="98">
      <c r="A98" s="172"/>
      <c r="B98" s="182"/>
      <c r="C98" s="172"/>
      <c r="D98" s="172"/>
      <c r="E98" s="172"/>
      <c r="F98" s="172"/>
      <c r="G98" s="172"/>
      <c r="H98" s="172"/>
      <c r="I98" s="182"/>
      <c r="J98" s="172"/>
      <c r="K98" s="172"/>
      <c r="L98" s="172"/>
      <c r="M98" s="172"/>
      <c r="N98" s="172"/>
      <c r="O98" s="172"/>
      <c r="P98" s="172"/>
      <c r="Q98" s="172"/>
      <c r="R98" s="172"/>
      <c r="S98" s="172"/>
      <c r="T98" s="172"/>
      <c r="U98" s="172"/>
      <c r="V98" s="172"/>
      <c r="W98" s="172"/>
      <c r="X98" s="172"/>
      <c r="Y98" s="172"/>
      <c r="Z98" s="172"/>
    </row>
    <row r="99">
      <c r="A99" s="172"/>
      <c r="B99" s="182"/>
      <c r="C99" s="172"/>
      <c r="D99" s="172"/>
      <c r="E99" s="172"/>
      <c r="F99" s="172"/>
      <c r="G99" s="172"/>
      <c r="H99" s="172"/>
      <c r="I99" s="182"/>
      <c r="J99" s="172"/>
      <c r="K99" s="172"/>
      <c r="L99" s="172"/>
      <c r="M99" s="172"/>
      <c r="N99" s="172"/>
      <c r="O99" s="172"/>
      <c r="P99" s="172"/>
      <c r="Q99" s="172"/>
      <c r="R99" s="172"/>
      <c r="S99" s="172"/>
      <c r="T99" s="172"/>
      <c r="U99" s="172"/>
      <c r="V99" s="172"/>
      <c r="W99" s="172"/>
      <c r="X99" s="172"/>
      <c r="Y99" s="172"/>
      <c r="Z99" s="172"/>
    </row>
    <row r="100">
      <c r="A100" s="172"/>
      <c r="B100" s="182"/>
      <c r="C100" s="172"/>
      <c r="D100" s="172"/>
      <c r="E100" s="172"/>
      <c r="F100" s="172"/>
      <c r="G100" s="172"/>
      <c r="H100" s="172"/>
      <c r="I100" s="182"/>
      <c r="J100" s="172"/>
      <c r="K100" s="172"/>
      <c r="L100" s="172"/>
      <c r="M100" s="172"/>
      <c r="N100" s="172"/>
      <c r="O100" s="172"/>
      <c r="P100" s="172"/>
      <c r="Q100" s="172"/>
      <c r="R100" s="172"/>
      <c r="S100" s="172"/>
      <c r="T100" s="172"/>
      <c r="U100" s="172"/>
      <c r="V100" s="172"/>
      <c r="W100" s="172"/>
      <c r="X100" s="172"/>
      <c r="Y100" s="172"/>
      <c r="Z100" s="172"/>
    </row>
    <row r="101">
      <c r="A101" s="172"/>
      <c r="B101" s="182"/>
      <c r="C101" s="172"/>
      <c r="D101" s="172"/>
      <c r="E101" s="172"/>
      <c r="F101" s="172"/>
      <c r="G101" s="172"/>
      <c r="H101" s="172"/>
      <c r="I101" s="182"/>
      <c r="J101" s="172"/>
      <c r="K101" s="172"/>
      <c r="L101" s="172"/>
      <c r="M101" s="172"/>
      <c r="N101" s="172"/>
      <c r="O101" s="172"/>
      <c r="P101" s="172"/>
      <c r="Q101" s="172"/>
      <c r="R101" s="172"/>
      <c r="S101" s="172"/>
      <c r="T101" s="172"/>
      <c r="U101" s="172"/>
      <c r="V101" s="172"/>
      <c r="W101" s="172"/>
      <c r="X101" s="172"/>
      <c r="Y101" s="172"/>
      <c r="Z101" s="172"/>
    </row>
    <row r="102">
      <c r="A102" s="172"/>
      <c r="B102" s="182"/>
      <c r="C102" s="172"/>
      <c r="D102" s="172"/>
      <c r="E102" s="172"/>
      <c r="F102" s="172"/>
      <c r="G102" s="172"/>
      <c r="H102" s="172"/>
      <c r="I102" s="18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</row>
    <row r="103">
      <c r="A103" s="172"/>
      <c r="B103" s="182"/>
      <c r="C103" s="172"/>
      <c r="D103" s="172"/>
      <c r="E103" s="172"/>
      <c r="F103" s="172"/>
      <c r="G103" s="172"/>
      <c r="H103" s="172"/>
      <c r="I103" s="18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</row>
    <row r="104">
      <c r="A104" s="172"/>
      <c r="B104" s="182"/>
      <c r="C104" s="172"/>
      <c r="D104" s="172"/>
      <c r="E104" s="172"/>
      <c r="F104" s="172"/>
      <c r="G104" s="172"/>
      <c r="H104" s="172"/>
      <c r="I104" s="182"/>
      <c r="J104" s="172"/>
      <c r="K104" s="172"/>
      <c r="L104" s="172"/>
      <c r="M104" s="172"/>
      <c r="N104" s="172"/>
      <c r="O104" s="172"/>
      <c r="P104" s="172"/>
      <c r="Q104" s="172"/>
      <c r="R104" s="172"/>
      <c r="S104" s="172"/>
      <c r="T104" s="172"/>
      <c r="U104" s="172"/>
      <c r="V104" s="172"/>
      <c r="W104" s="172"/>
      <c r="X104" s="172"/>
      <c r="Y104" s="172"/>
      <c r="Z104" s="172"/>
    </row>
    <row r="105">
      <c r="A105" s="172"/>
      <c r="B105" s="182"/>
      <c r="C105" s="172"/>
      <c r="D105" s="172"/>
      <c r="E105" s="172"/>
      <c r="F105" s="172"/>
      <c r="G105" s="172"/>
      <c r="H105" s="172"/>
      <c r="I105" s="182"/>
      <c r="J105" s="172"/>
      <c r="K105" s="172"/>
      <c r="L105" s="172"/>
      <c r="M105" s="172"/>
      <c r="N105" s="172"/>
      <c r="O105" s="172"/>
      <c r="P105" s="172"/>
      <c r="Q105" s="172"/>
      <c r="R105" s="172"/>
      <c r="S105" s="172"/>
      <c r="T105" s="172"/>
      <c r="U105" s="172"/>
      <c r="V105" s="172"/>
      <c r="W105" s="172"/>
      <c r="X105" s="172"/>
      <c r="Y105" s="172"/>
      <c r="Z105" s="172"/>
    </row>
    <row r="106">
      <c r="A106" s="172"/>
      <c r="B106" s="182"/>
      <c r="C106" s="172"/>
      <c r="D106" s="172"/>
      <c r="E106" s="172"/>
      <c r="F106" s="172"/>
      <c r="G106" s="172"/>
      <c r="H106" s="172"/>
      <c r="I106" s="182"/>
      <c r="J106" s="172"/>
      <c r="K106" s="172"/>
      <c r="L106" s="172"/>
      <c r="M106" s="172"/>
      <c r="N106" s="172"/>
      <c r="O106" s="172"/>
      <c r="P106" s="172"/>
      <c r="Q106" s="172"/>
      <c r="R106" s="172"/>
      <c r="S106" s="172"/>
      <c r="T106" s="172"/>
      <c r="U106" s="172"/>
      <c r="V106" s="172"/>
      <c r="W106" s="172"/>
      <c r="X106" s="172"/>
      <c r="Y106" s="172"/>
      <c r="Z106" s="172"/>
    </row>
    <row r="107">
      <c r="A107" s="172"/>
      <c r="B107" s="182"/>
      <c r="C107" s="172"/>
      <c r="D107" s="172"/>
      <c r="E107" s="172"/>
      <c r="F107" s="172"/>
      <c r="G107" s="172"/>
      <c r="H107" s="172"/>
      <c r="I107" s="182"/>
      <c r="J107" s="172"/>
      <c r="K107" s="172"/>
      <c r="L107" s="172"/>
      <c r="M107" s="172"/>
      <c r="N107" s="172"/>
      <c r="O107" s="172"/>
      <c r="P107" s="172"/>
      <c r="Q107" s="172"/>
      <c r="R107" s="172"/>
      <c r="S107" s="172"/>
      <c r="T107" s="172"/>
      <c r="U107" s="172"/>
      <c r="V107" s="172"/>
      <c r="W107" s="172"/>
      <c r="X107" s="172"/>
      <c r="Y107" s="172"/>
      <c r="Z107" s="172"/>
    </row>
    <row r="108">
      <c r="A108" s="172"/>
      <c r="B108" s="182"/>
      <c r="C108" s="172"/>
      <c r="D108" s="172"/>
      <c r="E108" s="172"/>
      <c r="F108" s="172"/>
      <c r="G108" s="172"/>
      <c r="H108" s="172"/>
      <c r="I108" s="182"/>
      <c r="J108" s="172"/>
      <c r="K108" s="172"/>
      <c r="L108" s="172"/>
      <c r="M108" s="172"/>
      <c r="N108" s="172"/>
      <c r="O108" s="172"/>
      <c r="P108" s="172"/>
      <c r="Q108" s="172"/>
      <c r="R108" s="172"/>
      <c r="S108" s="172"/>
      <c r="T108" s="172"/>
      <c r="U108" s="172"/>
      <c r="V108" s="172"/>
      <c r="W108" s="172"/>
      <c r="X108" s="172"/>
      <c r="Y108" s="172"/>
      <c r="Z108" s="172"/>
    </row>
    <row r="109">
      <c r="A109" s="172"/>
      <c r="B109" s="182"/>
      <c r="C109" s="172"/>
      <c r="D109" s="172"/>
      <c r="E109" s="172"/>
      <c r="F109" s="172"/>
      <c r="G109" s="172"/>
      <c r="H109" s="172"/>
      <c r="I109" s="182"/>
      <c r="J109" s="172"/>
      <c r="K109" s="172"/>
      <c r="L109" s="172"/>
      <c r="M109" s="172"/>
      <c r="N109" s="172"/>
      <c r="O109" s="172"/>
      <c r="P109" s="172"/>
      <c r="Q109" s="172"/>
      <c r="R109" s="172"/>
      <c r="S109" s="172"/>
      <c r="T109" s="172"/>
      <c r="U109" s="172"/>
      <c r="V109" s="172"/>
      <c r="W109" s="172"/>
      <c r="X109" s="172"/>
      <c r="Y109" s="172"/>
      <c r="Z109" s="172"/>
    </row>
    <row r="110">
      <c r="A110" s="172"/>
      <c r="B110" s="182"/>
      <c r="C110" s="172"/>
      <c r="D110" s="172"/>
      <c r="E110" s="172"/>
      <c r="F110" s="172"/>
      <c r="G110" s="172"/>
      <c r="H110" s="172"/>
      <c r="I110" s="182"/>
      <c r="J110" s="172"/>
      <c r="K110" s="172"/>
      <c r="L110" s="172"/>
      <c r="M110" s="172"/>
      <c r="N110" s="172"/>
      <c r="O110" s="172"/>
      <c r="P110" s="172"/>
      <c r="Q110" s="172"/>
      <c r="R110" s="172"/>
      <c r="S110" s="172"/>
      <c r="T110" s="172"/>
      <c r="U110" s="172"/>
      <c r="V110" s="172"/>
      <c r="W110" s="172"/>
      <c r="X110" s="172"/>
      <c r="Y110" s="172"/>
      <c r="Z110" s="172"/>
    </row>
    <row r="111">
      <c r="A111" s="172"/>
      <c r="B111" s="182"/>
      <c r="C111" s="172"/>
      <c r="D111" s="172"/>
      <c r="E111" s="172"/>
      <c r="F111" s="172"/>
      <c r="G111" s="172"/>
      <c r="H111" s="172"/>
      <c r="I111" s="182"/>
      <c r="J111" s="172"/>
      <c r="K111" s="172"/>
      <c r="L111" s="172"/>
      <c r="M111" s="172"/>
      <c r="N111" s="172"/>
      <c r="O111" s="172"/>
      <c r="P111" s="172"/>
      <c r="Q111" s="172"/>
      <c r="R111" s="172"/>
      <c r="S111" s="172"/>
      <c r="T111" s="172"/>
      <c r="U111" s="172"/>
      <c r="V111" s="172"/>
      <c r="W111" s="172"/>
      <c r="X111" s="172"/>
      <c r="Y111" s="172"/>
      <c r="Z111" s="172"/>
    </row>
    <row r="112">
      <c r="A112" s="172"/>
      <c r="B112" s="182"/>
      <c r="C112" s="172"/>
      <c r="D112" s="172"/>
      <c r="E112" s="172"/>
      <c r="F112" s="172"/>
      <c r="G112" s="172"/>
      <c r="H112" s="172"/>
      <c r="I112" s="182"/>
      <c r="J112" s="172"/>
      <c r="K112" s="172"/>
      <c r="L112" s="172"/>
      <c r="M112" s="172"/>
      <c r="N112" s="172"/>
      <c r="O112" s="172"/>
      <c r="P112" s="172"/>
      <c r="Q112" s="172"/>
      <c r="R112" s="172"/>
      <c r="S112" s="172"/>
      <c r="T112" s="172"/>
      <c r="U112" s="172"/>
      <c r="V112" s="172"/>
      <c r="W112" s="172"/>
      <c r="X112" s="172"/>
      <c r="Y112" s="172"/>
      <c r="Z112" s="172"/>
    </row>
    <row r="113">
      <c r="A113" s="172"/>
      <c r="B113" s="182"/>
      <c r="C113" s="172"/>
      <c r="D113" s="172"/>
      <c r="E113" s="172"/>
      <c r="F113" s="172"/>
      <c r="G113" s="172"/>
      <c r="H113" s="172"/>
      <c r="I113" s="182"/>
      <c r="J113" s="172"/>
      <c r="K113" s="172"/>
      <c r="L113" s="172"/>
      <c r="M113" s="172"/>
      <c r="N113" s="172"/>
      <c r="O113" s="172"/>
      <c r="P113" s="172"/>
      <c r="Q113" s="172"/>
      <c r="R113" s="172"/>
      <c r="S113" s="172"/>
      <c r="T113" s="172"/>
      <c r="U113" s="172"/>
      <c r="V113" s="172"/>
      <c r="W113" s="172"/>
      <c r="X113" s="172"/>
      <c r="Y113" s="172"/>
      <c r="Z113" s="172"/>
    </row>
    <row r="114">
      <c r="A114" s="172"/>
      <c r="B114" s="182"/>
      <c r="C114" s="172"/>
      <c r="D114" s="172"/>
      <c r="E114" s="172"/>
      <c r="F114" s="172"/>
      <c r="G114" s="172"/>
      <c r="H114" s="172"/>
      <c r="I114" s="182"/>
      <c r="J114" s="172"/>
      <c r="K114" s="172"/>
      <c r="L114" s="172"/>
      <c r="M114" s="172"/>
      <c r="N114" s="172"/>
      <c r="O114" s="172"/>
      <c r="P114" s="172"/>
      <c r="Q114" s="172"/>
      <c r="R114" s="172"/>
      <c r="S114" s="172"/>
      <c r="T114" s="172"/>
      <c r="U114" s="172"/>
      <c r="V114" s="172"/>
      <c r="W114" s="172"/>
      <c r="X114" s="172"/>
      <c r="Y114" s="172"/>
      <c r="Z114" s="172"/>
    </row>
    <row r="115">
      <c r="A115" s="172"/>
      <c r="B115" s="182"/>
      <c r="C115" s="172"/>
      <c r="D115" s="172"/>
      <c r="E115" s="172"/>
      <c r="F115" s="172"/>
      <c r="G115" s="172"/>
      <c r="H115" s="172"/>
      <c r="I115" s="182"/>
      <c r="J115" s="172"/>
      <c r="K115" s="172"/>
      <c r="L115" s="172"/>
      <c r="M115" s="172"/>
      <c r="N115" s="172"/>
      <c r="O115" s="172"/>
      <c r="P115" s="172"/>
      <c r="Q115" s="172"/>
      <c r="R115" s="172"/>
      <c r="S115" s="172"/>
      <c r="T115" s="172"/>
      <c r="U115" s="172"/>
      <c r="V115" s="172"/>
      <c r="W115" s="172"/>
      <c r="X115" s="172"/>
      <c r="Y115" s="172"/>
      <c r="Z115" s="172"/>
    </row>
    <row r="116">
      <c r="A116" s="172"/>
      <c r="B116" s="182"/>
      <c r="C116" s="172"/>
      <c r="D116" s="172"/>
      <c r="E116" s="172"/>
      <c r="F116" s="172"/>
      <c r="G116" s="172"/>
      <c r="H116" s="172"/>
      <c r="I116" s="182"/>
      <c r="J116" s="172"/>
      <c r="K116" s="172"/>
      <c r="L116" s="172"/>
      <c r="M116" s="172"/>
      <c r="N116" s="172"/>
      <c r="O116" s="172"/>
      <c r="P116" s="172"/>
      <c r="Q116" s="172"/>
      <c r="R116" s="172"/>
      <c r="S116" s="172"/>
      <c r="T116" s="172"/>
      <c r="U116" s="172"/>
      <c r="V116" s="172"/>
      <c r="W116" s="172"/>
      <c r="X116" s="172"/>
      <c r="Y116" s="172"/>
      <c r="Z116" s="172"/>
    </row>
    <row r="117">
      <c r="A117" s="172"/>
      <c r="B117" s="182"/>
      <c r="C117" s="172"/>
      <c r="D117" s="172"/>
      <c r="E117" s="172"/>
      <c r="F117" s="172"/>
      <c r="G117" s="172"/>
      <c r="H117" s="172"/>
      <c r="I117" s="182"/>
      <c r="J117" s="172"/>
      <c r="K117" s="172"/>
      <c r="L117" s="172"/>
      <c r="M117" s="172"/>
      <c r="N117" s="172"/>
      <c r="O117" s="172"/>
      <c r="P117" s="172"/>
      <c r="Q117" s="172"/>
      <c r="R117" s="172"/>
      <c r="S117" s="172"/>
      <c r="T117" s="172"/>
      <c r="U117" s="172"/>
      <c r="V117" s="172"/>
      <c r="W117" s="172"/>
      <c r="X117" s="172"/>
      <c r="Y117" s="172"/>
      <c r="Z117" s="172"/>
    </row>
    <row r="118">
      <c r="A118" s="172"/>
      <c r="B118" s="182"/>
      <c r="C118" s="172"/>
      <c r="D118" s="172"/>
      <c r="E118" s="172"/>
      <c r="F118" s="172"/>
      <c r="G118" s="172"/>
      <c r="H118" s="172"/>
      <c r="I118" s="182"/>
      <c r="J118" s="172"/>
      <c r="K118" s="172"/>
      <c r="L118" s="172"/>
      <c r="M118" s="172"/>
      <c r="N118" s="172"/>
      <c r="O118" s="172"/>
      <c r="P118" s="172"/>
      <c r="Q118" s="172"/>
      <c r="R118" s="172"/>
      <c r="S118" s="172"/>
      <c r="T118" s="172"/>
      <c r="U118" s="172"/>
      <c r="V118" s="172"/>
      <c r="W118" s="172"/>
      <c r="X118" s="172"/>
      <c r="Y118" s="172"/>
      <c r="Z118" s="172"/>
    </row>
    <row r="119">
      <c r="A119" s="172"/>
      <c r="B119" s="182"/>
      <c r="C119" s="172"/>
      <c r="D119" s="172"/>
      <c r="E119" s="172"/>
      <c r="F119" s="172"/>
      <c r="G119" s="172"/>
      <c r="H119" s="172"/>
      <c r="I119" s="182"/>
      <c r="J119" s="172"/>
      <c r="K119" s="172"/>
      <c r="L119" s="172"/>
      <c r="M119" s="172"/>
      <c r="N119" s="172"/>
      <c r="O119" s="172"/>
      <c r="P119" s="172"/>
      <c r="Q119" s="172"/>
      <c r="R119" s="172"/>
      <c r="S119" s="172"/>
      <c r="T119" s="172"/>
      <c r="U119" s="172"/>
      <c r="V119" s="172"/>
      <c r="W119" s="172"/>
      <c r="X119" s="172"/>
      <c r="Y119" s="172"/>
      <c r="Z119" s="172"/>
    </row>
    <row r="120">
      <c r="A120" s="172"/>
      <c r="B120" s="182"/>
      <c r="C120" s="172"/>
      <c r="D120" s="172"/>
      <c r="E120" s="172"/>
      <c r="F120" s="172"/>
      <c r="G120" s="172"/>
      <c r="H120" s="172"/>
      <c r="I120" s="182"/>
      <c r="J120" s="172"/>
      <c r="K120" s="172"/>
      <c r="L120" s="172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</row>
    <row r="121">
      <c r="A121" s="172"/>
      <c r="B121" s="182"/>
      <c r="C121" s="172"/>
      <c r="D121" s="172"/>
      <c r="E121" s="172"/>
      <c r="F121" s="172"/>
      <c r="G121" s="172"/>
      <c r="H121" s="172"/>
      <c r="I121" s="182"/>
      <c r="J121" s="172"/>
      <c r="K121" s="172"/>
      <c r="L121" s="172"/>
      <c r="M121" s="172"/>
      <c r="N121" s="172"/>
      <c r="O121" s="172"/>
      <c r="P121" s="172"/>
      <c r="Q121" s="172"/>
      <c r="R121" s="172"/>
      <c r="S121" s="172"/>
      <c r="T121" s="172"/>
      <c r="U121" s="172"/>
      <c r="V121" s="172"/>
      <c r="W121" s="172"/>
      <c r="X121" s="172"/>
      <c r="Y121" s="172"/>
      <c r="Z121" s="172"/>
    </row>
    <row r="122">
      <c r="A122" s="172"/>
      <c r="B122" s="182"/>
      <c r="C122" s="172"/>
      <c r="D122" s="172"/>
      <c r="E122" s="172"/>
      <c r="F122" s="172"/>
      <c r="G122" s="172"/>
      <c r="H122" s="172"/>
      <c r="I122" s="182"/>
      <c r="J122" s="172"/>
      <c r="K122" s="172"/>
      <c r="L122" s="172"/>
      <c r="M122" s="172"/>
      <c r="N122" s="172"/>
      <c r="O122" s="172"/>
      <c r="P122" s="172"/>
      <c r="Q122" s="172"/>
      <c r="R122" s="172"/>
      <c r="S122" s="172"/>
      <c r="T122" s="172"/>
      <c r="U122" s="172"/>
      <c r="V122" s="172"/>
      <c r="W122" s="172"/>
      <c r="X122" s="172"/>
      <c r="Y122" s="172"/>
      <c r="Z122" s="172"/>
    </row>
    <row r="123">
      <c r="A123" s="172"/>
      <c r="B123" s="182"/>
      <c r="C123" s="172"/>
      <c r="D123" s="172"/>
      <c r="E123" s="172"/>
      <c r="F123" s="172"/>
      <c r="G123" s="172"/>
      <c r="H123" s="172"/>
      <c r="I123" s="182"/>
      <c r="J123" s="172"/>
      <c r="K123" s="172"/>
      <c r="L123" s="172"/>
      <c r="M123" s="172"/>
      <c r="N123" s="172"/>
      <c r="O123" s="172"/>
      <c r="P123" s="172"/>
      <c r="Q123" s="172"/>
      <c r="R123" s="172"/>
      <c r="S123" s="172"/>
      <c r="T123" s="172"/>
      <c r="U123" s="172"/>
      <c r="V123" s="172"/>
      <c r="W123" s="172"/>
      <c r="X123" s="172"/>
      <c r="Y123" s="172"/>
      <c r="Z123" s="172"/>
    </row>
    <row r="124">
      <c r="A124" s="172"/>
      <c r="B124" s="182"/>
      <c r="C124" s="172"/>
      <c r="D124" s="172"/>
      <c r="E124" s="172"/>
      <c r="F124" s="172"/>
      <c r="G124" s="172"/>
      <c r="H124" s="172"/>
      <c r="I124" s="182"/>
      <c r="J124" s="172"/>
      <c r="K124" s="172"/>
      <c r="L124" s="172"/>
      <c r="M124" s="172"/>
      <c r="N124" s="172"/>
      <c r="O124" s="172"/>
      <c r="P124" s="172"/>
      <c r="Q124" s="172"/>
      <c r="R124" s="172"/>
      <c r="S124" s="172"/>
      <c r="T124" s="172"/>
      <c r="U124" s="172"/>
      <c r="V124" s="172"/>
      <c r="W124" s="172"/>
      <c r="X124" s="172"/>
      <c r="Y124" s="172"/>
      <c r="Z124" s="172"/>
    </row>
    <row r="125">
      <c r="A125" s="172"/>
      <c r="B125" s="182"/>
      <c r="C125" s="172"/>
      <c r="D125" s="172"/>
      <c r="E125" s="172"/>
      <c r="F125" s="172"/>
      <c r="G125" s="172"/>
      <c r="H125" s="172"/>
      <c r="I125" s="182"/>
      <c r="J125" s="172"/>
      <c r="K125" s="172"/>
      <c r="L125" s="172"/>
      <c r="M125" s="172"/>
      <c r="N125" s="172"/>
      <c r="O125" s="172"/>
      <c r="P125" s="172"/>
      <c r="Q125" s="172"/>
      <c r="R125" s="172"/>
      <c r="S125" s="172"/>
      <c r="T125" s="172"/>
      <c r="U125" s="172"/>
      <c r="V125" s="172"/>
      <c r="W125" s="172"/>
      <c r="X125" s="172"/>
      <c r="Y125" s="172"/>
      <c r="Z125" s="172"/>
    </row>
    <row r="126">
      <c r="A126" s="172"/>
      <c r="B126" s="182"/>
      <c r="C126" s="172"/>
      <c r="D126" s="172"/>
      <c r="E126" s="172"/>
      <c r="F126" s="172"/>
      <c r="G126" s="172"/>
      <c r="H126" s="172"/>
      <c r="I126" s="182"/>
      <c r="J126" s="172"/>
      <c r="K126" s="172"/>
      <c r="L126" s="172"/>
      <c r="M126" s="172"/>
      <c r="N126" s="172"/>
      <c r="O126" s="172"/>
      <c r="P126" s="172"/>
      <c r="Q126" s="172"/>
      <c r="R126" s="172"/>
      <c r="S126" s="172"/>
      <c r="T126" s="172"/>
      <c r="U126" s="172"/>
      <c r="V126" s="172"/>
      <c r="W126" s="172"/>
      <c r="X126" s="172"/>
      <c r="Y126" s="172"/>
      <c r="Z126" s="172"/>
    </row>
    <row r="127">
      <c r="A127" s="172"/>
      <c r="B127" s="182"/>
      <c r="C127" s="172"/>
      <c r="D127" s="172"/>
      <c r="E127" s="172"/>
      <c r="F127" s="172"/>
      <c r="G127" s="172"/>
      <c r="H127" s="172"/>
      <c r="I127" s="182"/>
      <c r="J127" s="172"/>
      <c r="K127" s="172"/>
      <c r="L127" s="172"/>
      <c r="M127" s="172"/>
      <c r="N127" s="172"/>
      <c r="O127" s="172"/>
      <c r="P127" s="172"/>
      <c r="Q127" s="172"/>
      <c r="R127" s="172"/>
      <c r="S127" s="172"/>
      <c r="T127" s="172"/>
      <c r="U127" s="172"/>
      <c r="V127" s="172"/>
      <c r="W127" s="172"/>
      <c r="X127" s="172"/>
      <c r="Y127" s="172"/>
      <c r="Z127" s="172"/>
    </row>
    <row r="128">
      <c r="A128" s="172"/>
      <c r="B128" s="182"/>
      <c r="C128" s="172"/>
      <c r="D128" s="172"/>
      <c r="E128" s="172"/>
      <c r="F128" s="172"/>
      <c r="G128" s="172"/>
      <c r="H128" s="172"/>
      <c r="I128" s="182"/>
      <c r="J128" s="172"/>
      <c r="K128" s="172"/>
      <c r="L128" s="172"/>
      <c r="M128" s="172"/>
      <c r="N128" s="172"/>
      <c r="O128" s="172"/>
      <c r="P128" s="172"/>
      <c r="Q128" s="172"/>
      <c r="R128" s="172"/>
      <c r="S128" s="172"/>
      <c r="T128" s="172"/>
      <c r="U128" s="172"/>
      <c r="V128" s="172"/>
      <c r="W128" s="172"/>
      <c r="X128" s="172"/>
      <c r="Y128" s="172"/>
      <c r="Z128" s="172"/>
    </row>
    <row r="129">
      <c r="A129" s="172"/>
      <c r="B129" s="182"/>
      <c r="C129" s="172"/>
      <c r="D129" s="172"/>
      <c r="E129" s="172"/>
      <c r="F129" s="172"/>
      <c r="G129" s="172"/>
      <c r="H129" s="172"/>
      <c r="I129" s="182"/>
      <c r="J129" s="172"/>
      <c r="K129" s="172"/>
      <c r="L129" s="172"/>
      <c r="M129" s="172"/>
      <c r="N129" s="172"/>
      <c r="O129" s="172"/>
      <c r="P129" s="172"/>
      <c r="Q129" s="172"/>
      <c r="R129" s="172"/>
      <c r="S129" s="172"/>
      <c r="T129" s="172"/>
      <c r="U129" s="172"/>
      <c r="V129" s="172"/>
      <c r="W129" s="172"/>
      <c r="X129" s="172"/>
      <c r="Y129" s="172"/>
      <c r="Z129" s="172"/>
    </row>
    <row r="130">
      <c r="A130" s="172"/>
      <c r="B130" s="182"/>
      <c r="C130" s="172"/>
      <c r="D130" s="172"/>
      <c r="E130" s="172"/>
      <c r="F130" s="172"/>
      <c r="G130" s="172"/>
      <c r="H130" s="172"/>
      <c r="I130" s="182"/>
      <c r="J130" s="172"/>
      <c r="K130" s="172"/>
      <c r="L130" s="172"/>
      <c r="M130" s="172"/>
      <c r="N130" s="172"/>
      <c r="O130" s="172"/>
      <c r="P130" s="172"/>
      <c r="Q130" s="172"/>
      <c r="R130" s="172"/>
      <c r="S130" s="172"/>
      <c r="T130" s="172"/>
      <c r="U130" s="172"/>
      <c r="V130" s="172"/>
      <c r="W130" s="172"/>
      <c r="X130" s="172"/>
      <c r="Y130" s="172"/>
      <c r="Z130" s="172"/>
    </row>
    <row r="131">
      <c r="A131" s="172"/>
      <c r="B131" s="182"/>
      <c r="C131" s="172"/>
      <c r="D131" s="172"/>
      <c r="E131" s="172"/>
      <c r="F131" s="172"/>
      <c r="G131" s="172"/>
      <c r="H131" s="172"/>
      <c r="I131" s="18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</row>
    <row r="132">
      <c r="A132" s="172"/>
      <c r="B132" s="182"/>
      <c r="C132" s="172"/>
      <c r="D132" s="172"/>
      <c r="E132" s="172"/>
      <c r="F132" s="172"/>
      <c r="G132" s="172"/>
      <c r="H132" s="172"/>
      <c r="I132" s="18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</row>
    <row r="133">
      <c r="A133" s="172"/>
      <c r="B133" s="182"/>
      <c r="C133" s="172"/>
      <c r="D133" s="172"/>
      <c r="E133" s="172"/>
      <c r="F133" s="172"/>
      <c r="G133" s="172"/>
      <c r="H133" s="172"/>
      <c r="I133" s="182"/>
      <c r="J133" s="172"/>
      <c r="K133" s="172"/>
      <c r="L133" s="172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</row>
    <row r="134">
      <c r="A134" s="172"/>
      <c r="B134" s="182"/>
      <c r="C134" s="172"/>
      <c r="D134" s="172"/>
      <c r="E134" s="172"/>
      <c r="F134" s="172"/>
      <c r="G134" s="172"/>
      <c r="H134" s="172"/>
      <c r="I134" s="182"/>
      <c r="J134" s="172"/>
      <c r="K134" s="172"/>
      <c r="L134" s="172"/>
      <c r="M134" s="172"/>
      <c r="N134" s="172"/>
      <c r="O134" s="172"/>
      <c r="P134" s="172"/>
      <c r="Q134" s="172"/>
      <c r="R134" s="172"/>
      <c r="S134" s="172"/>
      <c r="T134" s="172"/>
      <c r="U134" s="172"/>
      <c r="V134" s="172"/>
      <c r="W134" s="172"/>
      <c r="X134" s="172"/>
      <c r="Y134" s="172"/>
      <c r="Z134" s="172"/>
    </row>
    <row r="135">
      <c r="A135" s="172"/>
      <c r="B135" s="182"/>
      <c r="C135" s="172"/>
      <c r="D135" s="172"/>
      <c r="E135" s="172"/>
      <c r="F135" s="172"/>
      <c r="G135" s="172"/>
      <c r="H135" s="172"/>
      <c r="I135" s="182"/>
      <c r="J135" s="172"/>
      <c r="K135" s="172"/>
      <c r="L135" s="172"/>
      <c r="M135" s="172"/>
      <c r="N135" s="172"/>
      <c r="O135" s="172"/>
      <c r="P135" s="172"/>
      <c r="Q135" s="172"/>
      <c r="R135" s="172"/>
      <c r="S135" s="172"/>
      <c r="T135" s="172"/>
      <c r="U135" s="172"/>
      <c r="V135" s="172"/>
      <c r="W135" s="172"/>
      <c r="X135" s="172"/>
      <c r="Y135" s="172"/>
      <c r="Z135" s="172"/>
    </row>
    <row r="136">
      <c r="A136" s="172"/>
      <c r="B136" s="182"/>
      <c r="C136" s="172"/>
      <c r="D136" s="172"/>
      <c r="E136" s="172"/>
      <c r="F136" s="172"/>
      <c r="G136" s="172"/>
      <c r="H136" s="172"/>
      <c r="I136" s="182"/>
      <c r="J136" s="172"/>
      <c r="K136" s="172"/>
      <c r="L136" s="172"/>
      <c r="M136" s="172"/>
      <c r="N136" s="172"/>
      <c r="O136" s="172"/>
      <c r="P136" s="172"/>
      <c r="Q136" s="172"/>
      <c r="R136" s="172"/>
      <c r="S136" s="172"/>
      <c r="T136" s="172"/>
      <c r="U136" s="172"/>
      <c r="V136" s="172"/>
      <c r="W136" s="172"/>
      <c r="X136" s="172"/>
      <c r="Y136" s="172"/>
      <c r="Z136" s="172"/>
    </row>
    <row r="137">
      <c r="A137" s="172"/>
      <c r="B137" s="182"/>
      <c r="C137" s="172"/>
      <c r="D137" s="172"/>
      <c r="E137" s="172"/>
      <c r="F137" s="172"/>
      <c r="G137" s="172"/>
      <c r="H137" s="172"/>
      <c r="I137" s="18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</row>
    <row r="138">
      <c r="A138" s="172"/>
      <c r="B138" s="182"/>
      <c r="C138" s="172"/>
      <c r="D138" s="172"/>
      <c r="E138" s="172"/>
      <c r="F138" s="172"/>
      <c r="G138" s="172"/>
      <c r="H138" s="172"/>
      <c r="I138" s="182"/>
      <c r="J138" s="172"/>
      <c r="K138" s="172"/>
      <c r="L138" s="172"/>
      <c r="M138" s="172"/>
      <c r="N138" s="172"/>
      <c r="O138" s="172"/>
      <c r="P138" s="172"/>
      <c r="Q138" s="172"/>
      <c r="R138" s="172"/>
      <c r="S138" s="172"/>
      <c r="T138" s="172"/>
      <c r="U138" s="172"/>
      <c r="V138" s="172"/>
      <c r="W138" s="172"/>
      <c r="X138" s="172"/>
      <c r="Y138" s="172"/>
      <c r="Z138" s="172"/>
    </row>
    <row r="139">
      <c r="A139" s="172"/>
      <c r="B139" s="182"/>
      <c r="C139" s="172"/>
      <c r="D139" s="172"/>
      <c r="E139" s="172"/>
      <c r="F139" s="172"/>
      <c r="G139" s="172"/>
      <c r="H139" s="172"/>
      <c r="I139" s="182"/>
      <c r="J139" s="172"/>
      <c r="K139" s="172"/>
      <c r="L139" s="172"/>
      <c r="M139" s="172"/>
      <c r="N139" s="172"/>
      <c r="O139" s="172"/>
      <c r="P139" s="172"/>
      <c r="Q139" s="172"/>
      <c r="R139" s="172"/>
      <c r="S139" s="172"/>
      <c r="T139" s="172"/>
      <c r="U139" s="172"/>
      <c r="V139" s="172"/>
      <c r="W139" s="172"/>
      <c r="X139" s="172"/>
      <c r="Y139" s="172"/>
      <c r="Z139" s="172"/>
    </row>
    <row r="140">
      <c r="A140" s="172"/>
      <c r="B140" s="182"/>
      <c r="C140" s="172"/>
      <c r="D140" s="172"/>
      <c r="E140" s="172"/>
      <c r="F140" s="172"/>
      <c r="G140" s="172"/>
      <c r="H140" s="172"/>
      <c r="I140" s="182"/>
      <c r="J140" s="172"/>
      <c r="K140" s="172"/>
      <c r="L140" s="172"/>
      <c r="M140" s="172"/>
      <c r="N140" s="172"/>
      <c r="O140" s="172"/>
      <c r="P140" s="172"/>
      <c r="Q140" s="172"/>
      <c r="R140" s="172"/>
      <c r="S140" s="172"/>
      <c r="T140" s="172"/>
      <c r="U140" s="172"/>
      <c r="V140" s="172"/>
      <c r="W140" s="172"/>
      <c r="X140" s="172"/>
      <c r="Y140" s="172"/>
      <c r="Z140" s="172"/>
    </row>
    <row r="141">
      <c r="A141" s="172"/>
      <c r="B141" s="182"/>
      <c r="C141" s="172"/>
      <c r="D141" s="172"/>
      <c r="E141" s="172"/>
      <c r="F141" s="172"/>
      <c r="G141" s="172"/>
      <c r="H141" s="172"/>
      <c r="I141" s="182"/>
      <c r="J141" s="172"/>
      <c r="K141" s="172"/>
      <c r="L141" s="172"/>
      <c r="M141" s="172"/>
      <c r="N141" s="172"/>
      <c r="O141" s="172"/>
      <c r="P141" s="172"/>
      <c r="Q141" s="172"/>
      <c r="R141" s="172"/>
      <c r="S141" s="172"/>
      <c r="T141" s="172"/>
      <c r="U141" s="172"/>
      <c r="V141" s="172"/>
      <c r="W141" s="172"/>
      <c r="X141" s="172"/>
      <c r="Y141" s="172"/>
      <c r="Z141" s="172"/>
    </row>
    <row r="142">
      <c r="A142" s="172"/>
      <c r="B142" s="182"/>
      <c r="C142" s="172"/>
      <c r="D142" s="172"/>
      <c r="E142" s="172"/>
      <c r="F142" s="172"/>
      <c r="G142" s="172"/>
      <c r="H142" s="172"/>
      <c r="I142" s="18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</row>
    <row r="143">
      <c r="A143" s="172"/>
      <c r="B143" s="182"/>
      <c r="C143" s="172"/>
      <c r="D143" s="172"/>
      <c r="E143" s="172"/>
      <c r="F143" s="172"/>
      <c r="G143" s="172"/>
      <c r="H143" s="172"/>
      <c r="I143" s="182"/>
      <c r="J143" s="172"/>
      <c r="K143" s="172"/>
      <c r="L143" s="172"/>
      <c r="M143" s="172"/>
      <c r="N143" s="172"/>
      <c r="O143" s="172"/>
      <c r="P143" s="172"/>
      <c r="Q143" s="172"/>
      <c r="R143" s="172"/>
      <c r="S143" s="172"/>
      <c r="T143" s="172"/>
      <c r="U143" s="172"/>
      <c r="V143" s="172"/>
      <c r="W143" s="172"/>
      <c r="X143" s="172"/>
      <c r="Y143" s="172"/>
      <c r="Z143" s="172"/>
    </row>
    <row r="144">
      <c r="A144" s="172"/>
      <c r="B144" s="182"/>
      <c r="C144" s="172"/>
      <c r="D144" s="172"/>
      <c r="E144" s="172"/>
      <c r="F144" s="172"/>
      <c r="G144" s="172"/>
      <c r="H144" s="172"/>
      <c r="I144" s="18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</row>
    <row r="145">
      <c r="A145" s="172"/>
      <c r="B145" s="182"/>
      <c r="C145" s="172"/>
      <c r="D145" s="172"/>
      <c r="E145" s="172"/>
      <c r="F145" s="172"/>
      <c r="G145" s="172"/>
      <c r="H145" s="172"/>
      <c r="I145" s="182"/>
      <c r="J145" s="172"/>
      <c r="K145" s="172"/>
      <c r="L145" s="172"/>
      <c r="M145" s="172"/>
      <c r="N145" s="172"/>
      <c r="O145" s="172"/>
      <c r="P145" s="172"/>
      <c r="Q145" s="172"/>
      <c r="R145" s="172"/>
      <c r="S145" s="172"/>
      <c r="T145" s="172"/>
      <c r="U145" s="172"/>
      <c r="V145" s="172"/>
      <c r="W145" s="172"/>
      <c r="X145" s="172"/>
      <c r="Y145" s="172"/>
      <c r="Z145" s="172"/>
    </row>
    <row r="146">
      <c r="A146" s="172"/>
      <c r="B146" s="182"/>
      <c r="C146" s="172"/>
      <c r="D146" s="172"/>
      <c r="E146" s="172"/>
      <c r="F146" s="172"/>
      <c r="G146" s="172"/>
      <c r="H146" s="172"/>
      <c r="I146" s="182"/>
      <c r="J146" s="172"/>
      <c r="K146" s="172"/>
      <c r="L146" s="172"/>
      <c r="M146" s="172"/>
      <c r="N146" s="172"/>
      <c r="O146" s="172"/>
      <c r="P146" s="172"/>
      <c r="Q146" s="172"/>
      <c r="R146" s="172"/>
      <c r="S146" s="172"/>
      <c r="T146" s="172"/>
      <c r="U146" s="172"/>
      <c r="V146" s="172"/>
      <c r="W146" s="172"/>
      <c r="X146" s="172"/>
      <c r="Y146" s="172"/>
      <c r="Z146" s="172"/>
    </row>
    <row r="147">
      <c r="A147" s="172"/>
      <c r="B147" s="182"/>
      <c r="C147" s="172"/>
      <c r="D147" s="172"/>
      <c r="E147" s="172"/>
      <c r="F147" s="172"/>
      <c r="G147" s="172"/>
      <c r="H147" s="172"/>
      <c r="I147" s="182"/>
      <c r="J147" s="172"/>
      <c r="K147" s="172"/>
      <c r="L147" s="172"/>
      <c r="M147" s="172"/>
      <c r="N147" s="172"/>
      <c r="O147" s="172"/>
      <c r="P147" s="172"/>
      <c r="Q147" s="172"/>
      <c r="R147" s="172"/>
      <c r="S147" s="172"/>
      <c r="T147" s="172"/>
      <c r="U147" s="172"/>
      <c r="V147" s="172"/>
      <c r="W147" s="172"/>
      <c r="X147" s="172"/>
      <c r="Y147" s="172"/>
      <c r="Z147" s="172"/>
    </row>
    <row r="148">
      <c r="A148" s="172"/>
      <c r="B148" s="182"/>
      <c r="C148" s="172"/>
      <c r="D148" s="172"/>
      <c r="E148" s="172"/>
      <c r="F148" s="172"/>
      <c r="G148" s="172"/>
      <c r="H148" s="172"/>
      <c r="I148" s="182"/>
      <c r="J148" s="172"/>
      <c r="K148" s="172"/>
      <c r="L148" s="172"/>
      <c r="M148" s="172"/>
      <c r="N148" s="172"/>
      <c r="O148" s="172"/>
      <c r="P148" s="172"/>
      <c r="Q148" s="172"/>
      <c r="R148" s="172"/>
      <c r="S148" s="172"/>
      <c r="T148" s="172"/>
      <c r="U148" s="172"/>
      <c r="V148" s="172"/>
      <c r="W148" s="172"/>
      <c r="X148" s="172"/>
      <c r="Y148" s="172"/>
      <c r="Z148" s="172"/>
    </row>
    <row r="149">
      <c r="A149" s="172"/>
      <c r="B149" s="182"/>
      <c r="C149" s="172"/>
      <c r="D149" s="172"/>
      <c r="E149" s="172"/>
      <c r="F149" s="172"/>
      <c r="G149" s="172"/>
      <c r="H149" s="172"/>
      <c r="I149" s="18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</row>
    <row r="150">
      <c r="A150" s="172"/>
      <c r="B150" s="182"/>
      <c r="C150" s="172"/>
      <c r="D150" s="172"/>
      <c r="E150" s="172"/>
      <c r="F150" s="172"/>
      <c r="G150" s="172"/>
      <c r="H150" s="172"/>
      <c r="I150" s="182"/>
      <c r="J150" s="172"/>
      <c r="K150" s="172"/>
      <c r="L150" s="172"/>
      <c r="M150" s="172"/>
      <c r="N150" s="172"/>
      <c r="O150" s="172"/>
      <c r="P150" s="172"/>
      <c r="Q150" s="172"/>
      <c r="R150" s="172"/>
      <c r="S150" s="172"/>
      <c r="T150" s="172"/>
      <c r="U150" s="172"/>
      <c r="V150" s="172"/>
      <c r="W150" s="172"/>
      <c r="X150" s="172"/>
      <c r="Y150" s="172"/>
      <c r="Z150" s="172"/>
    </row>
    <row r="151">
      <c r="A151" s="172"/>
      <c r="B151" s="182"/>
      <c r="C151" s="172"/>
      <c r="D151" s="172"/>
      <c r="E151" s="172"/>
      <c r="F151" s="172"/>
      <c r="G151" s="172"/>
      <c r="H151" s="172"/>
      <c r="I151" s="18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</row>
    <row r="152">
      <c r="A152" s="172"/>
      <c r="B152" s="182"/>
      <c r="C152" s="172"/>
      <c r="D152" s="172"/>
      <c r="E152" s="172"/>
      <c r="F152" s="172"/>
      <c r="G152" s="172"/>
      <c r="H152" s="172"/>
      <c r="I152" s="18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</row>
    <row r="153">
      <c r="A153" s="172"/>
      <c r="B153" s="182"/>
      <c r="C153" s="172"/>
      <c r="D153" s="172"/>
      <c r="E153" s="172"/>
      <c r="F153" s="172"/>
      <c r="G153" s="172"/>
      <c r="H153" s="172"/>
      <c r="I153" s="182"/>
      <c r="J153" s="172"/>
      <c r="K153" s="172"/>
      <c r="L153" s="172"/>
      <c r="M153" s="172"/>
      <c r="N153" s="172"/>
      <c r="O153" s="172"/>
      <c r="P153" s="172"/>
      <c r="Q153" s="172"/>
      <c r="R153" s="172"/>
      <c r="S153" s="172"/>
      <c r="T153" s="172"/>
      <c r="U153" s="172"/>
      <c r="V153" s="172"/>
      <c r="W153" s="172"/>
      <c r="X153" s="172"/>
      <c r="Y153" s="172"/>
      <c r="Z153" s="172"/>
    </row>
    <row r="154">
      <c r="A154" s="172"/>
      <c r="B154" s="182"/>
      <c r="C154" s="172"/>
      <c r="D154" s="172"/>
      <c r="E154" s="172"/>
      <c r="F154" s="172"/>
      <c r="G154" s="172"/>
      <c r="H154" s="172"/>
      <c r="I154" s="18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</row>
    <row r="155">
      <c r="A155" s="172"/>
      <c r="B155" s="182"/>
      <c r="C155" s="172"/>
      <c r="D155" s="172"/>
      <c r="E155" s="172"/>
      <c r="F155" s="172"/>
      <c r="G155" s="172"/>
      <c r="H155" s="172"/>
      <c r="I155" s="18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</row>
    <row r="156">
      <c r="A156" s="172"/>
      <c r="B156" s="182"/>
      <c r="C156" s="172"/>
      <c r="D156" s="172"/>
      <c r="E156" s="172"/>
      <c r="F156" s="172"/>
      <c r="G156" s="172"/>
      <c r="H156" s="172"/>
      <c r="I156" s="182"/>
      <c r="J156" s="172"/>
      <c r="K156" s="172"/>
      <c r="L156" s="172"/>
      <c r="M156" s="172"/>
      <c r="N156" s="172"/>
      <c r="O156" s="172"/>
      <c r="P156" s="172"/>
      <c r="Q156" s="172"/>
      <c r="R156" s="172"/>
      <c r="S156" s="172"/>
      <c r="T156" s="172"/>
      <c r="U156" s="172"/>
      <c r="V156" s="172"/>
      <c r="W156" s="172"/>
      <c r="X156" s="172"/>
      <c r="Y156" s="172"/>
      <c r="Z156" s="172"/>
    </row>
    <row r="157">
      <c r="A157" s="172"/>
      <c r="B157" s="182"/>
      <c r="C157" s="172"/>
      <c r="D157" s="172"/>
      <c r="E157" s="172"/>
      <c r="F157" s="172"/>
      <c r="G157" s="172"/>
      <c r="H157" s="172"/>
      <c r="I157" s="18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</row>
    <row r="158">
      <c r="A158" s="172"/>
      <c r="B158" s="182"/>
      <c r="C158" s="172"/>
      <c r="D158" s="172"/>
      <c r="E158" s="172"/>
      <c r="F158" s="172"/>
      <c r="G158" s="172"/>
      <c r="H158" s="172"/>
      <c r="I158" s="18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</row>
    <row r="159">
      <c r="A159" s="172"/>
      <c r="B159" s="182"/>
      <c r="C159" s="172"/>
      <c r="D159" s="172"/>
      <c r="E159" s="172"/>
      <c r="F159" s="172"/>
      <c r="G159" s="172"/>
      <c r="H159" s="172"/>
      <c r="I159" s="18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</row>
    <row r="160">
      <c r="A160" s="172"/>
      <c r="B160" s="182"/>
      <c r="C160" s="172"/>
      <c r="D160" s="172"/>
      <c r="E160" s="172"/>
      <c r="F160" s="172"/>
      <c r="G160" s="172"/>
      <c r="H160" s="172"/>
      <c r="I160" s="18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</row>
    <row r="161">
      <c r="A161" s="172"/>
      <c r="B161" s="182"/>
      <c r="C161" s="172"/>
      <c r="D161" s="172"/>
      <c r="E161" s="172"/>
      <c r="F161" s="172"/>
      <c r="G161" s="172"/>
      <c r="H161" s="172"/>
      <c r="I161" s="18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</row>
    <row r="162">
      <c r="A162" s="172"/>
      <c r="B162" s="182"/>
      <c r="C162" s="172"/>
      <c r="D162" s="172"/>
      <c r="E162" s="172"/>
      <c r="F162" s="172"/>
      <c r="G162" s="172"/>
      <c r="H162" s="172"/>
      <c r="I162" s="182"/>
      <c r="J162" s="172"/>
      <c r="K162" s="172"/>
      <c r="L162" s="172"/>
      <c r="M162" s="172"/>
      <c r="N162" s="172"/>
      <c r="O162" s="172"/>
      <c r="P162" s="172"/>
      <c r="Q162" s="172"/>
      <c r="R162" s="172"/>
      <c r="S162" s="172"/>
      <c r="T162" s="172"/>
      <c r="U162" s="172"/>
      <c r="V162" s="172"/>
      <c r="W162" s="172"/>
      <c r="X162" s="172"/>
      <c r="Y162" s="172"/>
      <c r="Z162" s="172"/>
    </row>
    <row r="163">
      <c r="A163" s="172"/>
      <c r="B163" s="182"/>
      <c r="C163" s="172"/>
      <c r="D163" s="172"/>
      <c r="E163" s="172"/>
      <c r="F163" s="172"/>
      <c r="G163" s="172"/>
      <c r="H163" s="172"/>
      <c r="I163" s="182"/>
      <c r="J163" s="172"/>
      <c r="K163" s="172"/>
      <c r="L163" s="172"/>
      <c r="M163" s="172"/>
      <c r="N163" s="172"/>
      <c r="O163" s="172"/>
      <c r="P163" s="172"/>
      <c r="Q163" s="172"/>
      <c r="R163" s="172"/>
      <c r="S163" s="172"/>
      <c r="T163" s="172"/>
      <c r="U163" s="172"/>
      <c r="V163" s="172"/>
      <c r="W163" s="172"/>
      <c r="X163" s="172"/>
      <c r="Y163" s="172"/>
      <c r="Z163" s="172"/>
    </row>
    <row r="164">
      <c r="A164" s="172"/>
      <c r="B164" s="182"/>
      <c r="C164" s="172"/>
      <c r="D164" s="172"/>
      <c r="E164" s="172"/>
      <c r="F164" s="172"/>
      <c r="G164" s="172"/>
      <c r="H164" s="172"/>
      <c r="I164" s="182"/>
      <c r="J164" s="172"/>
      <c r="K164" s="172"/>
      <c r="L164" s="172"/>
      <c r="M164" s="172"/>
      <c r="N164" s="172"/>
      <c r="O164" s="172"/>
      <c r="P164" s="172"/>
      <c r="Q164" s="172"/>
      <c r="R164" s="172"/>
      <c r="S164" s="172"/>
      <c r="T164" s="172"/>
      <c r="U164" s="172"/>
      <c r="V164" s="172"/>
      <c r="W164" s="172"/>
      <c r="X164" s="172"/>
      <c r="Y164" s="172"/>
      <c r="Z164" s="172"/>
    </row>
    <row r="165">
      <c r="A165" s="172"/>
      <c r="B165" s="182"/>
      <c r="C165" s="172"/>
      <c r="D165" s="172"/>
      <c r="E165" s="172"/>
      <c r="F165" s="172"/>
      <c r="G165" s="172"/>
      <c r="H165" s="172"/>
      <c r="I165" s="18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</row>
    <row r="166">
      <c r="A166" s="172"/>
      <c r="B166" s="182"/>
      <c r="C166" s="172"/>
      <c r="D166" s="172"/>
      <c r="E166" s="172"/>
      <c r="F166" s="172"/>
      <c r="G166" s="172"/>
      <c r="H166" s="172"/>
      <c r="I166" s="182"/>
      <c r="J166" s="172"/>
      <c r="K166" s="172"/>
      <c r="L166" s="172"/>
      <c r="M166" s="172"/>
      <c r="N166" s="172"/>
      <c r="O166" s="172"/>
      <c r="P166" s="172"/>
      <c r="Q166" s="172"/>
      <c r="R166" s="172"/>
      <c r="S166" s="172"/>
      <c r="T166" s="172"/>
      <c r="U166" s="172"/>
      <c r="V166" s="172"/>
      <c r="W166" s="172"/>
      <c r="X166" s="172"/>
      <c r="Y166" s="172"/>
      <c r="Z166" s="172"/>
    </row>
    <row r="167">
      <c r="A167" s="172"/>
      <c r="B167" s="182"/>
      <c r="C167" s="172"/>
      <c r="D167" s="172"/>
      <c r="E167" s="172"/>
      <c r="F167" s="172"/>
      <c r="G167" s="172"/>
      <c r="H167" s="172"/>
      <c r="I167" s="18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</row>
    <row r="168">
      <c r="A168" s="172"/>
      <c r="B168" s="182"/>
      <c r="C168" s="172"/>
      <c r="D168" s="172"/>
      <c r="E168" s="172"/>
      <c r="F168" s="172"/>
      <c r="G168" s="172"/>
      <c r="H168" s="172"/>
      <c r="I168" s="182"/>
      <c r="J168" s="172"/>
      <c r="K168" s="172"/>
      <c r="L168" s="172"/>
      <c r="M168" s="172"/>
      <c r="N168" s="172"/>
      <c r="O168" s="172"/>
      <c r="P168" s="172"/>
      <c r="Q168" s="172"/>
      <c r="R168" s="172"/>
      <c r="S168" s="172"/>
      <c r="T168" s="172"/>
      <c r="U168" s="172"/>
      <c r="V168" s="172"/>
      <c r="W168" s="172"/>
      <c r="X168" s="172"/>
      <c r="Y168" s="172"/>
      <c r="Z168" s="172"/>
    </row>
    <row r="169">
      <c r="A169" s="172"/>
      <c r="B169" s="182"/>
      <c r="C169" s="172"/>
      <c r="D169" s="172"/>
      <c r="E169" s="172"/>
      <c r="F169" s="172"/>
      <c r="G169" s="172"/>
      <c r="H169" s="172"/>
      <c r="I169" s="182"/>
      <c r="J169" s="172"/>
      <c r="K169" s="172"/>
      <c r="L169" s="172"/>
      <c r="M169" s="172"/>
      <c r="N169" s="172"/>
      <c r="O169" s="172"/>
      <c r="P169" s="172"/>
      <c r="Q169" s="172"/>
      <c r="R169" s="172"/>
      <c r="S169" s="172"/>
      <c r="T169" s="172"/>
      <c r="U169" s="172"/>
      <c r="V169" s="172"/>
      <c r="W169" s="172"/>
      <c r="X169" s="172"/>
      <c r="Y169" s="172"/>
      <c r="Z169" s="172"/>
    </row>
    <row r="170">
      <c r="A170" s="172"/>
      <c r="B170" s="182"/>
      <c r="C170" s="172"/>
      <c r="D170" s="172"/>
      <c r="E170" s="172"/>
      <c r="F170" s="172"/>
      <c r="G170" s="172"/>
      <c r="H170" s="172"/>
      <c r="I170" s="182"/>
      <c r="J170" s="172"/>
      <c r="K170" s="172"/>
      <c r="L170" s="172"/>
      <c r="M170" s="172"/>
      <c r="N170" s="172"/>
      <c r="O170" s="172"/>
      <c r="P170" s="172"/>
      <c r="Q170" s="172"/>
      <c r="R170" s="172"/>
      <c r="S170" s="172"/>
      <c r="T170" s="172"/>
      <c r="U170" s="172"/>
      <c r="V170" s="172"/>
      <c r="W170" s="172"/>
      <c r="X170" s="172"/>
      <c r="Y170" s="172"/>
      <c r="Z170" s="172"/>
    </row>
    <row r="171">
      <c r="A171" s="172"/>
      <c r="B171" s="182"/>
      <c r="C171" s="172"/>
      <c r="D171" s="172"/>
      <c r="E171" s="172"/>
      <c r="F171" s="172"/>
      <c r="G171" s="172"/>
      <c r="H171" s="172"/>
      <c r="I171" s="182"/>
      <c r="J171" s="172"/>
      <c r="K171" s="172"/>
      <c r="L171" s="172"/>
      <c r="M171" s="172"/>
      <c r="N171" s="172"/>
      <c r="O171" s="172"/>
      <c r="P171" s="172"/>
      <c r="Q171" s="172"/>
      <c r="R171" s="172"/>
      <c r="S171" s="172"/>
      <c r="T171" s="172"/>
      <c r="U171" s="172"/>
      <c r="V171" s="172"/>
      <c r="W171" s="172"/>
      <c r="X171" s="172"/>
      <c r="Y171" s="172"/>
      <c r="Z171" s="172"/>
    </row>
    <row r="172">
      <c r="A172" s="172"/>
      <c r="B172" s="182"/>
      <c r="C172" s="172"/>
      <c r="D172" s="172"/>
      <c r="E172" s="172"/>
      <c r="F172" s="172"/>
      <c r="G172" s="172"/>
      <c r="H172" s="172"/>
      <c r="I172" s="182"/>
      <c r="J172" s="172"/>
      <c r="K172" s="172"/>
      <c r="L172" s="172"/>
      <c r="M172" s="172"/>
      <c r="N172" s="172"/>
      <c r="O172" s="172"/>
      <c r="P172" s="172"/>
      <c r="Q172" s="172"/>
      <c r="R172" s="172"/>
      <c r="S172" s="172"/>
      <c r="T172" s="172"/>
      <c r="U172" s="172"/>
      <c r="V172" s="172"/>
      <c r="W172" s="172"/>
      <c r="X172" s="172"/>
      <c r="Y172" s="172"/>
      <c r="Z172" s="172"/>
    </row>
    <row r="173">
      <c r="A173" s="172"/>
      <c r="B173" s="182"/>
      <c r="C173" s="172"/>
      <c r="D173" s="172"/>
      <c r="E173" s="172"/>
      <c r="F173" s="172"/>
      <c r="G173" s="172"/>
      <c r="H173" s="172"/>
      <c r="I173" s="182"/>
      <c r="J173" s="172"/>
      <c r="K173" s="172"/>
      <c r="L173" s="172"/>
      <c r="M173" s="172"/>
      <c r="N173" s="172"/>
      <c r="O173" s="172"/>
      <c r="P173" s="172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</row>
    <row r="174">
      <c r="A174" s="172"/>
      <c r="B174" s="182"/>
      <c r="C174" s="172"/>
      <c r="D174" s="172"/>
      <c r="E174" s="172"/>
      <c r="F174" s="172"/>
      <c r="G174" s="172"/>
      <c r="H174" s="172"/>
      <c r="I174" s="182"/>
      <c r="J174" s="172"/>
      <c r="K174" s="172"/>
      <c r="L174" s="172"/>
      <c r="M174" s="172"/>
      <c r="N174" s="172"/>
      <c r="O174" s="172"/>
      <c r="P174" s="172"/>
      <c r="Q174" s="172"/>
      <c r="R174" s="172"/>
      <c r="S174" s="172"/>
      <c r="T174" s="172"/>
      <c r="U174" s="172"/>
      <c r="V174" s="172"/>
      <c r="W174" s="172"/>
      <c r="X174" s="172"/>
      <c r="Y174" s="172"/>
      <c r="Z174" s="172"/>
    </row>
    <row r="175">
      <c r="A175" s="172"/>
      <c r="B175" s="182"/>
      <c r="C175" s="172"/>
      <c r="D175" s="172"/>
      <c r="E175" s="172"/>
      <c r="F175" s="172"/>
      <c r="G175" s="172"/>
      <c r="H175" s="172"/>
      <c r="I175" s="182"/>
      <c r="J175" s="172"/>
      <c r="K175" s="172"/>
      <c r="L175" s="172"/>
      <c r="M175" s="172"/>
      <c r="N175" s="172"/>
      <c r="O175" s="172"/>
      <c r="P175" s="172"/>
      <c r="Q175" s="172"/>
      <c r="R175" s="172"/>
      <c r="S175" s="172"/>
      <c r="T175" s="172"/>
      <c r="U175" s="172"/>
      <c r="V175" s="172"/>
      <c r="W175" s="172"/>
      <c r="X175" s="172"/>
      <c r="Y175" s="172"/>
      <c r="Z175" s="172"/>
    </row>
    <row r="176">
      <c r="A176" s="172"/>
      <c r="B176" s="182"/>
      <c r="C176" s="172"/>
      <c r="D176" s="172"/>
      <c r="E176" s="172"/>
      <c r="F176" s="172"/>
      <c r="G176" s="172"/>
      <c r="H176" s="172"/>
      <c r="I176" s="182"/>
      <c r="J176" s="172"/>
      <c r="K176" s="172"/>
      <c r="L176" s="172"/>
      <c r="M176" s="172"/>
      <c r="N176" s="172"/>
      <c r="O176" s="172"/>
      <c r="P176" s="172"/>
      <c r="Q176" s="172"/>
      <c r="R176" s="172"/>
      <c r="S176" s="172"/>
      <c r="T176" s="172"/>
      <c r="U176" s="172"/>
      <c r="V176" s="172"/>
      <c r="W176" s="172"/>
      <c r="X176" s="172"/>
      <c r="Y176" s="172"/>
      <c r="Z176" s="172"/>
    </row>
    <row r="177">
      <c r="A177" s="172"/>
      <c r="B177" s="182"/>
      <c r="C177" s="172"/>
      <c r="D177" s="172"/>
      <c r="E177" s="172"/>
      <c r="F177" s="172"/>
      <c r="G177" s="172"/>
      <c r="H177" s="172"/>
      <c r="I177" s="182"/>
      <c r="J177" s="172"/>
      <c r="K177" s="172"/>
      <c r="L177" s="172"/>
      <c r="M177" s="172"/>
      <c r="N177" s="172"/>
      <c r="O177" s="172"/>
      <c r="P177" s="172"/>
      <c r="Q177" s="172"/>
      <c r="R177" s="172"/>
      <c r="S177" s="172"/>
      <c r="T177" s="172"/>
      <c r="U177" s="172"/>
      <c r="V177" s="172"/>
      <c r="W177" s="172"/>
      <c r="X177" s="172"/>
      <c r="Y177" s="172"/>
      <c r="Z177" s="172"/>
    </row>
    <row r="178">
      <c r="A178" s="172"/>
      <c r="B178" s="182"/>
      <c r="C178" s="172"/>
      <c r="D178" s="172"/>
      <c r="E178" s="172"/>
      <c r="F178" s="172"/>
      <c r="G178" s="172"/>
      <c r="H178" s="172"/>
      <c r="I178" s="182"/>
      <c r="J178" s="172"/>
      <c r="K178" s="172"/>
      <c r="L178" s="172"/>
      <c r="M178" s="172"/>
      <c r="N178" s="172"/>
      <c r="O178" s="172"/>
      <c r="P178" s="172"/>
      <c r="Q178" s="172"/>
      <c r="R178" s="172"/>
      <c r="S178" s="172"/>
      <c r="T178" s="172"/>
      <c r="U178" s="172"/>
      <c r="V178" s="172"/>
      <c r="W178" s="172"/>
      <c r="X178" s="172"/>
      <c r="Y178" s="172"/>
      <c r="Z178" s="172"/>
    </row>
    <row r="179">
      <c r="A179" s="172"/>
      <c r="B179" s="182"/>
      <c r="C179" s="172"/>
      <c r="D179" s="172"/>
      <c r="E179" s="172"/>
      <c r="F179" s="172"/>
      <c r="G179" s="172"/>
      <c r="H179" s="172"/>
      <c r="I179" s="182"/>
      <c r="J179" s="172"/>
      <c r="K179" s="172"/>
      <c r="L179" s="172"/>
      <c r="M179" s="172"/>
      <c r="N179" s="172"/>
      <c r="O179" s="172"/>
      <c r="P179" s="172"/>
      <c r="Q179" s="172"/>
      <c r="R179" s="172"/>
      <c r="S179" s="172"/>
      <c r="T179" s="172"/>
      <c r="U179" s="172"/>
      <c r="V179" s="172"/>
      <c r="W179" s="172"/>
      <c r="X179" s="172"/>
      <c r="Y179" s="172"/>
      <c r="Z179" s="172"/>
    </row>
    <row r="180">
      <c r="A180" s="172"/>
      <c r="B180" s="182"/>
      <c r="C180" s="172"/>
      <c r="D180" s="172"/>
      <c r="E180" s="172"/>
      <c r="F180" s="172"/>
      <c r="G180" s="172"/>
      <c r="H180" s="172"/>
      <c r="I180" s="182"/>
      <c r="J180" s="172"/>
      <c r="K180" s="172"/>
      <c r="L180" s="172"/>
      <c r="M180" s="172"/>
      <c r="N180" s="172"/>
      <c r="O180" s="172"/>
      <c r="P180" s="172"/>
      <c r="Q180" s="172"/>
      <c r="R180" s="172"/>
      <c r="S180" s="172"/>
      <c r="T180" s="172"/>
      <c r="U180" s="172"/>
      <c r="V180" s="172"/>
      <c r="W180" s="172"/>
      <c r="X180" s="172"/>
      <c r="Y180" s="172"/>
      <c r="Z180" s="172"/>
    </row>
    <row r="181">
      <c r="A181" s="172"/>
      <c r="B181" s="182"/>
      <c r="C181" s="172"/>
      <c r="D181" s="172"/>
      <c r="E181" s="172"/>
      <c r="F181" s="172"/>
      <c r="G181" s="172"/>
      <c r="H181" s="172"/>
      <c r="I181" s="182"/>
      <c r="J181" s="172"/>
      <c r="K181" s="172"/>
      <c r="L181" s="172"/>
      <c r="M181" s="172"/>
      <c r="N181" s="172"/>
      <c r="O181" s="172"/>
      <c r="P181" s="172"/>
      <c r="Q181" s="172"/>
      <c r="R181" s="172"/>
      <c r="S181" s="172"/>
      <c r="T181" s="172"/>
      <c r="U181" s="172"/>
      <c r="V181" s="172"/>
      <c r="W181" s="172"/>
      <c r="X181" s="172"/>
      <c r="Y181" s="172"/>
      <c r="Z181" s="172"/>
    </row>
    <row r="182">
      <c r="A182" s="172"/>
      <c r="B182" s="182"/>
      <c r="C182" s="172"/>
      <c r="D182" s="172"/>
      <c r="E182" s="172"/>
      <c r="F182" s="172"/>
      <c r="G182" s="172"/>
      <c r="H182" s="172"/>
      <c r="I182" s="182"/>
      <c r="J182" s="172"/>
      <c r="K182" s="172"/>
      <c r="L182" s="172"/>
      <c r="M182" s="172"/>
      <c r="N182" s="172"/>
      <c r="O182" s="172"/>
      <c r="P182" s="172"/>
      <c r="Q182" s="172"/>
      <c r="R182" s="172"/>
      <c r="S182" s="172"/>
      <c r="T182" s="172"/>
      <c r="U182" s="172"/>
      <c r="V182" s="172"/>
      <c r="W182" s="172"/>
      <c r="X182" s="172"/>
      <c r="Y182" s="172"/>
      <c r="Z182" s="172"/>
    </row>
    <row r="183">
      <c r="A183" s="172"/>
      <c r="B183" s="182"/>
      <c r="C183" s="172"/>
      <c r="D183" s="172"/>
      <c r="E183" s="172"/>
      <c r="F183" s="172"/>
      <c r="G183" s="172"/>
      <c r="H183" s="172"/>
      <c r="I183" s="182"/>
      <c r="J183" s="172"/>
      <c r="K183" s="172"/>
      <c r="L183" s="172"/>
      <c r="M183" s="172"/>
      <c r="N183" s="172"/>
      <c r="O183" s="172"/>
      <c r="P183" s="172"/>
      <c r="Q183" s="172"/>
      <c r="R183" s="172"/>
      <c r="S183" s="172"/>
      <c r="T183" s="172"/>
      <c r="U183" s="172"/>
      <c r="V183" s="172"/>
      <c r="W183" s="172"/>
      <c r="X183" s="172"/>
      <c r="Y183" s="172"/>
      <c r="Z183" s="172"/>
    </row>
    <row r="184">
      <c r="A184" s="172"/>
      <c r="B184" s="182"/>
      <c r="C184" s="172"/>
      <c r="D184" s="172"/>
      <c r="E184" s="172"/>
      <c r="F184" s="172"/>
      <c r="G184" s="172"/>
      <c r="H184" s="172"/>
      <c r="I184" s="182"/>
      <c r="J184" s="172"/>
      <c r="K184" s="172"/>
      <c r="L184" s="172"/>
      <c r="M184" s="172"/>
      <c r="N184" s="172"/>
      <c r="O184" s="172"/>
      <c r="P184" s="172"/>
      <c r="Q184" s="172"/>
      <c r="R184" s="172"/>
      <c r="S184" s="172"/>
      <c r="T184" s="172"/>
      <c r="U184" s="172"/>
      <c r="V184" s="172"/>
      <c r="W184" s="172"/>
      <c r="X184" s="172"/>
      <c r="Y184" s="172"/>
      <c r="Z184" s="172"/>
    </row>
    <row r="185">
      <c r="A185" s="172"/>
      <c r="B185" s="182"/>
      <c r="C185" s="172"/>
      <c r="D185" s="172"/>
      <c r="E185" s="172"/>
      <c r="F185" s="172"/>
      <c r="G185" s="172"/>
      <c r="H185" s="172"/>
      <c r="I185" s="182"/>
      <c r="J185" s="172"/>
      <c r="K185" s="172"/>
      <c r="L185" s="172"/>
      <c r="M185" s="172"/>
      <c r="N185" s="172"/>
      <c r="O185" s="172"/>
      <c r="P185" s="172"/>
      <c r="Q185" s="172"/>
      <c r="R185" s="172"/>
      <c r="S185" s="172"/>
      <c r="T185" s="172"/>
      <c r="U185" s="172"/>
      <c r="V185" s="172"/>
      <c r="W185" s="172"/>
      <c r="X185" s="172"/>
      <c r="Y185" s="172"/>
      <c r="Z185" s="172"/>
    </row>
    <row r="186">
      <c r="A186" s="172"/>
      <c r="B186" s="182"/>
      <c r="C186" s="172"/>
      <c r="D186" s="172"/>
      <c r="E186" s="172"/>
      <c r="F186" s="172"/>
      <c r="G186" s="172"/>
      <c r="H186" s="172"/>
      <c r="I186" s="182"/>
      <c r="J186" s="172"/>
      <c r="K186" s="172"/>
      <c r="L186" s="172"/>
      <c r="M186" s="172"/>
      <c r="N186" s="172"/>
      <c r="O186" s="172"/>
      <c r="P186" s="172"/>
      <c r="Q186" s="172"/>
      <c r="R186" s="172"/>
      <c r="S186" s="172"/>
      <c r="T186" s="172"/>
      <c r="U186" s="172"/>
      <c r="V186" s="172"/>
      <c r="W186" s="172"/>
      <c r="X186" s="172"/>
      <c r="Y186" s="172"/>
      <c r="Z186" s="172"/>
    </row>
    <row r="187">
      <c r="A187" s="172"/>
      <c r="B187" s="182"/>
      <c r="C187" s="172"/>
      <c r="D187" s="172"/>
      <c r="E187" s="172"/>
      <c r="F187" s="172"/>
      <c r="G187" s="172"/>
      <c r="H187" s="172"/>
      <c r="I187" s="182"/>
      <c r="J187" s="172"/>
      <c r="K187" s="172"/>
      <c r="L187" s="172"/>
      <c r="M187" s="172"/>
      <c r="N187" s="172"/>
      <c r="O187" s="172"/>
      <c r="P187" s="172"/>
      <c r="Q187" s="172"/>
      <c r="R187" s="172"/>
      <c r="S187" s="172"/>
      <c r="T187" s="172"/>
      <c r="U187" s="172"/>
      <c r="V187" s="172"/>
      <c r="W187" s="172"/>
      <c r="X187" s="172"/>
      <c r="Y187" s="172"/>
      <c r="Z187" s="172"/>
    </row>
    <row r="188">
      <c r="A188" s="172"/>
      <c r="B188" s="182"/>
      <c r="C188" s="172"/>
      <c r="D188" s="172"/>
      <c r="E188" s="172"/>
      <c r="F188" s="172"/>
      <c r="G188" s="172"/>
      <c r="H188" s="172"/>
      <c r="I188" s="182"/>
      <c r="J188" s="172"/>
      <c r="K188" s="172"/>
      <c r="L188" s="172"/>
      <c r="M188" s="172"/>
      <c r="N188" s="172"/>
      <c r="O188" s="172"/>
      <c r="P188" s="172"/>
      <c r="Q188" s="172"/>
      <c r="R188" s="172"/>
      <c r="S188" s="172"/>
      <c r="T188" s="172"/>
      <c r="U188" s="172"/>
      <c r="V188" s="172"/>
      <c r="W188" s="172"/>
      <c r="X188" s="172"/>
      <c r="Y188" s="172"/>
      <c r="Z188" s="172"/>
    </row>
    <row r="189">
      <c r="A189" s="172"/>
      <c r="B189" s="182"/>
      <c r="C189" s="172"/>
      <c r="D189" s="172"/>
      <c r="E189" s="172"/>
      <c r="F189" s="172"/>
      <c r="G189" s="172"/>
      <c r="H189" s="172"/>
      <c r="I189" s="182"/>
      <c r="J189" s="172"/>
      <c r="K189" s="172"/>
      <c r="L189" s="172"/>
      <c r="M189" s="172"/>
      <c r="N189" s="172"/>
      <c r="O189" s="172"/>
      <c r="P189" s="172"/>
      <c r="Q189" s="172"/>
      <c r="R189" s="172"/>
      <c r="S189" s="172"/>
      <c r="T189" s="172"/>
      <c r="U189" s="172"/>
      <c r="V189" s="172"/>
      <c r="W189" s="172"/>
      <c r="X189" s="172"/>
      <c r="Y189" s="172"/>
      <c r="Z189" s="172"/>
    </row>
    <row r="190">
      <c r="A190" s="172"/>
      <c r="B190" s="182"/>
      <c r="C190" s="172"/>
      <c r="D190" s="172"/>
      <c r="E190" s="172"/>
      <c r="F190" s="172"/>
      <c r="G190" s="172"/>
      <c r="H190" s="172"/>
      <c r="I190" s="182"/>
      <c r="J190" s="172"/>
      <c r="K190" s="172"/>
      <c r="L190" s="172"/>
      <c r="M190" s="172"/>
      <c r="N190" s="172"/>
      <c r="O190" s="172"/>
      <c r="P190" s="172"/>
      <c r="Q190" s="172"/>
      <c r="R190" s="172"/>
      <c r="S190" s="172"/>
      <c r="T190" s="172"/>
      <c r="U190" s="172"/>
      <c r="V190" s="172"/>
      <c r="W190" s="172"/>
      <c r="X190" s="172"/>
      <c r="Y190" s="172"/>
      <c r="Z190" s="172"/>
    </row>
    <row r="191">
      <c r="A191" s="172"/>
      <c r="B191" s="182"/>
      <c r="C191" s="172"/>
      <c r="D191" s="172"/>
      <c r="E191" s="172"/>
      <c r="F191" s="172"/>
      <c r="G191" s="172"/>
      <c r="H191" s="172"/>
      <c r="I191" s="182"/>
      <c r="J191" s="172"/>
      <c r="K191" s="172"/>
      <c r="L191" s="172"/>
      <c r="M191" s="172"/>
      <c r="N191" s="172"/>
      <c r="O191" s="172"/>
      <c r="P191" s="172"/>
      <c r="Q191" s="172"/>
      <c r="R191" s="172"/>
      <c r="S191" s="172"/>
      <c r="T191" s="172"/>
      <c r="U191" s="172"/>
      <c r="V191" s="172"/>
      <c r="W191" s="172"/>
      <c r="X191" s="172"/>
      <c r="Y191" s="172"/>
      <c r="Z191" s="172"/>
    </row>
    <row r="192">
      <c r="A192" s="172"/>
      <c r="B192" s="182"/>
      <c r="C192" s="172"/>
      <c r="D192" s="172"/>
      <c r="E192" s="172"/>
      <c r="F192" s="172"/>
      <c r="G192" s="172"/>
      <c r="H192" s="172"/>
      <c r="I192" s="182"/>
      <c r="J192" s="172"/>
      <c r="K192" s="172"/>
      <c r="L192" s="172"/>
      <c r="M192" s="172"/>
      <c r="N192" s="172"/>
      <c r="O192" s="172"/>
      <c r="P192" s="172"/>
      <c r="Q192" s="172"/>
      <c r="R192" s="172"/>
      <c r="S192" s="172"/>
      <c r="T192" s="172"/>
      <c r="U192" s="172"/>
      <c r="V192" s="172"/>
      <c r="W192" s="172"/>
      <c r="X192" s="172"/>
      <c r="Y192" s="172"/>
      <c r="Z192" s="172"/>
    </row>
    <row r="193">
      <c r="A193" s="172"/>
      <c r="B193" s="182"/>
      <c r="C193" s="172"/>
      <c r="D193" s="172"/>
      <c r="E193" s="172"/>
      <c r="F193" s="172"/>
      <c r="G193" s="172"/>
      <c r="H193" s="172"/>
      <c r="I193" s="182"/>
      <c r="J193" s="172"/>
      <c r="K193" s="172"/>
      <c r="L193" s="172"/>
      <c r="M193" s="172"/>
      <c r="N193" s="172"/>
      <c r="O193" s="172"/>
      <c r="P193" s="172"/>
      <c r="Q193" s="172"/>
      <c r="R193" s="172"/>
      <c r="S193" s="172"/>
      <c r="T193" s="172"/>
      <c r="U193" s="172"/>
      <c r="V193" s="172"/>
      <c r="W193" s="172"/>
      <c r="X193" s="172"/>
      <c r="Y193" s="172"/>
      <c r="Z193" s="172"/>
    </row>
    <row r="194">
      <c r="A194" s="172"/>
      <c r="B194" s="182"/>
      <c r="C194" s="172"/>
      <c r="D194" s="172"/>
      <c r="E194" s="172"/>
      <c r="F194" s="172"/>
      <c r="G194" s="172"/>
      <c r="H194" s="172"/>
      <c r="I194" s="182"/>
      <c r="J194" s="172"/>
      <c r="K194" s="172"/>
      <c r="L194" s="172"/>
      <c r="M194" s="172"/>
      <c r="N194" s="172"/>
      <c r="O194" s="172"/>
      <c r="P194" s="172"/>
      <c r="Q194" s="172"/>
      <c r="R194" s="172"/>
      <c r="S194" s="172"/>
      <c r="T194" s="172"/>
      <c r="U194" s="172"/>
      <c r="V194" s="172"/>
      <c r="W194" s="172"/>
      <c r="X194" s="172"/>
      <c r="Y194" s="172"/>
      <c r="Z194" s="172"/>
    </row>
    <row r="195">
      <c r="A195" s="172"/>
      <c r="B195" s="182"/>
      <c r="C195" s="172"/>
      <c r="D195" s="172"/>
      <c r="E195" s="172"/>
      <c r="F195" s="172"/>
      <c r="G195" s="172"/>
      <c r="H195" s="172"/>
      <c r="I195" s="182"/>
      <c r="J195" s="172"/>
      <c r="K195" s="172"/>
      <c r="L195" s="172"/>
      <c r="M195" s="172"/>
      <c r="N195" s="172"/>
      <c r="O195" s="172"/>
      <c r="P195" s="172"/>
      <c r="Q195" s="172"/>
      <c r="R195" s="172"/>
      <c r="S195" s="172"/>
      <c r="T195" s="172"/>
      <c r="U195" s="172"/>
      <c r="V195" s="172"/>
      <c r="W195" s="172"/>
      <c r="X195" s="172"/>
      <c r="Y195" s="172"/>
      <c r="Z195" s="172"/>
    </row>
    <row r="196">
      <c r="A196" s="172"/>
      <c r="B196" s="182"/>
      <c r="C196" s="172"/>
      <c r="D196" s="172"/>
      <c r="E196" s="172"/>
      <c r="F196" s="172"/>
      <c r="G196" s="172"/>
      <c r="H196" s="172"/>
      <c r="I196" s="182"/>
      <c r="J196" s="172"/>
      <c r="K196" s="172"/>
      <c r="L196" s="172"/>
      <c r="M196" s="172"/>
      <c r="N196" s="172"/>
      <c r="O196" s="172"/>
      <c r="P196" s="172"/>
      <c r="Q196" s="172"/>
      <c r="R196" s="172"/>
      <c r="S196" s="172"/>
      <c r="T196" s="172"/>
      <c r="U196" s="172"/>
      <c r="V196" s="172"/>
      <c r="W196" s="172"/>
      <c r="X196" s="172"/>
      <c r="Y196" s="172"/>
      <c r="Z196" s="172"/>
    </row>
    <row r="197">
      <c r="A197" s="172"/>
      <c r="B197" s="182"/>
      <c r="C197" s="172"/>
      <c r="D197" s="172"/>
      <c r="E197" s="172"/>
      <c r="F197" s="172"/>
      <c r="G197" s="172"/>
      <c r="H197" s="172"/>
      <c r="I197" s="182"/>
      <c r="J197" s="172"/>
      <c r="K197" s="172"/>
      <c r="L197" s="172"/>
      <c r="M197" s="172"/>
      <c r="N197" s="172"/>
      <c r="O197" s="172"/>
      <c r="P197" s="172"/>
      <c r="Q197" s="172"/>
      <c r="R197" s="172"/>
      <c r="S197" s="172"/>
      <c r="T197" s="172"/>
      <c r="U197" s="172"/>
      <c r="V197" s="172"/>
      <c r="W197" s="172"/>
      <c r="X197" s="172"/>
      <c r="Y197" s="172"/>
      <c r="Z197" s="172"/>
    </row>
    <row r="198">
      <c r="A198" s="172"/>
      <c r="B198" s="182"/>
      <c r="C198" s="172"/>
      <c r="D198" s="172"/>
      <c r="E198" s="172"/>
      <c r="F198" s="172"/>
      <c r="G198" s="172"/>
      <c r="H198" s="172"/>
      <c r="I198" s="182"/>
      <c r="J198" s="172"/>
      <c r="K198" s="172"/>
      <c r="L198" s="172"/>
      <c r="M198" s="172"/>
      <c r="N198" s="172"/>
      <c r="O198" s="172"/>
      <c r="P198" s="172"/>
      <c r="Q198" s="172"/>
      <c r="R198" s="172"/>
      <c r="S198" s="172"/>
      <c r="T198" s="172"/>
      <c r="U198" s="172"/>
      <c r="V198" s="172"/>
      <c r="W198" s="172"/>
      <c r="X198" s="172"/>
      <c r="Y198" s="172"/>
      <c r="Z198" s="172"/>
    </row>
    <row r="199">
      <c r="A199" s="172"/>
      <c r="B199" s="182"/>
      <c r="C199" s="172"/>
      <c r="D199" s="172"/>
      <c r="E199" s="172"/>
      <c r="F199" s="172"/>
      <c r="G199" s="172"/>
      <c r="H199" s="172"/>
      <c r="I199" s="182"/>
      <c r="J199" s="172"/>
      <c r="K199" s="172"/>
      <c r="L199" s="172"/>
      <c r="M199" s="172"/>
      <c r="N199" s="172"/>
      <c r="O199" s="172"/>
      <c r="P199" s="172"/>
      <c r="Q199" s="172"/>
      <c r="R199" s="172"/>
      <c r="S199" s="172"/>
      <c r="T199" s="172"/>
      <c r="U199" s="172"/>
      <c r="V199" s="172"/>
      <c r="W199" s="172"/>
      <c r="X199" s="172"/>
      <c r="Y199" s="172"/>
      <c r="Z199" s="172"/>
    </row>
    <row r="200">
      <c r="A200" s="172"/>
      <c r="B200" s="182"/>
      <c r="C200" s="172"/>
      <c r="D200" s="172"/>
      <c r="E200" s="172"/>
      <c r="F200" s="172"/>
      <c r="G200" s="172"/>
      <c r="H200" s="172"/>
      <c r="I200" s="182"/>
      <c r="J200" s="172"/>
      <c r="K200" s="172"/>
      <c r="L200" s="172"/>
      <c r="M200" s="172"/>
      <c r="N200" s="172"/>
      <c r="O200" s="172"/>
      <c r="P200" s="172"/>
      <c r="Q200" s="172"/>
      <c r="R200" s="172"/>
      <c r="S200" s="172"/>
      <c r="T200" s="172"/>
      <c r="U200" s="172"/>
      <c r="V200" s="172"/>
      <c r="W200" s="172"/>
      <c r="X200" s="172"/>
      <c r="Y200" s="172"/>
      <c r="Z200" s="172"/>
    </row>
    <row r="201">
      <c r="A201" s="172"/>
      <c r="B201" s="182"/>
      <c r="C201" s="172"/>
      <c r="D201" s="172"/>
      <c r="E201" s="172"/>
      <c r="F201" s="172"/>
      <c r="G201" s="172"/>
      <c r="H201" s="172"/>
      <c r="I201" s="182"/>
      <c r="J201" s="172"/>
      <c r="K201" s="172"/>
      <c r="L201" s="172"/>
      <c r="M201" s="172"/>
      <c r="N201" s="172"/>
      <c r="O201" s="172"/>
      <c r="P201" s="172"/>
      <c r="Q201" s="172"/>
      <c r="R201" s="172"/>
      <c r="S201" s="172"/>
      <c r="T201" s="172"/>
      <c r="U201" s="172"/>
      <c r="V201" s="172"/>
      <c r="W201" s="172"/>
      <c r="X201" s="172"/>
      <c r="Y201" s="172"/>
      <c r="Z201" s="172"/>
    </row>
    <row r="202">
      <c r="A202" s="172"/>
      <c r="B202" s="182"/>
      <c r="C202" s="172"/>
      <c r="D202" s="172"/>
      <c r="E202" s="172"/>
      <c r="F202" s="172"/>
      <c r="G202" s="172"/>
      <c r="H202" s="172"/>
      <c r="I202" s="182"/>
      <c r="J202" s="172"/>
      <c r="K202" s="172"/>
      <c r="L202" s="172"/>
      <c r="M202" s="172"/>
      <c r="N202" s="172"/>
      <c r="O202" s="172"/>
      <c r="P202" s="172"/>
      <c r="Q202" s="172"/>
      <c r="R202" s="172"/>
      <c r="S202" s="172"/>
      <c r="T202" s="172"/>
      <c r="U202" s="172"/>
      <c r="V202" s="172"/>
      <c r="W202" s="172"/>
      <c r="X202" s="172"/>
      <c r="Y202" s="172"/>
      <c r="Z202" s="172"/>
    </row>
    <row r="203">
      <c r="A203" s="172"/>
      <c r="B203" s="182"/>
      <c r="C203" s="172"/>
      <c r="D203" s="172"/>
      <c r="E203" s="172"/>
      <c r="F203" s="172"/>
      <c r="G203" s="172"/>
      <c r="H203" s="172"/>
      <c r="I203" s="182"/>
      <c r="J203" s="172"/>
      <c r="K203" s="172"/>
      <c r="L203" s="172"/>
      <c r="M203" s="172"/>
      <c r="N203" s="172"/>
      <c r="O203" s="172"/>
      <c r="P203" s="172"/>
      <c r="Q203" s="172"/>
      <c r="R203" s="172"/>
      <c r="S203" s="172"/>
      <c r="T203" s="172"/>
      <c r="U203" s="172"/>
      <c r="V203" s="172"/>
      <c r="W203" s="172"/>
      <c r="X203" s="172"/>
      <c r="Y203" s="172"/>
      <c r="Z203" s="172"/>
    </row>
    <row r="204">
      <c r="A204" s="172"/>
      <c r="B204" s="182"/>
      <c r="C204" s="172"/>
      <c r="D204" s="172"/>
      <c r="E204" s="172"/>
      <c r="F204" s="172"/>
      <c r="G204" s="172"/>
      <c r="H204" s="172"/>
      <c r="I204" s="182"/>
      <c r="J204" s="172"/>
      <c r="K204" s="172"/>
      <c r="L204" s="172"/>
      <c r="M204" s="172"/>
      <c r="N204" s="172"/>
      <c r="O204" s="172"/>
      <c r="P204" s="172"/>
      <c r="Q204" s="172"/>
      <c r="R204" s="172"/>
      <c r="S204" s="172"/>
      <c r="T204" s="172"/>
      <c r="U204" s="172"/>
      <c r="V204" s="172"/>
      <c r="W204" s="172"/>
      <c r="X204" s="172"/>
      <c r="Y204" s="172"/>
      <c r="Z204" s="172"/>
    </row>
    <row r="205">
      <c r="A205" s="172"/>
      <c r="B205" s="182"/>
      <c r="C205" s="172"/>
      <c r="D205" s="172"/>
      <c r="E205" s="172"/>
      <c r="F205" s="172"/>
      <c r="G205" s="172"/>
      <c r="H205" s="172"/>
      <c r="I205" s="182"/>
      <c r="J205" s="172"/>
      <c r="K205" s="172"/>
      <c r="L205" s="172"/>
      <c r="M205" s="172"/>
      <c r="N205" s="172"/>
      <c r="O205" s="172"/>
      <c r="P205" s="172"/>
      <c r="Q205" s="172"/>
      <c r="R205" s="172"/>
      <c r="S205" s="172"/>
      <c r="T205" s="172"/>
      <c r="U205" s="172"/>
      <c r="V205" s="172"/>
      <c r="W205" s="172"/>
      <c r="X205" s="172"/>
      <c r="Y205" s="172"/>
      <c r="Z205" s="172"/>
    </row>
    <row r="206">
      <c r="A206" s="172"/>
      <c r="B206" s="182"/>
      <c r="C206" s="172"/>
      <c r="D206" s="172"/>
      <c r="E206" s="172"/>
      <c r="F206" s="172"/>
      <c r="G206" s="172"/>
      <c r="H206" s="172"/>
      <c r="I206" s="182"/>
      <c r="J206" s="172"/>
      <c r="K206" s="172"/>
      <c r="L206" s="172"/>
      <c r="M206" s="172"/>
      <c r="N206" s="172"/>
      <c r="O206" s="172"/>
      <c r="P206" s="172"/>
      <c r="Q206" s="172"/>
      <c r="R206" s="172"/>
      <c r="S206" s="172"/>
      <c r="T206" s="172"/>
      <c r="U206" s="172"/>
      <c r="V206" s="172"/>
      <c r="W206" s="172"/>
      <c r="X206" s="172"/>
      <c r="Y206" s="172"/>
      <c r="Z206" s="172"/>
    </row>
    <row r="207">
      <c r="A207" s="172"/>
      <c r="B207" s="182"/>
      <c r="C207" s="172"/>
      <c r="D207" s="172"/>
      <c r="E207" s="172"/>
      <c r="F207" s="172"/>
      <c r="G207" s="172"/>
      <c r="H207" s="172"/>
      <c r="I207" s="182"/>
      <c r="J207" s="172"/>
      <c r="K207" s="172"/>
      <c r="L207" s="172"/>
      <c r="M207" s="172"/>
      <c r="N207" s="172"/>
      <c r="O207" s="172"/>
      <c r="P207" s="172"/>
      <c r="Q207" s="172"/>
      <c r="R207" s="172"/>
      <c r="S207" s="172"/>
      <c r="T207" s="172"/>
      <c r="U207" s="172"/>
      <c r="V207" s="172"/>
      <c r="W207" s="172"/>
      <c r="X207" s="172"/>
      <c r="Y207" s="172"/>
      <c r="Z207" s="172"/>
    </row>
    <row r="208">
      <c r="A208" s="172"/>
      <c r="B208" s="182"/>
      <c r="C208" s="172"/>
      <c r="D208" s="172"/>
      <c r="E208" s="172"/>
      <c r="F208" s="172"/>
      <c r="G208" s="172"/>
      <c r="H208" s="172"/>
      <c r="I208" s="182"/>
      <c r="J208" s="172"/>
      <c r="K208" s="172"/>
      <c r="L208" s="172"/>
      <c r="M208" s="172"/>
      <c r="N208" s="172"/>
      <c r="O208" s="172"/>
      <c r="P208" s="172"/>
      <c r="Q208" s="172"/>
      <c r="R208" s="172"/>
      <c r="S208" s="172"/>
      <c r="T208" s="172"/>
      <c r="U208" s="172"/>
      <c r="V208" s="172"/>
      <c r="W208" s="172"/>
      <c r="X208" s="172"/>
      <c r="Y208" s="172"/>
      <c r="Z208" s="172"/>
    </row>
    <row r="209">
      <c r="A209" s="172"/>
      <c r="B209" s="182"/>
      <c r="C209" s="172"/>
      <c r="D209" s="172"/>
      <c r="E209" s="172"/>
      <c r="F209" s="172"/>
      <c r="G209" s="172"/>
      <c r="H209" s="172"/>
      <c r="I209" s="182"/>
      <c r="J209" s="172"/>
      <c r="K209" s="172"/>
      <c r="L209" s="172"/>
      <c r="M209" s="172"/>
      <c r="N209" s="172"/>
      <c r="O209" s="172"/>
      <c r="P209" s="172"/>
      <c r="Q209" s="172"/>
      <c r="R209" s="172"/>
      <c r="S209" s="172"/>
      <c r="T209" s="172"/>
      <c r="U209" s="172"/>
      <c r="V209" s="172"/>
      <c r="W209" s="172"/>
      <c r="X209" s="172"/>
      <c r="Y209" s="172"/>
      <c r="Z209" s="172"/>
    </row>
    <row r="210">
      <c r="A210" s="172"/>
      <c r="B210" s="182"/>
      <c r="C210" s="172"/>
      <c r="D210" s="172"/>
      <c r="E210" s="172"/>
      <c r="F210" s="172"/>
      <c r="G210" s="172"/>
      <c r="H210" s="172"/>
      <c r="I210" s="182"/>
      <c r="J210" s="172"/>
      <c r="K210" s="172"/>
      <c r="L210" s="172"/>
      <c r="M210" s="172"/>
      <c r="N210" s="172"/>
      <c r="O210" s="172"/>
      <c r="P210" s="172"/>
      <c r="Q210" s="172"/>
      <c r="R210" s="172"/>
      <c r="S210" s="172"/>
      <c r="T210" s="172"/>
      <c r="U210" s="172"/>
      <c r="V210" s="172"/>
      <c r="W210" s="172"/>
      <c r="X210" s="172"/>
      <c r="Y210" s="172"/>
      <c r="Z210" s="172"/>
    </row>
    <row r="211">
      <c r="A211" s="172"/>
      <c r="B211" s="182"/>
      <c r="C211" s="172"/>
      <c r="D211" s="172"/>
      <c r="E211" s="172"/>
      <c r="F211" s="172"/>
      <c r="G211" s="172"/>
      <c r="H211" s="172"/>
      <c r="I211" s="182"/>
      <c r="J211" s="172"/>
      <c r="K211" s="172"/>
      <c r="L211" s="172"/>
      <c r="M211" s="172"/>
      <c r="N211" s="172"/>
      <c r="O211" s="172"/>
      <c r="P211" s="172"/>
      <c r="Q211" s="172"/>
      <c r="R211" s="172"/>
      <c r="S211" s="172"/>
      <c r="T211" s="172"/>
      <c r="U211" s="172"/>
      <c r="V211" s="172"/>
      <c r="W211" s="172"/>
      <c r="X211" s="172"/>
      <c r="Y211" s="172"/>
      <c r="Z211" s="172"/>
    </row>
    <row r="212">
      <c r="A212" s="172"/>
      <c r="B212" s="182"/>
      <c r="C212" s="172"/>
      <c r="D212" s="172"/>
      <c r="E212" s="172"/>
      <c r="F212" s="172"/>
      <c r="G212" s="172"/>
      <c r="H212" s="172"/>
      <c r="I212" s="182"/>
      <c r="J212" s="172"/>
      <c r="K212" s="172"/>
      <c r="L212" s="172"/>
      <c r="M212" s="172"/>
      <c r="N212" s="172"/>
      <c r="O212" s="172"/>
      <c r="P212" s="172"/>
      <c r="Q212" s="172"/>
      <c r="R212" s="172"/>
      <c r="S212" s="172"/>
      <c r="T212" s="172"/>
      <c r="U212" s="172"/>
      <c r="V212" s="172"/>
      <c r="W212" s="172"/>
      <c r="X212" s="172"/>
      <c r="Y212" s="172"/>
      <c r="Z212" s="172"/>
    </row>
    <row r="213">
      <c r="A213" s="172"/>
      <c r="B213" s="182"/>
      <c r="C213" s="172"/>
      <c r="D213" s="172"/>
      <c r="E213" s="172"/>
      <c r="F213" s="172"/>
      <c r="G213" s="172"/>
      <c r="H213" s="172"/>
      <c r="I213" s="182"/>
      <c r="J213" s="172"/>
      <c r="K213" s="172"/>
      <c r="L213" s="172"/>
      <c r="M213" s="172"/>
      <c r="N213" s="172"/>
      <c r="O213" s="172"/>
      <c r="P213" s="172"/>
      <c r="Q213" s="172"/>
      <c r="R213" s="172"/>
      <c r="S213" s="172"/>
      <c r="T213" s="172"/>
      <c r="U213" s="172"/>
      <c r="V213" s="172"/>
      <c r="W213" s="172"/>
      <c r="X213" s="172"/>
      <c r="Y213" s="172"/>
      <c r="Z213" s="172"/>
    </row>
    <row r="214">
      <c r="A214" s="172"/>
      <c r="B214" s="182"/>
      <c r="C214" s="172"/>
      <c r="D214" s="172"/>
      <c r="E214" s="172"/>
      <c r="F214" s="172"/>
      <c r="G214" s="172"/>
      <c r="H214" s="172"/>
      <c r="I214" s="182"/>
      <c r="J214" s="172"/>
      <c r="K214" s="172"/>
      <c r="L214" s="172"/>
      <c r="M214" s="172"/>
      <c r="N214" s="172"/>
      <c r="O214" s="172"/>
      <c r="P214" s="172"/>
      <c r="Q214" s="172"/>
      <c r="R214" s="172"/>
      <c r="S214" s="172"/>
      <c r="T214" s="172"/>
      <c r="U214" s="172"/>
      <c r="V214" s="172"/>
      <c r="W214" s="172"/>
      <c r="X214" s="172"/>
      <c r="Y214" s="172"/>
      <c r="Z214" s="172"/>
    </row>
    <row r="215">
      <c r="A215" s="172"/>
      <c r="B215" s="182"/>
      <c r="C215" s="172"/>
      <c r="D215" s="172"/>
      <c r="E215" s="172"/>
      <c r="F215" s="172"/>
      <c r="G215" s="172"/>
      <c r="H215" s="172"/>
      <c r="I215" s="182"/>
      <c r="J215" s="172"/>
      <c r="K215" s="172"/>
      <c r="L215" s="172"/>
      <c r="M215" s="172"/>
      <c r="N215" s="172"/>
      <c r="O215" s="172"/>
      <c r="P215" s="172"/>
      <c r="Q215" s="172"/>
      <c r="R215" s="172"/>
      <c r="S215" s="172"/>
      <c r="T215" s="172"/>
      <c r="U215" s="172"/>
      <c r="V215" s="172"/>
      <c r="W215" s="172"/>
      <c r="X215" s="172"/>
      <c r="Y215" s="172"/>
      <c r="Z215" s="172"/>
    </row>
    <row r="216">
      <c r="A216" s="172"/>
      <c r="B216" s="182"/>
      <c r="C216" s="172"/>
      <c r="D216" s="172"/>
      <c r="E216" s="172"/>
      <c r="F216" s="172"/>
      <c r="G216" s="172"/>
      <c r="H216" s="172"/>
      <c r="I216" s="182"/>
      <c r="J216" s="172"/>
      <c r="K216" s="172"/>
      <c r="L216" s="172"/>
      <c r="M216" s="172"/>
      <c r="N216" s="172"/>
      <c r="O216" s="172"/>
      <c r="P216" s="172"/>
      <c r="Q216" s="172"/>
      <c r="R216" s="172"/>
      <c r="S216" s="172"/>
      <c r="T216" s="172"/>
      <c r="U216" s="172"/>
      <c r="V216" s="172"/>
      <c r="W216" s="172"/>
      <c r="X216" s="172"/>
      <c r="Y216" s="172"/>
      <c r="Z216" s="172"/>
    </row>
    <row r="217">
      <c r="A217" s="172"/>
      <c r="B217" s="182"/>
      <c r="C217" s="172"/>
      <c r="D217" s="172"/>
      <c r="E217" s="172"/>
      <c r="F217" s="172"/>
      <c r="G217" s="172"/>
      <c r="H217" s="172"/>
      <c r="I217" s="182"/>
      <c r="J217" s="172"/>
      <c r="K217" s="172"/>
      <c r="L217" s="172"/>
      <c r="M217" s="172"/>
      <c r="N217" s="172"/>
      <c r="O217" s="172"/>
      <c r="P217" s="172"/>
      <c r="Q217" s="172"/>
      <c r="R217" s="172"/>
      <c r="S217" s="172"/>
      <c r="T217" s="172"/>
      <c r="U217" s="172"/>
      <c r="V217" s="172"/>
      <c r="W217" s="172"/>
      <c r="X217" s="172"/>
      <c r="Y217" s="172"/>
      <c r="Z217" s="172"/>
    </row>
    <row r="218">
      <c r="A218" s="172"/>
      <c r="B218" s="182"/>
      <c r="C218" s="172"/>
      <c r="D218" s="172"/>
      <c r="E218" s="172"/>
      <c r="F218" s="172"/>
      <c r="G218" s="172"/>
      <c r="H218" s="172"/>
      <c r="I218" s="182"/>
      <c r="J218" s="172"/>
      <c r="K218" s="172"/>
      <c r="L218" s="172"/>
      <c r="M218" s="172"/>
      <c r="N218" s="172"/>
      <c r="O218" s="172"/>
      <c r="P218" s="172"/>
      <c r="Q218" s="172"/>
      <c r="R218" s="172"/>
      <c r="S218" s="172"/>
      <c r="T218" s="172"/>
      <c r="U218" s="172"/>
      <c r="V218" s="172"/>
      <c r="W218" s="172"/>
      <c r="X218" s="172"/>
      <c r="Y218" s="172"/>
      <c r="Z218" s="172"/>
    </row>
    <row r="219">
      <c r="A219" s="172"/>
      <c r="B219" s="182"/>
      <c r="C219" s="172"/>
      <c r="D219" s="172"/>
      <c r="E219" s="172"/>
      <c r="F219" s="172"/>
      <c r="G219" s="172"/>
      <c r="H219" s="172"/>
      <c r="I219" s="182"/>
      <c r="J219" s="172"/>
      <c r="K219" s="172"/>
      <c r="L219" s="172"/>
      <c r="M219" s="172"/>
      <c r="N219" s="172"/>
      <c r="O219" s="172"/>
      <c r="P219" s="172"/>
      <c r="Q219" s="172"/>
      <c r="R219" s="172"/>
      <c r="S219" s="172"/>
      <c r="T219" s="172"/>
      <c r="U219" s="172"/>
      <c r="V219" s="172"/>
      <c r="W219" s="172"/>
      <c r="X219" s="172"/>
      <c r="Y219" s="172"/>
      <c r="Z219" s="172"/>
    </row>
    <row r="220">
      <c r="A220" s="172"/>
      <c r="B220" s="182"/>
      <c r="C220" s="172"/>
      <c r="D220" s="172"/>
      <c r="E220" s="172"/>
      <c r="F220" s="172"/>
      <c r="G220" s="172"/>
      <c r="H220" s="172"/>
      <c r="I220" s="182"/>
      <c r="J220" s="172"/>
      <c r="K220" s="172"/>
      <c r="L220" s="172"/>
      <c r="M220" s="172"/>
      <c r="N220" s="172"/>
      <c r="O220" s="172"/>
      <c r="P220" s="172"/>
      <c r="Q220" s="172"/>
      <c r="R220" s="172"/>
      <c r="S220" s="172"/>
      <c r="T220" s="172"/>
      <c r="U220" s="172"/>
      <c r="V220" s="172"/>
      <c r="W220" s="172"/>
      <c r="X220" s="172"/>
      <c r="Y220" s="172"/>
      <c r="Z220" s="172"/>
    </row>
    <row r="221">
      <c r="A221" s="172"/>
      <c r="B221" s="182"/>
      <c r="C221" s="172"/>
      <c r="D221" s="172"/>
      <c r="E221" s="172"/>
      <c r="F221" s="172"/>
      <c r="G221" s="172"/>
      <c r="H221" s="172"/>
      <c r="I221" s="182"/>
      <c r="J221" s="172"/>
      <c r="K221" s="172"/>
      <c r="L221" s="172"/>
      <c r="M221" s="172"/>
      <c r="N221" s="172"/>
      <c r="O221" s="172"/>
      <c r="P221" s="172"/>
      <c r="Q221" s="172"/>
      <c r="R221" s="172"/>
      <c r="S221" s="172"/>
      <c r="T221" s="172"/>
      <c r="U221" s="172"/>
      <c r="V221" s="172"/>
      <c r="W221" s="172"/>
      <c r="X221" s="172"/>
      <c r="Y221" s="172"/>
      <c r="Z221" s="172"/>
    </row>
    <row r="222">
      <c r="A222" s="172"/>
      <c r="B222" s="182"/>
      <c r="C222" s="172"/>
      <c r="D222" s="172"/>
      <c r="E222" s="172"/>
      <c r="F222" s="172"/>
      <c r="G222" s="172"/>
      <c r="H222" s="172"/>
      <c r="I222" s="182"/>
      <c r="J222" s="172"/>
      <c r="K222" s="172"/>
      <c r="L222" s="172"/>
      <c r="M222" s="172"/>
      <c r="N222" s="172"/>
      <c r="O222" s="172"/>
      <c r="P222" s="172"/>
      <c r="Q222" s="172"/>
      <c r="R222" s="172"/>
      <c r="S222" s="172"/>
      <c r="T222" s="172"/>
      <c r="U222" s="172"/>
      <c r="V222" s="172"/>
      <c r="W222" s="172"/>
      <c r="X222" s="172"/>
      <c r="Y222" s="172"/>
      <c r="Z222" s="172"/>
    </row>
    <row r="223">
      <c r="A223" s="172"/>
      <c r="B223" s="182"/>
      <c r="C223" s="172"/>
      <c r="D223" s="172"/>
      <c r="E223" s="172"/>
      <c r="F223" s="172"/>
      <c r="G223" s="172"/>
      <c r="H223" s="172"/>
      <c r="I223" s="182"/>
      <c r="J223" s="172"/>
      <c r="K223" s="172"/>
      <c r="L223" s="172"/>
      <c r="M223" s="172"/>
      <c r="N223" s="172"/>
      <c r="O223" s="172"/>
      <c r="P223" s="172"/>
      <c r="Q223" s="172"/>
      <c r="R223" s="172"/>
      <c r="S223" s="172"/>
      <c r="T223" s="172"/>
      <c r="U223" s="172"/>
      <c r="V223" s="172"/>
      <c r="W223" s="172"/>
      <c r="X223" s="172"/>
      <c r="Y223" s="172"/>
      <c r="Z223" s="172"/>
    </row>
    <row r="224">
      <c r="A224" s="172"/>
      <c r="B224" s="182"/>
      <c r="C224" s="172"/>
      <c r="D224" s="172"/>
      <c r="E224" s="172"/>
      <c r="F224" s="172"/>
      <c r="G224" s="172"/>
      <c r="H224" s="172"/>
      <c r="I224" s="182"/>
      <c r="J224" s="172"/>
      <c r="K224" s="172"/>
      <c r="L224" s="172"/>
      <c r="M224" s="172"/>
      <c r="N224" s="172"/>
      <c r="O224" s="172"/>
      <c r="P224" s="172"/>
      <c r="Q224" s="172"/>
      <c r="R224" s="172"/>
      <c r="S224" s="172"/>
      <c r="T224" s="172"/>
      <c r="U224" s="172"/>
      <c r="V224" s="172"/>
      <c r="W224" s="172"/>
      <c r="X224" s="172"/>
      <c r="Y224" s="172"/>
      <c r="Z224" s="172"/>
    </row>
    <row r="225">
      <c r="A225" s="172"/>
      <c r="B225" s="182"/>
      <c r="C225" s="172"/>
      <c r="D225" s="172"/>
      <c r="E225" s="172"/>
      <c r="F225" s="172"/>
      <c r="G225" s="172"/>
      <c r="H225" s="172"/>
      <c r="I225" s="182"/>
      <c r="J225" s="172"/>
      <c r="K225" s="172"/>
      <c r="L225" s="172"/>
      <c r="M225" s="172"/>
      <c r="N225" s="172"/>
      <c r="O225" s="172"/>
      <c r="P225" s="172"/>
      <c r="Q225" s="172"/>
      <c r="R225" s="172"/>
      <c r="S225" s="172"/>
      <c r="T225" s="172"/>
      <c r="U225" s="172"/>
      <c r="V225" s="172"/>
      <c r="W225" s="172"/>
      <c r="X225" s="172"/>
      <c r="Y225" s="172"/>
      <c r="Z225" s="172"/>
    </row>
    <row r="226">
      <c r="A226" s="172"/>
      <c r="B226" s="182"/>
      <c r="C226" s="172"/>
      <c r="D226" s="172"/>
      <c r="E226" s="172"/>
      <c r="F226" s="172"/>
      <c r="G226" s="172"/>
      <c r="H226" s="172"/>
      <c r="I226" s="182"/>
      <c r="J226" s="172"/>
      <c r="K226" s="172"/>
      <c r="L226" s="172"/>
      <c r="M226" s="172"/>
      <c r="N226" s="172"/>
      <c r="O226" s="172"/>
      <c r="P226" s="172"/>
      <c r="Q226" s="172"/>
      <c r="R226" s="172"/>
      <c r="S226" s="172"/>
      <c r="T226" s="172"/>
      <c r="U226" s="172"/>
      <c r="V226" s="172"/>
      <c r="W226" s="172"/>
      <c r="X226" s="172"/>
      <c r="Y226" s="172"/>
      <c r="Z226" s="172"/>
    </row>
    <row r="227">
      <c r="A227" s="172"/>
      <c r="B227" s="182"/>
      <c r="C227" s="172"/>
      <c r="D227" s="172"/>
      <c r="E227" s="172"/>
      <c r="F227" s="172"/>
      <c r="G227" s="172"/>
      <c r="H227" s="172"/>
      <c r="I227" s="182"/>
      <c r="J227" s="172"/>
      <c r="K227" s="172"/>
      <c r="L227" s="172"/>
      <c r="M227" s="172"/>
      <c r="N227" s="172"/>
      <c r="O227" s="172"/>
      <c r="P227" s="172"/>
      <c r="Q227" s="172"/>
      <c r="R227" s="172"/>
      <c r="S227" s="172"/>
      <c r="T227" s="172"/>
      <c r="U227" s="172"/>
      <c r="V227" s="172"/>
      <c r="W227" s="172"/>
      <c r="X227" s="172"/>
      <c r="Y227" s="172"/>
      <c r="Z227" s="172"/>
    </row>
    <row r="228">
      <c r="A228" s="172"/>
      <c r="B228" s="182"/>
      <c r="C228" s="172"/>
      <c r="D228" s="172"/>
      <c r="E228" s="172"/>
      <c r="F228" s="172"/>
      <c r="G228" s="172"/>
      <c r="H228" s="172"/>
      <c r="I228" s="182"/>
      <c r="J228" s="172"/>
      <c r="K228" s="172"/>
      <c r="L228" s="172"/>
      <c r="M228" s="172"/>
      <c r="N228" s="172"/>
      <c r="O228" s="172"/>
      <c r="P228" s="172"/>
      <c r="Q228" s="172"/>
      <c r="R228" s="172"/>
      <c r="S228" s="172"/>
      <c r="T228" s="172"/>
      <c r="U228" s="172"/>
      <c r="V228" s="172"/>
      <c r="W228" s="172"/>
      <c r="X228" s="172"/>
      <c r="Y228" s="172"/>
      <c r="Z228" s="172"/>
    </row>
    <row r="229">
      <c r="A229" s="172"/>
      <c r="B229" s="182"/>
      <c r="C229" s="172"/>
      <c r="D229" s="172"/>
      <c r="E229" s="172"/>
      <c r="F229" s="172"/>
      <c r="G229" s="172"/>
      <c r="H229" s="172"/>
      <c r="I229" s="182"/>
      <c r="J229" s="172"/>
      <c r="K229" s="172"/>
      <c r="L229" s="172"/>
      <c r="M229" s="172"/>
      <c r="N229" s="172"/>
      <c r="O229" s="172"/>
      <c r="P229" s="172"/>
      <c r="Q229" s="172"/>
      <c r="R229" s="172"/>
      <c r="S229" s="172"/>
      <c r="T229" s="172"/>
      <c r="U229" s="172"/>
      <c r="V229" s="172"/>
      <c r="W229" s="172"/>
      <c r="X229" s="172"/>
      <c r="Y229" s="172"/>
      <c r="Z229" s="172"/>
    </row>
    <row r="230">
      <c r="A230" s="172"/>
      <c r="B230" s="182"/>
      <c r="C230" s="172"/>
      <c r="D230" s="172"/>
      <c r="E230" s="172"/>
      <c r="F230" s="172"/>
      <c r="G230" s="172"/>
      <c r="H230" s="172"/>
      <c r="I230" s="182"/>
      <c r="J230" s="172"/>
      <c r="K230" s="172"/>
      <c r="L230" s="172"/>
      <c r="M230" s="172"/>
      <c r="N230" s="172"/>
      <c r="O230" s="172"/>
      <c r="P230" s="172"/>
      <c r="Q230" s="172"/>
      <c r="R230" s="172"/>
      <c r="S230" s="172"/>
      <c r="T230" s="172"/>
      <c r="U230" s="172"/>
      <c r="V230" s="172"/>
      <c r="W230" s="172"/>
      <c r="X230" s="172"/>
      <c r="Y230" s="172"/>
      <c r="Z230" s="172"/>
    </row>
    <row r="231">
      <c r="A231" s="172"/>
      <c r="B231" s="182"/>
      <c r="C231" s="172"/>
      <c r="D231" s="172"/>
      <c r="E231" s="172"/>
      <c r="F231" s="172"/>
      <c r="G231" s="172"/>
      <c r="H231" s="172"/>
      <c r="I231" s="182"/>
      <c r="J231" s="172"/>
      <c r="K231" s="172"/>
      <c r="L231" s="172"/>
      <c r="M231" s="172"/>
      <c r="N231" s="172"/>
      <c r="O231" s="172"/>
      <c r="P231" s="172"/>
      <c r="Q231" s="172"/>
      <c r="R231" s="172"/>
      <c r="S231" s="172"/>
      <c r="T231" s="172"/>
      <c r="U231" s="172"/>
      <c r="V231" s="172"/>
      <c r="W231" s="172"/>
      <c r="X231" s="172"/>
      <c r="Y231" s="172"/>
      <c r="Z231" s="172"/>
    </row>
    <row r="232">
      <c r="A232" s="172"/>
      <c r="B232" s="182"/>
      <c r="C232" s="172"/>
      <c r="D232" s="172"/>
      <c r="E232" s="172"/>
      <c r="F232" s="172"/>
      <c r="G232" s="172"/>
      <c r="H232" s="172"/>
      <c r="I232" s="182"/>
      <c r="J232" s="172"/>
      <c r="K232" s="172"/>
      <c r="L232" s="172"/>
      <c r="M232" s="172"/>
      <c r="N232" s="172"/>
      <c r="O232" s="172"/>
      <c r="P232" s="172"/>
      <c r="Q232" s="172"/>
      <c r="R232" s="172"/>
      <c r="S232" s="172"/>
      <c r="T232" s="172"/>
      <c r="U232" s="172"/>
      <c r="V232" s="172"/>
      <c r="W232" s="172"/>
      <c r="X232" s="172"/>
      <c r="Y232" s="172"/>
      <c r="Z232" s="172"/>
    </row>
    <row r="233">
      <c r="A233" s="172"/>
      <c r="B233" s="182"/>
      <c r="C233" s="172"/>
      <c r="D233" s="172"/>
      <c r="E233" s="172"/>
      <c r="F233" s="172"/>
      <c r="G233" s="172"/>
      <c r="H233" s="172"/>
      <c r="I233" s="182"/>
      <c r="J233" s="172"/>
      <c r="K233" s="172"/>
      <c r="L233" s="172"/>
      <c r="M233" s="172"/>
      <c r="N233" s="172"/>
      <c r="O233" s="172"/>
      <c r="P233" s="172"/>
      <c r="Q233" s="172"/>
      <c r="R233" s="172"/>
      <c r="S233" s="172"/>
      <c r="T233" s="172"/>
      <c r="U233" s="172"/>
      <c r="V233" s="172"/>
      <c r="W233" s="172"/>
      <c r="X233" s="172"/>
      <c r="Y233" s="172"/>
      <c r="Z233" s="172"/>
    </row>
    <row r="234">
      <c r="A234" s="172"/>
      <c r="B234" s="182"/>
      <c r="C234" s="172"/>
      <c r="D234" s="172"/>
      <c r="E234" s="172"/>
      <c r="F234" s="172"/>
      <c r="G234" s="172"/>
      <c r="H234" s="172"/>
      <c r="I234" s="182"/>
      <c r="J234" s="172"/>
      <c r="K234" s="172"/>
      <c r="L234" s="172"/>
      <c r="M234" s="172"/>
      <c r="N234" s="172"/>
      <c r="O234" s="172"/>
      <c r="P234" s="172"/>
      <c r="Q234" s="172"/>
      <c r="R234" s="172"/>
      <c r="S234" s="172"/>
      <c r="T234" s="172"/>
      <c r="U234" s="172"/>
      <c r="V234" s="172"/>
      <c r="W234" s="172"/>
      <c r="X234" s="172"/>
      <c r="Y234" s="172"/>
      <c r="Z234" s="172"/>
    </row>
    <row r="235">
      <c r="A235" s="172"/>
      <c r="B235" s="182"/>
      <c r="C235" s="172"/>
      <c r="D235" s="172"/>
      <c r="E235" s="172"/>
      <c r="F235" s="172"/>
      <c r="G235" s="172"/>
      <c r="H235" s="172"/>
      <c r="I235" s="182"/>
      <c r="J235" s="172"/>
      <c r="K235" s="172"/>
      <c r="L235" s="172"/>
      <c r="M235" s="172"/>
      <c r="N235" s="172"/>
      <c r="O235" s="172"/>
      <c r="P235" s="172"/>
      <c r="Q235" s="172"/>
      <c r="R235" s="172"/>
      <c r="S235" s="172"/>
      <c r="T235" s="172"/>
      <c r="U235" s="172"/>
      <c r="V235" s="172"/>
      <c r="W235" s="172"/>
      <c r="X235" s="172"/>
      <c r="Y235" s="172"/>
      <c r="Z235" s="172"/>
    </row>
    <row r="236">
      <c r="A236" s="172"/>
      <c r="B236" s="182"/>
      <c r="C236" s="172"/>
      <c r="D236" s="172"/>
      <c r="E236" s="172"/>
      <c r="F236" s="172"/>
      <c r="G236" s="172"/>
      <c r="H236" s="172"/>
      <c r="I236" s="182"/>
      <c r="J236" s="172"/>
      <c r="K236" s="172"/>
      <c r="L236" s="172"/>
      <c r="M236" s="172"/>
      <c r="N236" s="172"/>
      <c r="O236" s="172"/>
      <c r="P236" s="172"/>
      <c r="Q236" s="172"/>
      <c r="R236" s="172"/>
      <c r="S236" s="172"/>
      <c r="T236" s="172"/>
      <c r="U236" s="172"/>
      <c r="V236" s="172"/>
      <c r="W236" s="172"/>
      <c r="X236" s="172"/>
      <c r="Y236" s="172"/>
      <c r="Z236" s="172"/>
    </row>
    <row r="237">
      <c r="A237" s="172"/>
      <c r="B237" s="182"/>
      <c r="C237" s="172"/>
      <c r="D237" s="172"/>
      <c r="E237" s="172"/>
      <c r="F237" s="172"/>
      <c r="G237" s="172"/>
      <c r="H237" s="172"/>
      <c r="I237" s="182"/>
      <c r="J237" s="172"/>
      <c r="K237" s="172"/>
      <c r="L237" s="172"/>
      <c r="M237" s="172"/>
      <c r="N237" s="172"/>
      <c r="O237" s="172"/>
      <c r="P237" s="172"/>
      <c r="Q237" s="172"/>
      <c r="R237" s="172"/>
      <c r="S237" s="172"/>
      <c r="T237" s="172"/>
      <c r="U237" s="172"/>
      <c r="V237" s="172"/>
      <c r="W237" s="172"/>
      <c r="X237" s="172"/>
      <c r="Y237" s="172"/>
      <c r="Z237" s="172"/>
    </row>
    <row r="238">
      <c r="A238" s="172"/>
      <c r="B238" s="182"/>
      <c r="C238" s="172"/>
      <c r="D238" s="172"/>
      <c r="E238" s="172"/>
      <c r="F238" s="172"/>
      <c r="G238" s="172"/>
      <c r="H238" s="172"/>
      <c r="I238" s="182"/>
      <c r="J238" s="172"/>
      <c r="K238" s="172"/>
      <c r="L238" s="172"/>
      <c r="M238" s="172"/>
      <c r="N238" s="172"/>
      <c r="O238" s="172"/>
      <c r="P238" s="172"/>
      <c r="Q238" s="172"/>
      <c r="R238" s="172"/>
      <c r="S238" s="172"/>
      <c r="T238" s="172"/>
      <c r="U238" s="172"/>
      <c r="V238" s="172"/>
      <c r="W238" s="172"/>
      <c r="X238" s="172"/>
      <c r="Y238" s="172"/>
      <c r="Z238" s="172"/>
    </row>
    <row r="239">
      <c r="A239" s="172"/>
      <c r="B239" s="182"/>
      <c r="C239" s="172"/>
      <c r="D239" s="172"/>
      <c r="E239" s="172"/>
      <c r="F239" s="172"/>
      <c r="G239" s="172"/>
      <c r="H239" s="172"/>
      <c r="I239" s="182"/>
      <c r="J239" s="172"/>
      <c r="K239" s="172"/>
      <c r="L239" s="172"/>
      <c r="M239" s="172"/>
      <c r="N239" s="172"/>
      <c r="O239" s="172"/>
      <c r="P239" s="172"/>
      <c r="Q239" s="172"/>
      <c r="R239" s="172"/>
      <c r="S239" s="172"/>
      <c r="T239" s="172"/>
      <c r="U239" s="172"/>
      <c r="V239" s="172"/>
      <c r="W239" s="172"/>
      <c r="X239" s="172"/>
      <c r="Y239" s="172"/>
      <c r="Z239" s="172"/>
    </row>
    <row r="240">
      <c r="A240" s="172"/>
      <c r="B240" s="182"/>
      <c r="C240" s="172"/>
      <c r="D240" s="172"/>
      <c r="E240" s="172"/>
      <c r="F240" s="172"/>
      <c r="G240" s="172"/>
      <c r="H240" s="172"/>
      <c r="I240" s="182"/>
      <c r="J240" s="172"/>
      <c r="K240" s="172"/>
      <c r="L240" s="172"/>
      <c r="M240" s="172"/>
      <c r="N240" s="172"/>
      <c r="O240" s="172"/>
      <c r="P240" s="172"/>
      <c r="Q240" s="172"/>
      <c r="R240" s="172"/>
      <c r="S240" s="172"/>
      <c r="T240" s="172"/>
      <c r="U240" s="172"/>
      <c r="V240" s="172"/>
      <c r="W240" s="172"/>
      <c r="X240" s="172"/>
      <c r="Y240" s="172"/>
      <c r="Z240" s="172"/>
    </row>
    <row r="241">
      <c r="A241" s="172"/>
      <c r="B241" s="182"/>
      <c r="C241" s="172"/>
      <c r="D241" s="172"/>
      <c r="E241" s="172"/>
      <c r="F241" s="172"/>
      <c r="G241" s="172"/>
      <c r="H241" s="172"/>
      <c r="I241" s="182"/>
      <c r="J241" s="172"/>
      <c r="K241" s="172"/>
      <c r="L241" s="172"/>
      <c r="M241" s="172"/>
      <c r="N241" s="172"/>
      <c r="O241" s="172"/>
      <c r="P241" s="172"/>
      <c r="Q241" s="172"/>
      <c r="R241" s="172"/>
      <c r="S241" s="172"/>
      <c r="T241" s="172"/>
      <c r="U241" s="172"/>
      <c r="V241" s="172"/>
      <c r="W241" s="172"/>
      <c r="X241" s="172"/>
      <c r="Y241" s="172"/>
      <c r="Z241" s="172"/>
    </row>
    <row r="242">
      <c r="A242" s="172"/>
      <c r="B242" s="182"/>
      <c r="C242" s="172"/>
      <c r="D242" s="172"/>
      <c r="E242" s="172"/>
      <c r="F242" s="172"/>
      <c r="G242" s="172"/>
      <c r="H242" s="172"/>
      <c r="I242" s="182"/>
      <c r="J242" s="172"/>
      <c r="K242" s="172"/>
      <c r="L242" s="172"/>
      <c r="M242" s="172"/>
      <c r="N242" s="172"/>
      <c r="O242" s="172"/>
      <c r="P242" s="172"/>
      <c r="Q242" s="172"/>
      <c r="R242" s="172"/>
      <c r="S242" s="172"/>
      <c r="T242" s="172"/>
      <c r="U242" s="172"/>
      <c r="V242" s="172"/>
      <c r="W242" s="172"/>
      <c r="X242" s="172"/>
      <c r="Y242" s="172"/>
      <c r="Z242" s="172"/>
    </row>
    <row r="243">
      <c r="A243" s="172"/>
      <c r="B243" s="182"/>
      <c r="C243" s="172"/>
      <c r="D243" s="172"/>
      <c r="E243" s="172"/>
      <c r="F243" s="172"/>
      <c r="G243" s="172"/>
      <c r="H243" s="172"/>
      <c r="I243" s="182"/>
      <c r="J243" s="172"/>
      <c r="K243" s="172"/>
      <c r="L243" s="172"/>
      <c r="M243" s="172"/>
      <c r="N243" s="172"/>
      <c r="O243" s="172"/>
      <c r="P243" s="172"/>
      <c r="Q243" s="172"/>
      <c r="R243" s="172"/>
      <c r="S243" s="172"/>
      <c r="T243" s="172"/>
      <c r="U243" s="172"/>
      <c r="V243" s="172"/>
      <c r="W243" s="172"/>
      <c r="X243" s="172"/>
      <c r="Y243" s="172"/>
      <c r="Z243" s="172"/>
    </row>
    <row r="244">
      <c r="A244" s="172"/>
      <c r="B244" s="182"/>
      <c r="C244" s="172"/>
      <c r="D244" s="172"/>
      <c r="E244" s="172"/>
      <c r="F244" s="172"/>
      <c r="G244" s="172"/>
      <c r="H244" s="172"/>
      <c r="I244" s="182"/>
      <c r="J244" s="172"/>
      <c r="K244" s="172"/>
      <c r="L244" s="172"/>
      <c r="M244" s="172"/>
      <c r="N244" s="172"/>
      <c r="O244" s="172"/>
      <c r="P244" s="172"/>
      <c r="Q244" s="172"/>
      <c r="R244" s="172"/>
      <c r="S244" s="172"/>
      <c r="T244" s="172"/>
      <c r="U244" s="172"/>
      <c r="V244" s="172"/>
      <c r="W244" s="172"/>
      <c r="X244" s="172"/>
      <c r="Y244" s="172"/>
      <c r="Z244" s="172"/>
    </row>
    <row r="245">
      <c r="A245" s="172"/>
      <c r="B245" s="182"/>
      <c r="C245" s="172"/>
      <c r="D245" s="172"/>
      <c r="E245" s="172"/>
      <c r="F245" s="172"/>
      <c r="G245" s="172"/>
      <c r="H245" s="172"/>
      <c r="I245" s="182"/>
      <c r="J245" s="172"/>
      <c r="K245" s="172"/>
      <c r="L245" s="172"/>
      <c r="M245" s="172"/>
      <c r="N245" s="172"/>
      <c r="O245" s="172"/>
      <c r="P245" s="172"/>
      <c r="Q245" s="172"/>
      <c r="R245" s="172"/>
      <c r="S245" s="172"/>
      <c r="T245" s="172"/>
      <c r="U245" s="172"/>
      <c r="V245" s="172"/>
      <c r="W245" s="172"/>
      <c r="X245" s="172"/>
      <c r="Y245" s="172"/>
      <c r="Z245" s="172"/>
    </row>
    <row r="246">
      <c r="A246" s="172"/>
      <c r="B246" s="182"/>
      <c r="C246" s="172"/>
      <c r="D246" s="172"/>
      <c r="E246" s="172"/>
      <c r="F246" s="172"/>
      <c r="G246" s="172"/>
      <c r="H246" s="172"/>
      <c r="I246" s="182"/>
      <c r="J246" s="172"/>
      <c r="K246" s="172"/>
      <c r="L246" s="172"/>
      <c r="M246" s="172"/>
      <c r="N246" s="172"/>
      <c r="O246" s="172"/>
      <c r="P246" s="172"/>
      <c r="Q246" s="172"/>
      <c r="R246" s="172"/>
      <c r="S246" s="172"/>
      <c r="T246" s="172"/>
      <c r="U246" s="172"/>
      <c r="V246" s="172"/>
      <c r="W246" s="172"/>
      <c r="X246" s="172"/>
      <c r="Y246" s="172"/>
      <c r="Z246" s="172"/>
    </row>
    <row r="247">
      <c r="A247" s="172"/>
      <c r="B247" s="182"/>
      <c r="C247" s="172"/>
      <c r="D247" s="172"/>
      <c r="E247" s="172"/>
      <c r="F247" s="172"/>
      <c r="G247" s="172"/>
      <c r="H247" s="172"/>
      <c r="I247" s="182"/>
      <c r="J247" s="172"/>
      <c r="K247" s="172"/>
      <c r="L247" s="172"/>
      <c r="M247" s="172"/>
      <c r="N247" s="172"/>
      <c r="O247" s="172"/>
      <c r="P247" s="172"/>
      <c r="Q247" s="172"/>
      <c r="R247" s="172"/>
      <c r="S247" s="172"/>
      <c r="T247" s="172"/>
      <c r="U247" s="172"/>
      <c r="V247" s="172"/>
      <c r="W247" s="172"/>
      <c r="X247" s="172"/>
      <c r="Y247" s="172"/>
      <c r="Z247" s="172"/>
    </row>
    <row r="248">
      <c r="A248" s="172"/>
      <c r="B248" s="182"/>
      <c r="C248" s="172"/>
      <c r="D248" s="172"/>
      <c r="E248" s="172"/>
      <c r="F248" s="172"/>
      <c r="G248" s="172"/>
      <c r="H248" s="172"/>
      <c r="I248" s="182"/>
      <c r="J248" s="172"/>
      <c r="K248" s="172"/>
      <c r="L248" s="172"/>
      <c r="M248" s="172"/>
      <c r="N248" s="172"/>
      <c r="O248" s="172"/>
      <c r="P248" s="172"/>
      <c r="Q248" s="172"/>
      <c r="R248" s="172"/>
      <c r="S248" s="172"/>
      <c r="T248" s="172"/>
      <c r="U248" s="172"/>
      <c r="V248" s="172"/>
      <c r="W248" s="172"/>
      <c r="X248" s="172"/>
      <c r="Y248" s="172"/>
      <c r="Z248" s="172"/>
    </row>
    <row r="249">
      <c r="A249" s="172"/>
      <c r="B249" s="182"/>
      <c r="C249" s="172"/>
      <c r="D249" s="172"/>
      <c r="E249" s="172"/>
      <c r="F249" s="172"/>
      <c r="G249" s="172"/>
      <c r="H249" s="172"/>
      <c r="I249" s="182"/>
      <c r="J249" s="172"/>
      <c r="K249" s="172"/>
      <c r="L249" s="172"/>
      <c r="M249" s="172"/>
      <c r="N249" s="172"/>
      <c r="O249" s="172"/>
      <c r="P249" s="172"/>
      <c r="Q249" s="172"/>
      <c r="R249" s="172"/>
      <c r="S249" s="172"/>
      <c r="T249" s="172"/>
      <c r="U249" s="172"/>
      <c r="V249" s="172"/>
      <c r="W249" s="172"/>
      <c r="X249" s="172"/>
      <c r="Y249" s="172"/>
      <c r="Z249" s="172"/>
    </row>
    <row r="250">
      <c r="A250" s="172"/>
      <c r="B250" s="182"/>
      <c r="C250" s="172"/>
      <c r="D250" s="172"/>
      <c r="E250" s="172"/>
      <c r="F250" s="172"/>
      <c r="G250" s="172"/>
      <c r="H250" s="172"/>
      <c r="I250" s="182"/>
      <c r="J250" s="172"/>
      <c r="K250" s="172"/>
      <c r="L250" s="172"/>
      <c r="M250" s="172"/>
      <c r="N250" s="172"/>
      <c r="O250" s="172"/>
      <c r="P250" s="172"/>
      <c r="Q250" s="172"/>
      <c r="R250" s="172"/>
      <c r="S250" s="172"/>
      <c r="T250" s="172"/>
      <c r="U250" s="172"/>
      <c r="V250" s="172"/>
      <c r="W250" s="172"/>
      <c r="X250" s="172"/>
      <c r="Y250" s="172"/>
      <c r="Z250" s="172"/>
    </row>
    <row r="251">
      <c r="A251" s="172"/>
      <c r="B251" s="182"/>
      <c r="C251" s="172"/>
      <c r="D251" s="172"/>
      <c r="E251" s="172"/>
      <c r="F251" s="172"/>
      <c r="G251" s="172"/>
      <c r="H251" s="172"/>
      <c r="I251" s="182"/>
      <c r="J251" s="172"/>
      <c r="K251" s="172"/>
      <c r="L251" s="172"/>
      <c r="M251" s="172"/>
      <c r="N251" s="172"/>
      <c r="O251" s="172"/>
      <c r="P251" s="172"/>
      <c r="Q251" s="172"/>
      <c r="R251" s="172"/>
      <c r="S251" s="172"/>
      <c r="T251" s="172"/>
      <c r="U251" s="172"/>
      <c r="V251" s="172"/>
      <c r="W251" s="172"/>
      <c r="X251" s="172"/>
      <c r="Y251" s="172"/>
      <c r="Z251" s="172"/>
    </row>
    <row r="252">
      <c r="A252" s="172"/>
      <c r="B252" s="182"/>
      <c r="C252" s="172"/>
      <c r="D252" s="172"/>
      <c r="E252" s="172"/>
      <c r="F252" s="172"/>
      <c r="G252" s="172"/>
      <c r="H252" s="172"/>
      <c r="I252" s="182"/>
      <c r="J252" s="172"/>
      <c r="K252" s="172"/>
      <c r="L252" s="172"/>
      <c r="M252" s="172"/>
      <c r="N252" s="172"/>
      <c r="O252" s="172"/>
      <c r="P252" s="172"/>
      <c r="Q252" s="172"/>
      <c r="R252" s="172"/>
      <c r="S252" s="172"/>
      <c r="T252" s="172"/>
      <c r="U252" s="172"/>
      <c r="V252" s="172"/>
      <c r="W252" s="172"/>
      <c r="X252" s="172"/>
      <c r="Y252" s="172"/>
      <c r="Z252" s="172"/>
    </row>
    <row r="253">
      <c r="A253" s="172"/>
      <c r="B253" s="182"/>
      <c r="C253" s="172"/>
      <c r="D253" s="172"/>
      <c r="E253" s="172"/>
      <c r="F253" s="172"/>
      <c r="G253" s="172"/>
      <c r="H253" s="172"/>
      <c r="I253" s="182"/>
      <c r="J253" s="172"/>
      <c r="K253" s="172"/>
      <c r="L253" s="172"/>
      <c r="M253" s="172"/>
      <c r="N253" s="172"/>
      <c r="O253" s="172"/>
      <c r="P253" s="172"/>
      <c r="Q253" s="172"/>
      <c r="R253" s="172"/>
      <c r="S253" s="172"/>
      <c r="T253" s="172"/>
      <c r="U253" s="172"/>
      <c r="V253" s="172"/>
      <c r="W253" s="172"/>
      <c r="X253" s="172"/>
      <c r="Y253" s="172"/>
      <c r="Z253" s="172"/>
    </row>
    <row r="254">
      <c r="A254" s="172"/>
      <c r="B254" s="182"/>
      <c r="C254" s="172"/>
      <c r="D254" s="172"/>
      <c r="E254" s="172"/>
      <c r="F254" s="172"/>
      <c r="G254" s="172"/>
      <c r="H254" s="172"/>
      <c r="I254" s="182"/>
      <c r="J254" s="172"/>
      <c r="K254" s="172"/>
      <c r="L254" s="172"/>
      <c r="M254" s="172"/>
      <c r="N254" s="172"/>
      <c r="O254" s="172"/>
      <c r="P254" s="172"/>
      <c r="Q254" s="172"/>
      <c r="R254" s="172"/>
      <c r="S254" s="172"/>
      <c r="T254" s="172"/>
      <c r="U254" s="172"/>
      <c r="V254" s="172"/>
      <c r="W254" s="172"/>
      <c r="X254" s="172"/>
      <c r="Y254" s="172"/>
      <c r="Z254" s="172"/>
    </row>
    <row r="255">
      <c r="A255" s="172"/>
      <c r="B255" s="182"/>
      <c r="C255" s="172"/>
      <c r="D255" s="172"/>
      <c r="E255" s="172"/>
      <c r="F255" s="172"/>
      <c r="G255" s="172"/>
      <c r="H255" s="172"/>
      <c r="I255" s="182"/>
      <c r="J255" s="172"/>
      <c r="K255" s="172"/>
      <c r="L255" s="172"/>
      <c r="M255" s="172"/>
      <c r="N255" s="172"/>
      <c r="O255" s="172"/>
      <c r="P255" s="172"/>
      <c r="Q255" s="172"/>
      <c r="R255" s="172"/>
      <c r="S255" s="172"/>
      <c r="T255" s="172"/>
      <c r="U255" s="172"/>
      <c r="V255" s="172"/>
      <c r="W255" s="172"/>
      <c r="X255" s="172"/>
      <c r="Y255" s="172"/>
      <c r="Z255" s="172"/>
    </row>
    <row r="256">
      <c r="A256" s="172"/>
      <c r="B256" s="182"/>
      <c r="C256" s="172"/>
      <c r="D256" s="172"/>
      <c r="E256" s="172"/>
      <c r="F256" s="172"/>
      <c r="G256" s="172"/>
      <c r="H256" s="172"/>
      <c r="I256" s="182"/>
      <c r="J256" s="172"/>
      <c r="K256" s="172"/>
      <c r="L256" s="172"/>
      <c r="M256" s="172"/>
      <c r="N256" s="172"/>
      <c r="O256" s="172"/>
      <c r="P256" s="172"/>
      <c r="Q256" s="172"/>
      <c r="R256" s="172"/>
      <c r="S256" s="172"/>
      <c r="T256" s="172"/>
      <c r="U256" s="172"/>
      <c r="V256" s="172"/>
      <c r="W256" s="172"/>
      <c r="X256" s="172"/>
      <c r="Y256" s="172"/>
      <c r="Z256" s="172"/>
    </row>
    <row r="257">
      <c r="A257" s="172"/>
      <c r="B257" s="182"/>
      <c r="C257" s="172"/>
      <c r="D257" s="172"/>
      <c r="E257" s="172"/>
      <c r="F257" s="172"/>
      <c r="G257" s="172"/>
      <c r="H257" s="172"/>
      <c r="I257" s="182"/>
      <c r="J257" s="172"/>
      <c r="K257" s="172"/>
      <c r="L257" s="172"/>
      <c r="M257" s="172"/>
      <c r="N257" s="172"/>
      <c r="O257" s="172"/>
      <c r="P257" s="172"/>
      <c r="Q257" s="172"/>
      <c r="R257" s="172"/>
      <c r="S257" s="172"/>
      <c r="T257" s="172"/>
      <c r="U257" s="172"/>
      <c r="V257" s="172"/>
      <c r="W257" s="172"/>
      <c r="X257" s="172"/>
      <c r="Y257" s="172"/>
      <c r="Z257" s="172"/>
    </row>
    <row r="258">
      <c r="A258" s="172"/>
      <c r="B258" s="182"/>
      <c r="C258" s="172"/>
      <c r="D258" s="172"/>
      <c r="E258" s="172"/>
      <c r="F258" s="172"/>
      <c r="G258" s="172"/>
      <c r="H258" s="172"/>
      <c r="I258" s="182"/>
      <c r="J258" s="172"/>
      <c r="K258" s="172"/>
      <c r="L258" s="172"/>
      <c r="M258" s="172"/>
      <c r="N258" s="172"/>
      <c r="O258" s="172"/>
      <c r="P258" s="172"/>
      <c r="Q258" s="172"/>
      <c r="R258" s="172"/>
      <c r="S258" s="172"/>
      <c r="T258" s="172"/>
      <c r="U258" s="172"/>
      <c r="V258" s="172"/>
      <c r="W258" s="172"/>
      <c r="X258" s="172"/>
      <c r="Y258" s="172"/>
      <c r="Z258" s="172"/>
    </row>
    <row r="259">
      <c r="A259" s="172"/>
      <c r="B259" s="182"/>
      <c r="C259" s="172"/>
      <c r="D259" s="172"/>
      <c r="E259" s="172"/>
      <c r="F259" s="172"/>
      <c r="G259" s="172"/>
      <c r="H259" s="172"/>
      <c r="I259" s="182"/>
      <c r="J259" s="172"/>
      <c r="K259" s="172"/>
      <c r="L259" s="172"/>
      <c r="M259" s="172"/>
      <c r="N259" s="172"/>
      <c r="O259" s="172"/>
      <c r="P259" s="172"/>
      <c r="Q259" s="172"/>
      <c r="R259" s="172"/>
      <c r="S259" s="172"/>
      <c r="T259" s="172"/>
      <c r="U259" s="172"/>
      <c r="V259" s="172"/>
      <c r="W259" s="172"/>
      <c r="X259" s="172"/>
      <c r="Y259" s="172"/>
      <c r="Z259" s="172"/>
    </row>
    <row r="260">
      <c r="A260" s="172"/>
      <c r="B260" s="182"/>
      <c r="C260" s="172"/>
      <c r="D260" s="172"/>
      <c r="E260" s="172"/>
      <c r="F260" s="172"/>
      <c r="G260" s="172"/>
      <c r="H260" s="172"/>
      <c r="I260" s="182"/>
      <c r="J260" s="172"/>
      <c r="K260" s="172"/>
      <c r="L260" s="172"/>
      <c r="M260" s="172"/>
      <c r="N260" s="172"/>
      <c r="O260" s="172"/>
      <c r="P260" s="172"/>
      <c r="Q260" s="172"/>
      <c r="R260" s="172"/>
      <c r="S260" s="172"/>
      <c r="T260" s="172"/>
      <c r="U260" s="172"/>
      <c r="V260" s="172"/>
      <c r="W260" s="172"/>
      <c r="X260" s="172"/>
      <c r="Y260" s="172"/>
      <c r="Z260" s="172"/>
    </row>
    <row r="261">
      <c r="A261" s="172"/>
      <c r="B261" s="182"/>
      <c r="C261" s="172"/>
      <c r="D261" s="172"/>
      <c r="E261" s="172"/>
      <c r="F261" s="172"/>
      <c r="G261" s="172"/>
      <c r="H261" s="172"/>
      <c r="I261" s="182"/>
      <c r="J261" s="172"/>
      <c r="K261" s="172"/>
      <c r="L261" s="172"/>
      <c r="M261" s="172"/>
      <c r="N261" s="172"/>
      <c r="O261" s="172"/>
      <c r="P261" s="172"/>
      <c r="Q261" s="172"/>
      <c r="R261" s="172"/>
      <c r="S261" s="172"/>
      <c r="T261" s="172"/>
      <c r="U261" s="172"/>
      <c r="V261" s="172"/>
      <c r="W261" s="172"/>
      <c r="X261" s="172"/>
      <c r="Y261" s="172"/>
      <c r="Z261" s="172"/>
    </row>
    <row r="262">
      <c r="A262" s="172"/>
      <c r="B262" s="182"/>
      <c r="C262" s="172"/>
      <c r="D262" s="172"/>
      <c r="E262" s="172"/>
      <c r="F262" s="172"/>
      <c r="G262" s="172"/>
      <c r="H262" s="172"/>
      <c r="I262" s="182"/>
      <c r="J262" s="172"/>
      <c r="K262" s="172"/>
      <c r="L262" s="172"/>
      <c r="M262" s="172"/>
      <c r="N262" s="172"/>
      <c r="O262" s="172"/>
      <c r="P262" s="172"/>
      <c r="Q262" s="172"/>
      <c r="R262" s="172"/>
      <c r="S262" s="172"/>
      <c r="T262" s="172"/>
      <c r="U262" s="172"/>
      <c r="V262" s="172"/>
      <c r="W262" s="172"/>
      <c r="X262" s="172"/>
      <c r="Y262" s="172"/>
      <c r="Z262" s="172"/>
    </row>
    <row r="263">
      <c r="A263" s="172"/>
      <c r="B263" s="182"/>
      <c r="C263" s="172"/>
      <c r="D263" s="172"/>
      <c r="E263" s="172"/>
      <c r="F263" s="172"/>
      <c r="G263" s="172"/>
      <c r="H263" s="172"/>
      <c r="I263" s="182"/>
      <c r="J263" s="172"/>
      <c r="K263" s="172"/>
      <c r="L263" s="172"/>
      <c r="M263" s="172"/>
      <c r="N263" s="172"/>
      <c r="O263" s="172"/>
      <c r="P263" s="172"/>
      <c r="Q263" s="172"/>
      <c r="R263" s="172"/>
      <c r="S263" s="172"/>
      <c r="T263" s="172"/>
      <c r="U263" s="172"/>
      <c r="V263" s="172"/>
      <c r="W263" s="172"/>
      <c r="X263" s="172"/>
      <c r="Y263" s="172"/>
      <c r="Z263" s="172"/>
    </row>
    <row r="264">
      <c r="A264" s="172"/>
      <c r="B264" s="182"/>
      <c r="C264" s="172"/>
      <c r="D264" s="172"/>
      <c r="E264" s="172"/>
      <c r="F264" s="172"/>
      <c r="G264" s="172"/>
      <c r="H264" s="172"/>
      <c r="I264" s="182"/>
      <c r="J264" s="172"/>
      <c r="K264" s="172"/>
      <c r="L264" s="172"/>
      <c r="M264" s="172"/>
      <c r="N264" s="172"/>
      <c r="O264" s="172"/>
      <c r="P264" s="172"/>
      <c r="Q264" s="172"/>
      <c r="R264" s="172"/>
      <c r="S264" s="172"/>
      <c r="T264" s="172"/>
      <c r="U264" s="172"/>
      <c r="V264" s="172"/>
      <c r="W264" s="172"/>
      <c r="X264" s="172"/>
      <c r="Y264" s="172"/>
      <c r="Z264" s="172"/>
    </row>
    <row r="265">
      <c r="A265" s="172"/>
      <c r="B265" s="182"/>
      <c r="C265" s="172"/>
      <c r="D265" s="172"/>
      <c r="E265" s="172"/>
      <c r="F265" s="172"/>
      <c r="G265" s="172"/>
      <c r="H265" s="172"/>
      <c r="I265" s="182"/>
      <c r="J265" s="172"/>
      <c r="K265" s="172"/>
      <c r="L265" s="172"/>
      <c r="M265" s="172"/>
      <c r="N265" s="172"/>
      <c r="O265" s="172"/>
      <c r="P265" s="172"/>
      <c r="Q265" s="172"/>
      <c r="R265" s="172"/>
      <c r="S265" s="172"/>
      <c r="T265" s="172"/>
      <c r="U265" s="172"/>
      <c r="V265" s="172"/>
      <c r="W265" s="172"/>
      <c r="X265" s="172"/>
      <c r="Y265" s="172"/>
      <c r="Z265" s="172"/>
    </row>
    <row r="266">
      <c r="A266" s="172"/>
      <c r="B266" s="182"/>
      <c r="C266" s="172"/>
      <c r="D266" s="172"/>
      <c r="E266" s="172"/>
      <c r="F266" s="172"/>
      <c r="G266" s="172"/>
      <c r="H266" s="172"/>
      <c r="I266" s="182"/>
      <c r="J266" s="172"/>
      <c r="K266" s="172"/>
      <c r="L266" s="172"/>
      <c r="M266" s="172"/>
      <c r="N266" s="172"/>
      <c r="O266" s="172"/>
      <c r="P266" s="172"/>
      <c r="Q266" s="172"/>
      <c r="R266" s="172"/>
      <c r="S266" s="172"/>
      <c r="T266" s="172"/>
      <c r="U266" s="172"/>
      <c r="V266" s="172"/>
      <c r="W266" s="172"/>
      <c r="X266" s="172"/>
      <c r="Y266" s="172"/>
      <c r="Z266" s="172"/>
    </row>
    <row r="267">
      <c r="A267" s="172"/>
      <c r="B267" s="182"/>
      <c r="C267" s="172"/>
      <c r="D267" s="172"/>
      <c r="E267" s="172"/>
      <c r="F267" s="172"/>
      <c r="G267" s="172"/>
      <c r="H267" s="172"/>
      <c r="I267" s="182"/>
      <c r="J267" s="172"/>
      <c r="K267" s="172"/>
      <c r="L267" s="172"/>
      <c r="M267" s="172"/>
      <c r="N267" s="172"/>
      <c r="O267" s="172"/>
      <c r="P267" s="172"/>
      <c r="Q267" s="172"/>
      <c r="R267" s="172"/>
      <c r="S267" s="172"/>
      <c r="T267" s="172"/>
      <c r="U267" s="172"/>
      <c r="V267" s="172"/>
      <c r="W267" s="172"/>
      <c r="X267" s="172"/>
      <c r="Y267" s="172"/>
      <c r="Z267" s="172"/>
    </row>
    <row r="268">
      <c r="A268" s="172"/>
      <c r="B268" s="182"/>
      <c r="C268" s="172"/>
      <c r="D268" s="172"/>
      <c r="E268" s="172"/>
      <c r="F268" s="172"/>
      <c r="G268" s="172"/>
      <c r="H268" s="172"/>
      <c r="I268" s="182"/>
      <c r="J268" s="172"/>
      <c r="K268" s="172"/>
      <c r="L268" s="172"/>
      <c r="M268" s="172"/>
      <c r="N268" s="172"/>
      <c r="O268" s="172"/>
      <c r="P268" s="172"/>
      <c r="Q268" s="172"/>
      <c r="R268" s="172"/>
      <c r="S268" s="172"/>
      <c r="T268" s="172"/>
      <c r="U268" s="172"/>
      <c r="V268" s="172"/>
      <c r="W268" s="172"/>
      <c r="X268" s="172"/>
      <c r="Y268" s="172"/>
      <c r="Z268" s="172"/>
    </row>
    <row r="269">
      <c r="A269" s="172"/>
      <c r="B269" s="182"/>
      <c r="C269" s="172"/>
      <c r="D269" s="172"/>
      <c r="E269" s="172"/>
      <c r="F269" s="172"/>
      <c r="G269" s="172"/>
      <c r="H269" s="172"/>
      <c r="I269" s="182"/>
      <c r="J269" s="172"/>
      <c r="K269" s="172"/>
      <c r="L269" s="172"/>
      <c r="M269" s="172"/>
      <c r="N269" s="172"/>
      <c r="O269" s="172"/>
      <c r="P269" s="172"/>
      <c r="Q269" s="172"/>
      <c r="R269" s="172"/>
      <c r="S269" s="172"/>
      <c r="T269" s="172"/>
      <c r="U269" s="172"/>
      <c r="V269" s="172"/>
      <c r="W269" s="172"/>
      <c r="X269" s="172"/>
      <c r="Y269" s="172"/>
      <c r="Z269" s="172"/>
    </row>
    <row r="270">
      <c r="A270" s="172"/>
      <c r="B270" s="182"/>
      <c r="C270" s="172"/>
      <c r="D270" s="172"/>
      <c r="E270" s="172"/>
      <c r="F270" s="172"/>
      <c r="G270" s="172"/>
      <c r="H270" s="172"/>
      <c r="I270" s="182"/>
      <c r="J270" s="172"/>
      <c r="K270" s="172"/>
      <c r="L270" s="172"/>
      <c r="M270" s="172"/>
      <c r="N270" s="172"/>
      <c r="O270" s="172"/>
      <c r="P270" s="172"/>
      <c r="Q270" s="172"/>
      <c r="R270" s="172"/>
      <c r="S270" s="172"/>
      <c r="T270" s="172"/>
      <c r="U270" s="172"/>
      <c r="V270" s="172"/>
      <c r="W270" s="172"/>
      <c r="X270" s="172"/>
      <c r="Y270" s="172"/>
      <c r="Z270" s="172"/>
    </row>
    <row r="271">
      <c r="A271" s="172"/>
      <c r="B271" s="182"/>
      <c r="C271" s="172"/>
      <c r="D271" s="172"/>
      <c r="E271" s="172"/>
      <c r="F271" s="172"/>
      <c r="G271" s="172"/>
      <c r="H271" s="172"/>
      <c r="I271" s="182"/>
      <c r="J271" s="172"/>
      <c r="K271" s="172"/>
      <c r="L271" s="172"/>
      <c r="M271" s="172"/>
      <c r="N271" s="172"/>
      <c r="O271" s="172"/>
      <c r="P271" s="172"/>
      <c r="Q271" s="172"/>
      <c r="R271" s="172"/>
      <c r="S271" s="172"/>
      <c r="T271" s="172"/>
      <c r="U271" s="172"/>
      <c r="V271" s="172"/>
      <c r="W271" s="172"/>
      <c r="X271" s="172"/>
      <c r="Y271" s="172"/>
      <c r="Z271" s="172"/>
    </row>
    <row r="272">
      <c r="A272" s="172"/>
      <c r="B272" s="182"/>
      <c r="C272" s="172"/>
      <c r="D272" s="172"/>
      <c r="E272" s="172"/>
      <c r="F272" s="172"/>
      <c r="G272" s="172"/>
      <c r="H272" s="172"/>
      <c r="I272" s="182"/>
      <c r="J272" s="172"/>
      <c r="K272" s="172"/>
      <c r="L272" s="172"/>
      <c r="M272" s="172"/>
      <c r="N272" s="172"/>
      <c r="O272" s="172"/>
      <c r="P272" s="172"/>
      <c r="Q272" s="172"/>
      <c r="R272" s="172"/>
      <c r="S272" s="172"/>
      <c r="T272" s="172"/>
      <c r="U272" s="172"/>
      <c r="V272" s="172"/>
      <c r="W272" s="172"/>
      <c r="X272" s="172"/>
      <c r="Y272" s="172"/>
      <c r="Z272" s="172"/>
    </row>
    <row r="273">
      <c r="A273" s="172"/>
      <c r="B273" s="182"/>
      <c r="C273" s="172"/>
      <c r="D273" s="172"/>
      <c r="E273" s="172"/>
      <c r="F273" s="172"/>
      <c r="G273" s="172"/>
      <c r="H273" s="172"/>
      <c r="I273" s="182"/>
      <c r="J273" s="172"/>
      <c r="K273" s="172"/>
      <c r="L273" s="172"/>
      <c r="M273" s="172"/>
      <c r="N273" s="172"/>
      <c r="O273" s="172"/>
      <c r="P273" s="172"/>
      <c r="Q273" s="172"/>
      <c r="R273" s="172"/>
      <c r="S273" s="172"/>
      <c r="T273" s="172"/>
      <c r="U273" s="172"/>
      <c r="V273" s="172"/>
      <c r="W273" s="172"/>
      <c r="X273" s="172"/>
      <c r="Y273" s="172"/>
      <c r="Z273" s="172"/>
    </row>
    <row r="274">
      <c r="A274" s="172"/>
      <c r="B274" s="182"/>
      <c r="C274" s="172"/>
      <c r="D274" s="172"/>
      <c r="E274" s="172"/>
      <c r="F274" s="172"/>
      <c r="G274" s="172"/>
      <c r="H274" s="172"/>
      <c r="I274" s="182"/>
      <c r="J274" s="172"/>
      <c r="K274" s="172"/>
      <c r="L274" s="172"/>
      <c r="M274" s="172"/>
      <c r="N274" s="172"/>
      <c r="O274" s="172"/>
      <c r="P274" s="172"/>
      <c r="Q274" s="172"/>
      <c r="R274" s="172"/>
      <c r="S274" s="172"/>
      <c r="T274" s="172"/>
      <c r="U274" s="172"/>
      <c r="V274" s="172"/>
      <c r="W274" s="172"/>
      <c r="X274" s="172"/>
      <c r="Y274" s="172"/>
      <c r="Z274" s="172"/>
    </row>
    <row r="275">
      <c r="A275" s="172"/>
      <c r="B275" s="182"/>
      <c r="C275" s="172"/>
      <c r="D275" s="172"/>
      <c r="E275" s="172"/>
      <c r="F275" s="172"/>
      <c r="G275" s="172"/>
      <c r="H275" s="172"/>
      <c r="I275" s="182"/>
      <c r="J275" s="172"/>
      <c r="K275" s="172"/>
      <c r="L275" s="172"/>
      <c r="M275" s="172"/>
      <c r="N275" s="172"/>
      <c r="O275" s="172"/>
      <c r="P275" s="172"/>
      <c r="Q275" s="172"/>
      <c r="R275" s="172"/>
      <c r="S275" s="172"/>
      <c r="T275" s="172"/>
      <c r="U275" s="172"/>
      <c r="V275" s="172"/>
      <c r="W275" s="172"/>
      <c r="X275" s="172"/>
      <c r="Y275" s="172"/>
      <c r="Z275" s="172"/>
    </row>
    <row r="276">
      <c r="A276" s="172"/>
      <c r="B276" s="182"/>
      <c r="C276" s="172"/>
      <c r="D276" s="172"/>
      <c r="E276" s="172"/>
      <c r="F276" s="172"/>
      <c r="G276" s="172"/>
      <c r="H276" s="172"/>
      <c r="I276" s="182"/>
      <c r="J276" s="172"/>
      <c r="K276" s="172"/>
      <c r="L276" s="172"/>
      <c r="M276" s="172"/>
      <c r="N276" s="172"/>
      <c r="O276" s="172"/>
      <c r="P276" s="172"/>
      <c r="Q276" s="172"/>
      <c r="R276" s="172"/>
      <c r="S276" s="172"/>
      <c r="T276" s="172"/>
      <c r="U276" s="172"/>
      <c r="V276" s="172"/>
      <c r="W276" s="172"/>
      <c r="X276" s="172"/>
      <c r="Y276" s="172"/>
      <c r="Z276" s="172"/>
    </row>
    <row r="277">
      <c r="A277" s="172"/>
      <c r="B277" s="182"/>
      <c r="C277" s="172"/>
      <c r="D277" s="172"/>
      <c r="E277" s="172"/>
      <c r="F277" s="172"/>
      <c r="G277" s="172"/>
      <c r="H277" s="172"/>
      <c r="I277" s="182"/>
      <c r="J277" s="172"/>
      <c r="K277" s="172"/>
      <c r="L277" s="172"/>
      <c r="M277" s="172"/>
      <c r="N277" s="172"/>
      <c r="O277" s="172"/>
      <c r="P277" s="172"/>
      <c r="Q277" s="172"/>
      <c r="R277" s="172"/>
      <c r="S277" s="172"/>
      <c r="T277" s="172"/>
      <c r="U277" s="172"/>
      <c r="V277" s="172"/>
      <c r="W277" s="172"/>
      <c r="X277" s="172"/>
      <c r="Y277" s="172"/>
      <c r="Z277" s="172"/>
    </row>
    <row r="278">
      <c r="A278" s="172"/>
      <c r="B278" s="182"/>
      <c r="C278" s="172"/>
      <c r="D278" s="172"/>
      <c r="E278" s="172"/>
      <c r="F278" s="172"/>
      <c r="G278" s="172"/>
      <c r="H278" s="172"/>
      <c r="I278" s="182"/>
      <c r="J278" s="172"/>
      <c r="K278" s="172"/>
      <c r="L278" s="172"/>
      <c r="M278" s="172"/>
      <c r="N278" s="172"/>
      <c r="O278" s="172"/>
      <c r="P278" s="172"/>
      <c r="Q278" s="172"/>
      <c r="R278" s="172"/>
      <c r="S278" s="172"/>
      <c r="T278" s="172"/>
      <c r="U278" s="172"/>
      <c r="V278" s="172"/>
      <c r="W278" s="172"/>
      <c r="X278" s="172"/>
      <c r="Y278" s="172"/>
      <c r="Z278" s="172"/>
    </row>
    <row r="279">
      <c r="A279" s="172"/>
      <c r="B279" s="182"/>
      <c r="C279" s="172"/>
      <c r="D279" s="172"/>
      <c r="E279" s="172"/>
      <c r="F279" s="172"/>
      <c r="G279" s="172"/>
      <c r="H279" s="172"/>
      <c r="I279" s="182"/>
      <c r="J279" s="172"/>
      <c r="K279" s="172"/>
      <c r="L279" s="172"/>
      <c r="M279" s="172"/>
      <c r="N279" s="172"/>
      <c r="O279" s="172"/>
      <c r="P279" s="172"/>
      <c r="Q279" s="172"/>
      <c r="R279" s="172"/>
      <c r="S279" s="172"/>
      <c r="T279" s="172"/>
      <c r="U279" s="172"/>
      <c r="V279" s="172"/>
      <c r="W279" s="172"/>
      <c r="X279" s="172"/>
      <c r="Y279" s="172"/>
      <c r="Z279" s="172"/>
    </row>
    <row r="280">
      <c r="A280" s="172"/>
      <c r="B280" s="182"/>
      <c r="C280" s="172"/>
      <c r="D280" s="172"/>
      <c r="E280" s="172"/>
      <c r="F280" s="172"/>
      <c r="G280" s="172"/>
      <c r="H280" s="172"/>
      <c r="I280" s="182"/>
      <c r="J280" s="172"/>
      <c r="K280" s="172"/>
      <c r="L280" s="172"/>
      <c r="M280" s="172"/>
      <c r="N280" s="172"/>
      <c r="O280" s="172"/>
      <c r="P280" s="172"/>
      <c r="Q280" s="172"/>
      <c r="R280" s="172"/>
      <c r="S280" s="172"/>
      <c r="T280" s="172"/>
      <c r="U280" s="172"/>
      <c r="V280" s="172"/>
      <c r="W280" s="172"/>
      <c r="X280" s="172"/>
      <c r="Y280" s="172"/>
      <c r="Z280" s="172"/>
    </row>
    <row r="281">
      <c r="A281" s="172"/>
      <c r="B281" s="182"/>
      <c r="C281" s="172"/>
      <c r="D281" s="172"/>
      <c r="E281" s="172"/>
      <c r="F281" s="172"/>
      <c r="G281" s="172"/>
      <c r="H281" s="172"/>
      <c r="I281" s="182"/>
      <c r="J281" s="172"/>
      <c r="K281" s="172"/>
      <c r="L281" s="172"/>
      <c r="M281" s="172"/>
      <c r="N281" s="172"/>
      <c r="O281" s="172"/>
      <c r="P281" s="172"/>
      <c r="Q281" s="172"/>
      <c r="R281" s="172"/>
      <c r="S281" s="172"/>
      <c r="T281" s="172"/>
      <c r="U281" s="172"/>
      <c r="V281" s="172"/>
      <c r="W281" s="172"/>
      <c r="X281" s="172"/>
      <c r="Y281" s="172"/>
      <c r="Z281" s="172"/>
    </row>
    <row r="282">
      <c r="A282" s="172"/>
      <c r="B282" s="182"/>
      <c r="C282" s="172"/>
      <c r="D282" s="172"/>
      <c r="E282" s="172"/>
      <c r="F282" s="172"/>
      <c r="G282" s="172"/>
      <c r="H282" s="172"/>
      <c r="I282" s="182"/>
      <c r="J282" s="172"/>
      <c r="K282" s="172"/>
      <c r="L282" s="172"/>
      <c r="M282" s="172"/>
      <c r="N282" s="172"/>
      <c r="O282" s="172"/>
      <c r="P282" s="172"/>
      <c r="Q282" s="172"/>
      <c r="R282" s="172"/>
      <c r="S282" s="172"/>
      <c r="T282" s="172"/>
      <c r="U282" s="172"/>
      <c r="V282" s="172"/>
      <c r="W282" s="172"/>
      <c r="X282" s="172"/>
      <c r="Y282" s="172"/>
      <c r="Z282" s="172"/>
    </row>
    <row r="283">
      <c r="A283" s="172"/>
      <c r="B283" s="182"/>
      <c r="C283" s="172"/>
      <c r="D283" s="172"/>
      <c r="E283" s="172"/>
      <c r="F283" s="172"/>
      <c r="G283" s="172"/>
      <c r="H283" s="172"/>
      <c r="I283" s="182"/>
      <c r="J283" s="172"/>
      <c r="K283" s="172"/>
      <c r="L283" s="172"/>
      <c r="M283" s="172"/>
      <c r="N283" s="172"/>
      <c r="O283" s="172"/>
      <c r="P283" s="172"/>
      <c r="Q283" s="172"/>
      <c r="R283" s="172"/>
      <c r="S283" s="172"/>
      <c r="T283" s="172"/>
      <c r="U283" s="172"/>
      <c r="V283" s="172"/>
      <c r="W283" s="172"/>
      <c r="X283" s="172"/>
      <c r="Y283" s="172"/>
      <c r="Z283" s="172"/>
    </row>
    <row r="284">
      <c r="A284" s="172"/>
      <c r="B284" s="182"/>
      <c r="C284" s="172"/>
      <c r="D284" s="172"/>
      <c r="E284" s="172"/>
      <c r="F284" s="172"/>
      <c r="G284" s="172"/>
      <c r="H284" s="172"/>
      <c r="I284" s="182"/>
      <c r="J284" s="172"/>
      <c r="K284" s="172"/>
      <c r="L284" s="172"/>
      <c r="M284" s="172"/>
      <c r="N284" s="172"/>
      <c r="O284" s="172"/>
      <c r="P284" s="172"/>
      <c r="Q284" s="172"/>
      <c r="R284" s="172"/>
      <c r="S284" s="172"/>
      <c r="T284" s="172"/>
      <c r="U284" s="172"/>
      <c r="V284" s="172"/>
      <c r="W284" s="172"/>
      <c r="X284" s="172"/>
      <c r="Y284" s="172"/>
      <c r="Z284" s="172"/>
    </row>
    <row r="285">
      <c r="A285" s="172"/>
      <c r="B285" s="182"/>
      <c r="C285" s="172"/>
      <c r="D285" s="172"/>
      <c r="E285" s="172"/>
      <c r="F285" s="172"/>
      <c r="G285" s="172"/>
      <c r="H285" s="172"/>
      <c r="I285" s="182"/>
      <c r="J285" s="172"/>
      <c r="K285" s="172"/>
      <c r="L285" s="172"/>
      <c r="M285" s="172"/>
      <c r="N285" s="172"/>
      <c r="O285" s="172"/>
      <c r="P285" s="172"/>
      <c r="Q285" s="172"/>
      <c r="R285" s="172"/>
      <c r="S285" s="172"/>
      <c r="T285" s="172"/>
      <c r="U285" s="172"/>
      <c r="V285" s="172"/>
      <c r="W285" s="172"/>
      <c r="X285" s="172"/>
      <c r="Y285" s="172"/>
      <c r="Z285" s="172"/>
    </row>
    <row r="286">
      <c r="A286" s="172"/>
      <c r="B286" s="182"/>
      <c r="C286" s="172"/>
      <c r="D286" s="172"/>
      <c r="E286" s="172"/>
      <c r="F286" s="172"/>
      <c r="G286" s="172"/>
      <c r="H286" s="172"/>
      <c r="I286" s="182"/>
      <c r="J286" s="172"/>
      <c r="K286" s="172"/>
      <c r="L286" s="172"/>
      <c r="M286" s="172"/>
      <c r="N286" s="172"/>
      <c r="O286" s="172"/>
      <c r="P286" s="172"/>
      <c r="Q286" s="172"/>
      <c r="R286" s="172"/>
      <c r="S286" s="172"/>
      <c r="T286" s="172"/>
      <c r="U286" s="172"/>
      <c r="V286" s="172"/>
      <c r="W286" s="172"/>
      <c r="X286" s="172"/>
      <c r="Y286" s="172"/>
      <c r="Z286" s="172"/>
    </row>
    <row r="287">
      <c r="A287" s="172"/>
      <c r="B287" s="182"/>
      <c r="C287" s="172"/>
      <c r="D287" s="172"/>
      <c r="E287" s="172"/>
      <c r="F287" s="172"/>
      <c r="G287" s="172"/>
      <c r="H287" s="172"/>
      <c r="I287" s="182"/>
      <c r="J287" s="172"/>
      <c r="K287" s="172"/>
      <c r="L287" s="172"/>
      <c r="M287" s="172"/>
      <c r="N287" s="172"/>
      <c r="O287" s="172"/>
      <c r="P287" s="172"/>
      <c r="Q287" s="172"/>
      <c r="R287" s="172"/>
      <c r="S287" s="172"/>
      <c r="T287" s="172"/>
      <c r="U287" s="172"/>
      <c r="V287" s="172"/>
      <c r="W287" s="172"/>
      <c r="X287" s="172"/>
      <c r="Y287" s="172"/>
      <c r="Z287" s="172"/>
    </row>
    <row r="288">
      <c r="A288" s="172"/>
      <c r="B288" s="182"/>
      <c r="C288" s="172"/>
      <c r="D288" s="172"/>
      <c r="E288" s="172"/>
      <c r="F288" s="172"/>
      <c r="G288" s="172"/>
      <c r="H288" s="172"/>
      <c r="I288" s="182"/>
      <c r="J288" s="172"/>
      <c r="K288" s="172"/>
      <c r="L288" s="172"/>
      <c r="M288" s="172"/>
      <c r="N288" s="172"/>
      <c r="O288" s="172"/>
      <c r="P288" s="172"/>
      <c r="Q288" s="172"/>
      <c r="R288" s="172"/>
      <c r="S288" s="172"/>
      <c r="T288" s="172"/>
      <c r="U288" s="172"/>
      <c r="V288" s="172"/>
      <c r="W288" s="172"/>
      <c r="X288" s="172"/>
      <c r="Y288" s="172"/>
      <c r="Z288" s="172"/>
    </row>
    <row r="289">
      <c r="A289" s="172"/>
      <c r="B289" s="182"/>
      <c r="C289" s="172"/>
      <c r="D289" s="172"/>
      <c r="E289" s="172"/>
      <c r="F289" s="172"/>
      <c r="G289" s="172"/>
      <c r="H289" s="172"/>
      <c r="I289" s="182"/>
      <c r="J289" s="172"/>
      <c r="K289" s="172"/>
      <c r="L289" s="172"/>
      <c r="M289" s="172"/>
      <c r="N289" s="172"/>
      <c r="O289" s="172"/>
      <c r="P289" s="172"/>
      <c r="Q289" s="172"/>
      <c r="R289" s="172"/>
      <c r="S289" s="172"/>
      <c r="T289" s="172"/>
      <c r="U289" s="172"/>
      <c r="V289" s="172"/>
      <c r="W289" s="172"/>
      <c r="X289" s="172"/>
      <c r="Y289" s="172"/>
      <c r="Z289" s="172"/>
    </row>
    <row r="290">
      <c r="A290" s="172"/>
      <c r="B290" s="182"/>
      <c r="C290" s="172"/>
      <c r="D290" s="172"/>
      <c r="E290" s="172"/>
      <c r="F290" s="172"/>
      <c r="G290" s="172"/>
      <c r="H290" s="172"/>
      <c r="I290" s="182"/>
      <c r="J290" s="172"/>
      <c r="K290" s="172"/>
      <c r="L290" s="172"/>
      <c r="M290" s="172"/>
      <c r="N290" s="172"/>
      <c r="O290" s="172"/>
      <c r="P290" s="172"/>
      <c r="Q290" s="172"/>
      <c r="R290" s="172"/>
      <c r="S290" s="172"/>
      <c r="T290" s="172"/>
      <c r="U290" s="172"/>
      <c r="V290" s="172"/>
      <c r="W290" s="172"/>
      <c r="X290" s="172"/>
      <c r="Y290" s="172"/>
      <c r="Z290" s="172"/>
    </row>
    <row r="291">
      <c r="A291" s="172"/>
      <c r="B291" s="182"/>
      <c r="C291" s="172"/>
      <c r="D291" s="172"/>
      <c r="E291" s="172"/>
      <c r="F291" s="172"/>
      <c r="G291" s="172"/>
      <c r="H291" s="172"/>
      <c r="I291" s="182"/>
      <c r="J291" s="172"/>
      <c r="K291" s="172"/>
      <c r="L291" s="172"/>
      <c r="M291" s="172"/>
      <c r="N291" s="172"/>
      <c r="O291" s="172"/>
      <c r="P291" s="172"/>
      <c r="Q291" s="172"/>
      <c r="R291" s="172"/>
      <c r="S291" s="172"/>
      <c r="T291" s="172"/>
      <c r="U291" s="172"/>
      <c r="V291" s="172"/>
      <c r="W291" s="172"/>
      <c r="X291" s="172"/>
      <c r="Y291" s="172"/>
      <c r="Z291" s="172"/>
    </row>
    <row r="292">
      <c r="A292" s="172"/>
      <c r="B292" s="182"/>
      <c r="C292" s="172"/>
      <c r="D292" s="172"/>
      <c r="E292" s="172"/>
      <c r="F292" s="172"/>
      <c r="G292" s="172"/>
      <c r="H292" s="172"/>
      <c r="I292" s="182"/>
      <c r="J292" s="172"/>
      <c r="K292" s="172"/>
      <c r="L292" s="172"/>
      <c r="M292" s="172"/>
      <c r="N292" s="172"/>
      <c r="O292" s="172"/>
      <c r="P292" s="172"/>
      <c r="Q292" s="172"/>
      <c r="R292" s="172"/>
      <c r="S292" s="172"/>
      <c r="T292" s="172"/>
      <c r="U292" s="172"/>
      <c r="V292" s="172"/>
      <c r="W292" s="172"/>
      <c r="X292" s="172"/>
      <c r="Y292" s="172"/>
      <c r="Z292" s="172"/>
    </row>
    <row r="293">
      <c r="A293" s="172"/>
      <c r="B293" s="182"/>
      <c r="C293" s="172"/>
      <c r="D293" s="172"/>
      <c r="E293" s="172"/>
      <c r="F293" s="172"/>
      <c r="G293" s="172"/>
      <c r="H293" s="172"/>
      <c r="I293" s="182"/>
      <c r="J293" s="172"/>
      <c r="K293" s="172"/>
      <c r="L293" s="172"/>
      <c r="M293" s="172"/>
      <c r="N293" s="172"/>
      <c r="O293" s="172"/>
      <c r="P293" s="172"/>
      <c r="Q293" s="172"/>
      <c r="R293" s="172"/>
      <c r="S293" s="172"/>
      <c r="T293" s="172"/>
      <c r="U293" s="172"/>
      <c r="V293" s="172"/>
      <c r="W293" s="172"/>
      <c r="X293" s="172"/>
      <c r="Y293" s="172"/>
      <c r="Z293" s="172"/>
    </row>
    <row r="294">
      <c r="A294" s="172"/>
      <c r="B294" s="182"/>
      <c r="C294" s="172"/>
      <c r="D294" s="172"/>
      <c r="E294" s="172"/>
      <c r="F294" s="172"/>
      <c r="G294" s="172"/>
      <c r="H294" s="172"/>
      <c r="I294" s="182"/>
      <c r="J294" s="172"/>
      <c r="K294" s="172"/>
      <c r="L294" s="172"/>
      <c r="M294" s="172"/>
      <c r="N294" s="172"/>
      <c r="O294" s="172"/>
      <c r="P294" s="172"/>
      <c r="Q294" s="172"/>
      <c r="R294" s="172"/>
      <c r="S294" s="172"/>
      <c r="T294" s="172"/>
      <c r="U294" s="172"/>
      <c r="V294" s="172"/>
      <c r="W294" s="172"/>
      <c r="X294" s="172"/>
      <c r="Y294" s="172"/>
      <c r="Z294" s="172"/>
    </row>
    <row r="295">
      <c r="A295" s="172"/>
      <c r="B295" s="182"/>
      <c r="C295" s="172"/>
      <c r="D295" s="172"/>
      <c r="E295" s="172"/>
      <c r="F295" s="172"/>
      <c r="G295" s="172"/>
      <c r="H295" s="172"/>
      <c r="I295" s="182"/>
      <c r="J295" s="172"/>
      <c r="K295" s="172"/>
      <c r="L295" s="172"/>
      <c r="M295" s="172"/>
      <c r="N295" s="172"/>
      <c r="O295" s="172"/>
      <c r="P295" s="172"/>
      <c r="Q295" s="172"/>
      <c r="R295" s="172"/>
      <c r="S295" s="172"/>
      <c r="T295" s="172"/>
      <c r="U295" s="172"/>
      <c r="V295" s="172"/>
      <c r="W295" s="172"/>
      <c r="X295" s="172"/>
      <c r="Y295" s="172"/>
      <c r="Z295" s="172"/>
    </row>
    <row r="296">
      <c r="A296" s="172"/>
      <c r="B296" s="182"/>
      <c r="C296" s="172"/>
      <c r="D296" s="172"/>
      <c r="E296" s="172"/>
      <c r="F296" s="172"/>
      <c r="G296" s="172"/>
      <c r="H296" s="172"/>
      <c r="I296" s="182"/>
      <c r="J296" s="172"/>
      <c r="K296" s="172"/>
      <c r="L296" s="172"/>
      <c r="M296" s="172"/>
      <c r="N296" s="172"/>
      <c r="O296" s="172"/>
      <c r="P296" s="172"/>
      <c r="Q296" s="172"/>
      <c r="R296" s="172"/>
      <c r="S296" s="172"/>
      <c r="T296" s="172"/>
      <c r="U296" s="172"/>
      <c r="V296" s="172"/>
      <c r="W296" s="172"/>
      <c r="X296" s="172"/>
      <c r="Y296" s="172"/>
      <c r="Z296" s="172"/>
    </row>
    <row r="297">
      <c r="A297" s="172"/>
      <c r="B297" s="182"/>
      <c r="C297" s="172"/>
      <c r="D297" s="172"/>
      <c r="E297" s="172"/>
      <c r="F297" s="172"/>
      <c r="G297" s="172"/>
      <c r="H297" s="172"/>
      <c r="I297" s="182"/>
      <c r="J297" s="172"/>
      <c r="K297" s="172"/>
      <c r="L297" s="172"/>
      <c r="M297" s="172"/>
      <c r="N297" s="172"/>
      <c r="O297" s="172"/>
      <c r="P297" s="172"/>
      <c r="Q297" s="172"/>
      <c r="R297" s="172"/>
      <c r="S297" s="172"/>
      <c r="T297" s="172"/>
      <c r="U297" s="172"/>
      <c r="V297" s="172"/>
      <c r="W297" s="172"/>
      <c r="X297" s="172"/>
      <c r="Y297" s="172"/>
      <c r="Z297" s="172"/>
    </row>
    <row r="298">
      <c r="A298" s="172"/>
      <c r="B298" s="182"/>
      <c r="C298" s="172"/>
      <c r="D298" s="172"/>
      <c r="E298" s="172"/>
      <c r="F298" s="172"/>
      <c r="G298" s="172"/>
      <c r="H298" s="172"/>
      <c r="I298" s="182"/>
      <c r="J298" s="172"/>
      <c r="K298" s="172"/>
      <c r="L298" s="172"/>
      <c r="M298" s="172"/>
      <c r="N298" s="172"/>
      <c r="O298" s="172"/>
      <c r="P298" s="172"/>
      <c r="Q298" s="172"/>
      <c r="R298" s="172"/>
      <c r="S298" s="172"/>
      <c r="T298" s="172"/>
      <c r="U298" s="172"/>
      <c r="V298" s="172"/>
      <c r="W298" s="172"/>
      <c r="X298" s="172"/>
      <c r="Y298" s="172"/>
      <c r="Z298" s="172"/>
    </row>
    <row r="299">
      <c r="A299" s="172"/>
      <c r="B299" s="182"/>
      <c r="C299" s="172"/>
      <c r="D299" s="172"/>
      <c r="E299" s="172"/>
      <c r="F299" s="172"/>
      <c r="G299" s="172"/>
      <c r="H299" s="172"/>
      <c r="I299" s="182"/>
      <c r="J299" s="172"/>
      <c r="K299" s="172"/>
      <c r="L299" s="172"/>
      <c r="M299" s="172"/>
      <c r="N299" s="172"/>
      <c r="O299" s="172"/>
      <c r="P299" s="172"/>
      <c r="Q299" s="172"/>
      <c r="R299" s="172"/>
      <c r="S299" s="172"/>
      <c r="T299" s="172"/>
      <c r="U299" s="172"/>
      <c r="V299" s="172"/>
      <c r="W299" s="172"/>
      <c r="X299" s="172"/>
      <c r="Y299" s="172"/>
      <c r="Z299" s="172"/>
    </row>
    <row r="300">
      <c r="A300" s="172"/>
      <c r="B300" s="182"/>
      <c r="C300" s="172"/>
      <c r="D300" s="172"/>
      <c r="E300" s="172"/>
      <c r="F300" s="172"/>
      <c r="G300" s="172"/>
      <c r="H300" s="172"/>
      <c r="I300" s="182"/>
      <c r="J300" s="172"/>
      <c r="K300" s="172"/>
      <c r="L300" s="172"/>
      <c r="M300" s="172"/>
      <c r="N300" s="172"/>
      <c r="O300" s="172"/>
      <c r="P300" s="172"/>
      <c r="Q300" s="172"/>
      <c r="R300" s="172"/>
      <c r="S300" s="172"/>
      <c r="T300" s="172"/>
      <c r="U300" s="172"/>
      <c r="V300" s="172"/>
      <c r="W300" s="172"/>
      <c r="X300" s="172"/>
      <c r="Y300" s="172"/>
      <c r="Z300" s="172"/>
    </row>
    <row r="301">
      <c r="A301" s="172"/>
      <c r="B301" s="182"/>
      <c r="C301" s="172"/>
      <c r="D301" s="172"/>
      <c r="E301" s="172"/>
      <c r="F301" s="172"/>
      <c r="G301" s="172"/>
      <c r="H301" s="172"/>
      <c r="I301" s="182"/>
      <c r="J301" s="172"/>
      <c r="K301" s="172"/>
      <c r="L301" s="172"/>
      <c r="M301" s="172"/>
      <c r="N301" s="172"/>
      <c r="O301" s="172"/>
      <c r="P301" s="172"/>
      <c r="Q301" s="172"/>
      <c r="R301" s="172"/>
      <c r="S301" s="172"/>
      <c r="T301" s="172"/>
      <c r="U301" s="172"/>
      <c r="V301" s="172"/>
      <c r="W301" s="172"/>
      <c r="X301" s="172"/>
      <c r="Y301" s="172"/>
      <c r="Z301" s="172"/>
    </row>
    <row r="302">
      <c r="A302" s="172"/>
      <c r="B302" s="182"/>
      <c r="C302" s="172"/>
      <c r="D302" s="172"/>
      <c r="E302" s="172"/>
      <c r="F302" s="172"/>
      <c r="G302" s="172"/>
      <c r="H302" s="172"/>
      <c r="I302" s="182"/>
      <c r="J302" s="172"/>
      <c r="K302" s="172"/>
      <c r="L302" s="172"/>
      <c r="M302" s="172"/>
      <c r="N302" s="172"/>
      <c r="O302" s="172"/>
      <c r="P302" s="172"/>
      <c r="Q302" s="172"/>
      <c r="R302" s="172"/>
      <c r="S302" s="172"/>
      <c r="T302" s="172"/>
      <c r="U302" s="172"/>
      <c r="V302" s="172"/>
      <c r="W302" s="172"/>
      <c r="X302" s="172"/>
      <c r="Y302" s="172"/>
      <c r="Z302" s="172"/>
    </row>
    <row r="303">
      <c r="A303" s="172"/>
      <c r="B303" s="182"/>
      <c r="C303" s="172"/>
      <c r="D303" s="172"/>
      <c r="E303" s="172"/>
      <c r="F303" s="172"/>
      <c r="G303" s="172"/>
      <c r="H303" s="172"/>
      <c r="I303" s="182"/>
      <c r="J303" s="172"/>
      <c r="K303" s="172"/>
      <c r="L303" s="172"/>
      <c r="M303" s="172"/>
      <c r="N303" s="172"/>
      <c r="O303" s="172"/>
      <c r="P303" s="172"/>
      <c r="Q303" s="172"/>
      <c r="R303" s="172"/>
      <c r="S303" s="172"/>
      <c r="T303" s="172"/>
      <c r="U303" s="172"/>
      <c r="V303" s="172"/>
      <c r="W303" s="172"/>
      <c r="X303" s="172"/>
      <c r="Y303" s="172"/>
      <c r="Z303" s="172"/>
    </row>
    <row r="304">
      <c r="A304" s="172"/>
      <c r="B304" s="182"/>
      <c r="C304" s="172"/>
      <c r="D304" s="172"/>
      <c r="E304" s="172"/>
      <c r="F304" s="172"/>
      <c r="G304" s="172"/>
      <c r="H304" s="172"/>
      <c r="I304" s="182"/>
      <c r="J304" s="172"/>
      <c r="K304" s="172"/>
      <c r="L304" s="172"/>
      <c r="M304" s="172"/>
      <c r="N304" s="172"/>
      <c r="O304" s="172"/>
      <c r="P304" s="172"/>
      <c r="Q304" s="172"/>
      <c r="R304" s="172"/>
      <c r="S304" s="172"/>
      <c r="T304" s="172"/>
      <c r="U304" s="172"/>
      <c r="V304" s="172"/>
      <c r="W304" s="172"/>
      <c r="X304" s="172"/>
      <c r="Y304" s="172"/>
      <c r="Z304" s="172"/>
    </row>
    <row r="305">
      <c r="A305" s="172"/>
      <c r="B305" s="182"/>
      <c r="C305" s="172"/>
      <c r="D305" s="172"/>
      <c r="E305" s="172"/>
      <c r="F305" s="172"/>
      <c r="G305" s="172"/>
      <c r="H305" s="172"/>
      <c r="I305" s="182"/>
      <c r="J305" s="172"/>
      <c r="K305" s="172"/>
      <c r="L305" s="172"/>
      <c r="M305" s="172"/>
      <c r="N305" s="172"/>
      <c r="O305" s="172"/>
      <c r="P305" s="172"/>
      <c r="Q305" s="172"/>
      <c r="R305" s="172"/>
      <c r="S305" s="172"/>
      <c r="T305" s="172"/>
      <c r="U305" s="172"/>
      <c r="V305" s="172"/>
      <c r="W305" s="172"/>
      <c r="X305" s="172"/>
      <c r="Y305" s="172"/>
      <c r="Z305" s="172"/>
    </row>
    <row r="306">
      <c r="A306" s="172"/>
      <c r="B306" s="182"/>
      <c r="C306" s="172"/>
      <c r="D306" s="172"/>
      <c r="E306" s="172"/>
      <c r="F306" s="172"/>
      <c r="G306" s="172"/>
      <c r="H306" s="172"/>
      <c r="I306" s="182"/>
      <c r="J306" s="172"/>
      <c r="K306" s="172"/>
      <c r="L306" s="172"/>
      <c r="M306" s="172"/>
      <c r="N306" s="172"/>
      <c r="O306" s="172"/>
      <c r="P306" s="172"/>
      <c r="Q306" s="172"/>
      <c r="R306" s="172"/>
      <c r="S306" s="172"/>
      <c r="T306" s="172"/>
      <c r="U306" s="172"/>
      <c r="V306" s="172"/>
      <c r="W306" s="172"/>
      <c r="X306" s="172"/>
      <c r="Y306" s="172"/>
      <c r="Z306" s="172"/>
    </row>
    <row r="307">
      <c r="A307" s="172"/>
      <c r="B307" s="182"/>
      <c r="C307" s="172"/>
      <c r="D307" s="172"/>
      <c r="E307" s="172"/>
      <c r="F307" s="172"/>
      <c r="G307" s="172"/>
      <c r="H307" s="172"/>
      <c r="I307" s="182"/>
      <c r="J307" s="172"/>
      <c r="K307" s="172"/>
      <c r="L307" s="172"/>
      <c r="M307" s="172"/>
      <c r="N307" s="172"/>
      <c r="O307" s="172"/>
      <c r="P307" s="172"/>
      <c r="Q307" s="172"/>
      <c r="R307" s="172"/>
      <c r="S307" s="172"/>
      <c r="T307" s="172"/>
      <c r="U307" s="172"/>
      <c r="V307" s="172"/>
      <c r="W307" s="172"/>
      <c r="X307" s="172"/>
      <c r="Y307" s="172"/>
      <c r="Z307" s="172"/>
    </row>
    <row r="308">
      <c r="A308" s="172"/>
      <c r="B308" s="182"/>
      <c r="C308" s="172"/>
      <c r="D308" s="172"/>
      <c r="E308" s="172"/>
      <c r="F308" s="172"/>
      <c r="G308" s="172"/>
      <c r="H308" s="172"/>
      <c r="I308" s="182"/>
      <c r="J308" s="172"/>
      <c r="K308" s="172"/>
      <c r="L308" s="172"/>
      <c r="M308" s="172"/>
      <c r="N308" s="172"/>
      <c r="O308" s="172"/>
      <c r="P308" s="172"/>
      <c r="Q308" s="172"/>
      <c r="R308" s="172"/>
      <c r="S308" s="172"/>
      <c r="T308" s="172"/>
      <c r="U308" s="172"/>
      <c r="V308" s="172"/>
      <c r="W308" s="172"/>
      <c r="X308" s="172"/>
      <c r="Y308" s="172"/>
      <c r="Z308" s="172"/>
    </row>
    <row r="309">
      <c r="A309" s="172"/>
      <c r="B309" s="182"/>
      <c r="C309" s="172"/>
      <c r="D309" s="172"/>
      <c r="E309" s="172"/>
      <c r="F309" s="172"/>
      <c r="G309" s="172"/>
      <c r="H309" s="172"/>
      <c r="I309" s="182"/>
      <c r="J309" s="172"/>
      <c r="K309" s="172"/>
      <c r="L309" s="172"/>
      <c r="M309" s="172"/>
      <c r="N309" s="172"/>
      <c r="O309" s="172"/>
      <c r="P309" s="172"/>
      <c r="Q309" s="172"/>
      <c r="R309" s="172"/>
      <c r="S309" s="172"/>
      <c r="T309" s="172"/>
      <c r="U309" s="172"/>
      <c r="V309" s="172"/>
      <c r="W309" s="172"/>
      <c r="X309" s="172"/>
      <c r="Y309" s="172"/>
      <c r="Z309" s="172"/>
    </row>
    <row r="310">
      <c r="A310" s="172"/>
      <c r="B310" s="182"/>
      <c r="C310" s="172"/>
      <c r="D310" s="172"/>
      <c r="E310" s="172"/>
      <c r="F310" s="172"/>
      <c r="G310" s="172"/>
      <c r="H310" s="172"/>
      <c r="I310" s="182"/>
      <c r="J310" s="172"/>
      <c r="K310" s="172"/>
      <c r="L310" s="172"/>
      <c r="M310" s="172"/>
      <c r="N310" s="172"/>
      <c r="O310" s="172"/>
      <c r="P310" s="172"/>
      <c r="Q310" s="172"/>
      <c r="R310" s="172"/>
      <c r="S310" s="172"/>
      <c r="T310" s="172"/>
      <c r="U310" s="172"/>
      <c r="V310" s="172"/>
      <c r="W310" s="172"/>
      <c r="X310" s="172"/>
      <c r="Y310" s="172"/>
      <c r="Z310" s="172"/>
    </row>
    <row r="311">
      <c r="A311" s="172"/>
      <c r="B311" s="182"/>
      <c r="C311" s="172"/>
      <c r="D311" s="172"/>
      <c r="E311" s="172"/>
      <c r="F311" s="172"/>
      <c r="G311" s="172"/>
      <c r="H311" s="172"/>
      <c r="I311" s="182"/>
      <c r="J311" s="172"/>
      <c r="K311" s="172"/>
      <c r="L311" s="172"/>
      <c r="M311" s="172"/>
      <c r="N311" s="172"/>
      <c r="O311" s="172"/>
      <c r="P311" s="172"/>
      <c r="Q311" s="172"/>
      <c r="R311" s="172"/>
      <c r="S311" s="172"/>
      <c r="T311" s="172"/>
      <c r="U311" s="172"/>
      <c r="V311" s="172"/>
      <c r="W311" s="172"/>
      <c r="X311" s="172"/>
      <c r="Y311" s="172"/>
      <c r="Z311" s="172"/>
    </row>
    <row r="312">
      <c r="A312" s="172"/>
      <c r="B312" s="182"/>
      <c r="C312" s="172"/>
      <c r="D312" s="172"/>
      <c r="E312" s="172"/>
      <c r="F312" s="172"/>
      <c r="G312" s="172"/>
      <c r="H312" s="172"/>
      <c r="I312" s="182"/>
      <c r="J312" s="172"/>
      <c r="K312" s="172"/>
      <c r="L312" s="172"/>
      <c r="M312" s="172"/>
      <c r="N312" s="172"/>
      <c r="O312" s="172"/>
      <c r="P312" s="172"/>
      <c r="Q312" s="172"/>
      <c r="R312" s="172"/>
      <c r="S312" s="172"/>
      <c r="T312" s="172"/>
      <c r="U312" s="172"/>
      <c r="V312" s="172"/>
      <c r="W312" s="172"/>
      <c r="X312" s="172"/>
      <c r="Y312" s="172"/>
      <c r="Z312" s="172"/>
    </row>
    <row r="313">
      <c r="A313" s="172"/>
      <c r="B313" s="182"/>
      <c r="C313" s="172"/>
      <c r="D313" s="172"/>
      <c r="E313" s="172"/>
      <c r="F313" s="172"/>
      <c r="G313" s="172"/>
      <c r="H313" s="172"/>
      <c r="I313" s="182"/>
      <c r="J313" s="172"/>
      <c r="K313" s="172"/>
      <c r="L313" s="172"/>
      <c r="M313" s="172"/>
      <c r="N313" s="172"/>
      <c r="O313" s="172"/>
      <c r="P313" s="172"/>
      <c r="Q313" s="172"/>
      <c r="R313" s="172"/>
      <c r="S313" s="172"/>
      <c r="T313" s="172"/>
      <c r="U313" s="172"/>
      <c r="V313" s="172"/>
      <c r="W313" s="172"/>
      <c r="X313" s="172"/>
      <c r="Y313" s="172"/>
      <c r="Z313" s="172"/>
    </row>
    <row r="314">
      <c r="A314" s="172"/>
      <c r="B314" s="182"/>
      <c r="C314" s="172"/>
      <c r="D314" s="172"/>
      <c r="E314" s="172"/>
      <c r="F314" s="172"/>
      <c r="G314" s="172"/>
      <c r="H314" s="172"/>
      <c r="I314" s="182"/>
      <c r="J314" s="172"/>
      <c r="K314" s="172"/>
      <c r="L314" s="172"/>
      <c r="M314" s="172"/>
      <c r="N314" s="172"/>
      <c r="O314" s="172"/>
      <c r="P314" s="172"/>
      <c r="Q314" s="172"/>
      <c r="R314" s="172"/>
      <c r="S314" s="172"/>
      <c r="T314" s="172"/>
      <c r="U314" s="172"/>
      <c r="V314" s="172"/>
      <c r="W314" s="172"/>
      <c r="X314" s="172"/>
      <c r="Y314" s="172"/>
      <c r="Z314" s="172"/>
    </row>
    <row r="315">
      <c r="A315" s="172"/>
      <c r="B315" s="182"/>
      <c r="C315" s="172"/>
      <c r="D315" s="172"/>
      <c r="E315" s="172"/>
      <c r="F315" s="172"/>
      <c r="G315" s="172"/>
      <c r="H315" s="172"/>
      <c r="I315" s="182"/>
      <c r="J315" s="172"/>
      <c r="K315" s="172"/>
      <c r="L315" s="172"/>
      <c r="M315" s="172"/>
      <c r="N315" s="172"/>
      <c r="O315" s="172"/>
      <c r="P315" s="172"/>
      <c r="Q315" s="172"/>
      <c r="R315" s="172"/>
      <c r="S315" s="172"/>
      <c r="T315" s="172"/>
      <c r="U315" s="172"/>
      <c r="V315" s="172"/>
      <c r="W315" s="172"/>
      <c r="X315" s="172"/>
      <c r="Y315" s="172"/>
      <c r="Z315" s="172"/>
    </row>
    <row r="316">
      <c r="A316" s="172"/>
      <c r="B316" s="182"/>
      <c r="C316" s="172"/>
      <c r="D316" s="172"/>
      <c r="E316" s="172"/>
      <c r="F316" s="172"/>
      <c r="G316" s="172"/>
      <c r="H316" s="172"/>
      <c r="I316" s="182"/>
      <c r="J316" s="172"/>
      <c r="K316" s="172"/>
      <c r="L316" s="172"/>
      <c r="M316" s="172"/>
      <c r="N316" s="172"/>
      <c r="O316" s="172"/>
      <c r="P316" s="172"/>
      <c r="Q316" s="172"/>
      <c r="R316" s="172"/>
      <c r="S316" s="172"/>
      <c r="T316" s="172"/>
      <c r="U316" s="172"/>
      <c r="V316" s="172"/>
      <c r="W316" s="172"/>
      <c r="X316" s="172"/>
      <c r="Y316" s="172"/>
      <c r="Z316" s="172"/>
    </row>
    <row r="317">
      <c r="A317" s="172"/>
      <c r="B317" s="182"/>
      <c r="C317" s="172"/>
      <c r="D317" s="172"/>
      <c r="E317" s="172"/>
      <c r="F317" s="172"/>
      <c r="G317" s="172"/>
      <c r="H317" s="172"/>
      <c r="I317" s="182"/>
      <c r="J317" s="172"/>
      <c r="K317" s="172"/>
      <c r="L317" s="172"/>
      <c r="M317" s="172"/>
      <c r="N317" s="172"/>
      <c r="O317" s="172"/>
      <c r="P317" s="172"/>
      <c r="Q317" s="172"/>
      <c r="R317" s="172"/>
      <c r="S317" s="172"/>
      <c r="T317" s="172"/>
      <c r="U317" s="172"/>
      <c r="V317" s="172"/>
      <c r="W317" s="172"/>
      <c r="X317" s="172"/>
      <c r="Y317" s="172"/>
      <c r="Z317" s="172"/>
    </row>
    <row r="318">
      <c r="A318" s="172"/>
      <c r="B318" s="182"/>
      <c r="C318" s="172"/>
      <c r="D318" s="172"/>
      <c r="E318" s="172"/>
      <c r="F318" s="172"/>
      <c r="G318" s="172"/>
      <c r="H318" s="172"/>
      <c r="I318" s="182"/>
      <c r="J318" s="172"/>
      <c r="K318" s="172"/>
      <c r="L318" s="172"/>
      <c r="M318" s="172"/>
      <c r="N318" s="172"/>
      <c r="O318" s="172"/>
      <c r="P318" s="172"/>
      <c r="Q318" s="172"/>
      <c r="R318" s="172"/>
      <c r="S318" s="172"/>
      <c r="T318" s="172"/>
      <c r="U318" s="172"/>
      <c r="V318" s="172"/>
      <c r="W318" s="172"/>
      <c r="X318" s="172"/>
      <c r="Y318" s="172"/>
      <c r="Z318" s="172"/>
    </row>
    <row r="319">
      <c r="A319" s="172"/>
      <c r="B319" s="182"/>
      <c r="C319" s="172"/>
      <c r="D319" s="172"/>
      <c r="E319" s="172"/>
      <c r="F319" s="172"/>
      <c r="G319" s="172"/>
      <c r="H319" s="172"/>
      <c r="I319" s="182"/>
      <c r="J319" s="172"/>
      <c r="K319" s="172"/>
      <c r="L319" s="172"/>
      <c r="M319" s="172"/>
      <c r="N319" s="172"/>
      <c r="O319" s="172"/>
      <c r="P319" s="172"/>
      <c r="Q319" s="172"/>
      <c r="R319" s="172"/>
      <c r="S319" s="172"/>
      <c r="T319" s="172"/>
      <c r="U319" s="172"/>
      <c r="V319" s="172"/>
      <c r="W319" s="172"/>
      <c r="X319" s="172"/>
      <c r="Y319" s="172"/>
      <c r="Z319" s="172"/>
    </row>
    <row r="320">
      <c r="A320" s="172"/>
      <c r="B320" s="182"/>
      <c r="C320" s="172"/>
      <c r="D320" s="172"/>
      <c r="E320" s="172"/>
      <c r="F320" s="172"/>
      <c r="G320" s="172"/>
      <c r="H320" s="172"/>
      <c r="I320" s="182"/>
      <c r="J320" s="172"/>
      <c r="K320" s="172"/>
      <c r="L320" s="172"/>
      <c r="M320" s="172"/>
      <c r="N320" s="172"/>
      <c r="O320" s="172"/>
      <c r="P320" s="172"/>
      <c r="Q320" s="172"/>
      <c r="R320" s="172"/>
      <c r="S320" s="172"/>
      <c r="T320" s="172"/>
      <c r="U320" s="172"/>
      <c r="V320" s="172"/>
      <c r="W320" s="172"/>
      <c r="X320" s="172"/>
      <c r="Y320" s="172"/>
      <c r="Z320" s="172"/>
    </row>
    <row r="321">
      <c r="A321" s="172"/>
      <c r="B321" s="182"/>
      <c r="C321" s="172"/>
      <c r="D321" s="172"/>
      <c r="E321" s="172"/>
      <c r="F321" s="172"/>
      <c r="G321" s="172"/>
      <c r="H321" s="172"/>
      <c r="I321" s="182"/>
      <c r="J321" s="172"/>
      <c r="K321" s="172"/>
      <c r="L321" s="172"/>
      <c r="M321" s="172"/>
      <c r="N321" s="172"/>
      <c r="O321" s="172"/>
      <c r="P321" s="172"/>
      <c r="Q321" s="172"/>
      <c r="R321" s="172"/>
      <c r="S321" s="172"/>
      <c r="T321" s="172"/>
      <c r="U321" s="172"/>
      <c r="V321" s="172"/>
      <c r="W321" s="172"/>
      <c r="X321" s="172"/>
      <c r="Y321" s="172"/>
      <c r="Z321" s="172"/>
    </row>
    <row r="322">
      <c r="A322" s="172"/>
      <c r="B322" s="182"/>
      <c r="C322" s="172"/>
      <c r="D322" s="172"/>
      <c r="E322" s="172"/>
      <c r="F322" s="172"/>
      <c r="G322" s="172"/>
      <c r="H322" s="172"/>
      <c r="I322" s="182"/>
      <c r="J322" s="172"/>
      <c r="K322" s="172"/>
      <c r="L322" s="172"/>
      <c r="M322" s="172"/>
      <c r="N322" s="172"/>
      <c r="O322" s="172"/>
      <c r="P322" s="172"/>
      <c r="Q322" s="172"/>
      <c r="R322" s="172"/>
      <c r="S322" s="172"/>
      <c r="T322" s="172"/>
      <c r="U322" s="172"/>
      <c r="V322" s="172"/>
      <c r="W322" s="172"/>
      <c r="X322" s="172"/>
      <c r="Y322" s="172"/>
      <c r="Z322" s="172"/>
    </row>
    <row r="323">
      <c r="A323" s="172"/>
      <c r="B323" s="182"/>
      <c r="C323" s="172"/>
      <c r="D323" s="172"/>
      <c r="E323" s="172"/>
      <c r="F323" s="172"/>
      <c r="G323" s="172"/>
      <c r="H323" s="172"/>
      <c r="I323" s="182"/>
      <c r="J323" s="172"/>
      <c r="K323" s="172"/>
      <c r="L323" s="172"/>
      <c r="M323" s="172"/>
      <c r="N323" s="172"/>
      <c r="O323" s="172"/>
      <c r="P323" s="172"/>
      <c r="Q323" s="172"/>
      <c r="R323" s="172"/>
      <c r="S323" s="172"/>
      <c r="T323" s="172"/>
      <c r="U323" s="172"/>
      <c r="V323" s="172"/>
      <c r="W323" s="172"/>
      <c r="X323" s="172"/>
      <c r="Y323" s="172"/>
      <c r="Z323" s="172"/>
    </row>
    <row r="324">
      <c r="A324" s="172"/>
      <c r="B324" s="182"/>
      <c r="C324" s="172"/>
      <c r="D324" s="172"/>
      <c r="E324" s="172"/>
      <c r="F324" s="172"/>
      <c r="G324" s="172"/>
      <c r="H324" s="172"/>
      <c r="I324" s="182"/>
      <c r="J324" s="172"/>
      <c r="K324" s="172"/>
      <c r="L324" s="172"/>
      <c r="M324" s="172"/>
      <c r="N324" s="172"/>
      <c r="O324" s="172"/>
      <c r="P324" s="172"/>
      <c r="Q324" s="172"/>
      <c r="R324" s="172"/>
      <c r="S324" s="172"/>
      <c r="T324" s="172"/>
      <c r="U324" s="172"/>
      <c r="V324" s="172"/>
      <c r="W324" s="172"/>
      <c r="X324" s="172"/>
      <c r="Y324" s="172"/>
      <c r="Z324" s="172"/>
    </row>
    <row r="325">
      <c r="A325" s="172"/>
      <c r="B325" s="182"/>
      <c r="C325" s="172"/>
      <c r="D325" s="172"/>
      <c r="E325" s="172"/>
      <c r="F325" s="172"/>
      <c r="G325" s="172"/>
      <c r="H325" s="172"/>
      <c r="I325" s="182"/>
      <c r="J325" s="172"/>
      <c r="K325" s="172"/>
      <c r="L325" s="172"/>
      <c r="M325" s="172"/>
      <c r="N325" s="172"/>
      <c r="O325" s="172"/>
      <c r="P325" s="172"/>
      <c r="Q325" s="172"/>
      <c r="R325" s="172"/>
      <c r="S325" s="172"/>
      <c r="T325" s="172"/>
      <c r="U325" s="172"/>
      <c r="V325" s="172"/>
      <c r="W325" s="172"/>
      <c r="X325" s="172"/>
      <c r="Y325" s="172"/>
      <c r="Z325" s="172"/>
    </row>
    <row r="326">
      <c r="A326" s="172"/>
      <c r="B326" s="182"/>
      <c r="C326" s="172"/>
      <c r="D326" s="172"/>
      <c r="E326" s="172"/>
      <c r="F326" s="172"/>
      <c r="G326" s="172"/>
      <c r="H326" s="172"/>
      <c r="I326" s="182"/>
      <c r="J326" s="172"/>
      <c r="K326" s="172"/>
      <c r="L326" s="172"/>
      <c r="M326" s="172"/>
      <c r="N326" s="172"/>
      <c r="O326" s="172"/>
      <c r="P326" s="172"/>
      <c r="Q326" s="172"/>
      <c r="R326" s="172"/>
      <c r="S326" s="172"/>
      <c r="T326" s="172"/>
      <c r="U326" s="172"/>
      <c r="V326" s="172"/>
      <c r="W326" s="172"/>
      <c r="X326" s="172"/>
      <c r="Y326" s="172"/>
      <c r="Z326" s="172"/>
    </row>
    <row r="327">
      <c r="A327" s="172"/>
      <c r="B327" s="182"/>
      <c r="C327" s="172"/>
      <c r="D327" s="172"/>
      <c r="E327" s="172"/>
      <c r="F327" s="172"/>
      <c r="G327" s="172"/>
      <c r="H327" s="172"/>
      <c r="I327" s="182"/>
      <c r="J327" s="172"/>
      <c r="K327" s="172"/>
      <c r="L327" s="172"/>
      <c r="M327" s="172"/>
      <c r="N327" s="172"/>
      <c r="O327" s="172"/>
      <c r="P327" s="172"/>
      <c r="Q327" s="172"/>
      <c r="R327" s="172"/>
      <c r="S327" s="172"/>
      <c r="T327" s="172"/>
      <c r="U327" s="172"/>
      <c r="V327" s="172"/>
      <c r="W327" s="172"/>
      <c r="X327" s="172"/>
      <c r="Y327" s="172"/>
      <c r="Z327" s="172"/>
    </row>
    <row r="328">
      <c r="A328" s="172"/>
      <c r="B328" s="182"/>
      <c r="C328" s="172"/>
      <c r="D328" s="172"/>
      <c r="E328" s="172"/>
      <c r="F328" s="172"/>
      <c r="G328" s="172"/>
      <c r="H328" s="172"/>
      <c r="I328" s="182"/>
      <c r="J328" s="172"/>
      <c r="K328" s="172"/>
      <c r="L328" s="172"/>
      <c r="M328" s="172"/>
      <c r="N328" s="172"/>
      <c r="O328" s="172"/>
      <c r="P328" s="172"/>
      <c r="Q328" s="172"/>
      <c r="R328" s="172"/>
      <c r="S328" s="172"/>
      <c r="T328" s="172"/>
      <c r="U328" s="172"/>
      <c r="V328" s="172"/>
      <c r="W328" s="172"/>
      <c r="X328" s="172"/>
      <c r="Y328" s="172"/>
      <c r="Z328" s="172"/>
    </row>
    <row r="329">
      <c r="A329" s="172"/>
      <c r="B329" s="182"/>
      <c r="C329" s="172"/>
      <c r="D329" s="172"/>
      <c r="E329" s="172"/>
      <c r="F329" s="172"/>
      <c r="G329" s="172"/>
      <c r="H329" s="172"/>
      <c r="I329" s="182"/>
      <c r="J329" s="172"/>
      <c r="K329" s="172"/>
      <c r="L329" s="172"/>
      <c r="M329" s="172"/>
      <c r="N329" s="172"/>
      <c r="O329" s="172"/>
      <c r="P329" s="172"/>
      <c r="Q329" s="172"/>
      <c r="R329" s="172"/>
      <c r="S329" s="172"/>
      <c r="T329" s="172"/>
      <c r="U329" s="172"/>
      <c r="V329" s="172"/>
      <c r="W329" s="172"/>
      <c r="X329" s="172"/>
      <c r="Y329" s="172"/>
      <c r="Z329" s="172"/>
    </row>
    <row r="330">
      <c r="A330" s="172"/>
      <c r="B330" s="182"/>
      <c r="C330" s="172"/>
      <c r="D330" s="172"/>
      <c r="E330" s="172"/>
      <c r="F330" s="172"/>
      <c r="G330" s="172"/>
      <c r="H330" s="172"/>
      <c r="I330" s="182"/>
      <c r="J330" s="172"/>
      <c r="K330" s="172"/>
      <c r="L330" s="172"/>
      <c r="M330" s="172"/>
      <c r="N330" s="172"/>
      <c r="O330" s="172"/>
      <c r="P330" s="172"/>
      <c r="Q330" s="172"/>
      <c r="R330" s="172"/>
      <c r="S330" s="172"/>
      <c r="T330" s="172"/>
      <c r="U330" s="172"/>
      <c r="V330" s="172"/>
      <c r="W330" s="172"/>
      <c r="X330" s="172"/>
      <c r="Y330" s="172"/>
      <c r="Z330" s="172"/>
    </row>
    <row r="331">
      <c r="A331" s="172"/>
      <c r="B331" s="182"/>
      <c r="C331" s="172"/>
      <c r="D331" s="172"/>
      <c r="E331" s="172"/>
      <c r="F331" s="172"/>
      <c r="G331" s="172"/>
      <c r="H331" s="172"/>
      <c r="I331" s="182"/>
      <c r="J331" s="172"/>
      <c r="K331" s="172"/>
      <c r="L331" s="172"/>
      <c r="M331" s="172"/>
      <c r="N331" s="172"/>
      <c r="O331" s="172"/>
      <c r="P331" s="172"/>
      <c r="Q331" s="172"/>
      <c r="R331" s="172"/>
      <c r="S331" s="172"/>
      <c r="T331" s="172"/>
      <c r="U331" s="172"/>
      <c r="V331" s="172"/>
      <c r="W331" s="172"/>
      <c r="X331" s="172"/>
      <c r="Y331" s="172"/>
      <c r="Z331" s="172"/>
    </row>
    <row r="332">
      <c r="A332" s="172"/>
      <c r="B332" s="182"/>
      <c r="C332" s="172"/>
      <c r="D332" s="172"/>
      <c r="E332" s="172"/>
      <c r="F332" s="172"/>
      <c r="G332" s="172"/>
      <c r="H332" s="172"/>
      <c r="I332" s="182"/>
      <c r="J332" s="172"/>
      <c r="K332" s="172"/>
      <c r="L332" s="172"/>
      <c r="M332" s="172"/>
      <c r="N332" s="172"/>
      <c r="O332" s="172"/>
      <c r="P332" s="172"/>
      <c r="Q332" s="172"/>
      <c r="R332" s="172"/>
      <c r="S332" s="172"/>
      <c r="T332" s="172"/>
      <c r="U332" s="172"/>
      <c r="V332" s="172"/>
      <c r="W332" s="172"/>
      <c r="X332" s="172"/>
      <c r="Y332" s="172"/>
      <c r="Z332" s="172"/>
    </row>
    <row r="333">
      <c r="A333" s="172"/>
      <c r="B333" s="182"/>
      <c r="C333" s="172"/>
      <c r="D333" s="172"/>
      <c r="E333" s="172"/>
      <c r="F333" s="172"/>
      <c r="G333" s="172"/>
      <c r="H333" s="172"/>
      <c r="I333" s="182"/>
      <c r="J333" s="172"/>
      <c r="K333" s="172"/>
      <c r="L333" s="172"/>
      <c r="M333" s="172"/>
      <c r="N333" s="172"/>
      <c r="O333" s="172"/>
      <c r="P333" s="172"/>
      <c r="Q333" s="172"/>
      <c r="R333" s="172"/>
      <c r="S333" s="172"/>
      <c r="T333" s="172"/>
      <c r="U333" s="172"/>
      <c r="V333" s="172"/>
      <c r="W333" s="172"/>
      <c r="X333" s="172"/>
      <c r="Y333" s="172"/>
      <c r="Z333" s="172"/>
    </row>
    <row r="334">
      <c r="A334" s="172"/>
      <c r="B334" s="182"/>
      <c r="C334" s="172"/>
      <c r="D334" s="172"/>
      <c r="E334" s="172"/>
      <c r="F334" s="172"/>
      <c r="G334" s="172"/>
      <c r="H334" s="172"/>
      <c r="I334" s="182"/>
      <c r="J334" s="172"/>
      <c r="K334" s="172"/>
      <c r="L334" s="172"/>
      <c r="M334" s="172"/>
      <c r="N334" s="172"/>
      <c r="O334" s="172"/>
      <c r="P334" s="172"/>
      <c r="Q334" s="172"/>
      <c r="R334" s="172"/>
      <c r="S334" s="172"/>
      <c r="T334" s="172"/>
      <c r="U334" s="172"/>
      <c r="V334" s="172"/>
      <c r="W334" s="172"/>
      <c r="X334" s="172"/>
      <c r="Y334" s="172"/>
      <c r="Z334" s="172"/>
    </row>
    <row r="335">
      <c r="A335" s="172"/>
      <c r="B335" s="182"/>
      <c r="C335" s="172"/>
      <c r="D335" s="172"/>
      <c r="E335" s="172"/>
      <c r="F335" s="172"/>
      <c r="G335" s="172"/>
      <c r="H335" s="172"/>
      <c r="I335" s="182"/>
      <c r="J335" s="172"/>
      <c r="K335" s="172"/>
      <c r="L335" s="172"/>
      <c r="M335" s="172"/>
      <c r="N335" s="172"/>
      <c r="O335" s="172"/>
      <c r="P335" s="172"/>
      <c r="Q335" s="172"/>
      <c r="R335" s="172"/>
      <c r="S335" s="172"/>
      <c r="T335" s="172"/>
      <c r="U335" s="172"/>
      <c r="V335" s="172"/>
      <c r="W335" s="172"/>
      <c r="X335" s="172"/>
      <c r="Y335" s="172"/>
      <c r="Z335" s="172"/>
    </row>
    <row r="336">
      <c r="A336" s="172"/>
      <c r="B336" s="182"/>
      <c r="C336" s="172"/>
      <c r="D336" s="172"/>
      <c r="E336" s="172"/>
      <c r="F336" s="172"/>
      <c r="G336" s="172"/>
      <c r="H336" s="172"/>
      <c r="I336" s="182"/>
      <c r="J336" s="172"/>
      <c r="K336" s="172"/>
      <c r="L336" s="172"/>
      <c r="M336" s="172"/>
      <c r="N336" s="172"/>
      <c r="O336" s="172"/>
      <c r="P336" s="172"/>
      <c r="Q336" s="172"/>
      <c r="R336" s="172"/>
      <c r="S336" s="172"/>
      <c r="T336" s="172"/>
      <c r="U336" s="172"/>
      <c r="V336" s="172"/>
      <c r="W336" s="172"/>
      <c r="X336" s="172"/>
      <c r="Y336" s="172"/>
      <c r="Z336" s="172"/>
    </row>
    <row r="337">
      <c r="A337" s="172"/>
      <c r="B337" s="182"/>
      <c r="C337" s="172"/>
      <c r="D337" s="172"/>
      <c r="E337" s="172"/>
      <c r="F337" s="172"/>
      <c r="G337" s="172"/>
      <c r="H337" s="172"/>
      <c r="I337" s="182"/>
      <c r="J337" s="172"/>
      <c r="K337" s="172"/>
      <c r="L337" s="172"/>
      <c r="M337" s="172"/>
      <c r="N337" s="172"/>
      <c r="O337" s="172"/>
      <c r="P337" s="172"/>
      <c r="Q337" s="172"/>
      <c r="R337" s="172"/>
      <c r="S337" s="172"/>
      <c r="T337" s="172"/>
      <c r="U337" s="172"/>
      <c r="V337" s="172"/>
      <c r="W337" s="172"/>
      <c r="X337" s="172"/>
      <c r="Y337" s="172"/>
      <c r="Z337" s="172"/>
    </row>
    <row r="338">
      <c r="A338" s="172"/>
      <c r="B338" s="182"/>
      <c r="C338" s="172"/>
      <c r="D338" s="172"/>
      <c r="E338" s="172"/>
      <c r="F338" s="172"/>
      <c r="G338" s="172"/>
      <c r="H338" s="172"/>
      <c r="I338" s="182"/>
      <c r="J338" s="172"/>
      <c r="K338" s="172"/>
      <c r="L338" s="172"/>
      <c r="M338" s="172"/>
      <c r="N338" s="172"/>
      <c r="O338" s="172"/>
      <c r="P338" s="172"/>
      <c r="Q338" s="172"/>
      <c r="R338" s="172"/>
      <c r="S338" s="172"/>
      <c r="T338" s="172"/>
      <c r="U338" s="172"/>
      <c r="V338" s="172"/>
      <c r="W338" s="172"/>
      <c r="X338" s="172"/>
      <c r="Y338" s="172"/>
      <c r="Z338" s="172"/>
    </row>
    <row r="339">
      <c r="A339" s="172"/>
      <c r="B339" s="182"/>
      <c r="C339" s="172"/>
      <c r="D339" s="172"/>
      <c r="E339" s="172"/>
      <c r="F339" s="172"/>
      <c r="G339" s="172"/>
      <c r="H339" s="172"/>
      <c r="I339" s="182"/>
      <c r="J339" s="172"/>
      <c r="K339" s="172"/>
      <c r="L339" s="172"/>
      <c r="M339" s="172"/>
      <c r="N339" s="172"/>
      <c r="O339" s="172"/>
      <c r="P339" s="172"/>
      <c r="Q339" s="172"/>
      <c r="R339" s="172"/>
      <c r="S339" s="172"/>
      <c r="T339" s="172"/>
      <c r="U339" s="172"/>
      <c r="V339" s="172"/>
      <c r="W339" s="172"/>
      <c r="X339" s="172"/>
      <c r="Y339" s="172"/>
      <c r="Z339" s="172"/>
    </row>
    <row r="340">
      <c r="A340" s="172"/>
      <c r="B340" s="182"/>
      <c r="C340" s="172"/>
      <c r="D340" s="172"/>
      <c r="E340" s="172"/>
      <c r="F340" s="172"/>
      <c r="G340" s="172"/>
      <c r="H340" s="172"/>
      <c r="I340" s="182"/>
      <c r="J340" s="172"/>
      <c r="K340" s="172"/>
      <c r="L340" s="172"/>
      <c r="M340" s="172"/>
      <c r="N340" s="172"/>
      <c r="O340" s="172"/>
      <c r="P340" s="172"/>
      <c r="Q340" s="172"/>
      <c r="R340" s="172"/>
      <c r="S340" s="172"/>
      <c r="T340" s="172"/>
      <c r="U340" s="172"/>
      <c r="V340" s="172"/>
      <c r="W340" s="172"/>
      <c r="X340" s="172"/>
      <c r="Y340" s="172"/>
      <c r="Z340" s="172"/>
    </row>
    <row r="341">
      <c r="A341" s="172"/>
      <c r="B341" s="182"/>
      <c r="C341" s="172"/>
      <c r="D341" s="172"/>
      <c r="E341" s="172"/>
      <c r="F341" s="172"/>
      <c r="G341" s="172"/>
      <c r="H341" s="172"/>
      <c r="I341" s="182"/>
      <c r="J341" s="172"/>
      <c r="K341" s="172"/>
      <c r="L341" s="172"/>
      <c r="M341" s="172"/>
      <c r="N341" s="172"/>
      <c r="O341" s="172"/>
      <c r="P341" s="172"/>
      <c r="Q341" s="172"/>
      <c r="R341" s="172"/>
      <c r="S341" s="172"/>
      <c r="T341" s="172"/>
      <c r="U341" s="172"/>
      <c r="V341" s="172"/>
      <c r="W341" s="172"/>
      <c r="X341" s="172"/>
      <c r="Y341" s="172"/>
      <c r="Z341" s="172"/>
    </row>
    <row r="342">
      <c r="A342" s="172"/>
      <c r="B342" s="182"/>
      <c r="C342" s="172"/>
      <c r="D342" s="172"/>
      <c r="E342" s="172"/>
      <c r="F342" s="172"/>
      <c r="G342" s="172"/>
      <c r="H342" s="172"/>
      <c r="I342" s="182"/>
      <c r="J342" s="172"/>
      <c r="K342" s="172"/>
      <c r="L342" s="172"/>
      <c r="M342" s="172"/>
      <c r="N342" s="172"/>
      <c r="O342" s="172"/>
      <c r="P342" s="172"/>
      <c r="Q342" s="172"/>
      <c r="R342" s="172"/>
      <c r="S342" s="172"/>
      <c r="T342" s="172"/>
      <c r="U342" s="172"/>
      <c r="V342" s="172"/>
      <c r="W342" s="172"/>
      <c r="X342" s="172"/>
      <c r="Y342" s="172"/>
      <c r="Z342" s="172"/>
    </row>
    <row r="343">
      <c r="A343" s="172"/>
      <c r="B343" s="182"/>
      <c r="C343" s="172"/>
      <c r="D343" s="172"/>
      <c r="E343" s="172"/>
      <c r="F343" s="172"/>
      <c r="G343" s="172"/>
      <c r="H343" s="172"/>
      <c r="I343" s="182"/>
      <c r="J343" s="172"/>
      <c r="K343" s="172"/>
      <c r="L343" s="172"/>
      <c r="M343" s="172"/>
      <c r="N343" s="172"/>
      <c r="O343" s="172"/>
      <c r="P343" s="172"/>
      <c r="Q343" s="172"/>
      <c r="R343" s="172"/>
      <c r="S343" s="172"/>
      <c r="T343" s="172"/>
      <c r="U343" s="172"/>
      <c r="V343" s="172"/>
      <c r="W343" s="172"/>
      <c r="X343" s="172"/>
      <c r="Y343" s="172"/>
      <c r="Z343" s="172"/>
    </row>
    <row r="344">
      <c r="A344" s="172"/>
      <c r="B344" s="182"/>
      <c r="C344" s="172"/>
      <c r="D344" s="172"/>
      <c r="E344" s="172"/>
      <c r="F344" s="172"/>
      <c r="G344" s="172"/>
      <c r="H344" s="172"/>
      <c r="I344" s="182"/>
      <c r="J344" s="172"/>
      <c r="K344" s="172"/>
      <c r="L344" s="172"/>
      <c r="M344" s="172"/>
      <c r="N344" s="172"/>
      <c r="O344" s="172"/>
      <c r="P344" s="172"/>
      <c r="Q344" s="172"/>
      <c r="R344" s="172"/>
      <c r="S344" s="172"/>
      <c r="T344" s="172"/>
      <c r="U344" s="172"/>
      <c r="V344" s="172"/>
      <c r="W344" s="172"/>
      <c r="X344" s="172"/>
      <c r="Y344" s="172"/>
      <c r="Z344" s="172"/>
    </row>
    <row r="345">
      <c r="A345" s="172"/>
      <c r="B345" s="182"/>
      <c r="C345" s="172"/>
      <c r="D345" s="172"/>
      <c r="E345" s="172"/>
      <c r="F345" s="172"/>
      <c r="G345" s="172"/>
      <c r="H345" s="172"/>
      <c r="I345" s="182"/>
      <c r="J345" s="172"/>
      <c r="K345" s="172"/>
      <c r="L345" s="172"/>
      <c r="M345" s="172"/>
      <c r="N345" s="172"/>
      <c r="O345" s="172"/>
      <c r="P345" s="172"/>
      <c r="Q345" s="172"/>
      <c r="R345" s="172"/>
      <c r="S345" s="172"/>
      <c r="T345" s="172"/>
      <c r="U345" s="172"/>
      <c r="V345" s="172"/>
      <c r="W345" s="172"/>
      <c r="X345" s="172"/>
      <c r="Y345" s="172"/>
      <c r="Z345" s="172"/>
    </row>
    <row r="346">
      <c r="A346" s="172"/>
      <c r="B346" s="182"/>
      <c r="C346" s="172"/>
      <c r="D346" s="172"/>
      <c r="E346" s="172"/>
      <c r="F346" s="172"/>
      <c r="G346" s="172"/>
      <c r="H346" s="172"/>
      <c r="I346" s="182"/>
      <c r="J346" s="172"/>
      <c r="K346" s="172"/>
      <c r="L346" s="172"/>
      <c r="M346" s="172"/>
      <c r="N346" s="172"/>
      <c r="O346" s="172"/>
      <c r="P346" s="172"/>
      <c r="Q346" s="172"/>
      <c r="R346" s="172"/>
      <c r="S346" s="172"/>
      <c r="T346" s="172"/>
      <c r="U346" s="172"/>
      <c r="V346" s="172"/>
      <c r="W346" s="172"/>
      <c r="X346" s="172"/>
      <c r="Y346" s="172"/>
      <c r="Z346" s="172"/>
    </row>
    <row r="347">
      <c r="A347" s="172"/>
      <c r="B347" s="182"/>
      <c r="C347" s="172"/>
      <c r="D347" s="172"/>
      <c r="E347" s="172"/>
      <c r="F347" s="172"/>
      <c r="G347" s="172"/>
      <c r="H347" s="172"/>
      <c r="I347" s="182"/>
      <c r="J347" s="172"/>
      <c r="K347" s="172"/>
      <c r="L347" s="172"/>
      <c r="M347" s="172"/>
      <c r="N347" s="172"/>
      <c r="O347" s="172"/>
      <c r="P347" s="172"/>
      <c r="Q347" s="172"/>
      <c r="R347" s="172"/>
      <c r="S347" s="172"/>
      <c r="T347" s="172"/>
      <c r="U347" s="172"/>
      <c r="V347" s="172"/>
      <c r="W347" s="172"/>
      <c r="X347" s="172"/>
      <c r="Y347" s="172"/>
      <c r="Z347" s="172"/>
    </row>
    <row r="348">
      <c r="A348" s="172"/>
      <c r="B348" s="182"/>
      <c r="C348" s="172"/>
      <c r="D348" s="172"/>
      <c r="E348" s="172"/>
      <c r="F348" s="172"/>
      <c r="G348" s="172"/>
      <c r="H348" s="172"/>
      <c r="I348" s="182"/>
      <c r="J348" s="172"/>
      <c r="K348" s="172"/>
      <c r="L348" s="172"/>
      <c r="M348" s="172"/>
      <c r="N348" s="172"/>
      <c r="O348" s="172"/>
      <c r="P348" s="172"/>
      <c r="Q348" s="172"/>
      <c r="R348" s="172"/>
      <c r="S348" s="172"/>
      <c r="T348" s="172"/>
      <c r="U348" s="172"/>
      <c r="V348" s="172"/>
      <c r="W348" s="172"/>
      <c r="X348" s="172"/>
      <c r="Y348" s="172"/>
      <c r="Z348" s="172"/>
    </row>
    <row r="349">
      <c r="A349" s="172"/>
      <c r="B349" s="182"/>
      <c r="C349" s="172"/>
      <c r="D349" s="172"/>
      <c r="E349" s="172"/>
      <c r="F349" s="172"/>
      <c r="G349" s="172"/>
      <c r="H349" s="172"/>
      <c r="I349" s="182"/>
      <c r="J349" s="172"/>
      <c r="K349" s="172"/>
      <c r="L349" s="172"/>
      <c r="M349" s="172"/>
      <c r="N349" s="172"/>
      <c r="O349" s="172"/>
      <c r="P349" s="172"/>
      <c r="Q349" s="172"/>
      <c r="R349" s="172"/>
      <c r="S349" s="172"/>
      <c r="T349" s="172"/>
      <c r="U349" s="172"/>
      <c r="V349" s="172"/>
      <c r="W349" s="172"/>
      <c r="X349" s="172"/>
      <c r="Y349" s="172"/>
      <c r="Z349" s="172"/>
    </row>
    <row r="350">
      <c r="A350" s="172"/>
      <c r="B350" s="182"/>
      <c r="C350" s="172"/>
      <c r="D350" s="172"/>
      <c r="E350" s="172"/>
      <c r="F350" s="172"/>
      <c r="G350" s="172"/>
      <c r="H350" s="172"/>
      <c r="I350" s="182"/>
      <c r="J350" s="172"/>
      <c r="K350" s="172"/>
      <c r="L350" s="172"/>
      <c r="M350" s="172"/>
      <c r="N350" s="172"/>
      <c r="O350" s="172"/>
      <c r="P350" s="172"/>
      <c r="Q350" s="172"/>
      <c r="R350" s="172"/>
      <c r="S350" s="172"/>
      <c r="T350" s="172"/>
      <c r="U350" s="172"/>
      <c r="V350" s="172"/>
      <c r="W350" s="172"/>
      <c r="X350" s="172"/>
      <c r="Y350" s="172"/>
      <c r="Z350" s="172"/>
    </row>
    <row r="351">
      <c r="A351" s="172"/>
      <c r="B351" s="182"/>
      <c r="C351" s="172"/>
      <c r="D351" s="172"/>
      <c r="E351" s="172"/>
      <c r="F351" s="172"/>
      <c r="G351" s="172"/>
      <c r="H351" s="172"/>
      <c r="I351" s="182"/>
      <c r="J351" s="172"/>
      <c r="K351" s="172"/>
      <c r="L351" s="172"/>
      <c r="M351" s="172"/>
      <c r="N351" s="172"/>
      <c r="O351" s="172"/>
      <c r="P351" s="172"/>
      <c r="Q351" s="172"/>
      <c r="R351" s="172"/>
      <c r="S351" s="172"/>
      <c r="T351" s="172"/>
      <c r="U351" s="172"/>
      <c r="V351" s="172"/>
      <c r="W351" s="172"/>
      <c r="X351" s="172"/>
      <c r="Y351" s="172"/>
      <c r="Z351" s="172"/>
    </row>
    <row r="352">
      <c r="A352" s="172"/>
      <c r="B352" s="182"/>
      <c r="C352" s="172"/>
      <c r="D352" s="172"/>
      <c r="E352" s="172"/>
      <c r="F352" s="172"/>
      <c r="G352" s="172"/>
      <c r="H352" s="172"/>
      <c r="I352" s="182"/>
      <c r="J352" s="172"/>
      <c r="K352" s="172"/>
      <c r="L352" s="172"/>
      <c r="M352" s="172"/>
      <c r="N352" s="172"/>
      <c r="O352" s="172"/>
      <c r="P352" s="172"/>
      <c r="Q352" s="172"/>
      <c r="R352" s="172"/>
      <c r="S352" s="172"/>
      <c r="T352" s="172"/>
      <c r="U352" s="172"/>
      <c r="V352" s="172"/>
      <c r="W352" s="172"/>
      <c r="X352" s="172"/>
      <c r="Y352" s="172"/>
      <c r="Z352" s="172"/>
    </row>
    <row r="353">
      <c r="A353" s="172"/>
      <c r="B353" s="182"/>
      <c r="C353" s="172"/>
      <c r="D353" s="172"/>
      <c r="E353" s="172"/>
      <c r="F353" s="172"/>
      <c r="G353" s="172"/>
      <c r="H353" s="172"/>
      <c r="I353" s="182"/>
      <c r="J353" s="172"/>
      <c r="K353" s="172"/>
      <c r="L353" s="172"/>
      <c r="M353" s="172"/>
      <c r="N353" s="172"/>
      <c r="O353" s="172"/>
      <c r="P353" s="172"/>
      <c r="Q353" s="172"/>
      <c r="R353" s="172"/>
      <c r="S353" s="172"/>
      <c r="T353" s="172"/>
      <c r="U353" s="172"/>
      <c r="V353" s="172"/>
      <c r="W353" s="172"/>
      <c r="X353" s="172"/>
      <c r="Y353" s="172"/>
      <c r="Z353" s="172"/>
    </row>
    <row r="354">
      <c r="A354" s="172"/>
      <c r="B354" s="182"/>
      <c r="C354" s="172"/>
      <c r="D354" s="172"/>
      <c r="E354" s="172"/>
      <c r="F354" s="172"/>
      <c r="G354" s="172"/>
      <c r="H354" s="172"/>
      <c r="I354" s="182"/>
      <c r="J354" s="172"/>
      <c r="K354" s="172"/>
      <c r="L354" s="172"/>
      <c r="M354" s="172"/>
      <c r="N354" s="172"/>
      <c r="O354" s="172"/>
      <c r="P354" s="172"/>
      <c r="Q354" s="172"/>
      <c r="R354" s="172"/>
      <c r="S354" s="172"/>
      <c r="T354" s="172"/>
      <c r="U354" s="172"/>
      <c r="V354" s="172"/>
      <c r="W354" s="172"/>
      <c r="X354" s="172"/>
      <c r="Y354" s="172"/>
      <c r="Z354" s="172"/>
    </row>
    <row r="355">
      <c r="A355" s="172"/>
      <c r="B355" s="182"/>
      <c r="C355" s="172"/>
      <c r="D355" s="172"/>
      <c r="E355" s="172"/>
      <c r="F355" s="172"/>
      <c r="G355" s="172"/>
      <c r="H355" s="172"/>
      <c r="I355" s="182"/>
      <c r="J355" s="172"/>
      <c r="K355" s="172"/>
      <c r="L355" s="172"/>
      <c r="M355" s="172"/>
      <c r="N355" s="172"/>
      <c r="O355" s="172"/>
      <c r="P355" s="172"/>
      <c r="Q355" s="172"/>
      <c r="R355" s="172"/>
      <c r="S355" s="172"/>
      <c r="T355" s="172"/>
      <c r="U355" s="172"/>
      <c r="V355" s="172"/>
      <c r="W355" s="172"/>
      <c r="X355" s="172"/>
      <c r="Y355" s="172"/>
      <c r="Z355" s="172"/>
    </row>
    <row r="356">
      <c r="A356" s="172"/>
      <c r="B356" s="182"/>
      <c r="C356" s="172"/>
      <c r="D356" s="172"/>
      <c r="E356" s="172"/>
      <c r="F356" s="172"/>
      <c r="G356" s="172"/>
      <c r="H356" s="172"/>
      <c r="I356" s="182"/>
      <c r="J356" s="172"/>
      <c r="K356" s="172"/>
      <c r="L356" s="172"/>
      <c r="M356" s="172"/>
      <c r="N356" s="172"/>
      <c r="O356" s="172"/>
      <c r="P356" s="172"/>
      <c r="Q356" s="172"/>
      <c r="R356" s="172"/>
      <c r="S356" s="172"/>
      <c r="T356" s="172"/>
      <c r="U356" s="172"/>
      <c r="V356" s="172"/>
      <c r="W356" s="172"/>
      <c r="X356" s="172"/>
      <c r="Y356" s="172"/>
      <c r="Z356" s="172"/>
    </row>
    <row r="357">
      <c r="A357" s="172"/>
      <c r="B357" s="182"/>
      <c r="C357" s="172"/>
      <c r="D357" s="172"/>
      <c r="E357" s="172"/>
      <c r="F357" s="172"/>
      <c r="G357" s="172"/>
      <c r="H357" s="172"/>
      <c r="I357" s="182"/>
      <c r="J357" s="172"/>
      <c r="K357" s="172"/>
      <c r="L357" s="172"/>
      <c r="M357" s="172"/>
      <c r="N357" s="172"/>
      <c r="O357" s="172"/>
      <c r="P357" s="172"/>
      <c r="Q357" s="172"/>
      <c r="R357" s="172"/>
      <c r="S357" s="172"/>
      <c r="T357" s="172"/>
      <c r="U357" s="172"/>
      <c r="V357" s="172"/>
      <c r="W357" s="172"/>
      <c r="X357" s="172"/>
      <c r="Y357" s="172"/>
      <c r="Z357" s="172"/>
    </row>
    <row r="358">
      <c r="A358" s="172"/>
      <c r="B358" s="182"/>
      <c r="C358" s="172"/>
      <c r="D358" s="172"/>
      <c r="E358" s="172"/>
      <c r="F358" s="172"/>
      <c r="G358" s="172"/>
      <c r="H358" s="172"/>
      <c r="I358" s="182"/>
      <c r="J358" s="172"/>
      <c r="K358" s="172"/>
      <c r="L358" s="172"/>
      <c r="M358" s="172"/>
      <c r="N358" s="172"/>
      <c r="O358" s="172"/>
      <c r="P358" s="172"/>
      <c r="Q358" s="172"/>
      <c r="R358" s="172"/>
      <c r="S358" s="172"/>
      <c r="T358" s="172"/>
      <c r="U358" s="172"/>
      <c r="V358" s="172"/>
      <c r="W358" s="172"/>
      <c r="X358" s="172"/>
      <c r="Y358" s="172"/>
      <c r="Z358" s="172"/>
    </row>
    <row r="359">
      <c r="A359" s="172"/>
      <c r="B359" s="182"/>
      <c r="C359" s="172"/>
      <c r="D359" s="172"/>
      <c r="E359" s="172"/>
      <c r="F359" s="172"/>
      <c r="G359" s="172"/>
      <c r="H359" s="172"/>
      <c r="I359" s="182"/>
      <c r="J359" s="172"/>
      <c r="K359" s="172"/>
      <c r="L359" s="172"/>
      <c r="M359" s="172"/>
      <c r="N359" s="172"/>
      <c r="O359" s="172"/>
      <c r="P359" s="172"/>
      <c r="Q359" s="172"/>
      <c r="R359" s="172"/>
      <c r="S359" s="172"/>
      <c r="T359" s="172"/>
      <c r="U359" s="172"/>
      <c r="V359" s="172"/>
      <c r="W359" s="172"/>
      <c r="X359" s="172"/>
      <c r="Y359" s="172"/>
      <c r="Z359" s="172"/>
    </row>
    <row r="360">
      <c r="A360" s="172"/>
      <c r="B360" s="182"/>
      <c r="C360" s="172"/>
      <c r="D360" s="172"/>
      <c r="E360" s="172"/>
      <c r="F360" s="172"/>
      <c r="G360" s="172"/>
      <c r="H360" s="172"/>
      <c r="I360" s="182"/>
      <c r="J360" s="172"/>
      <c r="K360" s="172"/>
      <c r="L360" s="172"/>
      <c r="M360" s="172"/>
      <c r="N360" s="172"/>
      <c r="O360" s="172"/>
      <c r="P360" s="172"/>
      <c r="Q360" s="172"/>
      <c r="R360" s="172"/>
      <c r="S360" s="172"/>
      <c r="T360" s="172"/>
      <c r="U360" s="172"/>
      <c r="V360" s="172"/>
      <c r="W360" s="172"/>
      <c r="X360" s="172"/>
      <c r="Y360" s="172"/>
      <c r="Z360" s="172"/>
    </row>
    <row r="361">
      <c r="A361" s="172"/>
      <c r="B361" s="182"/>
      <c r="C361" s="172"/>
      <c r="D361" s="172"/>
      <c r="E361" s="172"/>
      <c r="F361" s="172"/>
      <c r="G361" s="172"/>
      <c r="H361" s="172"/>
      <c r="I361" s="182"/>
      <c r="J361" s="172"/>
      <c r="K361" s="172"/>
      <c r="L361" s="172"/>
      <c r="M361" s="172"/>
      <c r="N361" s="172"/>
      <c r="O361" s="172"/>
      <c r="P361" s="172"/>
      <c r="Q361" s="172"/>
      <c r="R361" s="172"/>
      <c r="S361" s="172"/>
      <c r="T361" s="172"/>
      <c r="U361" s="172"/>
      <c r="V361" s="172"/>
      <c r="W361" s="172"/>
      <c r="X361" s="172"/>
      <c r="Y361" s="172"/>
      <c r="Z361" s="172"/>
    </row>
    <row r="362">
      <c r="A362" s="172"/>
      <c r="B362" s="182"/>
      <c r="C362" s="172"/>
      <c r="D362" s="172"/>
      <c r="E362" s="172"/>
      <c r="F362" s="172"/>
      <c r="G362" s="172"/>
      <c r="H362" s="172"/>
      <c r="I362" s="182"/>
      <c r="J362" s="172"/>
      <c r="K362" s="172"/>
      <c r="L362" s="172"/>
      <c r="M362" s="172"/>
      <c r="N362" s="172"/>
      <c r="O362" s="172"/>
      <c r="P362" s="172"/>
      <c r="Q362" s="172"/>
      <c r="R362" s="172"/>
      <c r="S362" s="172"/>
      <c r="T362" s="172"/>
      <c r="U362" s="172"/>
      <c r="V362" s="172"/>
      <c r="W362" s="172"/>
      <c r="X362" s="172"/>
      <c r="Y362" s="172"/>
      <c r="Z362" s="172"/>
    </row>
    <row r="363">
      <c r="A363" s="172"/>
      <c r="B363" s="182"/>
      <c r="C363" s="172"/>
      <c r="D363" s="172"/>
      <c r="E363" s="172"/>
      <c r="F363" s="172"/>
      <c r="G363" s="172"/>
      <c r="H363" s="172"/>
      <c r="I363" s="182"/>
      <c r="J363" s="172"/>
      <c r="K363" s="172"/>
      <c r="L363" s="172"/>
      <c r="M363" s="172"/>
      <c r="N363" s="172"/>
      <c r="O363" s="172"/>
      <c r="P363" s="172"/>
      <c r="Q363" s="172"/>
      <c r="R363" s="172"/>
      <c r="S363" s="172"/>
      <c r="T363" s="172"/>
      <c r="U363" s="172"/>
      <c r="V363" s="172"/>
      <c r="W363" s="172"/>
      <c r="X363" s="172"/>
      <c r="Y363" s="172"/>
      <c r="Z363" s="172"/>
    </row>
    <row r="364">
      <c r="A364" s="172"/>
      <c r="B364" s="182"/>
      <c r="C364" s="172"/>
      <c r="D364" s="172"/>
      <c r="E364" s="172"/>
      <c r="F364" s="172"/>
      <c r="G364" s="172"/>
      <c r="H364" s="172"/>
      <c r="I364" s="182"/>
      <c r="J364" s="172"/>
      <c r="K364" s="172"/>
      <c r="L364" s="172"/>
      <c r="M364" s="172"/>
      <c r="N364" s="172"/>
      <c r="O364" s="172"/>
      <c r="P364" s="172"/>
      <c r="Q364" s="172"/>
      <c r="R364" s="172"/>
      <c r="S364" s="172"/>
      <c r="T364" s="172"/>
      <c r="U364" s="172"/>
      <c r="V364" s="172"/>
      <c r="W364" s="172"/>
      <c r="X364" s="172"/>
      <c r="Y364" s="172"/>
      <c r="Z364" s="172"/>
    </row>
    <row r="365">
      <c r="A365" s="172"/>
      <c r="B365" s="182"/>
      <c r="C365" s="172"/>
      <c r="D365" s="172"/>
      <c r="E365" s="172"/>
      <c r="F365" s="172"/>
      <c r="G365" s="172"/>
      <c r="H365" s="172"/>
      <c r="I365" s="182"/>
      <c r="J365" s="172"/>
      <c r="K365" s="172"/>
      <c r="L365" s="172"/>
      <c r="M365" s="172"/>
      <c r="N365" s="172"/>
      <c r="O365" s="172"/>
      <c r="P365" s="172"/>
      <c r="Q365" s="172"/>
      <c r="R365" s="172"/>
      <c r="S365" s="172"/>
      <c r="T365" s="172"/>
      <c r="U365" s="172"/>
      <c r="V365" s="172"/>
      <c r="W365" s="172"/>
      <c r="X365" s="172"/>
      <c r="Y365" s="172"/>
      <c r="Z365" s="172"/>
    </row>
    <row r="366">
      <c r="A366" s="172"/>
      <c r="B366" s="182"/>
      <c r="C366" s="172"/>
      <c r="D366" s="172"/>
      <c r="E366" s="172"/>
      <c r="F366" s="172"/>
      <c r="G366" s="172"/>
      <c r="H366" s="172"/>
      <c r="I366" s="182"/>
      <c r="J366" s="172"/>
      <c r="K366" s="172"/>
      <c r="L366" s="172"/>
      <c r="M366" s="172"/>
      <c r="N366" s="172"/>
      <c r="O366" s="172"/>
      <c r="P366" s="172"/>
      <c r="Q366" s="172"/>
      <c r="R366" s="172"/>
      <c r="S366" s="172"/>
      <c r="T366" s="172"/>
      <c r="U366" s="172"/>
      <c r="V366" s="172"/>
      <c r="W366" s="172"/>
      <c r="X366" s="172"/>
      <c r="Y366" s="172"/>
      <c r="Z366" s="172"/>
    </row>
    <row r="367">
      <c r="A367" s="172"/>
      <c r="B367" s="182"/>
      <c r="C367" s="172"/>
      <c r="D367" s="172"/>
      <c r="E367" s="172"/>
      <c r="F367" s="172"/>
      <c r="G367" s="172"/>
      <c r="H367" s="172"/>
      <c r="I367" s="182"/>
      <c r="J367" s="172"/>
      <c r="K367" s="172"/>
      <c r="L367" s="172"/>
      <c r="M367" s="172"/>
      <c r="N367" s="172"/>
      <c r="O367" s="172"/>
      <c r="P367" s="172"/>
      <c r="Q367" s="172"/>
      <c r="R367" s="172"/>
      <c r="S367" s="172"/>
      <c r="T367" s="172"/>
      <c r="U367" s="172"/>
      <c r="V367" s="172"/>
      <c r="W367" s="172"/>
      <c r="X367" s="172"/>
      <c r="Y367" s="172"/>
      <c r="Z367" s="172"/>
    </row>
    <row r="368">
      <c r="A368" s="172"/>
      <c r="B368" s="182"/>
      <c r="C368" s="172"/>
      <c r="D368" s="172"/>
      <c r="E368" s="172"/>
      <c r="F368" s="172"/>
      <c r="G368" s="172"/>
      <c r="H368" s="172"/>
      <c r="I368" s="182"/>
      <c r="J368" s="172"/>
      <c r="K368" s="172"/>
      <c r="L368" s="172"/>
      <c r="M368" s="172"/>
      <c r="N368" s="172"/>
      <c r="O368" s="172"/>
      <c r="P368" s="172"/>
      <c r="Q368" s="172"/>
      <c r="R368" s="172"/>
      <c r="S368" s="172"/>
      <c r="T368" s="172"/>
      <c r="U368" s="172"/>
      <c r="V368" s="172"/>
      <c r="W368" s="172"/>
      <c r="X368" s="172"/>
      <c r="Y368" s="172"/>
      <c r="Z368" s="172"/>
    </row>
    <row r="369">
      <c r="A369" s="172"/>
      <c r="B369" s="182"/>
      <c r="C369" s="172"/>
      <c r="D369" s="172"/>
      <c r="E369" s="172"/>
      <c r="F369" s="172"/>
      <c r="G369" s="172"/>
      <c r="H369" s="172"/>
      <c r="I369" s="182"/>
      <c r="J369" s="172"/>
      <c r="K369" s="172"/>
      <c r="L369" s="172"/>
      <c r="M369" s="172"/>
      <c r="N369" s="172"/>
      <c r="O369" s="172"/>
      <c r="P369" s="172"/>
      <c r="Q369" s="172"/>
      <c r="R369" s="172"/>
      <c r="S369" s="172"/>
      <c r="T369" s="172"/>
      <c r="U369" s="172"/>
      <c r="V369" s="172"/>
      <c r="W369" s="172"/>
      <c r="X369" s="172"/>
      <c r="Y369" s="172"/>
      <c r="Z369" s="172"/>
    </row>
    <row r="370">
      <c r="A370" s="172"/>
      <c r="B370" s="182"/>
      <c r="C370" s="172"/>
      <c r="D370" s="172"/>
      <c r="E370" s="172"/>
      <c r="F370" s="172"/>
      <c r="G370" s="172"/>
      <c r="H370" s="172"/>
      <c r="I370" s="182"/>
      <c r="J370" s="172"/>
      <c r="K370" s="172"/>
      <c r="L370" s="172"/>
      <c r="M370" s="172"/>
      <c r="N370" s="172"/>
      <c r="O370" s="172"/>
      <c r="P370" s="172"/>
      <c r="Q370" s="172"/>
      <c r="R370" s="172"/>
      <c r="S370" s="172"/>
      <c r="T370" s="172"/>
      <c r="U370" s="172"/>
      <c r="V370" s="172"/>
      <c r="W370" s="172"/>
      <c r="X370" s="172"/>
      <c r="Y370" s="172"/>
      <c r="Z370" s="172"/>
    </row>
    <row r="371">
      <c r="A371" s="172"/>
      <c r="B371" s="182"/>
      <c r="C371" s="172"/>
      <c r="D371" s="172"/>
      <c r="E371" s="172"/>
      <c r="F371" s="172"/>
      <c r="G371" s="172"/>
      <c r="H371" s="172"/>
      <c r="I371" s="182"/>
      <c r="J371" s="172"/>
      <c r="K371" s="172"/>
      <c r="L371" s="172"/>
      <c r="M371" s="172"/>
      <c r="N371" s="172"/>
      <c r="O371" s="172"/>
      <c r="P371" s="172"/>
      <c r="Q371" s="172"/>
      <c r="R371" s="172"/>
      <c r="S371" s="172"/>
      <c r="T371" s="172"/>
      <c r="U371" s="172"/>
      <c r="V371" s="172"/>
      <c r="W371" s="172"/>
      <c r="X371" s="172"/>
      <c r="Y371" s="172"/>
      <c r="Z371" s="172"/>
    </row>
    <row r="372">
      <c r="A372" s="172"/>
      <c r="B372" s="182"/>
      <c r="C372" s="172"/>
      <c r="D372" s="172"/>
      <c r="E372" s="172"/>
      <c r="F372" s="172"/>
      <c r="G372" s="172"/>
      <c r="H372" s="172"/>
      <c r="I372" s="182"/>
      <c r="J372" s="172"/>
      <c r="K372" s="172"/>
      <c r="L372" s="172"/>
      <c r="M372" s="172"/>
      <c r="N372" s="172"/>
      <c r="O372" s="172"/>
      <c r="P372" s="172"/>
      <c r="Q372" s="172"/>
      <c r="R372" s="172"/>
      <c r="S372" s="172"/>
      <c r="T372" s="172"/>
      <c r="U372" s="172"/>
      <c r="V372" s="172"/>
      <c r="W372" s="172"/>
      <c r="X372" s="172"/>
      <c r="Y372" s="172"/>
      <c r="Z372" s="172"/>
    </row>
    <row r="373">
      <c r="A373" s="172"/>
      <c r="B373" s="182"/>
      <c r="C373" s="172"/>
      <c r="D373" s="172"/>
      <c r="E373" s="172"/>
      <c r="F373" s="172"/>
      <c r="G373" s="172"/>
      <c r="H373" s="172"/>
      <c r="I373" s="182"/>
      <c r="J373" s="172"/>
      <c r="K373" s="172"/>
      <c r="L373" s="172"/>
      <c r="M373" s="172"/>
      <c r="N373" s="172"/>
      <c r="O373" s="172"/>
      <c r="P373" s="172"/>
      <c r="Q373" s="172"/>
      <c r="R373" s="172"/>
      <c r="S373" s="172"/>
      <c r="T373" s="172"/>
      <c r="U373" s="172"/>
      <c r="V373" s="172"/>
      <c r="W373" s="172"/>
      <c r="X373" s="172"/>
      <c r="Y373" s="172"/>
      <c r="Z373" s="172"/>
    </row>
    <row r="374">
      <c r="A374" s="172"/>
      <c r="B374" s="182"/>
      <c r="C374" s="172"/>
      <c r="D374" s="172"/>
      <c r="E374" s="172"/>
      <c r="F374" s="172"/>
      <c r="G374" s="172"/>
      <c r="H374" s="172"/>
      <c r="I374" s="182"/>
      <c r="J374" s="172"/>
      <c r="K374" s="172"/>
      <c r="L374" s="172"/>
      <c r="M374" s="172"/>
      <c r="N374" s="172"/>
      <c r="O374" s="172"/>
      <c r="P374" s="172"/>
      <c r="Q374" s="172"/>
      <c r="R374" s="172"/>
      <c r="S374" s="172"/>
      <c r="T374" s="172"/>
      <c r="U374" s="172"/>
      <c r="V374" s="172"/>
      <c r="W374" s="172"/>
      <c r="X374" s="172"/>
      <c r="Y374" s="172"/>
      <c r="Z374" s="172"/>
    </row>
    <row r="375">
      <c r="A375" s="172"/>
      <c r="B375" s="182"/>
      <c r="C375" s="172"/>
      <c r="D375" s="172"/>
      <c r="E375" s="172"/>
      <c r="F375" s="172"/>
      <c r="G375" s="172"/>
      <c r="H375" s="172"/>
      <c r="I375" s="182"/>
      <c r="J375" s="172"/>
      <c r="K375" s="172"/>
      <c r="L375" s="172"/>
      <c r="M375" s="172"/>
      <c r="N375" s="172"/>
      <c r="O375" s="172"/>
      <c r="P375" s="172"/>
      <c r="Q375" s="172"/>
      <c r="R375" s="172"/>
      <c r="S375" s="172"/>
      <c r="T375" s="172"/>
      <c r="U375" s="172"/>
      <c r="V375" s="172"/>
      <c r="W375" s="172"/>
      <c r="X375" s="172"/>
      <c r="Y375" s="172"/>
      <c r="Z375" s="172"/>
    </row>
    <row r="376">
      <c r="A376" s="172"/>
      <c r="B376" s="182"/>
      <c r="C376" s="172"/>
      <c r="D376" s="172"/>
      <c r="E376" s="172"/>
      <c r="F376" s="172"/>
      <c r="G376" s="172"/>
      <c r="H376" s="172"/>
      <c r="I376" s="182"/>
      <c r="J376" s="172"/>
      <c r="K376" s="172"/>
      <c r="L376" s="172"/>
      <c r="M376" s="172"/>
      <c r="N376" s="172"/>
      <c r="O376" s="172"/>
      <c r="P376" s="172"/>
      <c r="Q376" s="172"/>
      <c r="R376" s="172"/>
      <c r="S376" s="172"/>
      <c r="T376" s="172"/>
      <c r="U376" s="172"/>
      <c r="V376" s="172"/>
      <c r="W376" s="172"/>
      <c r="X376" s="172"/>
      <c r="Y376" s="172"/>
      <c r="Z376" s="172"/>
    </row>
    <row r="377">
      <c r="A377" s="172"/>
      <c r="B377" s="182"/>
      <c r="C377" s="172"/>
      <c r="D377" s="172"/>
      <c r="E377" s="172"/>
      <c r="F377" s="172"/>
      <c r="G377" s="172"/>
      <c r="H377" s="172"/>
      <c r="I377" s="182"/>
      <c r="J377" s="172"/>
      <c r="K377" s="172"/>
      <c r="L377" s="172"/>
      <c r="M377" s="172"/>
      <c r="N377" s="172"/>
      <c r="O377" s="172"/>
      <c r="P377" s="172"/>
      <c r="Q377" s="172"/>
      <c r="R377" s="172"/>
      <c r="S377" s="172"/>
      <c r="T377" s="172"/>
      <c r="U377" s="172"/>
      <c r="V377" s="172"/>
      <c r="W377" s="172"/>
      <c r="X377" s="172"/>
      <c r="Y377" s="172"/>
      <c r="Z377" s="172"/>
    </row>
    <row r="378">
      <c r="A378" s="172"/>
      <c r="B378" s="182"/>
      <c r="C378" s="172"/>
      <c r="D378" s="172"/>
      <c r="E378" s="172"/>
      <c r="F378" s="172"/>
      <c r="G378" s="172"/>
      <c r="H378" s="172"/>
      <c r="I378" s="182"/>
      <c r="J378" s="172"/>
      <c r="K378" s="172"/>
      <c r="L378" s="172"/>
      <c r="M378" s="172"/>
      <c r="N378" s="172"/>
      <c r="O378" s="172"/>
      <c r="P378" s="172"/>
      <c r="Q378" s="172"/>
      <c r="R378" s="172"/>
      <c r="S378" s="172"/>
      <c r="T378" s="172"/>
      <c r="U378" s="172"/>
      <c r="V378" s="172"/>
      <c r="W378" s="172"/>
      <c r="X378" s="172"/>
      <c r="Y378" s="172"/>
      <c r="Z378" s="172"/>
    </row>
    <row r="379">
      <c r="A379" s="172"/>
      <c r="B379" s="182"/>
      <c r="C379" s="172"/>
      <c r="D379" s="172"/>
      <c r="E379" s="172"/>
      <c r="F379" s="172"/>
      <c r="G379" s="172"/>
      <c r="H379" s="172"/>
      <c r="I379" s="182"/>
      <c r="J379" s="172"/>
      <c r="K379" s="172"/>
      <c r="L379" s="172"/>
      <c r="M379" s="172"/>
      <c r="N379" s="172"/>
      <c r="O379" s="172"/>
      <c r="P379" s="172"/>
      <c r="Q379" s="172"/>
      <c r="R379" s="172"/>
      <c r="S379" s="172"/>
      <c r="T379" s="172"/>
      <c r="U379" s="172"/>
      <c r="V379" s="172"/>
      <c r="W379" s="172"/>
      <c r="X379" s="172"/>
      <c r="Y379" s="172"/>
      <c r="Z379" s="172"/>
    </row>
    <row r="380">
      <c r="A380" s="172"/>
      <c r="B380" s="182"/>
      <c r="C380" s="172"/>
      <c r="D380" s="172"/>
      <c r="E380" s="172"/>
      <c r="F380" s="172"/>
      <c r="G380" s="172"/>
      <c r="H380" s="172"/>
      <c r="I380" s="182"/>
      <c r="J380" s="172"/>
      <c r="K380" s="172"/>
      <c r="L380" s="172"/>
      <c r="M380" s="172"/>
      <c r="N380" s="172"/>
      <c r="O380" s="172"/>
      <c r="P380" s="172"/>
      <c r="Q380" s="172"/>
      <c r="R380" s="172"/>
      <c r="S380" s="172"/>
      <c r="T380" s="172"/>
      <c r="U380" s="172"/>
      <c r="V380" s="172"/>
      <c r="W380" s="172"/>
      <c r="X380" s="172"/>
      <c r="Y380" s="172"/>
      <c r="Z380" s="172"/>
    </row>
    <row r="381">
      <c r="A381" s="172"/>
      <c r="B381" s="182"/>
      <c r="C381" s="172"/>
      <c r="D381" s="172"/>
      <c r="E381" s="172"/>
      <c r="F381" s="172"/>
      <c r="G381" s="172"/>
      <c r="H381" s="172"/>
      <c r="I381" s="182"/>
      <c r="J381" s="172"/>
      <c r="K381" s="172"/>
      <c r="L381" s="172"/>
      <c r="M381" s="172"/>
      <c r="N381" s="172"/>
      <c r="O381" s="172"/>
      <c r="P381" s="172"/>
      <c r="Q381" s="172"/>
      <c r="R381" s="172"/>
      <c r="S381" s="172"/>
      <c r="T381" s="172"/>
      <c r="U381" s="172"/>
      <c r="V381" s="172"/>
      <c r="W381" s="172"/>
      <c r="X381" s="172"/>
      <c r="Y381" s="172"/>
      <c r="Z381" s="172"/>
    </row>
    <row r="382">
      <c r="A382" s="172"/>
      <c r="B382" s="182"/>
      <c r="C382" s="172"/>
      <c r="D382" s="172"/>
      <c r="E382" s="172"/>
      <c r="F382" s="172"/>
      <c r="G382" s="172"/>
      <c r="H382" s="172"/>
      <c r="I382" s="182"/>
      <c r="J382" s="172"/>
      <c r="K382" s="172"/>
      <c r="L382" s="172"/>
      <c r="M382" s="172"/>
      <c r="N382" s="172"/>
      <c r="O382" s="172"/>
      <c r="P382" s="172"/>
      <c r="Q382" s="172"/>
      <c r="R382" s="172"/>
      <c r="S382" s="172"/>
      <c r="T382" s="172"/>
      <c r="U382" s="172"/>
      <c r="V382" s="172"/>
      <c r="W382" s="172"/>
      <c r="X382" s="172"/>
      <c r="Y382" s="172"/>
      <c r="Z382" s="172"/>
    </row>
    <row r="383">
      <c r="A383" s="172"/>
      <c r="B383" s="182"/>
      <c r="C383" s="172"/>
      <c r="D383" s="172"/>
      <c r="E383" s="172"/>
      <c r="F383" s="172"/>
      <c r="G383" s="172"/>
      <c r="H383" s="172"/>
      <c r="I383" s="182"/>
      <c r="J383" s="172"/>
      <c r="K383" s="172"/>
      <c r="L383" s="172"/>
      <c r="M383" s="172"/>
      <c r="N383" s="172"/>
      <c r="O383" s="172"/>
      <c r="P383" s="172"/>
      <c r="Q383" s="172"/>
      <c r="R383" s="172"/>
      <c r="S383" s="172"/>
      <c r="T383" s="172"/>
      <c r="U383" s="172"/>
      <c r="V383" s="172"/>
      <c r="W383" s="172"/>
      <c r="X383" s="172"/>
      <c r="Y383" s="172"/>
      <c r="Z383" s="172"/>
    </row>
    <row r="384">
      <c r="A384" s="172"/>
      <c r="B384" s="182"/>
      <c r="C384" s="172"/>
      <c r="D384" s="172"/>
      <c r="E384" s="172"/>
      <c r="F384" s="172"/>
      <c r="G384" s="172"/>
      <c r="H384" s="172"/>
      <c r="I384" s="182"/>
      <c r="J384" s="172"/>
      <c r="K384" s="172"/>
      <c r="L384" s="172"/>
      <c r="M384" s="172"/>
      <c r="N384" s="172"/>
      <c r="O384" s="172"/>
      <c r="P384" s="172"/>
      <c r="Q384" s="172"/>
      <c r="R384" s="172"/>
      <c r="S384" s="172"/>
      <c r="T384" s="172"/>
      <c r="U384" s="172"/>
      <c r="V384" s="172"/>
      <c r="W384" s="172"/>
      <c r="X384" s="172"/>
      <c r="Y384" s="172"/>
      <c r="Z384" s="172"/>
    </row>
    <row r="385">
      <c r="A385" s="172"/>
      <c r="B385" s="182"/>
      <c r="C385" s="172"/>
      <c r="D385" s="172"/>
      <c r="E385" s="172"/>
      <c r="F385" s="172"/>
      <c r="G385" s="172"/>
      <c r="H385" s="172"/>
      <c r="I385" s="182"/>
      <c r="J385" s="172"/>
      <c r="K385" s="172"/>
      <c r="L385" s="172"/>
      <c r="M385" s="172"/>
      <c r="N385" s="172"/>
      <c r="O385" s="172"/>
      <c r="P385" s="172"/>
      <c r="Q385" s="172"/>
      <c r="R385" s="172"/>
      <c r="S385" s="172"/>
      <c r="T385" s="172"/>
      <c r="U385" s="172"/>
      <c r="V385" s="172"/>
      <c r="W385" s="172"/>
      <c r="X385" s="172"/>
      <c r="Y385" s="172"/>
      <c r="Z385" s="172"/>
    </row>
    <row r="386">
      <c r="A386" s="172"/>
      <c r="B386" s="182"/>
      <c r="C386" s="172"/>
      <c r="D386" s="172"/>
      <c r="E386" s="172"/>
      <c r="F386" s="172"/>
      <c r="G386" s="172"/>
      <c r="H386" s="172"/>
      <c r="I386" s="182"/>
      <c r="J386" s="172"/>
      <c r="K386" s="172"/>
      <c r="L386" s="172"/>
      <c r="M386" s="172"/>
      <c r="N386" s="172"/>
      <c r="O386" s="172"/>
      <c r="P386" s="172"/>
      <c r="Q386" s="172"/>
      <c r="R386" s="172"/>
      <c r="S386" s="172"/>
      <c r="T386" s="172"/>
      <c r="U386" s="172"/>
      <c r="V386" s="172"/>
      <c r="W386" s="172"/>
      <c r="X386" s="172"/>
      <c r="Y386" s="172"/>
      <c r="Z386" s="172"/>
    </row>
    <row r="387">
      <c r="A387" s="172"/>
      <c r="B387" s="182"/>
      <c r="C387" s="172"/>
      <c r="D387" s="172"/>
      <c r="E387" s="172"/>
      <c r="F387" s="172"/>
      <c r="G387" s="172"/>
      <c r="H387" s="172"/>
      <c r="I387" s="182"/>
      <c r="J387" s="172"/>
      <c r="K387" s="172"/>
      <c r="L387" s="172"/>
      <c r="M387" s="172"/>
      <c r="N387" s="172"/>
      <c r="O387" s="172"/>
      <c r="P387" s="172"/>
      <c r="Q387" s="172"/>
      <c r="R387" s="172"/>
      <c r="S387" s="172"/>
      <c r="T387" s="172"/>
      <c r="U387" s="172"/>
      <c r="V387" s="172"/>
      <c r="W387" s="172"/>
      <c r="X387" s="172"/>
      <c r="Y387" s="172"/>
      <c r="Z387" s="172"/>
    </row>
    <row r="388">
      <c r="A388" s="172"/>
      <c r="B388" s="182"/>
      <c r="C388" s="172"/>
      <c r="D388" s="172"/>
      <c r="E388" s="172"/>
      <c r="F388" s="172"/>
      <c r="G388" s="172"/>
      <c r="H388" s="172"/>
      <c r="I388" s="182"/>
      <c r="J388" s="172"/>
      <c r="K388" s="172"/>
      <c r="L388" s="172"/>
      <c r="M388" s="172"/>
      <c r="N388" s="172"/>
      <c r="O388" s="172"/>
      <c r="P388" s="172"/>
      <c r="Q388" s="172"/>
      <c r="R388" s="172"/>
      <c r="S388" s="172"/>
      <c r="T388" s="172"/>
      <c r="U388" s="172"/>
      <c r="V388" s="172"/>
      <c r="W388" s="172"/>
      <c r="X388" s="172"/>
      <c r="Y388" s="172"/>
      <c r="Z388" s="172"/>
    </row>
    <row r="389">
      <c r="A389" s="172"/>
      <c r="B389" s="182"/>
      <c r="C389" s="172"/>
      <c r="D389" s="172"/>
      <c r="E389" s="172"/>
      <c r="F389" s="172"/>
      <c r="G389" s="172"/>
      <c r="H389" s="172"/>
      <c r="I389" s="182"/>
      <c r="J389" s="172"/>
      <c r="K389" s="172"/>
      <c r="L389" s="172"/>
      <c r="M389" s="172"/>
      <c r="N389" s="172"/>
      <c r="O389" s="172"/>
      <c r="P389" s="172"/>
      <c r="Q389" s="172"/>
      <c r="R389" s="172"/>
      <c r="S389" s="172"/>
      <c r="T389" s="172"/>
      <c r="U389" s="172"/>
      <c r="V389" s="172"/>
      <c r="W389" s="172"/>
      <c r="X389" s="172"/>
      <c r="Y389" s="172"/>
      <c r="Z389" s="172"/>
    </row>
    <row r="390">
      <c r="A390" s="172"/>
      <c r="B390" s="182"/>
      <c r="C390" s="172"/>
      <c r="D390" s="172"/>
      <c r="E390" s="172"/>
      <c r="F390" s="172"/>
      <c r="G390" s="172"/>
      <c r="H390" s="172"/>
      <c r="I390" s="182"/>
      <c r="J390" s="172"/>
      <c r="K390" s="172"/>
      <c r="L390" s="172"/>
      <c r="M390" s="172"/>
      <c r="N390" s="172"/>
      <c r="O390" s="172"/>
      <c r="P390" s="172"/>
      <c r="Q390" s="172"/>
      <c r="R390" s="172"/>
      <c r="S390" s="172"/>
      <c r="T390" s="172"/>
      <c r="U390" s="172"/>
      <c r="V390" s="172"/>
      <c r="W390" s="172"/>
      <c r="X390" s="172"/>
      <c r="Y390" s="172"/>
      <c r="Z390" s="172"/>
    </row>
    <row r="391">
      <c r="A391" s="172"/>
      <c r="B391" s="182"/>
      <c r="C391" s="172"/>
      <c r="D391" s="172"/>
      <c r="E391" s="172"/>
      <c r="F391" s="172"/>
      <c r="G391" s="172"/>
      <c r="H391" s="172"/>
      <c r="I391" s="182"/>
      <c r="J391" s="172"/>
      <c r="K391" s="172"/>
      <c r="L391" s="172"/>
      <c r="M391" s="172"/>
      <c r="N391" s="172"/>
      <c r="O391" s="172"/>
      <c r="P391" s="172"/>
      <c r="Q391" s="172"/>
      <c r="R391" s="172"/>
      <c r="S391" s="172"/>
      <c r="T391" s="172"/>
      <c r="U391" s="172"/>
      <c r="V391" s="172"/>
      <c r="W391" s="172"/>
      <c r="X391" s="172"/>
      <c r="Y391" s="172"/>
      <c r="Z391" s="172"/>
    </row>
    <row r="392">
      <c r="A392" s="172"/>
      <c r="B392" s="182"/>
      <c r="C392" s="172"/>
      <c r="D392" s="172"/>
      <c r="E392" s="172"/>
      <c r="F392" s="172"/>
      <c r="G392" s="172"/>
      <c r="H392" s="172"/>
      <c r="I392" s="182"/>
      <c r="J392" s="172"/>
      <c r="K392" s="172"/>
      <c r="L392" s="172"/>
      <c r="M392" s="172"/>
      <c r="N392" s="172"/>
      <c r="O392" s="172"/>
      <c r="P392" s="172"/>
      <c r="Q392" s="172"/>
      <c r="R392" s="172"/>
      <c r="S392" s="172"/>
      <c r="T392" s="172"/>
      <c r="U392" s="172"/>
      <c r="V392" s="172"/>
      <c r="W392" s="172"/>
      <c r="X392" s="172"/>
      <c r="Y392" s="172"/>
      <c r="Z392" s="172"/>
    </row>
    <row r="393">
      <c r="A393" s="172"/>
      <c r="B393" s="182"/>
      <c r="C393" s="172"/>
      <c r="D393" s="172"/>
      <c r="E393" s="172"/>
      <c r="F393" s="172"/>
      <c r="G393" s="172"/>
      <c r="H393" s="172"/>
      <c r="I393" s="182"/>
      <c r="J393" s="172"/>
      <c r="K393" s="172"/>
      <c r="L393" s="172"/>
      <c r="M393" s="172"/>
      <c r="N393" s="172"/>
      <c r="O393" s="172"/>
      <c r="P393" s="172"/>
      <c r="Q393" s="172"/>
      <c r="R393" s="172"/>
      <c r="S393" s="172"/>
      <c r="T393" s="172"/>
      <c r="U393" s="172"/>
      <c r="V393" s="172"/>
      <c r="W393" s="172"/>
      <c r="X393" s="172"/>
      <c r="Y393" s="172"/>
      <c r="Z393" s="172"/>
    </row>
    <row r="394">
      <c r="A394" s="172"/>
      <c r="B394" s="182"/>
      <c r="C394" s="172"/>
      <c r="D394" s="172"/>
      <c r="E394" s="172"/>
      <c r="F394" s="172"/>
      <c r="G394" s="172"/>
      <c r="H394" s="172"/>
      <c r="I394" s="182"/>
      <c r="J394" s="172"/>
      <c r="K394" s="172"/>
      <c r="L394" s="172"/>
      <c r="M394" s="172"/>
      <c r="N394" s="172"/>
      <c r="O394" s="172"/>
      <c r="P394" s="172"/>
      <c r="Q394" s="172"/>
      <c r="R394" s="172"/>
      <c r="S394" s="172"/>
      <c r="T394" s="172"/>
      <c r="U394" s="172"/>
      <c r="V394" s="172"/>
      <c r="W394" s="172"/>
      <c r="X394" s="172"/>
      <c r="Y394" s="172"/>
      <c r="Z394" s="172"/>
    </row>
    <row r="395">
      <c r="A395" s="172"/>
      <c r="B395" s="182"/>
      <c r="C395" s="172"/>
      <c r="D395" s="172"/>
      <c r="E395" s="172"/>
      <c r="F395" s="172"/>
      <c r="G395" s="172"/>
      <c r="H395" s="172"/>
      <c r="I395" s="182"/>
      <c r="J395" s="172"/>
      <c r="K395" s="172"/>
      <c r="L395" s="172"/>
      <c r="M395" s="172"/>
      <c r="N395" s="172"/>
      <c r="O395" s="172"/>
      <c r="P395" s="172"/>
      <c r="Q395" s="172"/>
      <c r="R395" s="172"/>
      <c r="S395" s="172"/>
      <c r="T395" s="172"/>
      <c r="U395" s="172"/>
      <c r="V395" s="172"/>
      <c r="W395" s="172"/>
      <c r="X395" s="172"/>
      <c r="Y395" s="172"/>
      <c r="Z395" s="172"/>
    </row>
    <row r="396">
      <c r="A396" s="172"/>
      <c r="B396" s="182"/>
      <c r="C396" s="172"/>
      <c r="D396" s="172"/>
      <c r="E396" s="172"/>
      <c r="F396" s="172"/>
      <c r="G396" s="172"/>
      <c r="H396" s="172"/>
      <c r="I396" s="182"/>
      <c r="J396" s="172"/>
      <c r="K396" s="172"/>
      <c r="L396" s="172"/>
      <c r="M396" s="172"/>
      <c r="N396" s="172"/>
      <c r="O396" s="172"/>
      <c r="P396" s="172"/>
      <c r="Q396" s="172"/>
      <c r="R396" s="172"/>
      <c r="S396" s="172"/>
      <c r="T396" s="172"/>
      <c r="U396" s="172"/>
      <c r="V396" s="172"/>
      <c r="W396" s="172"/>
      <c r="X396" s="172"/>
      <c r="Y396" s="172"/>
      <c r="Z396" s="172"/>
    </row>
    <row r="397">
      <c r="A397" s="172"/>
      <c r="B397" s="182"/>
      <c r="C397" s="172"/>
      <c r="D397" s="172"/>
      <c r="E397" s="172"/>
      <c r="F397" s="172"/>
      <c r="G397" s="172"/>
      <c r="H397" s="172"/>
      <c r="I397" s="182"/>
      <c r="J397" s="172"/>
      <c r="K397" s="172"/>
      <c r="L397" s="172"/>
      <c r="M397" s="172"/>
      <c r="N397" s="172"/>
      <c r="O397" s="172"/>
      <c r="P397" s="172"/>
      <c r="Q397" s="172"/>
      <c r="R397" s="172"/>
      <c r="S397" s="172"/>
      <c r="T397" s="172"/>
      <c r="U397" s="172"/>
      <c r="V397" s="172"/>
      <c r="W397" s="172"/>
      <c r="X397" s="172"/>
      <c r="Y397" s="172"/>
      <c r="Z397" s="172"/>
    </row>
    <row r="398">
      <c r="A398" s="172"/>
      <c r="B398" s="182"/>
      <c r="C398" s="172"/>
      <c r="D398" s="172"/>
      <c r="E398" s="172"/>
      <c r="F398" s="172"/>
      <c r="G398" s="172"/>
      <c r="H398" s="172"/>
      <c r="I398" s="182"/>
      <c r="J398" s="172"/>
      <c r="K398" s="172"/>
      <c r="L398" s="172"/>
      <c r="M398" s="172"/>
      <c r="N398" s="172"/>
      <c r="O398" s="172"/>
      <c r="P398" s="172"/>
      <c r="Q398" s="172"/>
      <c r="R398" s="172"/>
      <c r="S398" s="172"/>
      <c r="T398" s="172"/>
      <c r="U398" s="172"/>
      <c r="V398" s="172"/>
      <c r="W398" s="172"/>
      <c r="X398" s="172"/>
      <c r="Y398" s="172"/>
      <c r="Z398" s="172"/>
    </row>
    <row r="399">
      <c r="A399" s="172"/>
      <c r="B399" s="182"/>
      <c r="C399" s="172"/>
      <c r="D399" s="172"/>
      <c r="E399" s="172"/>
      <c r="F399" s="172"/>
      <c r="G399" s="172"/>
      <c r="H399" s="172"/>
      <c r="I399" s="182"/>
      <c r="J399" s="172"/>
      <c r="K399" s="172"/>
      <c r="L399" s="172"/>
      <c r="M399" s="172"/>
      <c r="N399" s="172"/>
      <c r="O399" s="172"/>
      <c r="P399" s="172"/>
      <c r="Q399" s="172"/>
      <c r="R399" s="172"/>
      <c r="S399" s="172"/>
      <c r="T399" s="172"/>
      <c r="U399" s="172"/>
      <c r="V399" s="172"/>
      <c r="W399" s="172"/>
      <c r="X399" s="172"/>
      <c r="Y399" s="172"/>
      <c r="Z399" s="172"/>
    </row>
    <row r="400">
      <c r="A400" s="172"/>
      <c r="B400" s="182"/>
      <c r="C400" s="172"/>
      <c r="D400" s="172"/>
      <c r="E400" s="172"/>
      <c r="F400" s="172"/>
      <c r="G400" s="172"/>
      <c r="H400" s="172"/>
      <c r="I400" s="182"/>
      <c r="J400" s="172"/>
      <c r="K400" s="172"/>
      <c r="L400" s="172"/>
      <c r="M400" s="172"/>
      <c r="N400" s="172"/>
      <c r="O400" s="172"/>
      <c r="P400" s="172"/>
      <c r="Q400" s="172"/>
      <c r="R400" s="172"/>
      <c r="S400" s="172"/>
      <c r="T400" s="172"/>
      <c r="U400" s="172"/>
      <c r="V400" s="172"/>
      <c r="W400" s="172"/>
      <c r="X400" s="172"/>
      <c r="Y400" s="172"/>
      <c r="Z400" s="172"/>
    </row>
    <row r="401">
      <c r="A401" s="172"/>
      <c r="B401" s="182"/>
      <c r="C401" s="172"/>
      <c r="D401" s="172"/>
      <c r="E401" s="172"/>
      <c r="F401" s="172"/>
      <c r="G401" s="172"/>
      <c r="H401" s="172"/>
      <c r="I401" s="182"/>
      <c r="J401" s="172"/>
      <c r="K401" s="172"/>
      <c r="L401" s="172"/>
      <c r="M401" s="172"/>
      <c r="N401" s="172"/>
      <c r="O401" s="172"/>
      <c r="P401" s="172"/>
      <c r="Q401" s="172"/>
      <c r="R401" s="172"/>
      <c r="S401" s="172"/>
      <c r="T401" s="172"/>
      <c r="U401" s="172"/>
      <c r="V401" s="172"/>
      <c r="W401" s="172"/>
      <c r="X401" s="172"/>
      <c r="Y401" s="172"/>
      <c r="Z401" s="172"/>
    </row>
    <row r="402">
      <c r="A402" s="172"/>
      <c r="B402" s="182"/>
      <c r="C402" s="172"/>
      <c r="D402" s="172"/>
      <c r="E402" s="172"/>
      <c r="F402" s="172"/>
      <c r="G402" s="172"/>
      <c r="H402" s="172"/>
      <c r="I402" s="182"/>
      <c r="J402" s="172"/>
      <c r="K402" s="172"/>
      <c r="L402" s="172"/>
      <c r="M402" s="172"/>
      <c r="N402" s="172"/>
      <c r="O402" s="172"/>
      <c r="P402" s="172"/>
      <c r="Q402" s="172"/>
      <c r="R402" s="172"/>
      <c r="S402" s="172"/>
      <c r="T402" s="172"/>
      <c r="U402" s="172"/>
      <c r="V402" s="172"/>
      <c r="W402" s="172"/>
      <c r="X402" s="172"/>
      <c r="Y402" s="172"/>
      <c r="Z402" s="172"/>
    </row>
    <row r="403">
      <c r="A403" s="172"/>
      <c r="B403" s="182"/>
      <c r="C403" s="172"/>
      <c r="D403" s="172"/>
      <c r="E403" s="172"/>
      <c r="F403" s="172"/>
      <c r="G403" s="172"/>
      <c r="H403" s="172"/>
      <c r="I403" s="182"/>
      <c r="J403" s="172"/>
      <c r="K403" s="172"/>
      <c r="L403" s="172"/>
      <c r="M403" s="172"/>
      <c r="N403" s="172"/>
      <c r="O403" s="172"/>
      <c r="P403" s="172"/>
      <c r="Q403" s="172"/>
      <c r="R403" s="172"/>
      <c r="S403" s="172"/>
      <c r="T403" s="172"/>
      <c r="U403" s="172"/>
      <c r="V403" s="172"/>
      <c r="W403" s="172"/>
      <c r="X403" s="172"/>
      <c r="Y403" s="172"/>
      <c r="Z403" s="172"/>
    </row>
    <row r="404">
      <c r="A404" s="172"/>
      <c r="B404" s="182"/>
      <c r="C404" s="172"/>
      <c r="D404" s="172"/>
      <c r="E404" s="172"/>
      <c r="F404" s="172"/>
      <c r="G404" s="172"/>
      <c r="H404" s="172"/>
      <c r="I404" s="182"/>
      <c r="J404" s="172"/>
      <c r="K404" s="172"/>
      <c r="L404" s="172"/>
      <c r="M404" s="172"/>
      <c r="N404" s="172"/>
      <c r="O404" s="172"/>
      <c r="P404" s="172"/>
      <c r="Q404" s="172"/>
      <c r="R404" s="172"/>
      <c r="S404" s="172"/>
      <c r="T404" s="172"/>
      <c r="U404" s="172"/>
      <c r="V404" s="172"/>
      <c r="W404" s="172"/>
      <c r="X404" s="172"/>
      <c r="Y404" s="172"/>
      <c r="Z404" s="172"/>
    </row>
    <row r="405">
      <c r="A405" s="172"/>
      <c r="B405" s="182"/>
      <c r="C405" s="172"/>
      <c r="D405" s="172"/>
      <c r="E405" s="172"/>
      <c r="F405" s="172"/>
      <c r="G405" s="172"/>
      <c r="H405" s="172"/>
      <c r="I405" s="182"/>
      <c r="J405" s="172"/>
      <c r="K405" s="172"/>
      <c r="L405" s="172"/>
      <c r="M405" s="172"/>
      <c r="N405" s="172"/>
      <c r="O405" s="172"/>
      <c r="P405" s="172"/>
      <c r="Q405" s="172"/>
      <c r="R405" s="172"/>
      <c r="S405" s="172"/>
      <c r="T405" s="172"/>
      <c r="U405" s="172"/>
      <c r="V405" s="172"/>
      <c r="W405" s="172"/>
      <c r="X405" s="172"/>
      <c r="Y405" s="172"/>
      <c r="Z405" s="172"/>
    </row>
    <row r="406">
      <c r="A406" s="172"/>
      <c r="B406" s="182"/>
      <c r="C406" s="172"/>
      <c r="D406" s="172"/>
      <c r="E406" s="172"/>
      <c r="F406" s="172"/>
      <c r="G406" s="172"/>
      <c r="H406" s="172"/>
      <c r="I406" s="182"/>
      <c r="J406" s="172"/>
      <c r="K406" s="172"/>
      <c r="L406" s="172"/>
      <c r="M406" s="172"/>
      <c r="N406" s="172"/>
      <c r="O406" s="172"/>
      <c r="P406" s="172"/>
      <c r="Q406" s="172"/>
      <c r="R406" s="172"/>
      <c r="S406" s="172"/>
      <c r="T406" s="172"/>
      <c r="U406" s="172"/>
      <c r="V406" s="172"/>
      <c r="W406" s="172"/>
      <c r="X406" s="172"/>
      <c r="Y406" s="172"/>
      <c r="Z406" s="172"/>
    </row>
    <row r="407">
      <c r="A407" s="172"/>
      <c r="B407" s="182"/>
      <c r="C407" s="172"/>
      <c r="D407" s="172"/>
      <c r="E407" s="172"/>
      <c r="F407" s="172"/>
      <c r="G407" s="172"/>
      <c r="H407" s="172"/>
      <c r="I407" s="182"/>
      <c r="J407" s="172"/>
      <c r="K407" s="172"/>
      <c r="L407" s="172"/>
      <c r="M407" s="172"/>
      <c r="N407" s="172"/>
      <c r="O407" s="172"/>
      <c r="P407" s="172"/>
      <c r="Q407" s="172"/>
      <c r="R407" s="172"/>
      <c r="S407" s="172"/>
      <c r="T407" s="172"/>
      <c r="U407" s="172"/>
      <c r="V407" s="172"/>
      <c r="W407" s="172"/>
      <c r="X407" s="172"/>
      <c r="Y407" s="172"/>
      <c r="Z407" s="172"/>
    </row>
    <row r="408">
      <c r="A408" s="172"/>
      <c r="B408" s="182"/>
      <c r="C408" s="172"/>
      <c r="D408" s="172"/>
      <c r="E408" s="172"/>
      <c r="F408" s="172"/>
      <c r="G408" s="172"/>
      <c r="H408" s="172"/>
      <c r="I408" s="182"/>
      <c r="J408" s="172"/>
      <c r="K408" s="172"/>
      <c r="L408" s="172"/>
      <c r="M408" s="172"/>
      <c r="N408" s="172"/>
      <c r="O408" s="172"/>
      <c r="P408" s="172"/>
      <c r="Q408" s="172"/>
      <c r="R408" s="172"/>
      <c r="S408" s="172"/>
      <c r="T408" s="172"/>
      <c r="U408" s="172"/>
      <c r="V408" s="172"/>
      <c r="W408" s="172"/>
      <c r="X408" s="172"/>
      <c r="Y408" s="172"/>
      <c r="Z408" s="172"/>
    </row>
    <row r="409">
      <c r="A409" s="172"/>
      <c r="B409" s="182"/>
      <c r="C409" s="172"/>
      <c r="D409" s="172"/>
      <c r="E409" s="172"/>
      <c r="F409" s="172"/>
      <c r="G409" s="172"/>
      <c r="H409" s="172"/>
      <c r="I409" s="182"/>
      <c r="J409" s="172"/>
      <c r="K409" s="172"/>
      <c r="L409" s="172"/>
      <c r="M409" s="172"/>
      <c r="N409" s="172"/>
      <c r="O409" s="172"/>
      <c r="P409" s="172"/>
      <c r="Q409" s="172"/>
      <c r="R409" s="172"/>
      <c r="S409" s="172"/>
      <c r="T409" s="172"/>
      <c r="U409" s="172"/>
      <c r="V409" s="172"/>
      <c r="W409" s="172"/>
      <c r="X409" s="172"/>
      <c r="Y409" s="172"/>
      <c r="Z409" s="172"/>
    </row>
    <row r="410">
      <c r="A410" s="172"/>
      <c r="B410" s="182"/>
      <c r="C410" s="172"/>
      <c r="D410" s="172"/>
      <c r="E410" s="172"/>
      <c r="F410" s="172"/>
      <c r="G410" s="172"/>
      <c r="H410" s="172"/>
      <c r="I410" s="182"/>
      <c r="J410" s="172"/>
      <c r="K410" s="172"/>
      <c r="L410" s="172"/>
      <c r="M410" s="172"/>
      <c r="N410" s="172"/>
      <c r="O410" s="172"/>
      <c r="P410" s="172"/>
      <c r="Q410" s="172"/>
      <c r="R410" s="172"/>
      <c r="S410" s="172"/>
      <c r="T410" s="172"/>
      <c r="U410" s="172"/>
      <c r="V410" s="172"/>
      <c r="W410" s="172"/>
      <c r="X410" s="172"/>
      <c r="Y410" s="172"/>
      <c r="Z410" s="172"/>
    </row>
    <row r="411">
      <c r="A411" s="172"/>
      <c r="B411" s="182"/>
      <c r="C411" s="172"/>
      <c r="D411" s="172"/>
      <c r="E411" s="172"/>
      <c r="F411" s="172"/>
      <c r="G411" s="172"/>
      <c r="H411" s="172"/>
      <c r="I411" s="182"/>
      <c r="J411" s="172"/>
      <c r="K411" s="172"/>
      <c r="L411" s="172"/>
      <c r="M411" s="172"/>
      <c r="N411" s="172"/>
      <c r="O411" s="172"/>
      <c r="P411" s="172"/>
      <c r="Q411" s="172"/>
      <c r="R411" s="172"/>
      <c r="S411" s="172"/>
      <c r="T411" s="172"/>
      <c r="U411" s="172"/>
      <c r="V411" s="172"/>
      <c r="W411" s="172"/>
      <c r="X411" s="172"/>
      <c r="Y411" s="172"/>
      <c r="Z411" s="172"/>
    </row>
    <row r="412">
      <c r="A412" s="172"/>
      <c r="B412" s="182"/>
      <c r="C412" s="172"/>
      <c r="D412" s="172"/>
      <c r="E412" s="172"/>
      <c r="F412" s="172"/>
      <c r="G412" s="172"/>
      <c r="H412" s="172"/>
      <c r="I412" s="182"/>
      <c r="J412" s="172"/>
      <c r="K412" s="172"/>
      <c r="L412" s="172"/>
      <c r="M412" s="172"/>
      <c r="N412" s="172"/>
      <c r="O412" s="172"/>
      <c r="P412" s="172"/>
      <c r="Q412" s="172"/>
      <c r="R412" s="172"/>
      <c r="S412" s="172"/>
      <c r="T412" s="172"/>
      <c r="U412" s="172"/>
      <c r="V412" s="172"/>
      <c r="W412" s="172"/>
      <c r="X412" s="172"/>
      <c r="Y412" s="172"/>
      <c r="Z412" s="172"/>
    </row>
    <row r="413">
      <c r="A413" s="172"/>
      <c r="B413" s="182"/>
      <c r="C413" s="172"/>
      <c r="D413" s="172"/>
      <c r="E413" s="172"/>
      <c r="F413" s="172"/>
      <c r="G413" s="172"/>
      <c r="H413" s="172"/>
      <c r="I413" s="182"/>
      <c r="J413" s="172"/>
      <c r="K413" s="172"/>
      <c r="L413" s="172"/>
      <c r="M413" s="172"/>
      <c r="N413" s="172"/>
      <c r="O413" s="172"/>
      <c r="P413" s="172"/>
      <c r="Q413" s="172"/>
      <c r="R413" s="172"/>
      <c r="S413" s="172"/>
      <c r="T413" s="172"/>
      <c r="U413" s="172"/>
      <c r="V413" s="172"/>
      <c r="W413" s="172"/>
      <c r="X413" s="172"/>
      <c r="Y413" s="172"/>
      <c r="Z413" s="172"/>
    </row>
    <row r="414">
      <c r="A414" s="172"/>
      <c r="B414" s="182"/>
      <c r="C414" s="172"/>
      <c r="D414" s="172"/>
      <c r="E414" s="172"/>
      <c r="F414" s="172"/>
      <c r="G414" s="172"/>
      <c r="H414" s="172"/>
      <c r="I414" s="182"/>
      <c r="J414" s="172"/>
      <c r="K414" s="172"/>
      <c r="L414" s="172"/>
      <c r="M414" s="172"/>
      <c r="N414" s="172"/>
      <c r="O414" s="172"/>
      <c r="P414" s="172"/>
      <c r="Q414" s="172"/>
      <c r="R414" s="172"/>
      <c r="S414" s="172"/>
      <c r="T414" s="172"/>
      <c r="U414" s="172"/>
      <c r="V414" s="172"/>
      <c r="W414" s="172"/>
      <c r="X414" s="172"/>
      <c r="Y414" s="172"/>
      <c r="Z414" s="172"/>
    </row>
    <row r="415">
      <c r="A415" s="172"/>
      <c r="B415" s="182"/>
      <c r="C415" s="172"/>
      <c r="D415" s="172"/>
      <c r="E415" s="172"/>
      <c r="F415" s="172"/>
      <c r="G415" s="172"/>
      <c r="H415" s="172"/>
      <c r="I415" s="182"/>
      <c r="J415" s="172"/>
      <c r="K415" s="172"/>
      <c r="L415" s="172"/>
      <c r="M415" s="172"/>
      <c r="N415" s="172"/>
      <c r="O415" s="172"/>
      <c r="P415" s="172"/>
      <c r="Q415" s="172"/>
      <c r="R415" s="172"/>
      <c r="S415" s="172"/>
      <c r="T415" s="172"/>
      <c r="U415" s="172"/>
      <c r="V415" s="172"/>
      <c r="W415" s="172"/>
      <c r="X415" s="172"/>
      <c r="Y415" s="172"/>
      <c r="Z415" s="172"/>
    </row>
    <row r="416">
      <c r="A416" s="172"/>
      <c r="B416" s="182"/>
      <c r="C416" s="172"/>
      <c r="D416" s="172"/>
      <c r="E416" s="172"/>
      <c r="F416" s="172"/>
      <c r="G416" s="172"/>
      <c r="H416" s="172"/>
      <c r="I416" s="182"/>
      <c r="J416" s="172"/>
      <c r="K416" s="172"/>
      <c r="L416" s="172"/>
      <c r="M416" s="172"/>
      <c r="N416" s="172"/>
      <c r="O416" s="172"/>
      <c r="P416" s="172"/>
      <c r="Q416" s="172"/>
      <c r="R416" s="172"/>
      <c r="S416" s="172"/>
      <c r="T416" s="172"/>
      <c r="U416" s="172"/>
      <c r="V416" s="172"/>
      <c r="W416" s="172"/>
      <c r="X416" s="172"/>
      <c r="Y416" s="172"/>
      <c r="Z416" s="172"/>
    </row>
    <row r="417">
      <c r="A417" s="172"/>
      <c r="B417" s="182"/>
      <c r="C417" s="172"/>
      <c r="D417" s="172"/>
      <c r="E417" s="172"/>
      <c r="F417" s="172"/>
      <c r="G417" s="172"/>
      <c r="H417" s="172"/>
      <c r="I417" s="182"/>
      <c r="J417" s="172"/>
      <c r="K417" s="172"/>
      <c r="L417" s="172"/>
      <c r="M417" s="172"/>
      <c r="N417" s="172"/>
      <c r="O417" s="172"/>
      <c r="P417" s="172"/>
      <c r="Q417" s="172"/>
      <c r="R417" s="172"/>
      <c r="S417" s="172"/>
      <c r="T417" s="172"/>
      <c r="U417" s="172"/>
      <c r="V417" s="172"/>
      <c r="W417" s="172"/>
      <c r="X417" s="172"/>
      <c r="Y417" s="172"/>
      <c r="Z417" s="172"/>
    </row>
    <row r="418">
      <c r="A418" s="172"/>
      <c r="B418" s="182"/>
      <c r="C418" s="172"/>
      <c r="D418" s="172"/>
      <c r="E418" s="172"/>
      <c r="F418" s="172"/>
      <c r="G418" s="172"/>
      <c r="H418" s="172"/>
      <c r="I418" s="182"/>
      <c r="J418" s="172"/>
      <c r="K418" s="172"/>
      <c r="L418" s="172"/>
      <c r="M418" s="172"/>
      <c r="N418" s="172"/>
      <c r="O418" s="172"/>
      <c r="P418" s="172"/>
      <c r="Q418" s="172"/>
      <c r="R418" s="172"/>
      <c r="S418" s="172"/>
      <c r="T418" s="172"/>
      <c r="U418" s="172"/>
      <c r="V418" s="172"/>
      <c r="W418" s="172"/>
      <c r="X418" s="172"/>
      <c r="Y418" s="172"/>
      <c r="Z418" s="172"/>
    </row>
    <row r="419">
      <c r="A419" s="172"/>
      <c r="B419" s="182"/>
      <c r="C419" s="172"/>
      <c r="D419" s="172"/>
      <c r="E419" s="172"/>
      <c r="F419" s="172"/>
      <c r="G419" s="172"/>
      <c r="H419" s="172"/>
      <c r="I419" s="182"/>
      <c r="J419" s="172"/>
      <c r="K419" s="172"/>
      <c r="L419" s="172"/>
      <c r="M419" s="172"/>
      <c r="N419" s="172"/>
      <c r="O419" s="172"/>
      <c r="P419" s="172"/>
      <c r="Q419" s="172"/>
      <c r="R419" s="172"/>
      <c r="S419" s="172"/>
      <c r="T419" s="172"/>
      <c r="U419" s="172"/>
      <c r="V419" s="172"/>
      <c r="W419" s="172"/>
      <c r="X419" s="172"/>
      <c r="Y419" s="172"/>
      <c r="Z419" s="172"/>
    </row>
    <row r="420">
      <c r="A420" s="172"/>
      <c r="B420" s="182"/>
      <c r="C420" s="172"/>
      <c r="D420" s="172"/>
      <c r="E420" s="172"/>
      <c r="F420" s="172"/>
      <c r="G420" s="172"/>
      <c r="H420" s="172"/>
      <c r="I420" s="182"/>
      <c r="J420" s="172"/>
      <c r="K420" s="172"/>
      <c r="L420" s="172"/>
      <c r="M420" s="172"/>
      <c r="N420" s="172"/>
      <c r="O420" s="172"/>
      <c r="P420" s="172"/>
      <c r="Q420" s="172"/>
      <c r="R420" s="172"/>
      <c r="S420" s="172"/>
      <c r="T420" s="172"/>
      <c r="U420" s="172"/>
      <c r="V420" s="172"/>
      <c r="W420" s="172"/>
      <c r="X420" s="172"/>
      <c r="Y420" s="172"/>
      <c r="Z420" s="172"/>
    </row>
    <row r="421">
      <c r="A421" s="172"/>
      <c r="B421" s="182"/>
      <c r="C421" s="172"/>
      <c r="D421" s="172"/>
      <c r="E421" s="172"/>
      <c r="F421" s="172"/>
      <c r="G421" s="172"/>
      <c r="H421" s="172"/>
      <c r="I421" s="182"/>
      <c r="J421" s="172"/>
      <c r="K421" s="172"/>
      <c r="L421" s="172"/>
      <c r="M421" s="172"/>
      <c r="N421" s="172"/>
      <c r="O421" s="172"/>
      <c r="P421" s="172"/>
      <c r="Q421" s="172"/>
      <c r="R421" s="172"/>
      <c r="S421" s="172"/>
      <c r="T421" s="172"/>
      <c r="U421" s="172"/>
      <c r="V421" s="172"/>
      <c r="W421" s="172"/>
      <c r="X421" s="172"/>
      <c r="Y421" s="172"/>
      <c r="Z421" s="172"/>
    </row>
    <row r="422">
      <c r="A422" s="172"/>
      <c r="B422" s="182"/>
      <c r="C422" s="172"/>
      <c r="D422" s="172"/>
      <c r="E422" s="172"/>
      <c r="F422" s="172"/>
      <c r="G422" s="172"/>
      <c r="H422" s="172"/>
      <c r="I422" s="182"/>
      <c r="J422" s="172"/>
      <c r="K422" s="172"/>
      <c r="L422" s="172"/>
      <c r="M422" s="172"/>
      <c r="N422" s="172"/>
      <c r="O422" s="172"/>
      <c r="P422" s="172"/>
      <c r="Q422" s="172"/>
      <c r="R422" s="172"/>
      <c r="S422" s="172"/>
      <c r="T422" s="172"/>
      <c r="U422" s="172"/>
      <c r="V422" s="172"/>
      <c r="W422" s="172"/>
      <c r="X422" s="172"/>
      <c r="Y422" s="172"/>
      <c r="Z422" s="172"/>
    </row>
    <row r="423">
      <c r="A423" s="172"/>
      <c r="B423" s="182"/>
      <c r="C423" s="172"/>
      <c r="D423" s="172"/>
      <c r="E423" s="172"/>
      <c r="F423" s="172"/>
      <c r="G423" s="172"/>
      <c r="H423" s="172"/>
      <c r="I423" s="182"/>
      <c r="J423" s="172"/>
      <c r="K423" s="172"/>
      <c r="L423" s="172"/>
      <c r="M423" s="172"/>
      <c r="N423" s="172"/>
      <c r="O423" s="172"/>
      <c r="P423" s="172"/>
      <c r="Q423" s="172"/>
      <c r="R423" s="172"/>
      <c r="S423" s="172"/>
      <c r="T423" s="172"/>
      <c r="U423" s="172"/>
      <c r="V423" s="172"/>
      <c r="W423" s="172"/>
      <c r="X423" s="172"/>
      <c r="Y423" s="172"/>
      <c r="Z423" s="172"/>
    </row>
    <row r="424">
      <c r="A424" s="172"/>
      <c r="B424" s="182"/>
      <c r="C424" s="172"/>
      <c r="D424" s="172"/>
      <c r="E424" s="172"/>
      <c r="F424" s="172"/>
      <c r="G424" s="172"/>
      <c r="H424" s="172"/>
      <c r="I424" s="182"/>
      <c r="J424" s="172"/>
      <c r="K424" s="172"/>
      <c r="L424" s="172"/>
      <c r="M424" s="172"/>
      <c r="N424" s="172"/>
      <c r="O424" s="172"/>
      <c r="P424" s="172"/>
      <c r="Q424" s="172"/>
      <c r="R424" s="172"/>
      <c r="S424" s="172"/>
      <c r="T424" s="172"/>
      <c r="U424" s="172"/>
      <c r="V424" s="172"/>
      <c r="W424" s="172"/>
      <c r="X424" s="172"/>
      <c r="Y424" s="172"/>
      <c r="Z424" s="172"/>
    </row>
    <row r="425">
      <c r="A425" s="172"/>
      <c r="B425" s="182"/>
      <c r="C425" s="172"/>
      <c r="D425" s="172"/>
      <c r="E425" s="172"/>
      <c r="F425" s="172"/>
      <c r="G425" s="172"/>
      <c r="H425" s="172"/>
      <c r="I425" s="182"/>
      <c r="J425" s="172"/>
      <c r="K425" s="172"/>
      <c r="L425" s="172"/>
      <c r="M425" s="172"/>
      <c r="N425" s="172"/>
      <c r="O425" s="172"/>
      <c r="P425" s="172"/>
      <c r="Q425" s="172"/>
      <c r="R425" s="172"/>
      <c r="S425" s="172"/>
      <c r="T425" s="172"/>
      <c r="U425" s="172"/>
      <c r="V425" s="172"/>
      <c r="W425" s="172"/>
      <c r="X425" s="172"/>
      <c r="Y425" s="172"/>
      <c r="Z425" s="172"/>
    </row>
    <row r="426">
      <c r="A426" s="172"/>
      <c r="B426" s="182"/>
      <c r="C426" s="172"/>
      <c r="D426" s="172"/>
      <c r="E426" s="172"/>
      <c r="F426" s="172"/>
      <c r="G426" s="172"/>
      <c r="H426" s="172"/>
      <c r="I426" s="182"/>
      <c r="J426" s="172"/>
      <c r="K426" s="172"/>
      <c r="L426" s="172"/>
      <c r="M426" s="172"/>
      <c r="N426" s="172"/>
      <c r="O426" s="172"/>
      <c r="P426" s="172"/>
      <c r="Q426" s="172"/>
      <c r="R426" s="172"/>
      <c r="S426" s="172"/>
      <c r="T426" s="172"/>
      <c r="U426" s="172"/>
      <c r="V426" s="172"/>
      <c r="W426" s="172"/>
      <c r="X426" s="172"/>
      <c r="Y426" s="172"/>
      <c r="Z426" s="172"/>
    </row>
    <row r="427">
      <c r="A427" s="172"/>
      <c r="B427" s="182"/>
      <c r="C427" s="172"/>
      <c r="D427" s="172"/>
      <c r="E427" s="172"/>
      <c r="F427" s="172"/>
      <c r="G427" s="172"/>
      <c r="H427" s="172"/>
      <c r="I427" s="182"/>
      <c r="J427" s="172"/>
      <c r="K427" s="172"/>
      <c r="L427" s="172"/>
      <c r="M427" s="172"/>
      <c r="N427" s="172"/>
      <c r="O427" s="172"/>
      <c r="P427" s="172"/>
      <c r="Q427" s="172"/>
      <c r="R427" s="172"/>
      <c r="S427" s="172"/>
      <c r="T427" s="172"/>
      <c r="U427" s="172"/>
      <c r="V427" s="172"/>
      <c r="W427" s="172"/>
      <c r="X427" s="172"/>
      <c r="Y427" s="172"/>
      <c r="Z427" s="172"/>
    </row>
    <row r="428">
      <c r="A428" s="172"/>
      <c r="B428" s="182"/>
      <c r="C428" s="172"/>
      <c r="D428" s="172"/>
      <c r="E428" s="172"/>
      <c r="F428" s="172"/>
      <c r="G428" s="172"/>
      <c r="H428" s="172"/>
      <c r="I428" s="182"/>
      <c r="J428" s="172"/>
      <c r="K428" s="172"/>
      <c r="L428" s="172"/>
      <c r="M428" s="172"/>
      <c r="N428" s="172"/>
      <c r="O428" s="172"/>
      <c r="P428" s="172"/>
      <c r="Q428" s="172"/>
      <c r="R428" s="172"/>
      <c r="S428" s="172"/>
      <c r="T428" s="172"/>
      <c r="U428" s="172"/>
      <c r="V428" s="172"/>
      <c r="W428" s="172"/>
      <c r="X428" s="172"/>
      <c r="Y428" s="172"/>
      <c r="Z428" s="172"/>
    </row>
    <row r="429">
      <c r="A429" s="172"/>
      <c r="B429" s="182"/>
      <c r="C429" s="172"/>
      <c r="D429" s="172"/>
      <c r="E429" s="172"/>
      <c r="F429" s="172"/>
      <c r="G429" s="172"/>
      <c r="H429" s="172"/>
      <c r="I429" s="182"/>
      <c r="J429" s="172"/>
      <c r="K429" s="172"/>
      <c r="L429" s="172"/>
      <c r="M429" s="172"/>
      <c r="N429" s="172"/>
      <c r="O429" s="172"/>
      <c r="P429" s="172"/>
      <c r="Q429" s="172"/>
      <c r="R429" s="172"/>
      <c r="S429" s="172"/>
      <c r="T429" s="172"/>
      <c r="U429" s="172"/>
      <c r="V429" s="172"/>
      <c r="W429" s="172"/>
      <c r="X429" s="172"/>
      <c r="Y429" s="172"/>
      <c r="Z429" s="172"/>
    </row>
    <row r="430">
      <c r="A430" s="172"/>
      <c r="B430" s="182"/>
      <c r="C430" s="172"/>
      <c r="D430" s="172"/>
      <c r="E430" s="172"/>
      <c r="F430" s="172"/>
      <c r="G430" s="172"/>
      <c r="H430" s="172"/>
      <c r="I430" s="182"/>
      <c r="J430" s="172"/>
      <c r="K430" s="172"/>
      <c r="L430" s="172"/>
      <c r="M430" s="172"/>
      <c r="N430" s="172"/>
      <c r="O430" s="172"/>
      <c r="P430" s="172"/>
      <c r="Q430" s="172"/>
      <c r="R430" s="172"/>
      <c r="S430" s="172"/>
      <c r="T430" s="172"/>
      <c r="U430" s="172"/>
      <c r="V430" s="172"/>
      <c r="W430" s="172"/>
      <c r="X430" s="172"/>
      <c r="Y430" s="172"/>
      <c r="Z430" s="172"/>
    </row>
    <row r="431">
      <c r="A431" s="172"/>
      <c r="B431" s="182"/>
      <c r="C431" s="172"/>
      <c r="D431" s="172"/>
      <c r="E431" s="172"/>
      <c r="F431" s="172"/>
      <c r="G431" s="172"/>
      <c r="H431" s="172"/>
      <c r="I431" s="182"/>
      <c r="J431" s="172"/>
      <c r="K431" s="172"/>
      <c r="L431" s="172"/>
      <c r="M431" s="172"/>
      <c r="N431" s="172"/>
      <c r="O431" s="172"/>
      <c r="P431" s="172"/>
      <c r="Q431" s="172"/>
      <c r="R431" s="172"/>
      <c r="S431" s="172"/>
      <c r="T431" s="172"/>
      <c r="U431" s="172"/>
      <c r="V431" s="172"/>
      <c r="W431" s="172"/>
      <c r="X431" s="172"/>
      <c r="Y431" s="172"/>
      <c r="Z431" s="172"/>
    </row>
    <row r="432">
      <c r="A432" s="172"/>
      <c r="B432" s="182"/>
      <c r="C432" s="172"/>
      <c r="D432" s="172"/>
      <c r="E432" s="172"/>
      <c r="F432" s="172"/>
      <c r="G432" s="172"/>
      <c r="H432" s="172"/>
      <c r="I432" s="182"/>
      <c r="J432" s="172"/>
      <c r="K432" s="172"/>
      <c r="L432" s="172"/>
      <c r="M432" s="172"/>
      <c r="N432" s="172"/>
      <c r="O432" s="172"/>
      <c r="P432" s="172"/>
      <c r="Q432" s="172"/>
      <c r="R432" s="172"/>
      <c r="S432" s="172"/>
      <c r="T432" s="172"/>
      <c r="U432" s="172"/>
      <c r="V432" s="172"/>
      <c r="W432" s="172"/>
      <c r="X432" s="172"/>
      <c r="Y432" s="172"/>
      <c r="Z432" s="172"/>
    </row>
    <row r="433">
      <c r="A433" s="172"/>
      <c r="B433" s="182"/>
      <c r="C433" s="172"/>
      <c r="D433" s="172"/>
      <c r="E433" s="172"/>
      <c r="F433" s="172"/>
      <c r="G433" s="172"/>
      <c r="H433" s="172"/>
      <c r="I433" s="182"/>
      <c r="J433" s="172"/>
      <c r="K433" s="172"/>
      <c r="L433" s="172"/>
      <c r="M433" s="172"/>
      <c r="N433" s="172"/>
      <c r="O433" s="172"/>
      <c r="P433" s="172"/>
      <c r="Q433" s="172"/>
      <c r="R433" s="172"/>
      <c r="S433" s="172"/>
      <c r="T433" s="172"/>
      <c r="U433" s="172"/>
      <c r="V433" s="172"/>
      <c r="W433" s="172"/>
      <c r="X433" s="172"/>
      <c r="Y433" s="172"/>
      <c r="Z433" s="172"/>
    </row>
    <row r="434">
      <c r="A434" s="172"/>
      <c r="B434" s="182"/>
      <c r="C434" s="172"/>
      <c r="D434" s="172"/>
      <c r="E434" s="172"/>
      <c r="F434" s="172"/>
      <c r="G434" s="172"/>
      <c r="H434" s="172"/>
      <c r="I434" s="182"/>
      <c r="J434" s="172"/>
      <c r="K434" s="172"/>
      <c r="L434" s="172"/>
      <c r="M434" s="172"/>
      <c r="N434" s="172"/>
      <c r="O434" s="172"/>
      <c r="P434" s="172"/>
      <c r="Q434" s="172"/>
      <c r="R434" s="172"/>
      <c r="S434" s="172"/>
      <c r="T434" s="172"/>
      <c r="U434" s="172"/>
      <c r="V434" s="172"/>
      <c r="W434" s="172"/>
      <c r="X434" s="172"/>
      <c r="Y434" s="172"/>
      <c r="Z434" s="172"/>
    </row>
    <row r="435">
      <c r="A435" s="172"/>
      <c r="B435" s="182"/>
      <c r="C435" s="172"/>
      <c r="D435" s="172"/>
      <c r="E435" s="172"/>
      <c r="F435" s="172"/>
      <c r="G435" s="172"/>
      <c r="H435" s="172"/>
      <c r="I435" s="182"/>
      <c r="J435" s="172"/>
      <c r="K435" s="172"/>
      <c r="L435" s="172"/>
      <c r="M435" s="172"/>
      <c r="N435" s="172"/>
      <c r="O435" s="172"/>
      <c r="P435" s="172"/>
      <c r="Q435" s="172"/>
      <c r="R435" s="172"/>
      <c r="S435" s="172"/>
      <c r="T435" s="172"/>
      <c r="U435" s="172"/>
      <c r="V435" s="172"/>
      <c r="W435" s="172"/>
      <c r="X435" s="172"/>
      <c r="Y435" s="172"/>
      <c r="Z435" s="172"/>
    </row>
    <row r="436">
      <c r="A436" s="172"/>
      <c r="B436" s="182"/>
      <c r="C436" s="172"/>
      <c r="D436" s="172"/>
      <c r="E436" s="172"/>
      <c r="F436" s="172"/>
      <c r="G436" s="172"/>
      <c r="H436" s="172"/>
      <c r="I436" s="182"/>
      <c r="J436" s="172"/>
      <c r="K436" s="172"/>
      <c r="L436" s="172"/>
      <c r="M436" s="172"/>
      <c r="N436" s="172"/>
      <c r="O436" s="172"/>
      <c r="P436" s="172"/>
      <c r="Q436" s="172"/>
      <c r="R436" s="172"/>
      <c r="S436" s="172"/>
      <c r="T436" s="172"/>
      <c r="U436" s="172"/>
      <c r="V436" s="172"/>
      <c r="W436" s="172"/>
      <c r="X436" s="172"/>
      <c r="Y436" s="172"/>
      <c r="Z436" s="172"/>
    </row>
    <row r="437">
      <c r="A437" s="172"/>
      <c r="B437" s="182"/>
      <c r="C437" s="172"/>
      <c r="D437" s="172"/>
      <c r="E437" s="172"/>
      <c r="F437" s="172"/>
      <c r="G437" s="172"/>
      <c r="H437" s="172"/>
      <c r="I437" s="182"/>
      <c r="J437" s="172"/>
      <c r="K437" s="172"/>
      <c r="L437" s="172"/>
      <c r="M437" s="172"/>
      <c r="N437" s="172"/>
      <c r="O437" s="172"/>
      <c r="P437" s="172"/>
      <c r="Q437" s="172"/>
      <c r="R437" s="172"/>
      <c r="S437" s="172"/>
      <c r="T437" s="172"/>
      <c r="U437" s="172"/>
      <c r="V437" s="172"/>
      <c r="W437" s="172"/>
      <c r="X437" s="172"/>
      <c r="Y437" s="172"/>
      <c r="Z437" s="172"/>
    </row>
    <row r="438">
      <c r="A438" s="172"/>
      <c r="B438" s="182"/>
      <c r="C438" s="172"/>
      <c r="D438" s="172"/>
      <c r="E438" s="172"/>
      <c r="F438" s="172"/>
      <c r="G438" s="172"/>
      <c r="H438" s="172"/>
      <c r="I438" s="182"/>
      <c r="J438" s="172"/>
      <c r="K438" s="172"/>
      <c r="L438" s="172"/>
      <c r="M438" s="172"/>
      <c r="N438" s="172"/>
      <c r="O438" s="172"/>
      <c r="P438" s="172"/>
      <c r="Q438" s="172"/>
      <c r="R438" s="172"/>
      <c r="S438" s="172"/>
      <c r="T438" s="172"/>
      <c r="U438" s="172"/>
      <c r="V438" s="172"/>
      <c r="W438" s="172"/>
      <c r="X438" s="172"/>
      <c r="Y438" s="172"/>
      <c r="Z438" s="172"/>
    </row>
    <row r="439">
      <c r="A439" s="172"/>
      <c r="B439" s="182"/>
      <c r="C439" s="172"/>
      <c r="D439" s="172"/>
      <c r="E439" s="172"/>
      <c r="F439" s="172"/>
      <c r="G439" s="172"/>
      <c r="H439" s="172"/>
      <c r="I439" s="182"/>
      <c r="J439" s="172"/>
      <c r="K439" s="172"/>
      <c r="L439" s="172"/>
      <c r="M439" s="172"/>
      <c r="N439" s="172"/>
      <c r="O439" s="172"/>
      <c r="P439" s="172"/>
      <c r="Q439" s="172"/>
      <c r="R439" s="172"/>
      <c r="S439" s="172"/>
      <c r="T439" s="172"/>
      <c r="U439" s="172"/>
      <c r="V439" s="172"/>
      <c r="W439" s="172"/>
      <c r="X439" s="172"/>
      <c r="Y439" s="172"/>
      <c r="Z439" s="172"/>
    </row>
    <row r="440">
      <c r="A440" s="172"/>
      <c r="B440" s="182"/>
      <c r="C440" s="172"/>
      <c r="D440" s="172"/>
      <c r="E440" s="172"/>
      <c r="F440" s="172"/>
      <c r="G440" s="172"/>
      <c r="H440" s="172"/>
      <c r="I440" s="182"/>
      <c r="J440" s="172"/>
      <c r="K440" s="172"/>
      <c r="L440" s="172"/>
      <c r="M440" s="172"/>
      <c r="N440" s="172"/>
      <c r="O440" s="172"/>
      <c r="P440" s="172"/>
      <c r="Q440" s="172"/>
      <c r="R440" s="172"/>
      <c r="S440" s="172"/>
      <c r="T440" s="172"/>
      <c r="U440" s="172"/>
      <c r="V440" s="172"/>
      <c r="W440" s="172"/>
      <c r="X440" s="172"/>
      <c r="Y440" s="172"/>
      <c r="Z440" s="172"/>
    </row>
    <row r="441">
      <c r="A441" s="172"/>
      <c r="B441" s="182"/>
      <c r="C441" s="172"/>
      <c r="D441" s="172"/>
      <c r="E441" s="172"/>
      <c r="F441" s="172"/>
      <c r="G441" s="172"/>
      <c r="H441" s="172"/>
      <c r="I441" s="182"/>
      <c r="J441" s="172"/>
      <c r="K441" s="172"/>
      <c r="L441" s="172"/>
      <c r="M441" s="172"/>
      <c r="N441" s="172"/>
      <c r="O441" s="172"/>
      <c r="P441" s="172"/>
      <c r="Q441" s="172"/>
      <c r="R441" s="172"/>
      <c r="S441" s="172"/>
      <c r="T441" s="172"/>
      <c r="U441" s="172"/>
      <c r="V441" s="172"/>
      <c r="W441" s="172"/>
      <c r="X441" s="172"/>
      <c r="Y441" s="172"/>
      <c r="Z441" s="172"/>
    </row>
    <row r="442">
      <c r="A442" s="172"/>
      <c r="B442" s="182"/>
      <c r="C442" s="172"/>
      <c r="D442" s="172"/>
      <c r="E442" s="172"/>
      <c r="F442" s="172"/>
      <c r="G442" s="172"/>
      <c r="H442" s="172"/>
      <c r="I442" s="182"/>
      <c r="J442" s="172"/>
      <c r="K442" s="172"/>
      <c r="L442" s="172"/>
      <c r="M442" s="172"/>
      <c r="N442" s="172"/>
      <c r="O442" s="172"/>
      <c r="P442" s="172"/>
      <c r="Q442" s="172"/>
      <c r="R442" s="172"/>
      <c r="S442" s="172"/>
      <c r="T442" s="172"/>
      <c r="U442" s="172"/>
      <c r="V442" s="172"/>
      <c r="W442" s="172"/>
      <c r="X442" s="172"/>
      <c r="Y442" s="172"/>
      <c r="Z442" s="172"/>
    </row>
    <row r="443">
      <c r="A443" s="172"/>
      <c r="B443" s="182"/>
      <c r="C443" s="172"/>
      <c r="D443" s="172"/>
      <c r="E443" s="172"/>
      <c r="F443" s="172"/>
      <c r="G443" s="172"/>
      <c r="H443" s="172"/>
      <c r="I443" s="182"/>
      <c r="J443" s="172"/>
      <c r="K443" s="172"/>
      <c r="L443" s="172"/>
      <c r="M443" s="172"/>
      <c r="N443" s="172"/>
      <c r="O443" s="172"/>
      <c r="P443" s="172"/>
      <c r="Q443" s="172"/>
      <c r="R443" s="172"/>
      <c r="S443" s="172"/>
      <c r="T443" s="172"/>
      <c r="U443" s="172"/>
      <c r="V443" s="172"/>
      <c r="W443" s="172"/>
      <c r="X443" s="172"/>
      <c r="Y443" s="172"/>
      <c r="Z443" s="172"/>
    </row>
    <row r="444">
      <c r="A444" s="172"/>
      <c r="B444" s="182"/>
      <c r="C444" s="172"/>
      <c r="D444" s="172"/>
      <c r="E444" s="172"/>
      <c r="F444" s="172"/>
      <c r="G444" s="172"/>
      <c r="H444" s="172"/>
      <c r="I444" s="182"/>
      <c r="J444" s="172"/>
      <c r="K444" s="172"/>
      <c r="L444" s="172"/>
      <c r="M444" s="172"/>
      <c r="N444" s="172"/>
      <c r="O444" s="172"/>
      <c r="P444" s="172"/>
      <c r="Q444" s="172"/>
      <c r="R444" s="172"/>
      <c r="S444" s="172"/>
      <c r="T444" s="172"/>
      <c r="U444" s="172"/>
      <c r="V444" s="172"/>
      <c r="W444" s="172"/>
      <c r="X444" s="172"/>
      <c r="Y444" s="172"/>
      <c r="Z444" s="172"/>
    </row>
    <row r="445">
      <c r="A445" s="172"/>
      <c r="B445" s="182"/>
      <c r="C445" s="172"/>
      <c r="D445" s="172"/>
      <c r="E445" s="172"/>
      <c r="F445" s="172"/>
      <c r="G445" s="172"/>
      <c r="H445" s="172"/>
      <c r="I445" s="182"/>
      <c r="J445" s="172"/>
      <c r="K445" s="172"/>
      <c r="L445" s="172"/>
      <c r="M445" s="172"/>
      <c r="N445" s="172"/>
      <c r="O445" s="172"/>
      <c r="P445" s="172"/>
      <c r="Q445" s="172"/>
      <c r="R445" s="172"/>
      <c r="S445" s="172"/>
      <c r="T445" s="172"/>
      <c r="U445" s="172"/>
      <c r="V445" s="172"/>
      <c r="W445" s="172"/>
      <c r="X445" s="172"/>
      <c r="Y445" s="172"/>
      <c r="Z445" s="172"/>
    </row>
    <row r="446">
      <c r="A446" s="172"/>
      <c r="B446" s="182"/>
      <c r="C446" s="172"/>
      <c r="D446" s="172"/>
      <c r="E446" s="172"/>
      <c r="F446" s="172"/>
      <c r="G446" s="172"/>
      <c r="H446" s="172"/>
      <c r="I446" s="182"/>
      <c r="J446" s="172"/>
      <c r="K446" s="172"/>
      <c r="L446" s="172"/>
      <c r="M446" s="172"/>
      <c r="N446" s="172"/>
      <c r="O446" s="172"/>
      <c r="P446" s="172"/>
      <c r="Q446" s="172"/>
      <c r="R446" s="172"/>
      <c r="S446" s="172"/>
      <c r="T446" s="172"/>
      <c r="U446" s="172"/>
      <c r="V446" s="172"/>
      <c r="W446" s="172"/>
      <c r="X446" s="172"/>
      <c r="Y446" s="172"/>
      <c r="Z446" s="172"/>
    </row>
    <row r="447">
      <c r="A447" s="172"/>
      <c r="B447" s="182"/>
      <c r="C447" s="172"/>
      <c r="D447" s="172"/>
      <c r="E447" s="172"/>
      <c r="F447" s="172"/>
      <c r="G447" s="172"/>
      <c r="H447" s="172"/>
      <c r="I447" s="182"/>
      <c r="J447" s="172"/>
      <c r="K447" s="172"/>
      <c r="L447" s="172"/>
      <c r="M447" s="172"/>
      <c r="N447" s="172"/>
      <c r="O447" s="172"/>
      <c r="P447" s="172"/>
      <c r="Q447" s="172"/>
      <c r="R447" s="172"/>
      <c r="S447" s="172"/>
      <c r="T447" s="172"/>
      <c r="U447" s="172"/>
      <c r="V447" s="172"/>
      <c r="W447" s="172"/>
      <c r="X447" s="172"/>
      <c r="Y447" s="172"/>
      <c r="Z447" s="172"/>
    </row>
    <row r="448">
      <c r="A448" s="172"/>
      <c r="B448" s="182"/>
      <c r="C448" s="172"/>
      <c r="D448" s="172"/>
      <c r="E448" s="172"/>
      <c r="F448" s="172"/>
      <c r="G448" s="172"/>
      <c r="H448" s="172"/>
      <c r="I448" s="182"/>
      <c r="J448" s="172"/>
      <c r="K448" s="172"/>
      <c r="L448" s="172"/>
      <c r="M448" s="172"/>
      <c r="N448" s="172"/>
      <c r="O448" s="172"/>
      <c r="P448" s="172"/>
      <c r="Q448" s="172"/>
      <c r="R448" s="172"/>
      <c r="S448" s="172"/>
      <c r="T448" s="172"/>
      <c r="U448" s="172"/>
      <c r="V448" s="172"/>
      <c r="W448" s="172"/>
      <c r="X448" s="172"/>
      <c r="Y448" s="172"/>
      <c r="Z448" s="172"/>
    </row>
    <row r="449">
      <c r="A449" s="172"/>
      <c r="B449" s="182"/>
      <c r="C449" s="172"/>
      <c r="D449" s="172"/>
      <c r="E449" s="172"/>
      <c r="F449" s="172"/>
      <c r="G449" s="172"/>
      <c r="H449" s="172"/>
      <c r="I449" s="182"/>
      <c r="J449" s="172"/>
      <c r="K449" s="172"/>
      <c r="L449" s="172"/>
      <c r="M449" s="172"/>
      <c r="N449" s="172"/>
      <c r="O449" s="172"/>
      <c r="P449" s="172"/>
      <c r="Q449" s="172"/>
      <c r="R449" s="172"/>
      <c r="S449" s="172"/>
      <c r="T449" s="172"/>
      <c r="U449" s="172"/>
      <c r="V449" s="172"/>
      <c r="W449" s="172"/>
      <c r="X449" s="172"/>
      <c r="Y449" s="172"/>
      <c r="Z449" s="172"/>
    </row>
    <row r="450">
      <c r="A450" s="172"/>
      <c r="B450" s="182"/>
      <c r="C450" s="172"/>
      <c r="D450" s="172"/>
      <c r="E450" s="172"/>
      <c r="F450" s="172"/>
      <c r="G450" s="172"/>
      <c r="H450" s="172"/>
      <c r="I450" s="182"/>
      <c r="J450" s="172"/>
      <c r="K450" s="172"/>
      <c r="L450" s="172"/>
      <c r="M450" s="172"/>
      <c r="N450" s="172"/>
      <c r="O450" s="172"/>
      <c r="P450" s="172"/>
      <c r="Q450" s="172"/>
      <c r="R450" s="172"/>
      <c r="S450" s="172"/>
      <c r="T450" s="172"/>
      <c r="U450" s="172"/>
      <c r="V450" s="172"/>
      <c r="W450" s="172"/>
      <c r="X450" s="172"/>
      <c r="Y450" s="172"/>
      <c r="Z450" s="172"/>
    </row>
    <row r="451">
      <c r="A451" s="172"/>
      <c r="B451" s="182"/>
      <c r="C451" s="172"/>
      <c r="D451" s="172"/>
      <c r="E451" s="172"/>
      <c r="F451" s="172"/>
      <c r="G451" s="172"/>
      <c r="H451" s="172"/>
      <c r="I451" s="182"/>
      <c r="J451" s="172"/>
      <c r="K451" s="172"/>
      <c r="L451" s="172"/>
      <c r="M451" s="172"/>
      <c r="N451" s="172"/>
      <c r="O451" s="172"/>
      <c r="P451" s="172"/>
      <c r="Q451" s="172"/>
      <c r="R451" s="172"/>
      <c r="S451" s="172"/>
      <c r="T451" s="172"/>
      <c r="U451" s="172"/>
      <c r="V451" s="172"/>
      <c r="W451" s="172"/>
      <c r="X451" s="172"/>
      <c r="Y451" s="172"/>
      <c r="Z451" s="172"/>
    </row>
    <row r="452">
      <c r="A452" s="172"/>
      <c r="B452" s="182"/>
      <c r="C452" s="172"/>
      <c r="D452" s="172"/>
      <c r="E452" s="172"/>
      <c r="F452" s="172"/>
      <c r="G452" s="172"/>
      <c r="H452" s="172"/>
      <c r="I452" s="182"/>
      <c r="J452" s="172"/>
      <c r="K452" s="172"/>
      <c r="L452" s="172"/>
      <c r="M452" s="172"/>
      <c r="N452" s="172"/>
      <c r="O452" s="172"/>
      <c r="P452" s="172"/>
      <c r="Q452" s="172"/>
      <c r="R452" s="172"/>
      <c r="S452" s="172"/>
      <c r="T452" s="172"/>
      <c r="U452" s="172"/>
      <c r="V452" s="172"/>
      <c r="W452" s="172"/>
      <c r="X452" s="172"/>
      <c r="Y452" s="172"/>
      <c r="Z452" s="172"/>
    </row>
    <row r="453">
      <c r="A453" s="172"/>
      <c r="B453" s="182"/>
      <c r="C453" s="172"/>
      <c r="D453" s="172"/>
      <c r="E453" s="172"/>
      <c r="F453" s="172"/>
      <c r="G453" s="172"/>
      <c r="H453" s="172"/>
      <c r="I453" s="182"/>
      <c r="J453" s="172"/>
      <c r="K453" s="172"/>
      <c r="L453" s="172"/>
      <c r="M453" s="172"/>
      <c r="N453" s="172"/>
      <c r="O453" s="172"/>
      <c r="P453" s="172"/>
      <c r="Q453" s="172"/>
      <c r="R453" s="172"/>
      <c r="S453" s="172"/>
      <c r="T453" s="172"/>
      <c r="U453" s="172"/>
      <c r="V453" s="172"/>
      <c r="W453" s="172"/>
      <c r="X453" s="172"/>
      <c r="Y453" s="172"/>
      <c r="Z453" s="172"/>
    </row>
    <row r="454">
      <c r="A454" s="172"/>
      <c r="B454" s="182"/>
      <c r="C454" s="172"/>
      <c r="D454" s="172"/>
      <c r="E454" s="172"/>
      <c r="F454" s="172"/>
      <c r="G454" s="172"/>
      <c r="H454" s="172"/>
      <c r="I454" s="182"/>
      <c r="J454" s="172"/>
      <c r="K454" s="172"/>
      <c r="L454" s="172"/>
      <c r="M454" s="172"/>
      <c r="N454" s="172"/>
      <c r="O454" s="172"/>
      <c r="P454" s="172"/>
      <c r="Q454" s="172"/>
      <c r="R454" s="172"/>
      <c r="S454" s="172"/>
      <c r="T454" s="172"/>
      <c r="U454" s="172"/>
      <c r="V454" s="172"/>
      <c r="W454" s="172"/>
      <c r="X454" s="172"/>
      <c r="Y454" s="172"/>
      <c r="Z454" s="172"/>
    </row>
    <row r="455">
      <c r="A455" s="172"/>
      <c r="B455" s="182"/>
      <c r="C455" s="172"/>
      <c r="D455" s="172"/>
      <c r="E455" s="172"/>
      <c r="F455" s="172"/>
      <c r="G455" s="172"/>
      <c r="H455" s="172"/>
      <c r="I455" s="182"/>
      <c r="J455" s="172"/>
      <c r="K455" s="172"/>
      <c r="L455" s="172"/>
      <c r="M455" s="172"/>
      <c r="N455" s="172"/>
      <c r="O455" s="172"/>
      <c r="P455" s="172"/>
      <c r="Q455" s="172"/>
      <c r="R455" s="172"/>
      <c r="S455" s="172"/>
      <c r="T455" s="172"/>
      <c r="U455" s="172"/>
      <c r="V455" s="172"/>
      <c r="W455" s="172"/>
      <c r="X455" s="172"/>
      <c r="Y455" s="172"/>
      <c r="Z455" s="172"/>
    </row>
    <row r="456">
      <c r="A456" s="172"/>
      <c r="B456" s="182"/>
      <c r="C456" s="172"/>
      <c r="D456" s="172"/>
      <c r="E456" s="172"/>
      <c r="F456" s="172"/>
      <c r="G456" s="172"/>
      <c r="H456" s="172"/>
      <c r="I456" s="182"/>
      <c r="J456" s="172"/>
      <c r="K456" s="172"/>
      <c r="L456" s="172"/>
      <c r="M456" s="172"/>
      <c r="N456" s="172"/>
      <c r="O456" s="172"/>
      <c r="P456" s="172"/>
      <c r="Q456" s="172"/>
      <c r="R456" s="172"/>
      <c r="S456" s="172"/>
      <c r="T456" s="172"/>
      <c r="U456" s="172"/>
      <c r="V456" s="172"/>
      <c r="W456" s="172"/>
      <c r="X456" s="172"/>
      <c r="Y456" s="172"/>
      <c r="Z456" s="172"/>
    </row>
    <row r="457">
      <c r="A457" s="172"/>
      <c r="B457" s="182"/>
      <c r="C457" s="172"/>
      <c r="D457" s="172"/>
      <c r="E457" s="172"/>
      <c r="F457" s="172"/>
      <c r="G457" s="172"/>
      <c r="H457" s="172"/>
      <c r="I457" s="182"/>
      <c r="J457" s="172"/>
      <c r="K457" s="172"/>
      <c r="L457" s="172"/>
      <c r="M457" s="172"/>
      <c r="N457" s="172"/>
      <c r="O457" s="172"/>
      <c r="P457" s="172"/>
      <c r="Q457" s="172"/>
      <c r="R457" s="172"/>
      <c r="S457" s="172"/>
      <c r="T457" s="172"/>
      <c r="U457" s="172"/>
      <c r="V457" s="172"/>
      <c r="W457" s="172"/>
      <c r="X457" s="172"/>
      <c r="Y457" s="172"/>
      <c r="Z457" s="172"/>
    </row>
    <row r="458">
      <c r="A458" s="172"/>
      <c r="B458" s="182"/>
      <c r="C458" s="172"/>
      <c r="D458" s="172"/>
      <c r="E458" s="172"/>
      <c r="F458" s="172"/>
      <c r="G458" s="172"/>
      <c r="H458" s="172"/>
      <c r="I458" s="182"/>
      <c r="J458" s="172"/>
      <c r="K458" s="172"/>
      <c r="L458" s="172"/>
      <c r="M458" s="172"/>
      <c r="N458" s="172"/>
      <c r="O458" s="172"/>
      <c r="P458" s="172"/>
      <c r="Q458" s="172"/>
      <c r="R458" s="172"/>
      <c r="S458" s="172"/>
      <c r="T458" s="172"/>
      <c r="U458" s="172"/>
      <c r="V458" s="172"/>
      <c r="W458" s="172"/>
      <c r="X458" s="172"/>
      <c r="Y458" s="172"/>
      <c r="Z458" s="172"/>
    </row>
    <row r="459">
      <c r="A459" s="172"/>
      <c r="B459" s="182"/>
      <c r="C459" s="172"/>
      <c r="D459" s="172"/>
      <c r="E459" s="172"/>
      <c r="F459" s="172"/>
      <c r="G459" s="172"/>
      <c r="H459" s="172"/>
      <c r="I459" s="182"/>
      <c r="J459" s="172"/>
      <c r="K459" s="172"/>
      <c r="L459" s="172"/>
      <c r="M459" s="172"/>
      <c r="N459" s="172"/>
      <c r="O459" s="172"/>
      <c r="P459" s="172"/>
      <c r="Q459" s="172"/>
      <c r="R459" s="172"/>
      <c r="S459" s="172"/>
      <c r="T459" s="172"/>
      <c r="U459" s="172"/>
      <c r="V459" s="172"/>
      <c r="W459" s="172"/>
      <c r="X459" s="172"/>
      <c r="Y459" s="172"/>
      <c r="Z459" s="172"/>
    </row>
    <row r="460">
      <c r="A460" s="172"/>
      <c r="B460" s="182"/>
      <c r="C460" s="172"/>
      <c r="D460" s="172"/>
      <c r="E460" s="172"/>
      <c r="F460" s="172"/>
      <c r="G460" s="172"/>
      <c r="H460" s="172"/>
      <c r="I460" s="182"/>
      <c r="J460" s="172"/>
      <c r="K460" s="172"/>
      <c r="L460" s="172"/>
      <c r="M460" s="172"/>
      <c r="N460" s="172"/>
      <c r="O460" s="172"/>
      <c r="P460" s="172"/>
      <c r="Q460" s="172"/>
      <c r="R460" s="172"/>
      <c r="S460" s="172"/>
      <c r="T460" s="172"/>
      <c r="U460" s="172"/>
      <c r="V460" s="172"/>
      <c r="W460" s="172"/>
      <c r="X460" s="172"/>
      <c r="Y460" s="172"/>
      <c r="Z460" s="172"/>
    </row>
    <row r="461">
      <c r="A461" s="172"/>
      <c r="B461" s="182"/>
      <c r="C461" s="172"/>
      <c r="D461" s="172"/>
      <c r="E461" s="172"/>
      <c r="F461" s="172"/>
      <c r="G461" s="172"/>
      <c r="H461" s="172"/>
      <c r="I461" s="182"/>
      <c r="J461" s="172"/>
      <c r="K461" s="172"/>
      <c r="L461" s="172"/>
      <c r="M461" s="172"/>
      <c r="N461" s="172"/>
      <c r="O461" s="172"/>
      <c r="P461" s="172"/>
      <c r="Q461" s="172"/>
      <c r="R461" s="172"/>
      <c r="S461" s="172"/>
      <c r="T461" s="172"/>
      <c r="U461" s="172"/>
      <c r="V461" s="172"/>
      <c r="W461" s="172"/>
      <c r="X461" s="172"/>
      <c r="Y461" s="172"/>
      <c r="Z461" s="172"/>
    </row>
    <row r="462">
      <c r="A462" s="172"/>
      <c r="B462" s="182"/>
      <c r="C462" s="172"/>
      <c r="D462" s="172"/>
      <c r="E462" s="172"/>
      <c r="F462" s="172"/>
      <c r="G462" s="172"/>
      <c r="H462" s="172"/>
      <c r="I462" s="182"/>
      <c r="J462" s="172"/>
      <c r="K462" s="172"/>
      <c r="L462" s="172"/>
      <c r="M462" s="172"/>
      <c r="N462" s="172"/>
      <c r="O462" s="172"/>
      <c r="P462" s="172"/>
      <c r="Q462" s="172"/>
      <c r="R462" s="172"/>
      <c r="S462" s="172"/>
      <c r="T462" s="172"/>
      <c r="U462" s="172"/>
      <c r="V462" s="172"/>
      <c r="W462" s="172"/>
      <c r="X462" s="172"/>
      <c r="Y462" s="172"/>
      <c r="Z462" s="172"/>
    </row>
    <row r="463">
      <c r="A463" s="172"/>
      <c r="B463" s="182"/>
      <c r="C463" s="172"/>
      <c r="D463" s="172"/>
      <c r="E463" s="172"/>
      <c r="F463" s="172"/>
      <c r="G463" s="172"/>
      <c r="H463" s="172"/>
      <c r="I463" s="182"/>
      <c r="J463" s="172"/>
      <c r="K463" s="172"/>
      <c r="L463" s="172"/>
      <c r="M463" s="172"/>
      <c r="N463" s="172"/>
      <c r="O463" s="172"/>
      <c r="P463" s="172"/>
      <c r="Q463" s="172"/>
      <c r="R463" s="172"/>
      <c r="S463" s="172"/>
      <c r="T463" s="172"/>
      <c r="U463" s="172"/>
      <c r="V463" s="172"/>
      <c r="W463" s="172"/>
      <c r="X463" s="172"/>
      <c r="Y463" s="172"/>
      <c r="Z463" s="172"/>
    </row>
    <row r="464">
      <c r="A464" s="172"/>
      <c r="B464" s="182"/>
      <c r="C464" s="172"/>
      <c r="D464" s="172"/>
      <c r="E464" s="172"/>
      <c r="F464" s="172"/>
      <c r="G464" s="172"/>
      <c r="H464" s="172"/>
      <c r="I464" s="182"/>
      <c r="J464" s="172"/>
      <c r="K464" s="172"/>
      <c r="L464" s="172"/>
      <c r="M464" s="172"/>
      <c r="N464" s="172"/>
      <c r="O464" s="172"/>
      <c r="P464" s="172"/>
      <c r="Q464" s="172"/>
      <c r="R464" s="172"/>
      <c r="S464" s="172"/>
      <c r="T464" s="172"/>
      <c r="U464" s="172"/>
      <c r="V464" s="172"/>
      <c r="W464" s="172"/>
      <c r="X464" s="172"/>
      <c r="Y464" s="172"/>
      <c r="Z464" s="172"/>
    </row>
    <row r="465">
      <c r="A465" s="172"/>
      <c r="B465" s="182"/>
      <c r="C465" s="172"/>
      <c r="D465" s="172"/>
      <c r="E465" s="172"/>
      <c r="F465" s="172"/>
      <c r="G465" s="172"/>
      <c r="H465" s="172"/>
      <c r="I465" s="182"/>
      <c r="J465" s="172"/>
      <c r="K465" s="172"/>
      <c r="L465" s="172"/>
      <c r="M465" s="172"/>
      <c r="N465" s="172"/>
      <c r="O465" s="172"/>
      <c r="P465" s="172"/>
      <c r="Q465" s="172"/>
      <c r="R465" s="172"/>
      <c r="S465" s="172"/>
      <c r="T465" s="172"/>
      <c r="U465" s="172"/>
      <c r="V465" s="172"/>
      <c r="W465" s="172"/>
      <c r="X465" s="172"/>
      <c r="Y465" s="172"/>
      <c r="Z465" s="172"/>
    </row>
    <row r="466">
      <c r="A466" s="172"/>
      <c r="B466" s="182"/>
      <c r="C466" s="172"/>
      <c r="D466" s="172"/>
      <c r="E466" s="172"/>
      <c r="F466" s="172"/>
      <c r="G466" s="172"/>
      <c r="H466" s="172"/>
      <c r="I466" s="182"/>
      <c r="J466" s="172"/>
      <c r="K466" s="172"/>
      <c r="L466" s="172"/>
      <c r="M466" s="172"/>
      <c r="N466" s="172"/>
      <c r="O466" s="172"/>
      <c r="P466" s="172"/>
      <c r="Q466" s="172"/>
      <c r="R466" s="172"/>
      <c r="S466" s="172"/>
      <c r="T466" s="172"/>
      <c r="U466" s="172"/>
      <c r="V466" s="172"/>
      <c r="W466" s="172"/>
      <c r="X466" s="172"/>
      <c r="Y466" s="172"/>
      <c r="Z466" s="172"/>
    </row>
    <row r="467">
      <c r="A467" s="172"/>
      <c r="B467" s="182"/>
      <c r="C467" s="172"/>
      <c r="D467" s="172"/>
      <c r="E467" s="172"/>
      <c r="F467" s="172"/>
      <c r="G467" s="172"/>
      <c r="H467" s="172"/>
      <c r="I467" s="182"/>
      <c r="J467" s="172"/>
      <c r="K467" s="172"/>
      <c r="L467" s="172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</row>
    <row r="468">
      <c r="A468" s="172"/>
      <c r="B468" s="182"/>
      <c r="C468" s="172"/>
      <c r="D468" s="172"/>
      <c r="E468" s="172"/>
      <c r="F468" s="172"/>
      <c r="G468" s="172"/>
      <c r="H468" s="172"/>
      <c r="I468" s="182"/>
      <c r="J468" s="172"/>
      <c r="K468" s="172"/>
      <c r="L468" s="172"/>
      <c r="M468" s="172"/>
      <c r="N468" s="172"/>
      <c r="O468" s="172"/>
      <c r="P468" s="172"/>
      <c r="Q468" s="172"/>
      <c r="R468" s="172"/>
      <c r="S468" s="172"/>
      <c r="T468" s="172"/>
      <c r="U468" s="172"/>
      <c r="V468" s="172"/>
      <c r="W468" s="172"/>
      <c r="X468" s="172"/>
      <c r="Y468" s="172"/>
      <c r="Z468" s="172"/>
    </row>
    <row r="469">
      <c r="A469" s="172"/>
      <c r="B469" s="182"/>
      <c r="C469" s="172"/>
      <c r="D469" s="172"/>
      <c r="E469" s="172"/>
      <c r="F469" s="172"/>
      <c r="G469" s="172"/>
      <c r="H469" s="172"/>
      <c r="I469" s="182"/>
      <c r="J469" s="172"/>
      <c r="K469" s="172"/>
      <c r="L469" s="172"/>
      <c r="M469" s="172"/>
      <c r="N469" s="172"/>
      <c r="O469" s="172"/>
      <c r="P469" s="172"/>
      <c r="Q469" s="172"/>
      <c r="R469" s="172"/>
      <c r="S469" s="172"/>
      <c r="T469" s="172"/>
      <c r="U469" s="172"/>
      <c r="V469" s="172"/>
      <c r="W469" s="172"/>
      <c r="X469" s="172"/>
      <c r="Y469" s="172"/>
      <c r="Z469" s="172"/>
    </row>
    <row r="470">
      <c r="A470" s="172"/>
      <c r="B470" s="182"/>
      <c r="C470" s="172"/>
      <c r="D470" s="172"/>
      <c r="E470" s="172"/>
      <c r="F470" s="172"/>
      <c r="G470" s="172"/>
      <c r="H470" s="172"/>
      <c r="I470" s="182"/>
      <c r="J470" s="172"/>
      <c r="K470" s="172"/>
      <c r="L470" s="172"/>
      <c r="M470" s="172"/>
      <c r="N470" s="172"/>
      <c r="O470" s="172"/>
      <c r="P470" s="172"/>
      <c r="Q470" s="172"/>
      <c r="R470" s="172"/>
      <c r="S470" s="172"/>
      <c r="T470" s="172"/>
      <c r="U470" s="172"/>
      <c r="V470" s="172"/>
      <c r="W470" s="172"/>
      <c r="X470" s="172"/>
      <c r="Y470" s="172"/>
      <c r="Z470" s="172"/>
    </row>
    <row r="471">
      <c r="A471" s="172"/>
      <c r="B471" s="182"/>
      <c r="C471" s="172"/>
      <c r="D471" s="172"/>
      <c r="E471" s="172"/>
      <c r="F471" s="172"/>
      <c r="G471" s="172"/>
      <c r="H471" s="172"/>
      <c r="I471" s="182"/>
      <c r="J471" s="172"/>
      <c r="K471" s="172"/>
      <c r="L471" s="172"/>
      <c r="M471" s="172"/>
      <c r="N471" s="172"/>
      <c r="O471" s="172"/>
      <c r="P471" s="172"/>
      <c r="Q471" s="172"/>
      <c r="R471" s="172"/>
      <c r="S471" s="172"/>
      <c r="T471" s="172"/>
      <c r="U471" s="172"/>
      <c r="V471" s="172"/>
      <c r="W471" s="172"/>
      <c r="X471" s="172"/>
      <c r="Y471" s="172"/>
      <c r="Z471" s="172"/>
    </row>
    <row r="472">
      <c r="A472" s="172"/>
      <c r="B472" s="182"/>
      <c r="C472" s="172"/>
      <c r="D472" s="172"/>
      <c r="E472" s="172"/>
      <c r="F472" s="172"/>
      <c r="G472" s="172"/>
      <c r="H472" s="172"/>
      <c r="I472" s="182"/>
      <c r="J472" s="172"/>
      <c r="K472" s="172"/>
      <c r="L472" s="172"/>
      <c r="M472" s="172"/>
      <c r="N472" s="172"/>
      <c r="O472" s="172"/>
      <c r="P472" s="172"/>
      <c r="Q472" s="172"/>
      <c r="R472" s="172"/>
      <c r="S472" s="172"/>
      <c r="T472" s="172"/>
      <c r="U472" s="172"/>
      <c r="V472" s="172"/>
      <c r="W472" s="172"/>
      <c r="X472" s="172"/>
      <c r="Y472" s="172"/>
      <c r="Z472" s="172"/>
    </row>
    <row r="473">
      <c r="A473" s="172"/>
      <c r="B473" s="182"/>
      <c r="C473" s="172"/>
      <c r="D473" s="172"/>
      <c r="E473" s="172"/>
      <c r="F473" s="172"/>
      <c r="G473" s="172"/>
      <c r="H473" s="172"/>
      <c r="I473" s="182"/>
      <c r="J473" s="172"/>
      <c r="K473" s="172"/>
      <c r="L473" s="172"/>
      <c r="M473" s="172"/>
      <c r="N473" s="172"/>
      <c r="O473" s="172"/>
      <c r="P473" s="172"/>
      <c r="Q473" s="172"/>
      <c r="R473" s="172"/>
      <c r="S473" s="172"/>
      <c r="T473" s="172"/>
      <c r="U473" s="172"/>
      <c r="V473" s="172"/>
      <c r="W473" s="172"/>
      <c r="X473" s="172"/>
      <c r="Y473" s="172"/>
      <c r="Z473" s="172"/>
    </row>
    <row r="474">
      <c r="A474" s="172"/>
      <c r="B474" s="182"/>
      <c r="C474" s="172"/>
      <c r="D474" s="172"/>
      <c r="E474" s="172"/>
      <c r="F474" s="172"/>
      <c r="G474" s="172"/>
      <c r="H474" s="172"/>
      <c r="I474" s="182"/>
      <c r="J474" s="172"/>
      <c r="K474" s="172"/>
      <c r="L474" s="172"/>
      <c r="M474" s="172"/>
      <c r="N474" s="172"/>
      <c r="O474" s="172"/>
      <c r="P474" s="172"/>
      <c r="Q474" s="172"/>
      <c r="R474" s="172"/>
      <c r="S474" s="172"/>
      <c r="T474" s="172"/>
      <c r="U474" s="172"/>
      <c r="V474" s="172"/>
      <c r="W474" s="172"/>
      <c r="X474" s="172"/>
      <c r="Y474" s="172"/>
      <c r="Z474" s="172"/>
    </row>
    <row r="475">
      <c r="A475" s="172"/>
      <c r="B475" s="182"/>
      <c r="C475" s="172"/>
      <c r="D475" s="172"/>
      <c r="E475" s="172"/>
      <c r="F475" s="172"/>
      <c r="G475" s="172"/>
      <c r="H475" s="172"/>
      <c r="I475" s="182"/>
      <c r="J475" s="172"/>
      <c r="K475" s="172"/>
      <c r="L475" s="172"/>
      <c r="M475" s="172"/>
      <c r="N475" s="172"/>
      <c r="O475" s="172"/>
      <c r="P475" s="172"/>
      <c r="Q475" s="172"/>
      <c r="R475" s="172"/>
      <c r="S475" s="172"/>
      <c r="T475" s="172"/>
      <c r="U475" s="172"/>
      <c r="V475" s="172"/>
      <c r="W475" s="172"/>
      <c r="X475" s="172"/>
      <c r="Y475" s="172"/>
      <c r="Z475" s="172"/>
    </row>
    <row r="476">
      <c r="A476" s="172"/>
      <c r="B476" s="182"/>
      <c r="C476" s="172"/>
      <c r="D476" s="172"/>
      <c r="E476" s="172"/>
      <c r="F476" s="172"/>
      <c r="G476" s="172"/>
      <c r="H476" s="172"/>
      <c r="I476" s="182"/>
      <c r="J476" s="172"/>
      <c r="K476" s="172"/>
      <c r="L476" s="172"/>
      <c r="M476" s="172"/>
      <c r="N476" s="172"/>
      <c r="O476" s="172"/>
      <c r="P476" s="172"/>
      <c r="Q476" s="172"/>
      <c r="R476" s="172"/>
      <c r="S476" s="172"/>
      <c r="T476" s="172"/>
      <c r="U476" s="172"/>
      <c r="V476" s="172"/>
      <c r="W476" s="172"/>
      <c r="X476" s="172"/>
      <c r="Y476" s="172"/>
      <c r="Z476" s="172"/>
    </row>
    <row r="477">
      <c r="A477" s="172"/>
      <c r="B477" s="182"/>
      <c r="C477" s="172"/>
      <c r="D477" s="172"/>
      <c r="E477" s="172"/>
      <c r="F477" s="172"/>
      <c r="G477" s="172"/>
      <c r="H477" s="172"/>
      <c r="I477" s="182"/>
      <c r="J477" s="172"/>
      <c r="K477" s="172"/>
      <c r="L477" s="172"/>
      <c r="M477" s="172"/>
      <c r="N477" s="172"/>
      <c r="O477" s="172"/>
      <c r="P477" s="172"/>
      <c r="Q477" s="172"/>
      <c r="R477" s="172"/>
      <c r="S477" s="172"/>
      <c r="T477" s="172"/>
      <c r="U477" s="172"/>
      <c r="V477" s="172"/>
      <c r="W477" s="172"/>
      <c r="X477" s="172"/>
      <c r="Y477" s="172"/>
      <c r="Z477" s="172"/>
    </row>
    <row r="478">
      <c r="A478" s="172"/>
      <c r="B478" s="182"/>
      <c r="C478" s="172"/>
      <c r="D478" s="172"/>
      <c r="E478" s="172"/>
      <c r="F478" s="172"/>
      <c r="G478" s="172"/>
      <c r="H478" s="172"/>
      <c r="I478" s="182"/>
      <c r="J478" s="172"/>
      <c r="K478" s="172"/>
      <c r="L478" s="172"/>
      <c r="M478" s="172"/>
      <c r="N478" s="172"/>
      <c r="O478" s="172"/>
      <c r="P478" s="172"/>
      <c r="Q478" s="172"/>
      <c r="R478" s="172"/>
      <c r="S478" s="172"/>
      <c r="T478" s="172"/>
      <c r="U478" s="172"/>
      <c r="V478" s="172"/>
      <c r="W478" s="172"/>
      <c r="X478" s="172"/>
      <c r="Y478" s="172"/>
      <c r="Z478" s="172"/>
    </row>
    <row r="479">
      <c r="A479" s="172"/>
      <c r="B479" s="182"/>
      <c r="C479" s="172"/>
      <c r="D479" s="172"/>
      <c r="E479" s="172"/>
      <c r="F479" s="172"/>
      <c r="G479" s="172"/>
      <c r="H479" s="172"/>
      <c r="I479" s="182"/>
      <c r="J479" s="172"/>
      <c r="K479" s="172"/>
      <c r="L479" s="172"/>
      <c r="M479" s="172"/>
      <c r="N479" s="172"/>
      <c r="O479" s="172"/>
      <c r="P479" s="172"/>
      <c r="Q479" s="172"/>
      <c r="R479" s="172"/>
      <c r="S479" s="172"/>
      <c r="T479" s="172"/>
      <c r="U479" s="172"/>
      <c r="V479" s="172"/>
      <c r="W479" s="172"/>
      <c r="X479" s="172"/>
      <c r="Y479" s="172"/>
      <c r="Z479" s="172"/>
    </row>
    <row r="480">
      <c r="A480" s="172"/>
      <c r="B480" s="182"/>
      <c r="C480" s="172"/>
      <c r="D480" s="172"/>
      <c r="E480" s="172"/>
      <c r="F480" s="172"/>
      <c r="G480" s="172"/>
      <c r="H480" s="172"/>
      <c r="I480" s="182"/>
      <c r="J480" s="172"/>
      <c r="K480" s="172"/>
      <c r="L480" s="172"/>
      <c r="M480" s="172"/>
      <c r="N480" s="172"/>
      <c r="O480" s="172"/>
      <c r="P480" s="172"/>
      <c r="Q480" s="172"/>
      <c r="R480" s="172"/>
      <c r="S480" s="172"/>
      <c r="T480" s="172"/>
      <c r="U480" s="172"/>
      <c r="V480" s="172"/>
      <c r="W480" s="172"/>
      <c r="X480" s="172"/>
      <c r="Y480" s="172"/>
      <c r="Z480" s="172"/>
    </row>
    <row r="481">
      <c r="A481" s="172"/>
      <c r="B481" s="182"/>
      <c r="C481" s="172"/>
      <c r="D481" s="172"/>
      <c r="E481" s="172"/>
      <c r="F481" s="172"/>
      <c r="G481" s="172"/>
      <c r="H481" s="172"/>
      <c r="I481" s="182"/>
      <c r="J481" s="172"/>
      <c r="K481" s="172"/>
      <c r="L481" s="172"/>
      <c r="M481" s="172"/>
      <c r="N481" s="172"/>
      <c r="O481" s="172"/>
      <c r="P481" s="172"/>
      <c r="Q481" s="172"/>
      <c r="R481" s="172"/>
      <c r="S481" s="172"/>
      <c r="T481" s="172"/>
      <c r="U481" s="172"/>
      <c r="V481" s="172"/>
      <c r="W481" s="172"/>
      <c r="X481" s="172"/>
      <c r="Y481" s="172"/>
      <c r="Z481" s="172"/>
    </row>
    <row r="482">
      <c r="A482" s="172"/>
      <c r="B482" s="182"/>
      <c r="C482" s="172"/>
      <c r="D482" s="172"/>
      <c r="E482" s="172"/>
      <c r="F482" s="172"/>
      <c r="G482" s="172"/>
      <c r="H482" s="172"/>
      <c r="I482" s="182"/>
      <c r="J482" s="172"/>
      <c r="K482" s="172"/>
      <c r="L482" s="172"/>
      <c r="M482" s="172"/>
      <c r="N482" s="172"/>
      <c r="O482" s="172"/>
      <c r="P482" s="172"/>
      <c r="Q482" s="172"/>
      <c r="R482" s="172"/>
      <c r="S482" s="172"/>
      <c r="T482" s="172"/>
      <c r="U482" s="172"/>
      <c r="V482" s="172"/>
      <c r="W482" s="172"/>
      <c r="X482" s="172"/>
      <c r="Y482" s="172"/>
      <c r="Z482" s="172"/>
    </row>
    <row r="483">
      <c r="A483" s="172"/>
      <c r="B483" s="182"/>
      <c r="C483" s="172"/>
      <c r="D483" s="172"/>
      <c r="E483" s="172"/>
      <c r="F483" s="172"/>
      <c r="G483" s="172"/>
      <c r="H483" s="172"/>
      <c r="I483" s="182"/>
      <c r="J483" s="172"/>
      <c r="K483" s="172"/>
      <c r="L483" s="172"/>
      <c r="M483" s="172"/>
      <c r="N483" s="172"/>
      <c r="O483" s="172"/>
      <c r="P483" s="172"/>
      <c r="Q483" s="172"/>
      <c r="R483" s="172"/>
      <c r="S483" s="172"/>
      <c r="T483" s="172"/>
      <c r="U483" s="172"/>
      <c r="V483" s="172"/>
      <c r="W483" s="172"/>
      <c r="X483" s="172"/>
      <c r="Y483" s="172"/>
      <c r="Z483" s="172"/>
    </row>
    <row r="484">
      <c r="A484" s="172"/>
      <c r="B484" s="182"/>
      <c r="C484" s="172"/>
      <c r="D484" s="172"/>
      <c r="E484" s="172"/>
      <c r="F484" s="172"/>
      <c r="G484" s="172"/>
      <c r="H484" s="172"/>
      <c r="I484" s="182"/>
      <c r="J484" s="172"/>
      <c r="K484" s="172"/>
      <c r="L484" s="172"/>
      <c r="M484" s="172"/>
      <c r="N484" s="172"/>
      <c r="O484" s="172"/>
      <c r="P484" s="172"/>
      <c r="Q484" s="172"/>
      <c r="R484" s="172"/>
      <c r="S484" s="172"/>
      <c r="T484" s="172"/>
      <c r="U484" s="172"/>
      <c r="V484" s="172"/>
      <c r="W484" s="172"/>
      <c r="X484" s="172"/>
      <c r="Y484" s="172"/>
      <c r="Z484" s="172"/>
    </row>
    <row r="485">
      <c r="A485" s="172"/>
      <c r="B485" s="182"/>
      <c r="C485" s="172"/>
      <c r="D485" s="172"/>
      <c r="E485" s="172"/>
      <c r="F485" s="172"/>
      <c r="G485" s="172"/>
      <c r="H485" s="172"/>
      <c r="I485" s="182"/>
      <c r="J485" s="172"/>
      <c r="K485" s="172"/>
      <c r="L485" s="172"/>
      <c r="M485" s="172"/>
      <c r="N485" s="172"/>
      <c r="O485" s="172"/>
      <c r="P485" s="172"/>
      <c r="Q485" s="172"/>
      <c r="R485" s="172"/>
      <c r="S485" s="172"/>
      <c r="T485" s="172"/>
      <c r="U485" s="172"/>
      <c r="V485" s="172"/>
      <c r="W485" s="172"/>
      <c r="X485" s="172"/>
      <c r="Y485" s="172"/>
      <c r="Z485" s="172"/>
    </row>
    <row r="486">
      <c r="A486" s="172"/>
      <c r="B486" s="182"/>
      <c r="C486" s="172"/>
      <c r="D486" s="172"/>
      <c r="E486" s="172"/>
      <c r="F486" s="172"/>
      <c r="G486" s="172"/>
      <c r="H486" s="172"/>
      <c r="I486" s="182"/>
      <c r="J486" s="172"/>
      <c r="K486" s="172"/>
      <c r="L486" s="172"/>
      <c r="M486" s="172"/>
      <c r="N486" s="172"/>
      <c r="O486" s="172"/>
      <c r="P486" s="172"/>
      <c r="Q486" s="172"/>
      <c r="R486" s="172"/>
      <c r="S486" s="172"/>
      <c r="T486" s="172"/>
      <c r="U486" s="172"/>
      <c r="V486" s="172"/>
      <c r="W486" s="172"/>
      <c r="X486" s="172"/>
      <c r="Y486" s="172"/>
      <c r="Z486" s="172"/>
    </row>
    <row r="487">
      <c r="A487" s="172"/>
      <c r="B487" s="182"/>
      <c r="C487" s="172"/>
      <c r="D487" s="172"/>
      <c r="E487" s="172"/>
      <c r="F487" s="172"/>
      <c r="G487" s="172"/>
      <c r="H487" s="172"/>
      <c r="I487" s="182"/>
      <c r="J487" s="172"/>
      <c r="K487" s="172"/>
      <c r="L487" s="172"/>
      <c r="M487" s="172"/>
      <c r="N487" s="172"/>
      <c r="O487" s="172"/>
      <c r="P487" s="172"/>
      <c r="Q487" s="172"/>
      <c r="R487" s="172"/>
      <c r="S487" s="172"/>
      <c r="T487" s="172"/>
      <c r="U487" s="172"/>
      <c r="V487" s="172"/>
      <c r="W487" s="172"/>
      <c r="X487" s="172"/>
      <c r="Y487" s="172"/>
      <c r="Z487" s="172"/>
    </row>
    <row r="488">
      <c r="A488" s="172"/>
      <c r="B488" s="182"/>
      <c r="C488" s="172"/>
      <c r="D488" s="172"/>
      <c r="E488" s="172"/>
      <c r="F488" s="172"/>
      <c r="G488" s="172"/>
      <c r="H488" s="172"/>
      <c r="I488" s="182"/>
      <c r="J488" s="172"/>
      <c r="K488" s="172"/>
      <c r="L488" s="172"/>
      <c r="M488" s="172"/>
      <c r="N488" s="172"/>
      <c r="O488" s="172"/>
      <c r="P488" s="172"/>
      <c r="Q488" s="172"/>
      <c r="R488" s="172"/>
      <c r="S488" s="172"/>
      <c r="T488" s="172"/>
      <c r="U488" s="172"/>
      <c r="V488" s="172"/>
      <c r="W488" s="172"/>
      <c r="X488" s="172"/>
      <c r="Y488" s="172"/>
      <c r="Z488" s="172"/>
    </row>
    <row r="489">
      <c r="A489" s="172"/>
      <c r="B489" s="182"/>
      <c r="C489" s="172"/>
      <c r="D489" s="172"/>
      <c r="E489" s="172"/>
      <c r="F489" s="172"/>
      <c r="G489" s="172"/>
      <c r="H489" s="172"/>
      <c r="I489" s="182"/>
      <c r="J489" s="172"/>
      <c r="K489" s="172"/>
      <c r="L489" s="172"/>
      <c r="M489" s="172"/>
      <c r="N489" s="172"/>
      <c r="O489" s="172"/>
      <c r="P489" s="172"/>
      <c r="Q489" s="172"/>
      <c r="R489" s="172"/>
      <c r="S489" s="172"/>
      <c r="T489" s="172"/>
      <c r="U489" s="172"/>
      <c r="V489" s="172"/>
      <c r="W489" s="172"/>
      <c r="X489" s="172"/>
      <c r="Y489" s="172"/>
      <c r="Z489" s="172"/>
    </row>
    <row r="490">
      <c r="A490" s="172"/>
      <c r="B490" s="182"/>
      <c r="C490" s="172"/>
      <c r="D490" s="172"/>
      <c r="E490" s="172"/>
      <c r="F490" s="172"/>
      <c r="G490" s="172"/>
      <c r="H490" s="172"/>
      <c r="I490" s="182"/>
      <c r="J490" s="172"/>
      <c r="K490" s="172"/>
      <c r="L490" s="172"/>
      <c r="M490" s="172"/>
      <c r="N490" s="172"/>
      <c r="O490" s="172"/>
      <c r="P490" s="172"/>
      <c r="Q490" s="172"/>
      <c r="R490" s="172"/>
      <c r="S490" s="172"/>
      <c r="T490" s="172"/>
      <c r="U490" s="172"/>
      <c r="V490" s="172"/>
      <c r="W490" s="172"/>
      <c r="X490" s="172"/>
      <c r="Y490" s="172"/>
      <c r="Z490" s="172"/>
    </row>
    <row r="491">
      <c r="A491" s="172"/>
      <c r="B491" s="182"/>
      <c r="C491" s="172"/>
      <c r="D491" s="172"/>
      <c r="E491" s="172"/>
      <c r="F491" s="172"/>
      <c r="G491" s="172"/>
      <c r="H491" s="172"/>
      <c r="I491" s="182"/>
      <c r="J491" s="172"/>
      <c r="K491" s="172"/>
      <c r="L491" s="172"/>
      <c r="M491" s="172"/>
      <c r="N491" s="172"/>
      <c r="O491" s="172"/>
      <c r="P491" s="172"/>
      <c r="Q491" s="172"/>
      <c r="R491" s="172"/>
      <c r="S491" s="172"/>
      <c r="T491" s="172"/>
      <c r="U491" s="172"/>
      <c r="V491" s="172"/>
      <c r="W491" s="172"/>
      <c r="X491" s="172"/>
      <c r="Y491" s="172"/>
      <c r="Z491" s="172"/>
    </row>
    <row r="492">
      <c r="A492" s="172"/>
      <c r="B492" s="182"/>
      <c r="C492" s="172"/>
      <c r="D492" s="172"/>
      <c r="E492" s="172"/>
      <c r="F492" s="172"/>
      <c r="G492" s="172"/>
      <c r="H492" s="172"/>
      <c r="I492" s="182"/>
      <c r="J492" s="172"/>
      <c r="K492" s="172"/>
      <c r="L492" s="172"/>
      <c r="M492" s="172"/>
      <c r="N492" s="172"/>
      <c r="O492" s="172"/>
      <c r="P492" s="172"/>
      <c r="Q492" s="172"/>
      <c r="R492" s="172"/>
      <c r="S492" s="172"/>
      <c r="T492" s="172"/>
      <c r="U492" s="172"/>
      <c r="V492" s="172"/>
      <c r="W492" s="172"/>
      <c r="X492" s="172"/>
      <c r="Y492" s="172"/>
      <c r="Z492" s="172"/>
    </row>
    <row r="493">
      <c r="A493" s="172"/>
      <c r="B493" s="182"/>
      <c r="C493" s="172"/>
      <c r="D493" s="172"/>
      <c r="E493" s="172"/>
      <c r="F493" s="172"/>
      <c r="G493" s="172"/>
      <c r="H493" s="172"/>
      <c r="I493" s="182"/>
      <c r="J493" s="172"/>
      <c r="K493" s="172"/>
      <c r="L493" s="172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</row>
    <row r="494">
      <c r="A494" s="172"/>
      <c r="B494" s="182"/>
      <c r="C494" s="172"/>
      <c r="D494" s="172"/>
      <c r="E494" s="172"/>
      <c r="F494" s="172"/>
      <c r="G494" s="172"/>
      <c r="H494" s="172"/>
      <c r="I494" s="182"/>
      <c r="J494" s="172"/>
      <c r="K494" s="172"/>
      <c r="L494" s="172"/>
      <c r="M494" s="172"/>
      <c r="N494" s="172"/>
      <c r="O494" s="172"/>
      <c r="P494" s="172"/>
      <c r="Q494" s="172"/>
      <c r="R494" s="172"/>
      <c r="S494" s="172"/>
      <c r="T494" s="172"/>
      <c r="U494" s="172"/>
      <c r="V494" s="172"/>
      <c r="W494" s="172"/>
      <c r="X494" s="172"/>
      <c r="Y494" s="172"/>
      <c r="Z494" s="172"/>
    </row>
    <row r="495">
      <c r="A495" s="172"/>
      <c r="B495" s="182"/>
      <c r="C495" s="172"/>
      <c r="D495" s="172"/>
      <c r="E495" s="172"/>
      <c r="F495" s="172"/>
      <c r="G495" s="172"/>
      <c r="H495" s="172"/>
      <c r="I495" s="182"/>
      <c r="J495" s="172"/>
      <c r="K495" s="172"/>
      <c r="L495" s="172"/>
      <c r="M495" s="172"/>
      <c r="N495" s="172"/>
      <c r="O495" s="172"/>
      <c r="P495" s="172"/>
      <c r="Q495" s="172"/>
      <c r="R495" s="172"/>
      <c r="S495" s="172"/>
      <c r="T495" s="172"/>
      <c r="U495" s="172"/>
      <c r="V495" s="172"/>
      <c r="W495" s="172"/>
      <c r="X495" s="172"/>
      <c r="Y495" s="172"/>
      <c r="Z495" s="172"/>
    </row>
    <row r="496">
      <c r="A496" s="172"/>
      <c r="B496" s="182"/>
      <c r="C496" s="172"/>
      <c r="D496" s="172"/>
      <c r="E496" s="172"/>
      <c r="F496" s="172"/>
      <c r="G496" s="172"/>
      <c r="H496" s="172"/>
      <c r="I496" s="182"/>
      <c r="J496" s="172"/>
      <c r="K496" s="172"/>
      <c r="L496" s="172"/>
      <c r="M496" s="172"/>
      <c r="N496" s="172"/>
      <c r="O496" s="172"/>
      <c r="P496" s="172"/>
      <c r="Q496" s="172"/>
      <c r="R496" s="172"/>
      <c r="S496" s="172"/>
      <c r="T496" s="172"/>
      <c r="U496" s="172"/>
      <c r="V496" s="172"/>
      <c r="W496" s="172"/>
      <c r="X496" s="172"/>
      <c r="Y496" s="172"/>
      <c r="Z496" s="172"/>
    </row>
    <row r="497">
      <c r="A497" s="172"/>
      <c r="B497" s="182"/>
      <c r="C497" s="172"/>
      <c r="D497" s="172"/>
      <c r="E497" s="172"/>
      <c r="F497" s="172"/>
      <c r="G497" s="172"/>
      <c r="H497" s="172"/>
      <c r="I497" s="182"/>
      <c r="J497" s="172"/>
      <c r="K497" s="172"/>
      <c r="L497" s="172"/>
      <c r="M497" s="172"/>
      <c r="N497" s="172"/>
      <c r="O497" s="172"/>
      <c r="P497" s="172"/>
      <c r="Q497" s="172"/>
      <c r="R497" s="172"/>
      <c r="S497" s="172"/>
      <c r="T497" s="172"/>
      <c r="U497" s="172"/>
      <c r="V497" s="172"/>
      <c r="W497" s="172"/>
      <c r="X497" s="172"/>
      <c r="Y497" s="172"/>
      <c r="Z497" s="172"/>
    </row>
    <row r="498">
      <c r="A498" s="172"/>
      <c r="B498" s="182"/>
      <c r="C498" s="172"/>
      <c r="D498" s="172"/>
      <c r="E498" s="172"/>
      <c r="F498" s="172"/>
      <c r="G498" s="172"/>
      <c r="H498" s="172"/>
      <c r="I498" s="182"/>
      <c r="J498" s="172"/>
      <c r="K498" s="172"/>
      <c r="L498" s="172"/>
      <c r="M498" s="172"/>
      <c r="N498" s="172"/>
      <c r="O498" s="172"/>
      <c r="P498" s="172"/>
      <c r="Q498" s="172"/>
      <c r="R498" s="172"/>
      <c r="S498" s="172"/>
      <c r="T498" s="172"/>
      <c r="U498" s="172"/>
      <c r="V498" s="172"/>
      <c r="W498" s="172"/>
      <c r="X498" s="172"/>
      <c r="Y498" s="172"/>
      <c r="Z498" s="172"/>
    </row>
    <row r="499">
      <c r="A499" s="172"/>
      <c r="B499" s="182"/>
      <c r="C499" s="172"/>
      <c r="D499" s="172"/>
      <c r="E499" s="172"/>
      <c r="F499" s="172"/>
      <c r="G499" s="172"/>
      <c r="H499" s="172"/>
      <c r="I499" s="182"/>
      <c r="J499" s="172"/>
      <c r="K499" s="172"/>
      <c r="L499" s="172"/>
      <c r="M499" s="172"/>
      <c r="N499" s="172"/>
      <c r="O499" s="172"/>
      <c r="P499" s="172"/>
      <c r="Q499" s="172"/>
      <c r="R499" s="172"/>
      <c r="S499" s="172"/>
      <c r="T499" s="172"/>
      <c r="U499" s="172"/>
      <c r="V499" s="172"/>
      <c r="W499" s="172"/>
      <c r="X499" s="172"/>
      <c r="Y499" s="172"/>
      <c r="Z499" s="172"/>
    </row>
    <row r="500">
      <c r="A500" s="172"/>
      <c r="B500" s="182"/>
      <c r="C500" s="172"/>
      <c r="D500" s="172"/>
      <c r="E500" s="172"/>
      <c r="F500" s="172"/>
      <c r="G500" s="172"/>
      <c r="H500" s="172"/>
      <c r="I500" s="182"/>
      <c r="J500" s="172"/>
      <c r="K500" s="172"/>
      <c r="L500" s="172"/>
      <c r="M500" s="172"/>
      <c r="N500" s="172"/>
      <c r="O500" s="172"/>
      <c r="P500" s="172"/>
      <c r="Q500" s="172"/>
      <c r="R500" s="172"/>
      <c r="S500" s="172"/>
      <c r="T500" s="172"/>
      <c r="U500" s="172"/>
      <c r="V500" s="172"/>
      <c r="W500" s="172"/>
      <c r="X500" s="172"/>
      <c r="Y500" s="172"/>
      <c r="Z500" s="172"/>
    </row>
    <row r="501">
      <c r="A501" s="172"/>
      <c r="B501" s="182"/>
      <c r="C501" s="172"/>
      <c r="D501" s="172"/>
      <c r="E501" s="172"/>
      <c r="F501" s="172"/>
      <c r="G501" s="172"/>
      <c r="H501" s="172"/>
      <c r="I501" s="182"/>
      <c r="J501" s="172"/>
      <c r="K501" s="172"/>
      <c r="L501" s="172"/>
      <c r="M501" s="172"/>
      <c r="N501" s="172"/>
      <c r="O501" s="172"/>
      <c r="P501" s="172"/>
      <c r="Q501" s="172"/>
      <c r="R501" s="172"/>
      <c r="S501" s="172"/>
      <c r="T501" s="172"/>
      <c r="U501" s="172"/>
      <c r="V501" s="172"/>
      <c r="W501" s="172"/>
      <c r="X501" s="172"/>
      <c r="Y501" s="172"/>
      <c r="Z501" s="172"/>
    </row>
    <row r="502">
      <c r="A502" s="172"/>
      <c r="B502" s="182"/>
      <c r="C502" s="172"/>
      <c r="D502" s="172"/>
      <c r="E502" s="172"/>
      <c r="F502" s="172"/>
      <c r="G502" s="172"/>
      <c r="H502" s="172"/>
      <c r="I502" s="182"/>
      <c r="J502" s="172"/>
      <c r="K502" s="172"/>
      <c r="L502" s="172"/>
      <c r="M502" s="172"/>
      <c r="N502" s="172"/>
      <c r="O502" s="172"/>
      <c r="P502" s="172"/>
      <c r="Q502" s="172"/>
      <c r="R502" s="172"/>
      <c r="S502" s="172"/>
      <c r="T502" s="172"/>
      <c r="U502" s="172"/>
      <c r="V502" s="172"/>
      <c r="W502" s="172"/>
      <c r="X502" s="172"/>
      <c r="Y502" s="172"/>
      <c r="Z502" s="172"/>
    </row>
    <row r="503">
      <c r="A503" s="172"/>
      <c r="B503" s="182"/>
      <c r="C503" s="172"/>
      <c r="D503" s="172"/>
      <c r="E503" s="172"/>
      <c r="F503" s="172"/>
      <c r="G503" s="172"/>
      <c r="H503" s="172"/>
      <c r="I503" s="182"/>
      <c r="J503" s="172"/>
      <c r="K503" s="172"/>
      <c r="L503" s="172"/>
      <c r="M503" s="172"/>
      <c r="N503" s="172"/>
      <c r="O503" s="172"/>
      <c r="P503" s="172"/>
      <c r="Q503" s="172"/>
      <c r="R503" s="172"/>
      <c r="S503" s="172"/>
      <c r="T503" s="172"/>
      <c r="U503" s="172"/>
      <c r="V503" s="172"/>
      <c r="W503" s="172"/>
      <c r="X503" s="172"/>
      <c r="Y503" s="172"/>
      <c r="Z503" s="172"/>
    </row>
    <row r="504">
      <c r="A504" s="172"/>
      <c r="B504" s="182"/>
      <c r="C504" s="172"/>
      <c r="D504" s="172"/>
      <c r="E504" s="172"/>
      <c r="F504" s="172"/>
      <c r="G504" s="172"/>
      <c r="H504" s="172"/>
      <c r="I504" s="182"/>
      <c r="J504" s="172"/>
      <c r="K504" s="172"/>
      <c r="L504" s="172"/>
      <c r="M504" s="172"/>
      <c r="N504" s="172"/>
      <c r="O504" s="172"/>
      <c r="P504" s="172"/>
      <c r="Q504" s="172"/>
      <c r="R504" s="172"/>
      <c r="S504" s="172"/>
      <c r="T504" s="172"/>
      <c r="U504" s="172"/>
      <c r="V504" s="172"/>
      <c r="W504" s="172"/>
      <c r="X504" s="172"/>
      <c r="Y504" s="172"/>
      <c r="Z504" s="172"/>
    </row>
    <row r="505">
      <c r="A505" s="172"/>
      <c r="B505" s="182"/>
      <c r="C505" s="172"/>
      <c r="D505" s="172"/>
      <c r="E505" s="172"/>
      <c r="F505" s="172"/>
      <c r="G505" s="172"/>
      <c r="H505" s="172"/>
      <c r="I505" s="182"/>
      <c r="J505" s="172"/>
      <c r="K505" s="172"/>
      <c r="L505" s="172"/>
      <c r="M505" s="172"/>
      <c r="N505" s="172"/>
      <c r="O505" s="172"/>
      <c r="P505" s="172"/>
      <c r="Q505" s="172"/>
      <c r="R505" s="172"/>
      <c r="S505" s="172"/>
      <c r="T505" s="172"/>
      <c r="U505" s="172"/>
      <c r="V505" s="172"/>
      <c r="W505" s="172"/>
      <c r="X505" s="172"/>
      <c r="Y505" s="172"/>
      <c r="Z505" s="172"/>
    </row>
    <row r="506">
      <c r="A506" s="172"/>
      <c r="B506" s="182"/>
      <c r="C506" s="172"/>
      <c r="D506" s="172"/>
      <c r="E506" s="172"/>
      <c r="F506" s="172"/>
      <c r="G506" s="172"/>
      <c r="H506" s="172"/>
      <c r="I506" s="182"/>
      <c r="J506" s="172"/>
      <c r="K506" s="172"/>
      <c r="L506" s="172"/>
      <c r="M506" s="172"/>
      <c r="N506" s="172"/>
      <c r="O506" s="172"/>
      <c r="P506" s="172"/>
      <c r="Q506" s="172"/>
      <c r="R506" s="172"/>
      <c r="S506" s="172"/>
      <c r="T506" s="172"/>
      <c r="U506" s="172"/>
      <c r="V506" s="172"/>
      <c r="W506" s="172"/>
      <c r="X506" s="172"/>
      <c r="Y506" s="172"/>
      <c r="Z506" s="172"/>
    </row>
    <row r="507">
      <c r="A507" s="172"/>
      <c r="B507" s="182"/>
      <c r="C507" s="172"/>
      <c r="D507" s="172"/>
      <c r="E507" s="172"/>
      <c r="F507" s="172"/>
      <c r="G507" s="172"/>
      <c r="H507" s="172"/>
      <c r="I507" s="182"/>
      <c r="J507" s="172"/>
      <c r="K507" s="172"/>
      <c r="L507" s="172"/>
      <c r="M507" s="172"/>
      <c r="N507" s="172"/>
      <c r="O507" s="172"/>
      <c r="P507" s="172"/>
      <c r="Q507" s="172"/>
      <c r="R507" s="172"/>
      <c r="S507" s="172"/>
      <c r="T507" s="172"/>
      <c r="U507" s="172"/>
      <c r="V507" s="172"/>
      <c r="W507" s="172"/>
      <c r="X507" s="172"/>
      <c r="Y507" s="172"/>
      <c r="Z507" s="172"/>
    </row>
    <row r="508">
      <c r="A508" s="172"/>
      <c r="B508" s="182"/>
      <c r="C508" s="172"/>
      <c r="D508" s="172"/>
      <c r="E508" s="172"/>
      <c r="F508" s="172"/>
      <c r="G508" s="172"/>
      <c r="H508" s="172"/>
      <c r="I508" s="182"/>
      <c r="J508" s="172"/>
      <c r="K508" s="172"/>
      <c r="L508" s="172"/>
      <c r="M508" s="172"/>
      <c r="N508" s="172"/>
      <c r="O508" s="172"/>
      <c r="P508" s="172"/>
      <c r="Q508" s="172"/>
      <c r="R508" s="172"/>
      <c r="S508" s="172"/>
      <c r="T508" s="172"/>
      <c r="U508" s="172"/>
      <c r="V508" s="172"/>
      <c r="W508" s="172"/>
      <c r="X508" s="172"/>
      <c r="Y508" s="172"/>
      <c r="Z508" s="172"/>
    </row>
    <row r="509">
      <c r="A509" s="172"/>
      <c r="B509" s="182"/>
      <c r="C509" s="172"/>
      <c r="D509" s="172"/>
      <c r="E509" s="172"/>
      <c r="F509" s="172"/>
      <c r="G509" s="172"/>
      <c r="H509" s="172"/>
      <c r="I509" s="182"/>
      <c r="J509" s="172"/>
      <c r="K509" s="172"/>
      <c r="L509" s="172"/>
      <c r="M509" s="172"/>
      <c r="N509" s="172"/>
      <c r="O509" s="172"/>
      <c r="P509" s="172"/>
      <c r="Q509" s="172"/>
      <c r="R509" s="172"/>
      <c r="S509" s="172"/>
      <c r="T509" s="172"/>
      <c r="U509" s="172"/>
      <c r="V509" s="172"/>
      <c r="W509" s="172"/>
      <c r="X509" s="172"/>
      <c r="Y509" s="172"/>
      <c r="Z509" s="172"/>
    </row>
    <row r="510">
      <c r="A510" s="172"/>
      <c r="B510" s="182"/>
      <c r="C510" s="172"/>
      <c r="D510" s="172"/>
      <c r="E510" s="172"/>
      <c r="F510" s="172"/>
      <c r="G510" s="172"/>
      <c r="H510" s="172"/>
      <c r="I510" s="182"/>
      <c r="J510" s="172"/>
      <c r="K510" s="172"/>
      <c r="L510" s="172"/>
      <c r="M510" s="172"/>
      <c r="N510" s="172"/>
      <c r="O510" s="172"/>
      <c r="P510" s="172"/>
      <c r="Q510" s="172"/>
      <c r="R510" s="172"/>
      <c r="S510" s="172"/>
      <c r="T510" s="172"/>
      <c r="U510" s="172"/>
      <c r="V510" s="172"/>
      <c r="W510" s="172"/>
      <c r="X510" s="172"/>
      <c r="Y510" s="172"/>
      <c r="Z510" s="172"/>
    </row>
    <row r="511">
      <c r="A511" s="172"/>
      <c r="B511" s="182"/>
      <c r="C511" s="172"/>
      <c r="D511" s="172"/>
      <c r="E511" s="172"/>
      <c r="F511" s="172"/>
      <c r="G511" s="172"/>
      <c r="H511" s="172"/>
      <c r="I511" s="182"/>
      <c r="J511" s="172"/>
      <c r="K511" s="172"/>
      <c r="L511" s="172"/>
      <c r="M511" s="172"/>
      <c r="N511" s="172"/>
      <c r="O511" s="172"/>
      <c r="P511" s="172"/>
      <c r="Q511" s="172"/>
      <c r="R511" s="172"/>
      <c r="S511" s="172"/>
      <c r="T511" s="172"/>
      <c r="U511" s="172"/>
      <c r="V511" s="172"/>
      <c r="W511" s="172"/>
      <c r="X511" s="172"/>
      <c r="Y511" s="172"/>
      <c r="Z511" s="172"/>
    </row>
    <row r="512">
      <c r="A512" s="172"/>
      <c r="B512" s="182"/>
      <c r="C512" s="172"/>
      <c r="D512" s="172"/>
      <c r="E512" s="172"/>
      <c r="F512" s="172"/>
      <c r="G512" s="172"/>
      <c r="H512" s="172"/>
      <c r="I512" s="182"/>
      <c r="J512" s="172"/>
      <c r="K512" s="172"/>
      <c r="L512" s="172"/>
      <c r="M512" s="172"/>
      <c r="N512" s="172"/>
      <c r="O512" s="172"/>
      <c r="P512" s="172"/>
      <c r="Q512" s="172"/>
      <c r="R512" s="172"/>
      <c r="S512" s="172"/>
      <c r="T512" s="172"/>
      <c r="U512" s="172"/>
      <c r="V512" s="172"/>
      <c r="W512" s="172"/>
      <c r="X512" s="172"/>
      <c r="Y512" s="172"/>
      <c r="Z512" s="172"/>
    </row>
    <row r="513">
      <c r="A513" s="172"/>
      <c r="B513" s="182"/>
      <c r="C513" s="172"/>
      <c r="D513" s="172"/>
      <c r="E513" s="172"/>
      <c r="F513" s="172"/>
      <c r="G513" s="172"/>
      <c r="H513" s="172"/>
      <c r="I513" s="182"/>
      <c r="J513" s="172"/>
      <c r="K513" s="172"/>
      <c r="L513" s="172"/>
      <c r="M513" s="172"/>
      <c r="N513" s="172"/>
      <c r="O513" s="172"/>
      <c r="P513" s="172"/>
      <c r="Q513" s="172"/>
      <c r="R513" s="172"/>
      <c r="S513" s="172"/>
      <c r="T513" s="172"/>
      <c r="U513" s="172"/>
      <c r="V513" s="172"/>
      <c r="W513" s="172"/>
      <c r="X513" s="172"/>
      <c r="Y513" s="172"/>
      <c r="Z513" s="172"/>
    </row>
    <row r="514">
      <c r="A514" s="172"/>
      <c r="B514" s="182"/>
      <c r="C514" s="172"/>
      <c r="D514" s="172"/>
      <c r="E514" s="172"/>
      <c r="F514" s="172"/>
      <c r="G514" s="172"/>
      <c r="H514" s="172"/>
      <c r="I514" s="182"/>
      <c r="J514" s="172"/>
      <c r="K514" s="172"/>
      <c r="L514" s="172"/>
      <c r="M514" s="172"/>
      <c r="N514" s="172"/>
      <c r="O514" s="172"/>
      <c r="P514" s="172"/>
      <c r="Q514" s="172"/>
      <c r="R514" s="172"/>
      <c r="S514" s="172"/>
      <c r="T514" s="172"/>
      <c r="U514" s="172"/>
      <c r="V514" s="172"/>
      <c r="W514" s="172"/>
      <c r="X514" s="172"/>
      <c r="Y514" s="172"/>
      <c r="Z514" s="172"/>
    </row>
    <row r="515">
      <c r="A515" s="172"/>
      <c r="B515" s="182"/>
      <c r="C515" s="172"/>
      <c r="D515" s="172"/>
      <c r="E515" s="172"/>
      <c r="F515" s="172"/>
      <c r="G515" s="172"/>
      <c r="H515" s="172"/>
      <c r="I515" s="182"/>
      <c r="J515" s="172"/>
      <c r="K515" s="172"/>
      <c r="L515" s="172"/>
      <c r="M515" s="172"/>
      <c r="N515" s="172"/>
      <c r="O515" s="172"/>
      <c r="P515" s="172"/>
      <c r="Q515" s="172"/>
      <c r="R515" s="172"/>
      <c r="S515" s="172"/>
      <c r="T515" s="172"/>
      <c r="U515" s="172"/>
      <c r="V515" s="172"/>
      <c r="W515" s="172"/>
      <c r="X515" s="172"/>
      <c r="Y515" s="172"/>
      <c r="Z515" s="172"/>
    </row>
    <row r="516">
      <c r="A516" s="172"/>
      <c r="B516" s="182"/>
      <c r="C516" s="172"/>
      <c r="D516" s="172"/>
      <c r="E516" s="172"/>
      <c r="F516" s="172"/>
      <c r="G516" s="172"/>
      <c r="H516" s="172"/>
      <c r="I516" s="182"/>
      <c r="J516" s="172"/>
      <c r="K516" s="172"/>
      <c r="L516" s="172"/>
      <c r="M516" s="172"/>
      <c r="N516" s="172"/>
      <c r="O516" s="172"/>
      <c r="P516" s="172"/>
      <c r="Q516" s="172"/>
      <c r="R516" s="172"/>
      <c r="S516" s="172"/>
      <c r="T516" s="172"/>
      <c r="U516" s="172"/>
      <c r="V516" s="172"/>
      <c r="W516" s="172"/>
      <c r="X516" s="172"/>
      <c r="Y516" s="172"/>
      <c r="Z516" s="172"/>
    </row>
    <row r="517">
      <c r="A517" s="172"/>
      <c r="B517" s="182"/>
      <c r="C517" s="172"/>
      <c r="D517" s="172"/>
      <c r="E517" s="172"/>
      <c r="F517" s="172"/>
      <c r="G517" s="172"/>
      <c r="H517" s="172"/>
      <c r="I517" s="182"/>
      <c r="J517" s="172"/>
      <c r="K517" s="172"/>
      <c r="L517" s="172"/>
      <c r="M517" s="172"/>
      <c r="N517" s="172"/>
      <c r="O517" s="172"/>
      <c r="P517" s="172"/>
      <c r="Q517" s="172"/>
      <c r="R517" s="172"/>
      <c r="S517" s="172"/>
      <c r="T517" s="172"/>
      <c r="U517" s="172"/>
      <c r="V517" s="172"/>
      <c r="W517" s="172"/>
      <c r="X517" s="172"/>
      <c r="Y517" s="172"/>
      <c r="Z517" s="172"/>
    </row>
    <row r="518">
      <c r="A518" s="172"/>
      <c r="B518" s="182"/>
      <c r="C518" s="172"/>
      <c r="D518" s="172"/>
      <c r="E518" s="172"/>
      <c r="F518" s="172"/>
      <c r="G518" s="172"/>
      <c r="H518" s="172"/>
      <c r="I518" s="182"/>
      <c r="J518" s="172"/>
      <c r="K518" s="172"/>
      <c r="L518" s="172"/>
      <c r="M518" s="172"/>
      <c r="N518" s="172"/>
      <c r="O518" s="172"/>
      <c r="P518" s="172"/>
      <c r="Q518" s="172"/>
      <c r="R518" s="172"/>
      <c r="S518" s="172"/>
      <c r="T518" s="172"/>
      <c r="U518" s="172"/>
      <c r="V518" s="172"/>
      <c r="W518" s="172"/>
      <c r="X518" s="172"/>
      <c r="Y518" s="172"/>
      <c r="Z518" s="172"/>
    </row>
    <row r="519">
      <c r="A519" s="172"/>
      <c r="B519" s="182"/>
      <c r="C519" s="172"/>
      <c r="D519" s="172"/>
      <c r="E519" s="172"/>
      <c r="F519" s="172"/>
      <c r="G519" s="172"/>
      <c r="H519" s="172"/>
      <c r="I519" s="182"/>
      <c r="J519" s="172"/>
      <c r="K519" s="172"/>
      <c r="L519" s="172"/>
      <c r="M519" s="172"/>
      <c r="N519" s="172"/>
      <c r="O519" s="172"/>
      <c r="P519" s="172"/>
      <c r="Q519" s="172"/>
      <c r="R519" s="172"/>
      <c r="S519" s="172"/>
      <c r="T519" s="172"/>
      <c r="U519" s="172"/>
      <c r="V519" s="172"/>
      <c r="W519" s="172"/>
      <c r="X519" s="172"/>
      <c r="Y519" s="172"/>
      <c r="Z519" s="172"/>
    </row>
    <row r="520">
      <c r="A520" s="172"/>
      <c r="B520" s="182"/>
      <c r="C520" s="172"/>
      <c r="D520" s="172"/>
      <c r="E520" s="172"/>
      <c r="F520" s="172"/>
      <c r="G520" s="172"/>
      <c r="H520" s="172"/>
      <c r="I520" s="182"/>
      <c r="J520" s="172"/>
      <c r="K520" s="172"/>
      <c r="L520" s="172"/>
      <c r="M520" s="172"/>
      <c r="N520" s="172"/>
      <c r="O520" s="172"/>
      <c r="P520" s="172"/>
      <c r="Q520" s="172"/>
      <c r="R520" s="172"/>
      <c r="S520" s="172"/>
      <c r="T520" s="172"/>
      <c r="U520" s="172"/>
      <c r="V520" s="172"/>
      <c r="W520" s="172"/>
      <c r="X520" s="172"/>
      <c r="Y520" s="172"/>
      <c r="Z520" s="172"/>
    </row>
    <row r="521">
      <c r="A521" s="172"/>
      <c r="B521" s="182"/>
      <c r="C521" s="172"/>
      <c r="D521" s="172"/>
      <c r="E521" s="172"/>
      <c r="F521" s="172"/>
      <c r="G521" s="172"/>
      <c r="H521" s="172"/>
      <c r="I521" s="182"/>
      <c r="J521" s="172"/>
      <c r="K521" s="172"/>
      <c r="L521" s="172"/>
      <c r="M521" s="172"/>
      <c r="N521" s="172"/>
      <c r="O521" s="172"/>
      <c r="P521" s="172"/>
      <c r="Q521" s="172"/>
      <c r="R521" s="172"/>
      <c r="S521" s="172"/>
      <c r="T521" s="172"/>
      <c r="U521" s="172"/>
      <c r="V521" s="172"/>
      <c r="W521" s="172"/>
      <c r="X521" s="172"/>
      <c r="Y521" s="172"/>
      <c r="Z521" s="172"/>
    </row>
    <row r="522">
      <c r="A522" s="172"/>
      <c r="B522" s="182"/>
      <c r="C522" s="172"/>
      <c r="D522" s="172"/>
      <c r="E522" s="172"/>
      <c r="F522" s="172"/>
      <c r="G522" s="172"/>
      <c r="H522" s="172"/>
      <c r="I522" s="182"/>
      <c r="J522" s="172"/>
      <c r="K522" s="172"/>
      <c r="L522" s="172"/>
      <c r="M522" s="172"/>
      <c r="N522" s="172"/>
      <c r="O522" s="172"/>
      <c r="P522" s="172"/>
      <c r="Q522" s="172"/>
      <c r="R522" s="172"/>
      <c r="S522" s="172"/>
      <c r="T522" s="172"/>
      <c r="U522" s="172"/>
      <c r="V522" s="172"/>
      <c r="W522" s="172"/>
      <c r="X522" s="172"/>
      <c r="Y522" s="172"/>
      <c r="Z522" s="172"/>
    </row>
    <row r="523">
      <c r="A523" s="172"/>
      <c r="B523" s="182"/>
      <c r="C523" s="172"/>
      <c r="D523" s="172"/>
      <c r="E523" s="172"/>
      <c r="F523" s="172"/>
      <c r="G523" s="172"/>
      <c r="H523" s="172"/>
      <c r="I523" s="182"/>
      <c r="J523" s="172"/>
      <c r="K523" s="172"/>
      <c r="L523" s="172"/>
      <c r="M523" s="172"/>
      <c r="N523" s="172"/>
      <c r="O523" s="172"/>
      <c r="P523" s="172"/>
      <c r="Q523" s="172"/>
      <c r="R523" s="172"/>
      <c r="S523" s="172"/>
      <c r="T523" s="172"/>
      <c r="U523" s="172"/>
      <c r="V523" s="172"/>
      <c r="W523" s="172"/>
      <c r="X523" s="172"/>
      <c r="Y523" s="172"/>
      <c r="Z523" s="172"/>
    </row>
    <row r="524">
      <c r="A524" s="172"/>
      <c r="B524" s="182"/>
      <c r="C524" s="172"/>
      <c r="D524" s="172"/>
      <c r="E524" s="172"/>
      <c r="F524" s="172"/>
      <c r="G524" s="172"/>
      <c r="H524" s="172"/>
      <c r="I524" s="182"/>
      <c r="J524" s="172"/>
      <c r="K524" s="172"/>
      <c r="L524" s="172"/>
      <c r="M524" s="172"/>
      <c r="N524" s="172"/>
      <c r="O524" s="172"/>
      <c r="P524" s="172"/>
      <c r="Q524" s="172"/>
      <c r="R524" s="172"/>
      <c r="S524" s="172"/>
      <c r="T524" s="172"/>
      <c r="U524" s="172"/>
      <c r="V524" s="172"/>
      <c r="W524" s="172"/>
      <c r="X524" s="172"/>
      <c r="Y524" s="172"/>
      <c r="Z524" s="172"/>
    </row>
    <row r="525">
      <c r="A525" s="172"/>
      <c r="B525" s="182"/>
      <c r="C525" s="172"/>
      <c r="D525" s="172"/>
      <c r="E525" s="172"/>
      <c r="F525" s="172"/>
      <c r="G525" s="172"/>
      <c r="H525" s="172"/>
      <c r="I525" s="182"/>
      <c r="J525" s="172"/>
      <c r="K525" s="172"/>
      <c r="L525" s="172"/>
      <c r="M525" s="172"/>
      <c r="N525" s="172"/>
      <c r="O525" s="172"/>
      <c r="P525" s="172"/>
      <c r="Q525" s="172"/>
      <c r="R525" s="172"/>
      <c r="S525" s="172"/>
      <c r="T525" s="172"/>
      <c r="U525" s="172"/>
      <c r="V525" s="172"/>
      <c r="W525" s="172"/>
      <c r="X525" s="172"/>
      <c r="Y525" s="172"/>
      <c r="Z525" s="172"/>
    </row>
    <row r="526">
      <c r="A526" s="172"/>
      <c r="B526" s="182"/>
      <c r="C526" s="172"/>
      <c r="D526" s="172"/>
      <c r="E526" s="172"/>
      <c r="F526" s="172"/>
      <c r="G526" s="172"/>
      <c r="H526" s="172"/>
      <c r="I526" s="182"/>
      <c r="J526" s="172"/>
      <c r="K526" s="172"/>
      <c r="L526" s="172"/>
      <c r="M526" s="172"/>
      <c r="N526" s="172"/>
      <c r="O526" s="172"/>
      <c r="P526" s="172"/>
      <c r="Q526" s="172"/>
      <c r="R526" s="172"/>
      <c r="S526" s="172"/>
      <c r="T526" s="172"/>
      <c r="U526" s="172"/>
      <c r="V526" s="172"/>
      <c r="W526" s="172"/>
      <c r="X526" s="172"/>
      <c r="Y526" s="172"/>
      <c r="Z526" s="172"/>
    </row>
    <row r="527">
      <c r="A527" s="172"/>
      <c r="B527" s="182"/>
      <c r="C527" s="172"/>
      <c r="D527" s="172"/>
      <c r="E527" s="172"/>
      <c r="F527" s="172"/>
      <c r="G527" s="172"/>
      <c r="H527" s="172"/>
      <c r="I527" s="182"/>
      <c r="J527" s="172"/>
      <c r="K527" s="172"/>
      <c r="L527" s="172"/>
      <c r="M527" s="172"/>
      <c r="N527" s="172"/>
      <c r="O527" s="172"/>
      <c r="P527" s="172"/>
      <c r="Q527" s="172"/>
      <c r="R527" s="172"/>
      <c r="S527" s="172"/>
      <c r="T527" s="172"/>
      <c r="U527" s="172"/>
      <c r="V527" s="172"/>
      <c r="W527" s="172"/>
      <c r="X527" s="172"/>
      <c r="Y527" s="172"/>
      <c r="Z527" s="172"/>
    </row>
    <row r="528">
      <c r="A528" s="172"/>
      <c r="B528" s="182"/>
      <c r="C528" s="172"/>
      <c r="D528" s="172"/>
      <c r="E528" s="172"/>
      <c r="F528" s="172"/>
      <c r="G528" s="172"/>
      <c r="H528" s="172"/>
      <c r="I528" s="182"/>
      <c r="J528" s="172"/>
      <c r="K528" s="172"/>
      <c r="L528" s="172"/>
      <c r="M528" s="172"/>
      <c r="N528" s="172"/>
      <c r="O528" s="172"/>
      <c r="P528" s="172"/>
      <c r="Q528" s="172"/>
      <c r="R528" s="172"/>
      <c r="S528" s="172"/>
      <c r="T528" s="172"/>
      <c r="U528" s="172"/>
      <c r="V528" s="172"/>
      <c r="W528" s="172"/>
      <c r="X528" s="172"/>
      <c r="Y528" s="172"/>
      <c r="Z528" s="172"/>
    </row>
    <row r="529">
      <c r="A529" s="172"/>
      <c r="B529" s="182"/>
      <c r="C529" s="172"/>
      <c r="D529" s="172"/>
      <c r="E529" s="172"/>
      <c r="F529" s="172"/>
      <c r="G529" s="172"/>
      <c r="H529" s="172"/>
      <c r="I529" s="182"/>
      <c r="J529" s="172"/>
      <c r="K529" s="172"/>
      <c r="L529" s="172"/>
      <c r="M529" s="172"/>
      <c r="N529" s="172"/>
      <c r="O529" s="172"/>
      <c r="P529" s="172"/>
      <c r="Q529" s="172"/>
      <c r="R529" s="172"/>
      <c r="S529" s="172"/>
      <c r="T529" s="172"/>
      <c r="U529" s="172"/>
      <c r="V529" s="172"/>
      <c r="W529" s="172"/>
      <c r="X529" s="172"/>
      <c r="Y529" s="172"/>
      <c r="Z529" s="172"/>
    </row>
    <row r="530">
      <c r="A530" s="172"/>
      <c r="B530" s="182"/>
      <c r="C530" s="172"/>
      <c r="D530" s="172"/>
      <c r="E530" s="172"/>
      <c r="F530" s="172"/>
      <c r="G530" s="172"/>
      <c r="H530" s="172"/>
      <c r="I530" s="182"/>
      <c r="J530" s="172"/>
      <c r="K530" s="172"/>
      <c r="L530" s="172"/>
      <c r="M530" s="172"/>
      <c r="N530" s="172"/>
      <c r="O530" s="172"/>
      <c r="P530" s="172"/>
      <c r="Q530" s="172"/>
      <c r="R530" s="172"/>
      <c r="S530" s="172"/>
      <c r="T530" s="172"/>
      <c r="U530" s="172"/>
      <c r="V530" s="172"/>
      <c r="W530" s="172"/>
      <c r="X530" s="172"/>
      <c r="Y530" s="172"/>
      <c r="Z530" s="172"/>
    </row>
    <row r="531">
      <c r="A531" s="172"/>
      <c r="B531" s="182"/>
      <c r="C531" s="172"/>
      <c r="D531" s="172"/>
      <c r="E531" s="172"/>
      <c r="F531" s="172"/>
      <c r="G531" s="172"/>
      <c r="H531" s="172"/>
      <c r="I531" s="182"/>
      <c r="J531" s="172"/>
      <c r="K531" s="172"/>
      <c r="L531" s="172"/>
      <c r="M531" s="172"/>
      <c r="N531" s="172"/>
      <c r="O531" s="172"/>
      <c r="P531" s="172"/>
      <c r="Q531" s="172"/>
      <c r="R531" s="172"/>
      <c r="S531" s="172"/>
      <c r="T531" s="172"/>
      <c r="U531" s="172"/>
      <c r="V531" s="172"/>
      <c r="W531" s="172"/>
      <c r="X531" s="172"/>
      <c r="Y531" s="172"/>
      <c r="Z531" s="172"/>
    </row>
    <row r="532">
      <c r="A532" s="172"/>
      <c r="B532" s="182"/>
      <c r="C532" s="172"/>
      <c r="D532" s="172"/>
      <c r="E532" s="172"/>
      <c r="F532" s="172"/>
      <c r="G532" s="172"/>
      <c r="H532" s="172"/>
      <c r="I532" s="182"/>
      <c r="J532" s="172"/>
      <c r="K532" s="172"/>
      <c r="L532" s="172"/>
      <c r="M532" s="172"/>
      <c r="N532" s="172"/>
      <c r="O532" s="172"/>
      <c r="P532" s="172"/>
      <c r="Q532" s="172"/>
      <c r="R532" s="172"/>
      <c r="S532" s="172"/>
      <c r="T532" s="172"/>
      <c r="U532" s="172"/>
      <c r="V532" s="172"/>
      <c r="W532" s="172"/>
      <c r="X532" s="172"/>
      <c r="Y532" s="172"/>
      <c r="Z532" s="172"/>
    </row>
    <row r="533">
      <c r="A533" s="172"/>
      <c r="B533" s="182"/>
      <c r="C533" s="172"/>
      <c r="D533" s="172"/>
      <c r="E533" s="172"/>
      <c r="F533" s="172"/>
      <c r="G533" s="172"/>
      <c r="H533" s="172"/>
      <c r="I533" s="182"/>
      <c r="J533" s="172"/>
      <c r="K533" s="172"/>
      <c r="L533" s="172"/>
      <c r="M533" s="172"/>
      <c r="N533" s="172"/>
      <c r="O533" s="172"/>
      <c r="P533" s="172"/>
      <c r="Q533" s="172"/>
      <c r="R533" s="172"/>
      <c r="S533" s="172"/>
      <c r="T533" s="172"/>
      <c r="U533" s="172"/>
      <c r="V533" s="172"/>
      <c r="W533" s="172"/>
      <c r="X533" s="172"/>
      <c r="Y533" s="172"/>
      <c r="Z533" s="172"/>
    </row>
    <row r="534">
      <c r="A534" s="172"/>
      <c r="B534" s="182"/>
      <c r="C534" s="172"/>
      <c r="D534" s="172"/>
      <c r="E534" s="172"/>
      <c r="F534" s="172"/>
      <c r="G534" s="172"/>
      <c r="H534" s="172"/>
      <c r="I534" s="182"/>
      <c r="J534" s="172"/>
      <c r="K534" s="172"/>
      <c r="L534" s="172"/>
      <c r="M534" s="172"/>
      <c r="N534" s="172"/>
      <c r="O534" s="172"/>
      <c r="P534" s="172"/>
      <c r="Q534" s="172"/>
      <c r="R534" s="172"/>
      <c r="S534" s="172"/>
      <c r="T534" s="172"/>
      <c r="U534" s="172"/>
      <c r="V534" s="172"/>
      <c r="W534" s="172"/>
      <c r="X534" s="172"/>
      <c r="Y534" s="172"/>
      <c r="Z534" s="172"/>
    </row>
    <row r="535">
      <c r="A535" s="172"/>
      <c r="B535" s="182"/>
      <c r="C535" s="172"/>
      <c r="D535" s="172"/>
      <c r="E535" s="172"/>
      <c r="F535" s="172"/>
      <c r="G535" s="172"/>
      <c r="H535" s="172"/>
      <c r="I535" s="182"/>
      <c r="J535" s="172"/>
      <c r="K535" s="172"/>
      <c r="L535" s="172"/>
      <c r="M535" s="172"/>
      <c r="N535" s="172"/>
      <c r="O535" s="172"/>
      <c r="P535" s="172"/>
      <c r="Q535" s="172"/>
      <c r="R535" s="172"/>
      <c r="S535" s="172"/>
      <c r="T535" s="172"/>
      <c r="U535" s="172"/>
      <c r="V535" s="172"/>
      <c r="W535" s="172"/>
      <c r="X535" s="172"/>
      <c r="Y535" s="172"/>
      <c r="Z535" s="172"/>
    </row>
    <row r="536">
      <c r="A536" s="172"/>
      <c r="B536" s="182"/>
      <c r="C536" s="172"/>
      <c r="D536" s="172"/>
      <c r="E536" s="172"/>
      <c r="F536" s="172"/>
      <c r="G536" s="172"/>
      <c r="H536" s="172"/>
      <c r="I536" s="182"/>
      <c r="J536" s="172"/>
      <c r="K536" s="172"/>
      <c r="L536" s="172"/>
      <c r="M536" s="172"/>
      <c r="N536" s="172"/>
      <c r="O536" s="172"/>
      <c r="P536" s="172"/>
      <c r="Q536" s="172"/>
      <c r="R536" s="172"/>
      <c r="S536" s="172"/>
      <c r="T536" s="172"/>
      <c r="U536" s="172"/>
      <c r="V536" s="172"/>
      <c r="W536" s="172"/>
      <c r="X536" s="172"/>
      <c r="Y536" s="172"/>
      <c r="Z536" s="172"/>
    </row>
    <row r="537">
      <c r="A537" s="172"/>
      <c r="B537" s="182"/>
      <c r="C537" s="172"/>
      <c r="D537" s="172"/>
      <c r="E537" s="172"/>
      <c r="F537" s="172"/>
      <c r="G537" s="172"/>
      <c r="H537" s="172"/>
      <c r="I537" s="182"/>
      <c r="J537" s="172"/>
      <c r="K537" s="172"/>
      <c r="L537" s="172"/>
      <c r="M537" s="172"/>
      <c r="N537" s="172"/>
      <c r="O537" s="172"/>
      <c r="P537" s="172"/>
      <c r="Q537" s="172"/>
      <c r="R537" s="172"/>
      <c r="S537" s="172"/>
      <c r="T537" s="172"/>
      <c r="U537" s="172"/>
      <c r="V537" s="172"/>
      <c r="W537" s="172"/>
      <c r="X537" s="172"/>
      <c r="Y537" s="172"/>
      <c r="Z537" s="172"/>
    </row>
    <row r="538">
      <c r="A538" s="172"/>
      <c r="B538" s="182"/>
      <c r="C538" s="172"/>
      <c r="D538" s="172"/>
      <c r="E538" s="172"/>
      <c r="F538" s="172"/>
      <c r="G538" s="172"/>
      <c r="H538" s="172"/>
      <c r="I538" s="182"/>
      <c r="J538" s="172"/>
      <c r="K538" s="172"/>
      <c r="L538" s="172"/>
      <c r="M538" s="172"/>
      <c r="N538" s="172"/>
      <c r="O538" s="172"/>
      <c r="P538" s="172"/>
      <c r="Q538" s="172"/>
      <c r="R538" s="172"/>
      <c r="S538" s="172"/>
      <c r="T538" s="172"/>
      <c r="U538" s="172"/>
      <c r="V538" s="172"/>
      <c r="W538" s="172"/>
      <c r="X538" s="172"/>
      <c r="Y538" s="172"/>
      <c r="Z538" s="172"/>
    </row>
    <row r="539">
      <c r="A539" s="172"/>
      <c r="B539" s="182"/>
      <c r="C539" s="172"/>
      <c r="D539" s="172"/>
      <c r="E539" s="172"/>
      <c r="F539" s="172"/>
      <c r="G539" s="172"/>
      <c r="H539" s="172"/>
      <c r="I539" s="182"/>
      <c r="J539" s="172"/>
      <c r="K539" s="172"/>
      <c r="L539" s="172"/>
      <c r="M539" s="172"/>
      <c r="N539" s="172"/>
      <c r="O539" s="172"/>
      <c r="P539" s="172"/>
      <c r="Q539" s="172"/>
      <c r="R539" s="172"/>
      <c r="S539" s="172"/>
      <c r="T539" s="172"/>
      <c r="U539" s="172"/>
      <c r="V539" s="172"/>
      <c r="W539" s="172"/>
      <c r="X539" s="172"/>
      <c r="Y539" s="172"/>
      <c r="Z539" s="172"/>
    </row>
    <row r="540">
      <c r="A540" s="172"/>
      <c r="B540" s="182"/>
      <c r="C540" s="172"/>
      <c r="D540" s="172"/>
      <c r="E540" s="172"/>
      <c r="F540" s="172"/>
      <c r="G540" s="172"/>
      <c r="H540" s="172"/>
      <c r="I540" s="182"/>
      <c r="J540" s="172"/>
      <c r="K540" s="172"/>
      <c r="L540" s="172"/>
      <c r="M540" s="172"/>
      <c r="N540" s="172"/>
      <c r="O540" s="172"/>
      <c r="P540" s="172"/>
      <c r="Q540" s="172"/>
      <c r="R540" s="172"/>
      <c r="S540" s="172"/>
      <c r="T540" s="172"/>
      <c r="U540" s="172"/>
      <c r="V540" s="172"/>
      <c r="W540" s="172"/>
      <c r="X540" s="172"/>
      <c r="Y540" s="172"/>
      <c r="Z540" s="172"/>
    </row>
    <row r="541">
      <c r="A541" s="172"/>
      <c r="B541" s="182"/>
      <c r="C541" s="172"/>
      <c r="D541" s="172"/>
      <c r="E541" s="172"/>
      <c r="F541" s="172"/>
      <c r="G541" s="172"/>
      <c r="H541" s="172"/>
      <c r="I541" s="182"/>
      <c r="J541" s="172"/>
      <c r="K541" s="172"/>
      <c r="L541" s="172"/>
      <c r="M541" s="172"/>
      <c r="N541" s="172"/>
      <c r="O541" s="172"/>
      <c r="P541" s="172"/>
      <c r="Q541" s="172"/>
      <c r="R541" s="172"/>
      <c r="S541" s="172"/>
      <c r="T541" s="172"/>
      <c r="U541" s="172"/>
      <c r="V541" s="172"/>
      <c r="W541" s="172"/>
      <c r="X541" s="172"/>
      <c r="Y541" s="172"/>
      <c r="Z541" s="172"/>
    </row>
    <row r="542">
      <c r="A542" s="172"/>
      <c r="B542" s="182"/>
      <c r="C542" s="172"/>
      <c r="D542" s="172"/>
      <c r="E542" s="172"/>
      <c r="F542" s="172"/>
      <c r="G542" s="172"/>
      <c r="H542" s="172"/>
      <c r="I542" s="182"/>
      <c r="J542" s="172"/>
      <c r="K542" s="172"/>
      <c r="L542" s="172"/>
      <c r="M542" s="172"/>
      <c r="N542" s="172"/>
      <c r="O542" s="172"/>
      <c r="P542" s="172"/>
      <c r="Q542" s="172"/>
      <c r="R542" s="172"/>
      <c r="S542" s="172"/>
      <c r="T542" s="172"/>
      <c r="U542" s="172"/>
      <c r="V542" s="172"/>
      <c r="W542" s="172"/>
      <c r="X542" s="172"/>
      <c r="Y542" s="172"/>
      <c r="Z542" s="172"/>
    </row>
    <row r="543">
      <c r="A543" s="172"/>
      <c r="B543" s="182"/>
      <c r="C543" s="172"/>
      <c r="D543" s="172"/>
      <c r="E543" s="172"/>
      <c r="F543" s="172"/>
      <c r="G543" s="172"/>
      <c r="H543" s="172"/>
      <c r="I543" s="182"/>
      <c r="J543" s="172"/>
      <c r="K543" s="172"/>
      <c r="L543" s="172"/>
      <c r="M543" s="172"/>
      <c r="N543" s="172"/>
      <c r="O543" s="172"/>
      <c r="P543" s="172"/>
      <c r="Q543" s="172"/>
      <c r="R543" s="172"/>
      <c r="S543" s="172"/>
      <c r="T543" s="172"/>
      <c r="U543" s="172"/>
      <c r="V543" s="172"/>
      <c r="W543" s="172"/>
      <c r="X543" s="172"/>
      <c r="Y543" s="172"/>
      <c r="Z543" s="172"/>
    </row>
    <row r="544">
      <c r="A544" s="172"/>
      <c r="B544" s="182"/>
      <c r="C544" s="172"/>
      <c r="D544" s="172"/>
      <c r="E544" s="172"/>
      <c r="F544" s="172"/>
      <c r="G544" s="172"/>
      <c r="H544" s="172"/>
      <c r="I544" s="182"/>
      <c r="J544" s="172"/>
      <c r="K544" s="172"/>
      <c r="L544" s="172"/>
      <c r="M544" s="172"/>
      <c r="N544" s="172"/>
      <c r="O544" s="172"/>
      <c r="P544" s="172"/>
      <c r="Q544" s="172"/>
      <c r="R544" s="172"/>
      <c r="S544" s="172"/>
      <c r="T544" s="172"/>
      <c r="U544" s="172"/>
      <c r="V544" s="172"/>
      <c r="W544" s="172"/>
      <c r="X544" s="172"/>
      <c r="Y544" s="172"/>
      <c r="Z544" s="172"/>
    </row>
    <row r="545">
      <c r="A545" s="172"/>
      <c r="B545" s="182"/>
      <c r="C545" s="172"/>
      <c r="D545" s="172"/>
      <c r="E545" s="172"/>
      <c r="F545" s="172"/>
      <c r="G545" s="172"/>
      <c r="H545" s="172"/>
      <c r="I545" s="182"/>
      <c r="J545" s="172"/>
      <c r="K545" s="172"/>
      <c r="L545" s="172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</row>
    <row r="546">
      <c r="A546" s="172"/>
      <c r="B546" s="182"/>
      <c r="C546" s="172"/>
      <c r="D546" s="172"/>
      <c r="E546" s="172"/>
      <c r="F546" s="172"/>
      <c r="G546" s="172"/>
      <c r="H546" s="172"/>
      <c r="I546" s="182"/>
      <c r="J546" s="172"/>
      <c r="K546" s="172"/>
      <c r="L546" s="172"/>
      <c r="M546" s="172"/>
      <c r="N546" s="172"/>
      <c r="O546" s="172"/>
      <c r="P546" s="172"/>
      <c r="Q546" s="172"/>
      <c r="R546" s="172"/>
      <c r="S546" s="172"/>
      <c r="T546" s="172"/>
      <c r="U546" s="172"/>
      <c r="V546" s="172"/>
      <c r="W546" s="172"/>
      <c r="X546" s="172"/>
      <c r="Y546" s="172"/>
      <c r="Z546" s="172"/>
    </row>
    <row r="547">
      <c r="A547" s="172"/>
      <c r="B547" s="182"/>
      <c r="C547" s="172"/>
      <c r="D547" s="172"/>
      <c r="E547" s="172"/>
      <c r="F547" s="172"/>
      <c r="G547" s="172"/>
      <c r="H547" s="172"/>
      <c r="I547" s="182"/>
      <c r="J547" s="172"/>
      <c r="K547" s="172"/>
      <c r="L547" s="172"/>
      <c r="M547" s="172"/>
      <c r="N547" s="172"/>
      <c r="O547" s="172"/>
      <c r="P547" s="172"/>
      <c r="Q547" s="172"/>
      <c r="R547" s="172"/>
      <c r="S547" s="172"/>
      <c r="T547" s="172"/>
      <c r="U547" s="172"/>
      <c r="V547" s="172"/>
      <c r="W547" s="172"/>
      <c r="X547" s="172"/>
      <c r="Y547" s="172"/>
      <c r="Z547" s="172"/>
    </row>
    <row r="548">
      <c r="A548" s="172"/>
      <c r="B548" s="182"/>
      <c r="C548" s="172"/>
      <c r="D548" s="172"/>
      <c r="E548" s="172"/>
      <c r="F548" s="172"/>
      <c r="G548" s="172"/>
      <c r="H548" s="172"/>
      <c r="I548" s="182"/>
      <c r="J548" s="172"/>
      <c r="K548" s="172"/>
      <c r="L548" s="172"/>
      <c r="M548" s="172"/>
      <c r="N548" s="172"/>
      <c r="O548" s="172"/>
      <c r="P548" s="172"/>
      <c r="Q548" s="172"/>
      <c r="R548" s="172"/>
      <c r="S548" s="172"/>
      <c r="T548" s="172"/>
      <c r="U548" s="172"/>
      <c r="V548" s="172"/>
      <c r="W548" s="172"/>
      <c r="X548" s="172"/>
      <c r="Y548" s="172"/>
      <c r="Z548" s="172"/>
    </row>
    <row r="549">
      <c r="A549" s="172"/>
      <c r="B549" s="182"/>
      <c r="C549" s="172"/>
      <c r="D549" s="172"/>
      <c r="E549" s="172"/>
      <c r="F549" s="172"/>
      <c r="G549" s="172"/>
      <c r="H549" s="172"/>
      <c r="I549" s="182"/>
      <c r="J549" s="172"/>
      <c r="K549" s="172"/>
      <c r="L549" s="172"/>
      <c r="M549" s="172"/>
      <c r="N549" s="172"/>
      <c r="O549" s="172"/>
      <c r="P549" s="172"/>
      <c r="Q549" s="172"/>
      <c r="R549" s="172"/>
      <c r="S549" s="172"/>
      <c r="T549" s="172"/>
      <c r="U549" s="172"/>
      <c r="V549" s="172"/>
      <c r="W549" s="172"/>
      <c r="X549" s="172"/>
      <c r="Y549" s="172"/>
      <c r="Z549" s="172"/>
    </row>
    <row r="550">
      <c r="A550" s="172"/>
      <c r="B550" s="182"/>
      <c r="C550" s="172"/>
      <c r="D550" s="172"/>
      <c r="E550" s="172"/>
      <c r="F550" s="172"/>
      <c r="G550" s="172"/>
      <c r="H550" s="172"/>
      <c r="I550" s="182"/>
      <c r="J550" s="172"/>
      <c r="K550" s="172"/>
      <c r="L550" s="172"/>
      <c r="M550" s="172"/>
      <c r="N550" s="172"/>
      <c r="O550" s="172"/>
      <c r="P550" s="172"/>
      <c r="Q550" s="172"/>
      <c r="R550" s="172"/>
      <c r="S550" s="172"/>
      <c r="T550" s="172"/>
      <c r="U550" s="172"/>
      <c r="V550" s="172"/>
      <c r="W550" s="172"/>
      <c r="X550" s="172"/>
      <c r="Y550" s="172"/>
      <c r="Z550" s="172"/>
    </row>
    <row r="551">
      <c r="A551" s="172"/>
      <c r="B551" s="182"/>
      <c r="C551" s="172"/>
      <c r="D551" s="172"/>
      <c r="E551" s="172"/>
      <c r="F551" s="172"/>
      <c r="G551" s="172"/>
      <c r="H551" s="172"/>
      <c r="I551" s="182"/>
      <c r="J551" s="172"/>
      <c r="K551" s="172"/>
      <c r="L551" s="172"/>
      <c r="M551" s="172"/>
      <c r="N551" s="172"/>
      <c r="O551" s="172"/>
      <c r="P551" s="172"/>
      <c r="Q551" s="172"/>
      <c r="R551" s="172"/>
      <c r="S551" s="172"/>
      <c r="T551" s="172"/>
      <c r="U551" s="172"/>
      <c r="V551" s="172"/>
      <c r="W551" s="172"/>
      <c r="X551" s="172"/>
      <c r="Y551" s="172"/>
      <c r="Z551" s="172"/>
    </row>
    <row r="552">
      <c r="A552" s="172"/>
      <c r="B552" s="182"/>
      <c r="C552" s="172"/>
      <c r="D552" s="172"/>
      <c r="E552" s="172"/>
      <c r="F552" s="172"/>
      <c r="G552" s="172"/>
      <c r="H552" s="172"/>
      <c r="I552" s="182"/>
      <c r="J552" s="172"/>
      <c r="K552" s="172"/>
      <c r="L552" s="172"/>
      <c r="M552" s="172"/>
      <c r="N552" s="172"/>
      <c r="O552" s="172"/>
      <c r="P552" s="172"/>
      <c r="Q552" s="172"/>
      <c r="R552" s="172"/>
      <c r="S552" s="172"/>
      <c r="T552" s="172"/>
      <c r="U552" s="172"/>
      <c r="V552" s="172"/>
      <c r="W552" s="172"/>
      <c r="X552" s="172"/>
      <c r="Y552" s="172"/>
      <c r="Z552" s="172"/>
    </row>
    <row r="553">
      <c r="A553" s="172"/>
      <c r="B553" s="182"/>
      <c r="C553" s="172"/>
      <c r="D553" s="172"/>
      <c r="E553" s="172"/>
      <c r="F553" s="172"/>
      <c r="G553" s="172"/>
      <c r="H553" s="172"/>
      <c r="I553" s="182"/>
      <c r="J553" s="172"/>
      <c r="K553" s="172"/>
      <c r="L553" s="172"/>
      <c r="M553" s="172"/>
      <c r="N553" s="172"/>
      <c r="O553" s="172"/>
      <c r="P553" s="172"/>
      <c r="Q553" s="172"/>
      <c r="R553" s="172"/>
      <c r="S553" s="172"/>
      <c r="T553" s="172"/>
      <c r="U553" s="172"/>
      <c r="V553" s="172"/>
      <c r="W553" s="172"/>
      <c r="X553" s="172"/>
      <c r="Y553" s="172"/>
      <c r="Z553" s="172"/>
    </row>
    <row r="554">
      <c r="A554" s="172"/>
      <c r="B554" s="182"/>
      <c r="C554" s="172"/>
      <c r="D554" s="172"/>
      <c r="E554" s="172"/>
      <c r="F554" s="172"/>
      <c r="G554" s="172"/>
      <c r="H554" s="172"/>
      <c r="I554" s="182"/>
      <c r="J554" s="172"/>
      <c r="K554" s="172"/>
      <c r="L554" s="172"/>
      <c r="M554" s="172"/>
      <c r="N554" s="172"/>
      <c r="O554" s="172"/>
      <c r="P554" s="172"/>
      <c r="Q554" s="172"/>
      <c r="R554" s="172"/>
      <c r="S554" s="172"/>
      <c r="T554" s="172"/>
      <c r="U554" s="172"/>
      <c r="V554" s="172"/>
      <c r="W554" s="172"/>
      <c r="X554" s="172"/>
      <c r="Y554" s="172"/>
      <c r="Z554" s="172"/>
    </row>
    <row r="555">
      <c r="A555" s="172"/>
      <c r="B555" s="182"/>
      <c r="C555" s="172"/>
      <c r="D555" s="172"/>
      <c r="E555" s="172"/>
      <c r="F555" s="172"/>
      <c r="G555" s="172"/>
      <c r="H555" s="172"/>
      <c r="I555" s="182"/>
      <c r="J555" s="172"/>
      <c r="K555" s="172"/>
      <c r="L555" s="172"/>
      <c r="M555" s="172"/>
      <c r="N555" s="172"/>
      <c r="O555" s="172"/>
      <c r="P555" s="172"/>
      <c r="Q555" s="172"/>
      <c r="R555" s="172"/>
      <c r="S555" s="172"/>
      <c r="T555" s="172"/>
      <c r="U555" s="172"/>
      <c r="V555" s="172"/>
      <c r="W555" s="172"/>
      <c r="X555" s="172"/>
      <c r="Y555" s="172"/>
      <c r="Z555" s="172"/>
    </row>
    <row r="556">
      <c r="A556" s="172"/>
      <c r="B556" s="182"/>
      <c r="C556" s="172"/>
      <c r="D556" s="172"/>
      <c r="E556" s="172"/>
      <c r="F556" s="172"/>
      <c r="G556" s="172"/>
      <c r="H556" s="172"/>
      <c r="I556" s="182"/>
      <c r="J556" s="172"/>
      <c r="K556" s="172"/>
      <c r="L556" s="172"/>
      <c r="M556" s="172"/>
      <c r="N556" s="172"/>
      <c r="O556" s="172"/>
      <c r="P556" s="172"/>
      <c r="Q556" s="172"/>
      <c r="R556" s="172"/>
      <c r="S556" s="172"/>
      <c r="T556" s="172"/>
      <c r="U556" s="172"/>
      <c r="V556" s="172"/>
      <c r="W556" s="172"/>
      <c r="X556" s="172"/>
      <c r="Y556" s="172"/>
      <c r="Z556" s="172"/>
    </row>
    <row r="557">
      <c r="A557" s="172"/>
      <c r="B557" s="182"/>
      <c r="C557" s="172"/>
      <c r="D557" s="172"/>
      <c r="E557" s="172"/>
      <c r="F557" s="172"/>
      <c r="G557" s="172"/>
      <c r="H557" s="172"/>
      <c r="I557" s="182"/>
      <c r="J557" s="172"/>
      <c r="K557" s="172"/>
      <c r="L557" s="172"/>
      <c r="M557" s="172"/>
      <c r="N557" s="172"/>
      <c r="O557" s="172"/>
      <c r="P557" s="172"/>
      <c r="Q557" s="172"/>
      <c r="R557" s="172"/>
      <c r="S557" s="172"/>
      <c r="T557" s="172"/>
      <c r="U557" s="172"/>
      <c r="V557" s="172"/>
      <c r="W557" s="172"/>
      <c r="X557" s="172"/>
      <c r="Y557" s="172"/>
      <c r="Z557" s="172"/>
    </row>
    <row r="558">
      <c r="A558" s="172"/>
      <c r="B558" s="182"/>
      <c r="C558" s="172"/>
      <c r="D558" s="172"/>
      <c r="E558" s="172"/>
      <c r="F558" s="172"/>
      <c r="G558" s="172"/>
      <c r="H558" s="172"/>
      <c r="I558" s="182"/>
      <c r="J558" s="172"/>
      <c r="K558" s="172"/>
      <c r="L558" s="172"/>
      <c r="M558" s="172"/>
      <c r="N558" s="172"/>
      <c r="O558" s="172"/>
      <c r="P558" s="172"/>
      <c r="Q558" s="172"/>
      <c r="R558" s="172"/>
      <c r="S558" s="172"/>
      <c r="T558" s="172"/>
      <c r="U558" s="172"/>
      <c r="V558" s="172"/>
      <c r="W558" s="172"/>
      <c r="X558" s="172"/>
      <c r="Y558" s="172"/>
      <c r="Z558" s="172"/>
    </row>
    <row r="559">
      <c r="A559" s="172"/>
      <c r="B559" s="182"/>
      <c r="C559" s="172"/>
      <c r="D559" s="172"/>
      <c r="E559" s="172"/>
      <c r="F559" s="172"/>
      <c r="G559" s="172"/>
      <c r="H559" s="172"/>
      <c r="I559" s="182"/>
      <c r="J559" s="172"/>
      <c r="K559" s="172"/>
      <c r="L559" s="172"/>
      <c r="M559" s="172"/>
      <c r="N559" s="172"/>
      <c r="O559" s="172"/>
      <c r="P559" s="172"/>
      <c r="Q559" s="172"/>
      <c r="R559" s="172"/>
      <c r="S559" s="172"/>
      <c r="T559" s="172"/>
      <c r="U559" s="172"/>
      <c r="V559" s="172"/>
      <c r="W559" s="172"/>
      <c r="X559" s="172"/>
      <c r="Y559" s="172"/>
      <c r="Z559" s="172"/>
    </row>
    <row r="560">
      <c r="A560" s="172"/>
      <c r="B560" s="182"/>
      <c r="C560" s="172"/>
      <c r="D560" s="172"/>
      <c r="E560" s="172"/>
      <c r="F560" s="172"/>
      <c r="G560" s="172"/>
      <c r="H560" s="172"/>
      <c r="I560" s="182"/>
      <c r="J560" s="172"/>
      <c r="K560" s="172"/>
      <c r="L560" s="172"/>
      <c r="M560" s="172"/>
      <c r="N560" s="172"/>
      <c r="O560" s="172"/>
      <c r="P560" s="172"/>
      <c r="Q560" s="172"/>
      <c r="R560" s="172"/>
      <c r="S560" s="172"/>
      <c r="T560" s="172"/>
      <c r="U560" s="172"/>
      <c r="V560" s="172"/>
      <c r="W560" s="172"/>
      <c r="X560" s="172"/>
      <c r="Y560" s="172"/>
      <c r="Z560" s="172"/>
    </row>
    <row r="561">
      <c r="A561" s="172"/>
      <c r="B561" s="182"/>
      <c r="C561" s="172"/>
      <c r="D561" s="172"/>
      <c r="E561" s="172"/>
      <c r="F561" s="172"/>
      <c r="G561" s="172"/>
      <c r="H561" s="172"/>
      <c r="I561" s="182"/>
      <c r="J561" s="172"/>
      <c r="K561" s="172"/>
      <c r="L561" s="172"/>
      <c r="M561" s="172"/>
      <c r="N561" s="172"/>
      <c r="O561" s="172"/>
      <c r="P561" s="172"/>
      <c r="Q561" s="172"/>
      <c r="R561" s="172"/>
      <c r="S561" s="172"/>
      <c r="T561" s="172"/>
      <c r="U561" s="172"/>
      <c r="V561" s="172"/>
      <c r="W561" s="172"/>
      <c r="X561" s="172"/>
      <c r="Y561" s="172"/>
      <c r="Z561" s="172"/>
    </row>
    <row r="562">
      <c r="A562" s="172"/>
      <c r="B562" s="182"/>
      <c r="C562" s="172"/>
      <c r="D562" s="172"/>
      <c r="E562" s="172"/>
      <c r="F562" s="172"/>
      <c r="G562" s="172"/>
      <c r="H562" s="172"/>
      <c r="I562" s="182"/>
      <c r="J562" s="172"/>
      <c r="K562" s="172"/>
      <c r="L562" s="172"/>
      <c r="M562" s="172"/>
      <c r="N562" s="172"/>
      <c r="O562" s="172"/>
      <c r="P562" s="172"/>
      <c r="Q562" s="172"/>
      <c r="R562" s="172"/>
      <c r="S562" s="172"/>
      <c r="T562" s="172"/>
      <c r="U562" s="172"/>
      <c r="V562" s="172"/>
      <c r="W562" s="172"/>
      <c r="X562" s="172"/>
      <c r="Y562" s="172"/>
      <c r="Z562" s="172"/>
    </row>
    <row r="563">
      <c r="A563" s="172"/>
      <c r="B563" s="182"/>
      <c r="C563" s="172"/>
      <c r="D563" s="172"/>
      <c r="E563" s="172"/>
      <c r="F563" s="172"/>
      <c r="G563" s="172"/>
      <c r="H563" s="172"/>
      <c r="I563" s="182"/>
      <c r="J563" s="172"/>
      <c r="K563" s="172"/>
      <c r="L563" s="172"/>
      <c r="M563" s="172"/>
      <c r="N563" s="172"/>
      <c r="O563" s="172"/>
      <c r="P563" s="172"/>
      <c r="Q563" s="172"/>
      <c r="R563" s="172"/>
      <c r="S563" s="172"/>
      <c r="T563" s="172"/>
      <c r="U563" s="172"/>
      <c r="V563" s="172"/>
      <c r="W563" s="172"/>
      <c r="X563" s="172"/>
      <c r="Y563" s="172"/>
      <c r="Z563" s="172"/>
    </row>
    <row r="564">
      <c r="A564" s="172"/>
      <c r="B564" s="182"/>
      <c r="C564" s="172"/>
      <c r="D564" s="172"/>
      <c r="E564" s="172"/>
      <c r="F564" s="172"/>
      <c r="G564" s="172"/>
      <c r="H564" s="172"/>
      <c r="I564" s="182"/>
      <c r="J564" s="172"/>
      <c r="K564" s="172"/>
      <c r="L564" s="172"/>
      <c r="M564" s="172"/>
      <c r="N564" s="172"/>
      <c r="O564" s="172"/>
      <c r="P564" s="172"/>
      <c r="Q564" s="172"/>
      <c r="R564" s="172"/>
      <c r="S564" s="172"/>
      <c r="T564" s="172"/>
      <c r="U564" s="172"/>
      <c r="V564" s="172"/>
      <c r="W564" s="172"/>
      <c r="X564" s="172"/>
      <c r="Y564" s="172"/>
      <c r="Z564" s="172"/>
    </row>
    <row r="565">
      <c r="A565" s="172"/>
      <c r="B565" s="182"/>
      <c r="C565" s="172"/>
      <c r="D565" s="172"/>
      <c r="E565" s="172"/>
      <c r="F565" s="172"/>
      <c r="G565" s="172"/>
      <c r="H565" s="172"/>
      <c r="I565" s="182"/>
      <c r="J565" s="172"/>
      <c r="K565" s="172"/>
      <c r="L565" s="172"/>
      <c r="M565" s="172"/>
      <c r="N565" s="172"/>
      <c r="O565" s="172"/>
      <c r="P565" s="172"/>
      <c r="Q565" s="172"/>
      <c r="R565" s="172"/>
      <c r="S565" s="172"/>
      <c r="T565" s="172"/>
      <c r="U565" s="172"/>
      <c r="V565" s="172"/>
      <c r="W565" s="172"/>
      <c r="X565" s="172"/>
      <c r="Y565" s="172"/>
      <c r="Z565" s="172"/>
    </row>
    <row r="566">
      <c r="A566" s="172"/>
      <c r="B566" s="182"/>
      <c r="C566" s="172"/>
      <c r="D566" s="172"/>
      <c r="E566" s="172"/>
      <c r="F566" s="172"/>
      <c r="G566" s="172"/>
      <c r="H566" s="172"/>
      <c r="I566" s="182"/>
      <c r="J566" s="172"/>
      <c r="K566" s="172"/>
      <c r="L566" s="172"/>
      <c r="M566" s="172"/>
      <c r="N566" s="172"/>
      <c r="O566" s="172"/>
      <c r="P566" s="172"/>
      <c r="Q566" s="172"/>
      <c r="R566" s="172"/>
      <c r="S566" s="172"/>
      <c r="T566" s="172"/>
      <c r="U566" s="172"/>
      <c r="V566" s="172"/>
      <c r="W566" s="172"/>
      <c r="X566" s="172"/>
      <c r="Y566" s="172"/>
      <c r="Z566" s="172"/>
    </row>
    <row r="567">
      <c r="A567" s="172"/>
      <c r="B567" s="182"/>
      <c r="C567" s="172"/>
      <c r="D567" s="172"/>
      <c r="E567" s="172"/>
      <c r="F567" s="172"/>
      <c r="G567" s="172"/>
      <c r="H567" s="172"/>
      <c r="I567" s="182"/>
      <c r="J567" s="172"/>
      <c r="K567" s="172"/>
      <c r="L567" s="172"/>
      <c r="M567" s="172"/>
      <c r="N567" s="172"/>
      <c r="O567" s="172"/>
      <c r="P567" s="172"/>
      <c r="Q567" s="172"/>
      <c r="R567" s="172"/>
      <c r="S567" s="172"/>
      <c r="T567" s="172"/>
      <c r="U567" s="172"/>
      <c r="V567" s="172"/>
      <c r="W567" s="172"/>
      <c r="X567" s="172"/>
      <c r="Y567" s="172"/>
      <c r="Z567" s="172"/>
    </row>
    <row r="568">
      <c r="A568" s="172"/>
      <c r="B568" s="182"/>
      <c r="C568" s="172"/>
      <c r="D568" s="172"/>
      <c r="E568" s="172"/>
      <c r="F568" s="172"/>
      <c r="G568" s="172"/>
      <c r="H568" s="172"/>
      <c r="I568" s="182"/>
      <c r="J568" s="172"/>
      <c r="K568" s="172"/>
      <c r="L568" s="172"/>
      <c r="M568" s="172"/>
      <c r="N568" s="172"/>
      <c r="O568" s="172"/>
      <c r="P568" s="172"/>
      <c r="Q568" s="172"/>
      <c r="R568" s="172"/>
      <c r="S568" s="172"/>
      <c r="T568" s="172"/>
      <c r="U568" s="172"/>
      <c r="V568" s="172"/>
      <c r="W568" s="172"/>
      <c r="X568" s="172"/>
      <c r="Y568" s="172"/>
      <c r="Z568" s="172"/>
    </row>
    <row r="569">
      <c r="A569" s="172"/>
      <c r="B569" s="182"/>
      <c r="C569" s="172"/>
      <c r="D569" s="172"/>
      <c r="E569" s="172"/>
      <c r="F569" s="172"/>
      <c r="G569" s="172"/>
      <c r="H569" s="172"/>
      <c r="I569" s="182"/>
      <c r="J569" s="172"/>
      <c r="K569" s="172"/>
      <c r="L569" s="172"/>
      <c r="M569" s="172"/>
      <c r="N569" s="172"/>
      <c r="O569" s="172"/>
      <c r="P569" s="172"/>
      <c r="Q569" s="172"/>
      <c r="R569" s="172"/>
      <c r="S569" s="172"/>
      <c r="T569" s="172"/>
      <c r="U569" s="172"/>
      <c r="V569" s="172"/>
      <c r="W569" s="172"/>
      <c r="X569" s="172"/>
      <c r="Y569" s="172"/>
      <c r="Z569" s="172"/>
    </row>
    <row r="570">
      <c r="A570" s="172"/>
      <c r="B570" s="182"/>
      <c r="C570" s="172"/>
      <c r="D570" s="172"/>
      <c r="E570" s="172"/>
      <c r="F570" s="172"/>
      <c r="G570" s="172"/>
      <c r="H570" s="172"/>
      <c r="I570" s="182"/>
      <c r="J570" s="172"/>
      <c r="K570" s="172"/>
      <c r="L570" s="172"/>
      <c r="M570" s="172"/>
      <c r="N570" s="172"/>
      <c r="O570" s="172"/>
      <c r="P570" s="172"/>
      <c r="Q570" s="172"/>
      <c r="R570" s="172"/>
      <c r="S570" s="172"/>
      <c r="T570" s="172"/>
      <c r="U570" s="172"/>
      <c r="V570" s="172"/>
      <c r="W570" s="172"/>
      <c r="X570" s="172"/>
      <c r="Y570" s="172"/>
      <c r="Z570" s="172"/>
    </row>
    <row r="571">
      <c r="A571" s="172"/>
      <c r="B571" s="182"/>
      <c r="C571" s="172"/>
      <c r="D571" s="172"/>
      <c r="E571" s="172"/>
      <c r="F571" s="172"/>
      <c r="G571" s="172"/>
      <c r="H571" s="172"/>
      <c r="I571" s="182"/>
      <c r="J571" s="172"/>
      <c r="K571" s="172"/>
      <c r="L571" s="172"/>
      <c r="M571" s="172"/>
      <c r="N571" s="172"/>
      <c r="O571" s="172"/>
      <c r="P571" s="172"/>
      <c r="Q571" s="172"/>
      <c r="R571" s="172"/>
      <c r="S571" s="172"/>
      <c r="T571" s="172"/>
      <c r="U571" s="172"/>
      <c r="V571" s="172"/>
      <c r="W571" s="172"/>
      <c r="X571" s="172"/>
      <c r="Y571" s="172"/>
      <c r="Z571" s="172"/>
    </row>
    <row r="572">
      <c r="A572" s="172"/>
      <c r="B572" s="182"/>
      <c r="C572" s="172"/>
      <c r="D572" s="172"/>
      <c r="E572" s="172"/>
      <c r="F572" s="172"/>
      <c r="G572" s="172"/>
      <c r="H572" s="172"/>
      <c r="I572" s="182"/>
      <c r="J572" s="172"/>
      <c r="K572" s="172"/>
      <c r="L572" s="172"/>
      <c r="M572" s="172"/>
      <c r="N572" s="172"/>
      <c r="O572" s="172"/>
      <c r="P572" s="172"/>
      <c r="Q572" s="172"/>
      <c r="R572" s="172"/>
      <c r="S572" s="172"/>
      <c r="T572" s="172"/>
      <c r="U572" s="172"/>
      <c r="V572" s="172"/>
      <c r="W572" s="172"/>
      <c r="X572" s="172"/>
      <c r="Y572" s="172"/>
      <c r="Z572" s="172"/>
    </row>
    <row r="573">
      <c r="A573" s="172"/>
      <c r="B573" s="182"/>
      <c r="C573" s="172"/>
      <c r="D573" s="172"/>
      <c r="E573" s="172"/>
      <c r="F573" s="172"/>
      <c r="G573" s="172"/>
      <c r="H573" s="172"/>
      <c r="I573" s="182"/>
      <c r="J573" s="172"/>
      <c r="K573" s="172"/>
      <c r="L573" s="172"/>
      <c r="M573" s="172"/>
      <c r="N573" s="172"/>
      <c r="O573" s="172"/>
      <c r="P573" s="172"/>
      <c r="Q573" s="172"/>
      <c r="R573" s="172"/>
      <c r="S573" s="172"/>
      <c r="T573" s="172"/>
      <c r="U573" s="172"/>
      <c r="V573" s="172"/>
      <c r="W573" s="172"/>
      <c r="X573" s="172"/>
      <c r="Y573" s="172"/>
      <c r="Z573" s="172"/>
    </row>
    <row r="574">
      <c r="A574" s="172"/>
      <c r="B574" s="182"/>
      <c r="C574" s="172"/>
      <c r="D574" s="172"/>
      <c r="E574" s="172"/>
      <c r="F574" s="172"/>
      <c r="G574" s="172"/>
      <c r="H574" s="172"/>
      <c r="I574" s="182"/>
      <c r="J574" s="172"/>
      <c r="K574" s="172"/>
      <c r="L574" s="172"/>
      <c r="M574" s="172"/>
      <c r="N574" s="172"/>
      <c r="O574" s="172"/>
      <c r="P574" s="172"/>
      <c r="Q574" s="172"/>
      <c r="R574" s="172"/>
      <c r="S574" s="172"/>
      <c r="T574" s="172"/>
      <c r="U574" s="172"/>
      <c r="V574" s="172"/>
      <c r="W574" s="172"/>
      <c r="X574" s="172"/>
      <c r="Y574" s="172"/>
      <c r="Z574" s="172"/>
    </row>
    <row r="575">
      <c r="A575" s="172"/>
      <c r="B575" s="182"/>
      <c r="C575" s="172"/>
      <c r="D575" s="172"/>
      <c r="E575" s="172"/>
      <c r="F575" s="172"/>
      <c r="G575" s="172"/>
      <c r="H575" s="172"/>
      <c r="I575" s="182"/>
      <c r="J575" s="172"/>
      <c r="K575" s="172"/>
      <c r="L575" s="172"/>
      <c r="M575" s="172"/>
      <c r="N575" s="172"/>
      <c r="O575" s="172"/>
      <c r="P575" s="172"/>
      <c r="Q575" s="172"/>
      <c r="R575" s="172"/>
      <c r="S575" s="172"/>
      <c r="T575" s="172"/>
      <c r="U575" s="172"/>
      <c r="V575" s="172"/>
      <c r="W575" s="172"/>
      <c r="X575" s="172"/>
      <c r="Y575" s="172"/>
      <c r="Z575" s="172"/>
    </row>
    <row r="576">
      <c r="A576" s="172"/>
      <c r="B576" s="182"/>
      <c r="C576" s="172"/>
      <c r="D576" s="172"/>
      <c r="E576" s="172"/>
      <c r="F576" s="172"/>
      <c r="G576" s="172"/>
      <c r="H576" s="172"/>
      <c r="I576" s="182"/>
      <c r="J576" s="172"/>
      <c r="K576" s="172"/>
      <c r="L576" s="172"/>
      <c r="M576" s="172"/>
      <c r="N576" s="172"/>
      <c r="O576" s="172"/>
      <c r="P576" s="172"/>
      <c r="Q576" s="172"/>
      <c r="R576" s="172"/>
      <c r="S576" s="172"/>
      <c r="T576" s="172"/>
      <c r="U576" s="172"/>
      <c r="V576" s="172"/>
      <c r="W576" s="172"/>
      <c r="X576" s="172"/>
      <c r="Y576" s="172"/>
      <c r="Z576" s="172"/>
    </row>
    <row r="577">
      <c r="A577" s="172"/>
      <c r="B577" s="182"/>
      <c r="C577" s="172"/>
      <c r="D577" s="172"/>
      <c r="E577" s="172"/>
      <c r="F577" s="172"/>
      <c r="G577" s="172"/>
      <c r="H577" s="172"/>
      <c r="I577" s="182"/>
      <c r="J577" s="172"/>
      <c r="K577" s="172"/>
      <c r="L577" s="172"/>
      <c r="M577" s="172"/>
      <c r="N577" s="172"/>
      <c r="O577" s="172"/>
      <c r="P577" s="172"/>
      <c r="Q577" s="172"/>
      <c r="R577" s="172"/>
      <c r="S577" s="172"/>
      <c r="T577" s="172"/>
      <c r="U577" s="172"/>
      <c r="V577" s="172"/>
      <c r="W577" s="172"/>
      <c r="X577" s="172"/>
      <c r="Y577" s="172"/>
      <c r="Z577" s="172"/>
    </row>
    <row r="578">
      <c r="A578" s="172"/>
      <c r="B578" s="182"/>
      <c r="C578" s="172"/>
      <c r="D578" s="172"/>
      <c r="E578" s="172"/>
      <c r="F578" s="172"/>
      <c r="G578" s="172"/>
      <c r="H578" s="172"/>
      <c r="I578" s="182"/>
      <c r="J578" s="172"/>
      <c r="K578" s="172"/>
      <c r="L578" s="172"/>
      <c r="M578" s="172"/>
      <c r="N578" s="172"/>
      <c r="O578" s="172"/>
      <c r="P578" s="172"/>
      <c r="Q578" s="172"/>
      <c r="R578" s="172"/>
      <c r="S578" s="172"/>
      <c r="T578" s="172"/>
      <c r="U578" s="172"/>
      <c r="V578" s="172"/>
      <c r="W578" s="172"/>
      <c r="X578" s="172"/>
      <c r="Y578" s="172"/>
      <c r="Z578" s="172"/>
    </row>
    <row r="579">
      <c r="A579" s="172"/>
      <c r="B579" s="182"/>
      <c r="C579" s="172"/>
      <c r="D579" s="172"/>
      <c r="E579" s="172"/>
      <c r="F579" s="172"/>
      <c r="G579" s="172"/>
      <c r="H579" s="172"/>
      <c r="I579" s="182"/>
      <c r="J579" s="172"/>
      <c r="K579" s="172"/>
      <c r="L579" s="172"/>
      <c r="M579" s="172"/>
      <c r="N579" s="172"/>
      <c r="O579" s="172"/>
      <c r="P579" s="172"/>
      <c r="Q579" s="172"/>
      <c r="R579" s="172"/>
      <c r="S579" s="172"/>
      <c r="T579" s="172"/>
      <c r="U579" s="172"/>
      <c r="V579" s="172"/>
      <c r="W579" s="172"/>
      <c r="X579" s="172"/>
      <c r="Y579" s="172"/>
      <c r="Z579" s="172"/>
    </row>
    <row r="580">
      <c r="A580" s="172"/>
      <c r="B580" s="182"/>
      <c r="C580" s="172"/>
      <c r="D580" s="172"/>
      <c r="E580" s="172"/>
      <c r="F580" s="172"/>
      <c r="G580" s="172"/>
      <c r="H580" s="172"/>
      <c r="I580" s="182"/>
      <c r="J580" s="172"/>
      <c r="K580" s="172"/>
      <c r="L580" s="172"/>
      <c r="M580" s="172"/>
      <c r="N580" s="172"/>
      <c r="O580" s="172"/>
      <c r="P580" s="172"/>
      <c r="Q580" s="172"/>
      <c r="R580" s="172"/>
      <c r="S580" s="172"/>
      <c r="T580" s="172"/>
      <c r="U580" s="172"/>
      <c r="V580" s="172"/>
      <c r="W580" s="172"/>
      <c r="X580" s="172"/>
      <c r="Y580" s="172"/>
      <c r="Z580" s="172"/>
    </row>
    <row r="581">
      <c r="A581" s="172"/>
      <c r="B581" s="182"/>
      <c r="C581" s="172"/>
      <c r="D581" s="172"/>
      <c r="E581" s="172"/>
      <c r="F581" s="172"/>
      <c r="G581" s="172"/>
      <c r="H581" s="172"/>
      <c r="I581" s="182"/>
      <c r="J581" s="172"/>
      <c r="K581" s="172"/>
      <c r="L581" s="172"/>
      <c r="M581" s="172"/>
      <c r="N581" s="172"/>
      <c r="O581" s="172"/>
      <c r="P581" s="172"/>
      <c r="Q581" s="172"/>
      <c r="R581" s="172"/>
      <c r="S581" s="172"/>
      <c r="T581" s="172"/>
      <c r="U581" s="172"/>
      <c r="V581" s="172"/>
      <c r="W581" s="172"/>
      <c r="X581" s="172"/>
      <c r="Y581" s="172"/>
      <c r="Z581" s="172"/>
    </row>
    <row r="582">
      <c r="A582" s="172"/>
      <c r="B582" s="182"/>
      <c r="C582" s="172"/>
      <c r="D582" s="172"/>
      <c r="E582" s="172"/>
      <c r="F582" s="172"/>
      <c r="G582" s="172"/>
      <c r="H582" s="172"/>
      <c r="I582" s="182"/>
      <c r="J582" s="172"/>
      <c r="K582" s="172"/>
      <c r="L582" s="172"/>
      <c r="M582" s="172"/>
      <c r="N582" s="172"/>
      <c r="O582" s="172"/>
      <c r="P582" s="172"/>
      <c r="Q582" s="172"/>
      <c r="R582" s="172"/>
      <c r="S582" s="172"/>
      <c r="T582" s="172"/>
      <c r="U582" s="172"/>
      <c r="V582" s="172"/>
      <c r="W582" s="172"/>
      <c r="X582" s="172"/>
      <c r="Y582" s="172"/>
      <c r="Z582" s="172"/>
    </row>
    <row r="583">
      <c r="A583" s="172"/>
      <c r="B583" s="182"/>
      <c r="C583" s="172"/>
      <c r="D583" s="172"/>
      <c r="E583" s="172"/>
      <c r="F583" s="172"/>
      <c r="G583" s="172"/>
      <c r="H583" s="172"/>
      <c r="I583" s="182"/>
      <c r="J583" s="172"/>
      <c r="K583" s="172"/>
      <c r="L583" s="172"/>
      <c r="M583" s="172"/>
      <c r="N583" s="172"/>
      <c r="O583" s="172"/>
      <c r="P583" s="172"/>
      <c r="Q583" s="172"/>
      <c r="R583" s="172"/>
      <c r="S583" s="172"/>
      <c r="T583" s="172"/>
      <c r="U583" s="172"/>
      <c r="V583" s="172"/>
      <c r="W583" s="172"/>
      <c r="X583" s="172"/>
      <c r="Y583" s="172"/>
      <c r="Z583" s="172"/>
    </row>
    <row r="584">
      <c r="A584" s="172"/>
      <c r="B584" s="182"/>
      <c r="C584" s="172"/>
      <c r="D584" s="172"/>
      <c r="E584" s="172"/>
      <c r="F584" s="172"/>
      <c r="G584" s="172"/>
      <c r="H584" s="172"/>
      <c r="I584" s="182"/>
      <c r="J584" s="172"/>
      <c r="K584" s="172"/>
      <c r="L584" s="172"/>
      <c r="M584" s="172"/>
      <c r="N584" s="172"/>
      <c r="O584" s="172"/>
      <c r="P584" s="172"/>
      <c r="Q584" s="172"/>
      <c r="R584" s="172"/>
      <c r="S584" s="172"/>
      <c r="T584" s="172"/>
      <c r="U584" s="172"/>
      <c r="V584" s="172"/>
      <c r="W584" s="172"/>
      <c r="X584" s="172"/>
      <c r="Y584" s="172"/>
      <c r="Z584" s="172"/>
    </row>
    <row r="585">
      <c r="A585" s="172"/>
      <c r="B585" s="182"/>
      <c r="C585" s="172"/>
      <c r="D585" s="172"/>
      <c r="E585" s="172"/>
      <c r="F585" s="172"/>
      <c r="G585" s="172"/>
      <c r="H585" s="172"/>
      <c r="I585" s="182"/>
      <c r="J585" s="172"/>
      <c r="K585" s="172"/>
      <c r="L585" s="172"/>
      <c r="M585" s="172"/>
      <c r="N585" s="172"/>
      <c r="O585" s="172"/>
      <c r="P585" s="172"/>
      <c r="Q585" s="172"/>
      <c r="R585" s="172"/>
      <c r="S585" s="172"/>
      <c r="T585" s="172"/>
      <c r="U585" s="172"/>
      <c r="V585" s="172"/>
      <c r="W585" s="172"/>
      <c r="X585" s="172"/>
      <c r="Y585" s="172"/>
      <c r="Z585" s="172"/>
    </row>
    <row r="586">
      <c r="A586" s="172"/>
      <c r="B586" s="182"/>
      <c r="C586" s="172"/>
      <c r="D586" s="172"/>
      <c r="E586" s="172"/>
      <c r="F586" s="172"/>
      <c r="G586" s="172"/>
      <c r="H586" s="172"/>
      <c r="I586" s="182"/>
      <c r="J586" s="172"/>
      <c r="K586" s="172"/>
      <c r="L586" s="172"/>
      <c r="M586" s="172"/>
      <c r="N586" s="172"/>
      <c r="O586" s="172"/>
      <c r="P586" s="172"/>
      <c r="Q586" s="172"/>
      <c r="R586" s="172"/>
      <c r="S586" s="172"/>
      <c r="T586" s="172"/>
      <c r="U586" s="172"/>
      <c r="V586" s="172"/>
      <c r="W586" s="172"/>
      <c r="X586" s="172"/>
      <c r="Y586" s="172"/>
      <c r="Z586" s="172"/>
    </row>
    <row r="587">
      <c r="A587" s="172"/>
      <c r="B587" s="182"/>
      <c r="C587" s="172"/>
      <c r="D587" s="172"/>
      <c r="E587" s="172"/>
      <c r="F587" s="172"/>
      <c r="G587" s="172"/>
      <c r="H587" s="172"/>
      <c r="I587" s="182"/>
      <c r="J587" s="172"/>
      <c r="K587" s="172"/>
      <c r="L587" s="172"/>
      <c r="M587" s="172"/>
      <c r="N587" s="172"/>
      <c r="O587" s="172"/>
      <c r="P587" s="172"/>
      <c r="Q587" s="172"/>
      <c r="R587" s="172"/>
      <c r="S587" s="172"/>
      <c r="T587" s="172"/>
      <c r="U587" s="172"/>
      <c r="V587" s="172"/>
      <c r="W587" s="172"/>
      <c r="X587" s="172"/>
      <c r="Y587" s="172"/>
      <c r="Z587" s="172"/>
    </row>
    <row r="588">
      <c r="A588" s="172"/>
      <c r="B588" s="182"/>
      <c r="C588" s="172"/>
      <c r="D588" s="172"/>
      <c r="E588" s="172"/>
      <c r="F588" s="172"/>
      <c r="G588" s="172"/>
      <c r="H588" s="172"/>
      <c r="I588" s="182"/>
      <c r="J588" s="172"/>
      <c r="K588" s="172"/>
      <c r="L588" s="172"/>
      <c r="M588" s="172"/>
      <c r="N588" s="172"/>
      <c r="O588" s="172"/>
      <c r="P588" s="172"/>
      <c r="Q588" s="172"/>
      <c r="R588" s="172"/>
      <c r="S588" s="172"/>
      <c r="T588" s="172"/>
      <c r="U588" s="172"/>
      <c r="V588" s="172"/>
      <c r="W588" s="172"/>
      <c r="X588" s="172"/>
      <c r="Y588" s="172"/>
      <c r="Z588" s="172"/>
    </row>
    <row r="589">
      <c r="A589" s="172"/>
      <c r="B589" s="182"/>
      <c r="C589" s="172"/>
      <c r="D589" s="172"/>
      <c r="E589" s="172"/>
      <c r="F589" s="172"/>
      <c r="G589" s="172"/>
      <c r="H589" s="172"/>
      <c r="I589" s="182"/>
      <c r="J589" s="172"/>
      <c r="K589" s="172"/>
      <c r="L589" s="172"/>
      <c r="M589" s="172"/>
      <c r="N589" s="172"/>
      <c r="O589" s="172"/>
      <c r="P589" s="172"/>
      <c r="Q589" s="172"/>
      <c r="R589" s="172"/>
      <c r="S589" s="172"/>
      <c r="T589" s="172"/>
      <c r="U589" s="172"/>
      <c r="V589" s="172"/>
      <c r="W589" s="172"/>
      <c r="X589" s="172"/>
      <c r="Y589" s="172"/>
      <c r="Z589" s="172"/>
    </row>
    <row r="590">
      <c r="A590" s="172"/>
      <c r="B590" s="182"/>
      <c r="C590" s="172"/>
      <c r="D590" s="172"/>
      <c r="E590" s="172"/>
      <c r="F590" s="172"/>
      <c r="G590" s="172"/>
      <c r="H590" s="172"/>
      <c r="I590" s="182"/>
      <c r="J590" s="172"/>
      <c r="K590" s="172"/>
      <c r="L590" s="172"/>
      <c r="M590" s="172"/>
      <c r="N590" s="172"/>
      <c r="O590" s="172"/>
      <c r="P590" s="172"/>
      <c r="Q590" s="172"/>
      <c r="R590" s="172"/>
      <c r="S590" s="172"/>
      <c r="T590" s="172"/>
      <c r="U590" s="172"/>
      <c r="V590" s="172"/>
      <c r="W590" s="172"/>
      <c r="X590" s="172"/>
      <c r="Y590" s="172"/>
      <c r="Z590" s="172"/>
    </row>
    <row r="591">
      <c r="A591" s="172"/>
      <c r="B591" s="182"/>
      <c r="C591" s="172"/>
      <c r="D591" s="172"/>
      <c r="E591" s="172"/>
      <c r="F591" s="172"/>
      <c r="G591" s="172"/>
      <c r="H591" s="172"/>
      <c r="I591" s="182"/>
      <c r="J591" s="172"/>
      <c r="K591" s="172"/>
      <c r="L591" s="172"/>
      <c r="M591" s="172"/>
      <c r="N591" s="172"/>
      <c r="O591" s="172"/>
      <c r="P591" s="172"/>
      <c r="Q591" s="172"/>
      <c r="R591" s="172"/>
      <c r="S591" s="172"/>
      <c r="T591" s="172"/>
      <c r="U591" s="172"/>
      <c r="V591" s="172"/>
      <c r="W591" s="172"/>
      <c r="X591" s="172"/>
      <c r="Y591" s="172"/>
      <c r="Z591" s="172"/>
    </row>
    <row r="592">
      <c r="A592" s="172"/>
      <c r="B592" s="182"/>
      <c r="C592" s="172"/>
      <c r="D592" s="172"/>
      <c r="E592" s="172"/>
      <c r="F592" s="172"/>
      <c r="G592" s="172"/>
      <c r="H592" s="172"/>
      <c r="I592" s="182"/>
      <c r="J592" s="172"/>
      <c r="K592" s="172"/>
      <c r="L592" s="172"/>
      <c r="M592" s="172"/>
      <c r="N592" s="172"/>
      <c r="O592" s="172"/>
      <c r="P592" s="172"/>
      <c r="Q592" s="172"/>
      <c r="R592" s="172"/>
      <c r="S592" s="172"/>
      <c r="T592" s="172"/>
      <c r="U592" s="172"/>
      <c r="V592" s="172"/>
      <c r="W592" s="172"/>
      <c r="X592" s="172"/>
      <c r="Y592" s="172"/>
      <c r="Z592" s="172"/>
    </row>
    <row r="593">
      <c r="A593" s="172"/>
      <c r="B593" s="182"/>
      <c r="C593" s="172"/>
      <c r="D593" s="172"/>
      <c r="E593" s="172"/>
      <c r="F593" s="172"/>
      <c r="G593" s="172"/>
      <c r="H593" s="172"/>
      <c r="I593" s="182"/>
      <c r="J593" s="172"/>
      <c r="K593" s="172"/>
      <c r="L593" s="172"/>
      <c r="M593" s="172"/>
      <c r="N593" s="172"/>
      <c r="O593" s="172"/>
      <c r="P593" s="172"/>
      <c r="Q593" s="172"/>
      <c r="R593" s="172"/>
      <c r="S593" s="172"/>
      <c r="T593" s="172"/>
      <c r="U593" s="172"/>
      <c r="V593" s="172"/>
      <c r="W593" s="172"/>
      <c r="X593" s="172"/>
      <c r="Y593" s="172"/>
      <c r="Z593" s="172"/>
    </row>
    <row r="594">
      <c r="A594" s="172"/>
      <c r="B594" s="182"/>
      <c r="C594" s="172"/>
      <c r="D594" s="172"/>
      <c r="E594" s="172"/>
      <c r="F594" s="172"/>
      <c r="G594" s="172"/>
      <c r="H594" s="172"/>
      <c r="I594" s="182"/>
      <c r="J594" s="172"/>
      <c r="K594" s="172"/>
      <c r="L594" s="172"/>
      <c r="M594" s="172"/>
      <c r="N594" s="172"/>
      <c r="O594" s="172"/>
      <c r="P594" s="172"/>
      <c r="Q594" s="172"/>
      <c r="R594" s="172"/>
      <c r="S594" s="172"/>
      <c r="T594" s="172"/>
      <c r="U594" s="172"/>
      <c r="V594" s="172"/>
      <c r="W594" s="172"/>
      <c r="X594" s="172"/>
      <c r="Y594" s="172"/>
      <c r="Z594" s="172"/>
    </row>
    <row r="595">
      <c r="A595" s="172"/>
      <c r="B595" s="182"/>
      <c r="C595" s="172"/>
      <c r="D595" s="172"/>
      <c r="E595" s="172"/>
      <c r="F595" s="172"/>
      <c r="G595" s="172"/>
      <c r="H595" s="172"/>
      <c r="I595" s="182"/>
      <c r="J595" s="172"/>
      <c r="K595" s="172"/>
      <c r="L595" s="172"/>
      <c r="M595" s="172"/>
      <c r="N595" s="172"/>
      <c r="O595" s="172"/>
      <c r="P595" s="172"/>
      <c r="Q595" s="172"/>
      <c r="R595" s="172"/>
      <c r="S595" s="172"/>
      <c r="T595" s="172"/>
      <c r="U595" s="172"/>
      <c r="V595" s="172"/>
      <c r="W595" s="172"/>
      <c r="X595" s="172"/>
      <c r="Y595" s="172"/>
      <c r="Z595" s="172"/>
    </row>
    <row r="596">
      <c r="A596" s="172"/>
      <c r="B596" s="182"/>
      <c r="C596" s="172"/>
      <c r="D596" s="172"/>
      <c r="E596" s="172"/>
      <c r="F596" s="172"/>
      <c r="G596" s="172"/>
      <c r="H596" s="172"/>
      <c r="I596" s="182"/>
      <c r="J596" s="172"/>
      <c r="K596" s="172"/>
      <c r="L596" s="172"/>
      <c r="M596" s="172"/>
      <c r="N596" s="172"/>
      <c r="O596" s="172"/>
      <c r="P596" s="172"/>
      <c r="Q596" s="172"/>
      <c r="R596" s="172"/>
      <c r="S596" s="172"/>
      <c r="T596" s="172"/>
      <c r="U596" s="172"/>
      <c r="V596" s="172"/>
      <c r="W596" s="172"/>
      <c r="X596" s="172"/>
      <c r="Y596" s="172"/>
      <c r="Z596" s="172"/>
    </row>
    <row r="597">
      <c r="A597" s="172"/>
      <c r="B597" s="182"/>
      <c r="C597" s="172"/>
      <c r="D597" s="172"/>
      <c r="E597" s="172"/>
      <c r="F597" s="172"/>
      <c r="G597" s="172"/>
      <c r="H597" s="172"/>
      <c r="I597" s="182"/>
      <c r="J597" s="172"/>
      <c r="K597" s="172"/>
      <c r="L597" s="172"/>
      <c r="M597" s="172"/>
      <c r="N597" s="172"/>
      <c r="O597" s="172"/>
      <c r="P597" s="172"/>
      <c r="Q597" s="172"/>
      <c r="R597" s="172"/>
      <c r="S597" s="172"/>
      <c r="T597" s="172"/>
      <c r="U597" s="172"/>
      <c r="V597" s="172"/>
      <c r="W597" s="172"/>
      <c r="X597" s="172"/>
      <c r="Y597" s="172"/>
      <c r="Z597" s="172"/>
    </row>
    <row r="598">
      <c r="A598" s="172"/>
      <c r="B598" s="182"/>
      <c r="C598" s="172"/>
      <c r="D598" s="172"/>
      <c r="E598" s="172"/>
      <c r="F598" s="172"/>
      <c r="G598" s="172"/>
      <c r="H598" s="172"/>
      <c r="I598" s="182"/>
      <c r="J598" s="172"/>
      <c r="K598" s="172"/>
      <c r="L598" s="172"/>
      <c r="M598" s="172"/>
      <c r="N598" s="172"/>
      <c r="O598" s="172"/>
      <c r="P598" s="172"/>
      <c r="Q598" s="172"/>
      <c r="R598" s="172"/>
      <c r="S598" s="172"/>
      <c r="T598" s="172"/>
      <c r="U598" s="172"/>
      <c r="V598" s="172"/>
      <c r="W598" s="172"/>
      <c r="X598" s="172"/>
      <c r="Y598" s="172"/>
      <c r="Z598" s="172"/>
    </row>
    <row r="599">
      <c r="A599" s="172"/>
      <c r="B599" s="182"/>
      <c r="C599" s="172"/>
      <c r="D599" s="172"/>
      <c r="E599" s="172"/>
      <c r="F599" s="172"/>
      <c r="G599" s="172"/>
      <c r="H599" s="172"/>
      <c r="I599" s="182"/>
      <c r="J599" s="172"/>
      <c r="K599" s="172"/>
      <c r="L599" s="172"/>
      <c r="M599" s="172"/>
      <c r="N599" s="172"/>
      <c r="O599" s="172"/>
      <c r="P599" s="172"/>
      <c r="Q599" s="172"/>
      <c r="R599" s="172"/>
      <c r="S599" s="172"/>
      <c r="T599" s="172"/>
      <c r="U599" s="172"/>
      <c r="V599" s="172"/>
      <c r="W599" s="172"/>
      <c r="X599" s="172"/>
      <c r="Y599" s="172"/>
      <c r="Z599" s="172"/>
    </row>
    <row r="600">
      <c r="A600" s="172"/>
      <c r="B600" s="182"/>
      <c r="C600" s="172"/>
      <c r="D600" s="172"/>
      <c r="E600" s="172"/>
      <c r="F600" s="172"/>
      <c r="G600" s="172"/>
      <c r="H600" s="172"/>
      <c r="I600" s="182"/>
      <c r="J600" s="172"/>
      <c r="K600" s="172"/>
      <c r="L600" s="172"/>
      <c r="M600" s="172"/>
      <c r="N600" s="172"/>
      <c r="O600" s="172"/>
      <c r="P600" s="172"/>
      <c r="Q600" s="172"/>
      <c r="R600" s="172"/>
      <c r="S600" s="172"/>
      <c r="T600" s="172"/>
      <c r="U600" s="172"/>
      <c r="V600" s="172"/>
      <c r="W600" s="172"/>
      <c r="X600" s="172"/>
      <c r="Y600" s="172"/>
      <c r="Z600" s="172"/>
    </row>
    <row r="601">
      <c r="A601" s="172"/>
      <c r="B601" s="182"/>
      <c r="C601" s="172"/>
      <c r="D601" s="172"/>
      <c r="E601" s="172"/>
      <c r="F601" s="172"/>
      <c r="G601" s="172"/>
      <c r="H601" s="172"/>
      <c r="I601" s="182"/>
      <c r="J601" s="172"/>
      <c r="K601" s="172"/>
      <c r="L601" s="172"/>
      <c r="M601" s="172"/>
      <c r="N601" s="172"/>
      <c r="O601" s="172"/>
      <c r="P601" s="172"/>
      <c r="Q601" s="172"/>
      <c r="R601" s="172"/>
      <c r="S601" s="172"/>
      <c r="T601" s="172"/>
      <c r="U601" s="172"/>
      <c r="V601" s="172"/>
      <c r="W601" s="172"/>
      <c r="X601" s="172"/>
      <c r="Y601" s="172"/>
      <c r="Z601" s="172"/>
    </row>
    <row r="602">
      <c r="A602" s="172"/>
      <c r="B602" s="182"/>
      <c r="C602" s="172"/>
      <c r="D602" s="172"/>
      <c r="E602" s="172"/>
      <c r="F602" s="172"/>
      <c r="G602" s="172"/>
      <c r="H602" s="172"/>
      <c r="I602" s="182"/>
      <c r="J602" s="172"/>
      <c r="K602" s="172"/>
      <c r="L602" s="172"/>
      <c r="M602" s="172"/>
      <c r="N602" s="172"/>
      <c r="O602" s="172"/>
      <c r="P602" s="172"/>
      <c r="Q602" s="172"/>
      <c r="R602" s="172"/>
      <c r="S602" s="172"/>
      <c r="T602" s="172"/>
      <c r="U602" s="172"/>
      <c r="V602" s="172"/>
      <c r="W602" s="172"/>
      <c r="X602" s="172"/>
      <c r="Y602" s="172"/>
      <c r="Z602" s="172"/>
    </row>
    <row r="603">
      <c r="A603" s="172"/>
      <c r="B603" s="182"/>
      <c r="C603" s="172"/>
      <c r="D603" s="172"/>
      <c r="E603" s="172"/>
      <c r="F603" s="172"/>
      <c r="G603" s="172"/>
      <c r="H603" s="172"/>
      <c r="I603" s="182"/>
      <c r="J603" s="172"/>
      <c r="K603" s="172"/>
      <c r="L603" s="172"/>
      <c r="M603" s="172"/>
      <c r="N603" s="172"/>
      <c r="O603" s="172"/>
      <c r="P603" s="172"/>
      <c r="Q603" s="172"/>
      <c r="R603" s="172"/>
      <c r="S603" s="172"/>
      <c r="T603" s="172"/>
      <c r="U603" s="172"/>
      <c r="V603" s="172"/>
      <c r="W603" s="172"/>
      <c r="X603" s="172"/>
      <c r="Y603" s="172"/>
      <c r="Z603" s="172"/>
    </row>
    <row r="604">
      <c r="A604" s="172"/>
      <c r="B604" s="182"/>
      <c r="C604" s="172"/>
      <c r="D604" s="172"/>
      <c r="E604" s="172"/>
      <c r="F604" s="172"/>
      <c r="G604" s="172"/>
      <c r="H604" s="172"/>
      <c r="I604" s="182"/>
      <c r="J604" s="172"/>
      <c r="K604" s="172"/>
      <c r="L604" s="172"/>
      <c r="M604" s="172"/>
      <c r="N604" s="172"/>
      <c r="O604" s="172"/>
      <c r="P604" s="172"/>
      <c r="Q604" s="172"/>
      <c r="R604" s="172"/>
      <c r="S604" s="172"/>
      <c r="T604" s="172"/>
      <c r="U604" s="172"/>
      <c r="V604" s="172"/>
      <c r="W604" s="172"/>
      <c r="X604" s="172"/>
      <c r="Y604" s="172"/>
      <c r="Z604" s="172"/>
    </row>
    <row r="605">
      <c r="A605" s="172"/>
      <c r="B605" s="182"/>
      <c r="C605" s="172"/>
      <c r="D605" s="172"/>
      <c r="E605" s="172"/>
      <c r="F605" s="172"/>
      <c r="G605" s="172"/>
      <c r="H605" s="172"/>
      <c r="I605" s="182"/>
      <c r="J605" s="172"/>
      <c r="K605" s="172"/>
      <c r="L605" s="172"/>
      <c r="M605" s="172"/>
      <c r="N605" s="172"/>
      <c r="O605" s="172"/>
      <c r="P605" s="172"/>
      <c r="Q605" s="172"/>
      <c r="R605" s="172"/>
      <c r="S605" s="172"/>
      <c r="T605" s="172"/>
      <c r="U605" s="172"/>
      <c r="V605" s="172"/>
      <c r="W605" s="172"/>
      <c r="X605" s="172"/>
      <c r="Y605" s="172"/>
      <c r="Z605" s="172"/>
    </row>
    <row r="606">
      <c r="A606" s="172"/>
      <c r="B606" s="182"/>
      <c r="C606" s="172"/>
      <c r="D606" s="172"/>
      <c r="E606" s="172"/>
      <c r="F606" s="172"/>
      <c r="G606" s="172"/>
      <c r="H606" s="172"/>
      <c r="I606" s="182"/>
      <c r="J606" s="172"/>
      <c r="K606" s="172"/>
      <c r="L606" s="172"/>
      <c r="M606" s="172"/>
      <c r="N606" s="172"/>
      <c r="O606" s="172"/>
      <c r="P606" s="172"/>
      <c r="Q606" s="172"/>
      <c r="R606" s="172"/>
      <c r="S606" s="172"/>
      <c r="T606" s="172"/>
      <c r="U606" s="172"/>
      <c r="V606" s="172"/>
      <c r="W606" s="172"/>
      <c r="X606" s="172"/>
      <c r="Y606" s="172"/>
      <c r="Z606" s="172"/>
    </row>
    <row r="607">
      <c r="A607" s="172"/>
      <c r="B607" s="182"/>
      <c r="C607" s="172"/>
      <c r="D607" s="172"/>
      <c r="E607" s="172"/>
      <c r="F607" s="172"/>
      <c r="G607" s="172"/>
      <c r="H607" s="172"/>
      <c r="I607" s="182"/>
      <c r="J607" s="172"/>
      <c r="K607" s="172"/>
      <c r="L607" s="172"/>
      <c r="M607" s="172"/>
      <c r="N607" s="172"/>
      <c r="O607" s="172"/>
      <c r="P607" s="172"/>
      <c r="Q607" s="172"/>
      <c r="R607" s="172"/>
      <c r="S607" s="172"/>
      <c r="T607" s="172"/>
      <c r="U607" s="172"/>
      <c r="V607" s="172"/>
      <c r="W607" s="172"/>
      <c r="X607" s="172"/>
      <c r="Y607" s="172"/>
      <c r="Z607" s="172"/>
    </row>
    <row r="608">
      <c r="A608" s="172"/>
      <c r="B608" s="182"/>
      <c r="C608" s="172"/>
      <c r="D608" s="172"/>
      <c r="E608" s="172"/>
      <c r="F608" s="172"/>
      <c r="G608" s="172"/>
      <c r="H608" s="172"/>
      <c r="I608" s="182"/>
      <c r="J608" s="172"/>
      <c r="K608" s="172"/>
      <c r="L608" s="172"/>
      <c r="M608" s="172"/>
      <c r="N608" s="172"/>
      <c r="O608" s="172"/>
      <c r="P608" s="172"/>
      <c r="Q608" s="172"/>
      <c r="R608" s="172"/>
      <c r="S608" s="172"/>
      <c r="T608" s="172"/>
      <c r="U608" s="172"/>
      <c r="V608" s="172"/>
      <c r="W608" s="172"/>
      <c r="X608" s="172"/>
      <c r="Y608" s="172"/>
      <c r="Z608" s="172"/>
    </row>
    <row r="609">
      <c r="A609" s="172"/>
      <c r="B609" s="182"/>
      <c r="C609" s="172"/>
      <c r="D609" s="172"/>
      <c r="E609" s="172"/>
      <c r="F609" s="172"/>
      <c r="G609" s="172"/>
      <c r="H609" s="172"/>
      <c r="I609" s="182"/>
      <c r="J609" s="172"/>
      <c r="K609" s="172"/>
      <c r="L609" s="172"/>
      <c r="M609" s="172"/>
      <c r="N609" s="172"/>
      <c r="O609" s="172"/>
      <c r="P609" s="172"/>
      <c r="Q609" s="172"/>
      <c r="R609" s="172"/>
      <c r="S609" s="172"/>
      <c r="T609" s="172"/>
      <c r="U609" s="172"/>
      <c r="V609" s="172"/>
      <c r="W609" s="172"/>
      <c r="X609" s="172"/>
      <c r="Y609" s="172"/>
      <c r="Z609" s="172"/>
    </row>
    <row r="610">
      <c r="A610" s="172"/>
      <c r="B610" s="182"/>
      <c r="C610" s="172"/>
      <c r="D610" s="172"/>
      <c r="E610" s="172"/>
      <c r="F610" s="172"/>
      <c r="G610" s="172"/>
      <c r="H610" s="172"/>
      <c r="I610" s="182"/>
      <c r="J610" s="172"/>
      <c r="K610" s="172"/>
      <c r="L610" s="172"/>
      <c r="M610" s="172"/>
      <c r="N610" s="172"/>
      <c r="O610" s="172"/>
      <c r="P610" s="172"/>
      <c r="Q610" s="172"/>
      <c r="R610" s="172"/>
      <c r="S610" s="172"/>
      <c r="T610" s="172"/>
      <c r="U610" s="172"/>
      <c r="V610" s="172"/>
      <c r="W610" s="172"/>
      <c r="X610" s="172"/>
      <c r="Y610" s="172"/>
      <c r="Z610" s="172"/>
    </row>
    <row r="611">
      <c r="A611" s="172"/>
      <c r="B611" s="182"/>
      <c r="C611" s="172"/>
      <c r="D611" s="172"/>
      <c r="E611" s="172"/>
      <c r="F611" s="172"/>
      <c r="G611" s="172"/>
      <c r="H611" s="172"/>
      <c r="I611" s="182"/>
      <c r="J611" s="172"/>
      <c r="K611" s="172"/>
      <c r="L611" s="172"/>
      <c r="M611" s="172"/>
      <c r="N611" s="172"/>
      <c r="O611" s="172"/>
      <c r="P611" s="172"/>
      <c r="Q611" s="172"/>
      <c r="R611" s="172"/>
      <c r="S611" s="172"/>
      <c r="T611" s="172"/>
      <c r="U611" s="172"/>
      <c r="V611" s="172"/>
      <c r="W611" s="172"/>
      <c r="X611" s="172"/>
      <c r="Y611" s="172"/>
      <c r="Z611" s="172"/>
    </row>
    <row r="612">
      <c r="A612" s="172"/>
      <c r="B612" s="182"/>
      <c r="C612" s="172"/>
      <c r="D612" s="172"/>
      <c r="E612" s="172"/>
      <c r="F612" s="172"/>
      <c r="G612" s="172"/>
      <c r="H612" s="172"/>
      <c r="I612" s="182"/>
      <c r="J612" s="172"/>
      <c r="K612" s="172"/>
      <c r="L612" s="172"/>
      <c r="M612" s="172"/>
      <c r="N612" s="172"/>
      <c r="O612" s="172"/>
      <c r="P612" s="172"/>
      <c r="Q612" s="172"/>
      <c r="R612" s="172"/>
      <c r="S612" s="172"/>
      <c r="T612" s="172"/>
      <c r="U612" s="172"/>
      <c r="V612" s="172"/>
      <c r="W612" s="172"/>
      <c r="X612" s="172"/>
      <c r="Y612" s="172"/>
      <c r="Z612" s="172"/>
    </row>
    <row r="613">
      <c r="A613" s="172"/>
      <c r="B613" s="182"/>
      <c r="C613" s="172"/>
      <c r="D613" s="172"/>
      <c r="E613" s="172"/>
      <c r="F613" s="172"/>
      <c r="G613" s="172"/>
      <c r="H613" s="172"/>
      <c r="I613" s="182"/>
      <c r="J613" s="172"/>
      <c r="K613" s="172"/>
      <c r="L613" s="172"/>
      <c r="M613" s="172"/>
      <c r="N613" s="172"/>
      <c r="O613" s="172"/>
      <c r="P613" s="172"/>
      <c r="Q613" s="172"/>
      <c r="R613" s="172"/>
      <c r="S613" s="172"/>
      <c r="T613" s="172"/>
      <c r="U613" s="172"/>
      <c r="V613" s="172"/>
      <c r="W613" s="172"/>
      <c r="X613" s="172"/>
      <c r="Y613" s="172"/>
      <c r="Z613" s="172"/>
    </row>
    <row r="614">
      <c r="A614" s="172"/>
      <c r="B614" s="182"/>
      <c r="C614" s="172"/>
      <c r="D614" s="172"/>
      <c r="E614" s="172"/>
      <c r="F614" s="172"/>
      <c r="G614" s="172"/>
      <c r="H614" s="172"/>
      <c r="I614" s="182"/>
      <c r="J614" s="172"/>
      <c r="K614" s="172"/>
      <c r="L614" s="172"/>
      <c r="M614" s="172"/>
      <c r="N614" s="172"/>
      <c r="O614" s="172"/>
      <c r="P614" s="172"/>
      <c r="Q614" s="172"/>
      <c r="R614" s="172"/>
      <c r="S614" s="172"/>
      <c r="T614" s="172"/>
      <c r="U614" s="172"/>
      <c r="V614" s="172"/>
      <c r="W614" s="172"/>
      <c r="X614" s="172"/>
      <c r="Y614" s="172"/>
      <c r="Z614" s="172"/>
    </row>
    <row r="615">
      <c r="A615" s="172"/>
      <c r="B615" s="182"/>
      <c r="C615" s="172"/>
      <c r="D615" s="172"/>
      <c r="E615" s="172"/>
      <c r="F615" s="172"/>
      <c r="G615" s="172"/>
      <c r="H615" s="172"/>
      <c r="I615" s="182"/>
      <c r="J615" s="172"/>
      <c r="K615" s="172"/>
      <c r="L615" s="172"/>
      <c r="M615" s="172"/>
      <c r="N615" s="172"/>
      <c r="O615" s="172"/>
      <c r="P615" s="172"/>
      <c r="Q615" s="172"/>
      <c r="R615" s="172"/>
      <c r="S615" s="172"/>
      <c r="T615" s="172"/>
      <c r="U615" s="172"/>
      <c r="V615" s="172"/>
      <c r="W615" s="172"/>
      <c r="X615" s="172"/>
      <c r="Y615" s="172"/>
      <c r="Z615" s="172"/>
    </row>
    <row r="616">
      <c r="A616" s="172"/>
      <c r="B616" s="182"/>
      <c r="C616" s="172"/>
      <c r="D616" s="172"/>
      <c r="E616" s="172"/>
      <c r="F616" s="172"/>
      <c r="G616" s="172"/>
      <c r="H616" s="172"/>
      <c r="I616" s="182"/>
      <c r="J616" s="172"/>
      <c r="K616" s="172"/>
      <c r="L616" s="172"/>
      <c r="M616" s="172"/>
      <c r="N616" s="172"/>
      <c r="O616" s="172"/>
      <c r="P616" s="172"/>
      <c r="Q616" s="172"/>
      <c r="R616" s="172"/>
      <c r="S616" s="172"/>
      <c r="T616" s="172"/>
      <c r="U616" s="172"/>
      <c r="V616" s="172"/>
      <c r="W616" s="172"/>
      <c r="X616" s="172"/>
      <c r="Y616" s="172"/>
      <c r="Z616" s="172"/>
    </row>
    <row r="617">
      <c r="A617" s="172"/>
      <c r="B617" s="182"/>
      <c r="C617" s="172"/>
      <c r="D617" s="172"/>
      <c r="E617" s="172"/>
      <c r="F617" s="172"/>
      <c r="G617" s="172"/>
      <c r="H617" s="172"/>
      <c r="I617" s="182"/>
      <c r="J617" s="172"/>
      <c r="K617" s="172"/>
      <c r="L617" s="172"/>
      <c r="M617" s="172"/>
      <c r="N617" s="172"/>
      <c r="O617" s="172"/>
      <c r="P617" s="172"/>
      <c r="Q617" s="172"/>
      <c r="R617" s="172"/>
      <c r="S617" s="172"/>
      <c r="T617" s="172"/>
      <c r="U617" s="172"/>
      <c r="V617" s="172"/>
      <c r="W617" s="172"/>
      <c r="X617" s="172"/>
      <c r="Y617" s="172"/>
      <c r="Z617" s="172"/>
    </row>
    <row r="618">
      <c r="A618" s="172"/>
      <c r="B618" s="182"/>
      <c r="C618" s="172"/>
      <c r="D618" s="172"/>
      <c r="E618" s="172"/>
      <c r="F618" s="172"/>
      <c r="G618" s="172"/>
      <c r="H618" s="172"/>
      <c r="I618" s="182"/>
      <c r="J618" s="172"/>
      <c r="K618" s="172"/>
      <c r="L618" s="172"/>
      <c r="M618" s="172"/>
      <c r="N618" s="172"/>
      <c r="O618" s="172"/>
      <c r="P618" s="172"/>
      <c r="Q618" s="172"/>
      <c r="R618" s="172"/>
      <c r="S618" s="172"/>
      <c r="T618" s="172"/>
      <c r="U618" s="172"/>
      <c r="V618" s="172"/>
      <c r="W618" s="172"/>
      <c r="X618" s="172"/>
      <c r="Y618" s="172"/>
      <c r="Z618" s="172"/>
    </row>
    <row r="619">
      <c r="A619" s="172"/>
      <c r="B619" s="182"/>
      <c r="C619" s="172"/>
      <c r="D619" s="172"/>
      <c r="E619" s="172"/>
      <c r="F619" s="172"/>
      <c r="G619" s="172"/>
      <c r="H619" s="172"/>
      <c r="I619" s="182"/>
      <c r="J619" s="172"/>
      <c r="K619" s="172"/>
      <c r="L619" s="172"/>
      <c r="M619" s="172"/>
      <c r="N619" s="172"/>
      <c r="O619" s="172"/>
      <c r="P619" s="172"/>
      <c r="Q619" s="172"/>
      <c r="R619" s="172"/>
      <c r="S619" s="172"/>
      <c r="T619" s="172"/>
      <c r="U619" s="172"/>
      <c r="V619" s="172"/>
      <c r="W619" s="172"/>
      <c r="X619" s="172"/>
      <c r="Y619" s="172"/>
      <c r="Z619" s="172"/>
    </row>
    <row r="620">
      <c r="A620" s="172"/>
      <c r="B620" s="182"/>
      <c r="C620" s="172"/>
      <c r="D620" s="172"/>
      <c r="E620" s="172"/>
      <c r="F620" s="172"/>
      <c r="G620" s="172"/>
      <c r="H620" s="172"/>
      <c r="I620" s="182"/>
      <c r="J620" s="172"/>
      <c r="K620" s="172"/>
      <c r="L620" s="172"/>
      <c r="M620" s="172"/>
      <c r="N620" s="172"/>
      <c r="O620" s="172"/>
      <c r="P620" s="172"/>
      <c r="Q620" s="172"/>
      <c r="R620" s="172"/>
      <c r="S620" s="172"/>
      <c r="T620" s="172"/>
      <c r="U620" s="172"/>
      <c r="V620" s="172"/>
      <c r="W620" s="172"/>
      <c r="X620" s="172"/>
      <c r="Y620" s="172"/>
      <c r="Z620" s="172"/>
    </row>
    <row r="621">
      <c r="A621" s="172"/>
      <c r="B621" s="182"/>
      <c r="C621" s="172"/>
      <c r="D621" s="172"/>
      <c r="E621" s="172"/>
      <c r="F621" s="172"/>
      <c r="G621" s="172"/>
      <c r="H621" s="172"/>
      <c r="I621" s="182"/>
      <c r="J621" s="172"/>
      <c r="K621" s="172"/>
      <c r="L621" s="172"/>
      <c r="M621" s="172"/>
      <c r="N621" s="172"/>
      <c r="O621" s="172"/>
      <c r="P621" s="172"/>
      <c r="Q621" s="172"/>
      <c r="R621" s="172"/>
      <c r="S621" s="172"/>
      <c r="T621" s="172"/>
      <c r="U621" s="172"/>
      <c r="V621" s="172"/>
      <c r="W621" s="172"/>
      <c r="X621" s="172"/>
      <c r="Y621" s="172"/>
      <c r="Z621" s="172"/>
    </row>
    <row r="622">
      <c r="A622" s="172"/>
      <c r="B622" s="182"/>
      <c r="C622" s="172"/>
      <c r="D622" s="172"/>
      <c r="E622" s="172"/>
      <c r="F622" s="172"/>
      <c r="G622" s="172"/>
      <c r="H622" s="172"/>
      <c r="I622" s="182"/>
      <c r="J622" s="172"/>
      <c r="K622" s="172"/>
      <c r="L622" s="172"/>
      <c r="M622" s="172"/>
      <c r="N622" s="172"/>
      <c r="O622" s="172"/>
      <c r="P622" s="172"/>
      <c r="Q622" s="172"/>
      <c r="R622" s="172"/>
      <c r="S622" s="172"/>
      <c r="T622" s="172"/>
      <c r="U622" s="172"/>
      <c r="V622" s="172"/>
      <c r="W622" s="172"/>
      <c r="X622" s="172"/>
      <c r="Y622" s="172"/>
      <c r="Z622" s="172"/>
    </row>
    <row r="623">
      <c r="A623" s="172"/>
      <c r="B623" s="182"/>
      <c r="C623" s="172"/>
      <c r="D623" s="172"/>
      <c r="E623" s="172"/>
      <c r="F623" s="172"/>
      <c r="G623" s="172"/>
      <c r="H623" s="172"/>
      <c r="I623" s="182"/>
      <c r="J623" s="172"/>
      <c r="K623" s="172"/>
      <c r="L623" s="172"/>
      <c r="M623" s="172"/>
      <c r="N623" s="172"/>
      <c r="O623" s="172"/>
      <c r="P623" s="172"/>
      <c r="Q623" s="172"/>
      <c r="R623" s="172"/>
      <c r="S623" s="172"/>
      <c r="T623" s="172"/>
      <c r="U623" s="172"/>
      <c r="V623" s="172"/>
      <c r="W623" s="172"/>
      <c r="X623" s="172"/>
      <c r="Y623" s="172"/>
      <c r="Z623" s="172"/>
    </row>
    <row r="624">
      <c r="A624" s="172"/>
      <c r="B624" s="182"/>
      <c r="C624" s="172"/>
      <c r="D624" s="172"/>
      <c r="E624" s="172"/>
      <c r="F624" s="172"/>
      <c r="G624" s="172"/>
      <c r="H624" s="172"/>
      <c r="I624" s="182"/>
      <c r="J624" s="172"/>
      <c r="K624" s="172"/>
      <c r="L624" s="172"/>
      <c r="M624" s="172"/>
      <c r="N624" s="172"/>
      <c r="O624" s="172"/>
      <c r="P624" s="172"/>
      <c r="Q624" s="172"/>
      <c r="R624" s="172"/>
      <c r="S624" s="172"/>
      <c r="T624" s="172"/>
      <c r="U624" s="172"/>
      <c r="V624" s="172"/>
      <c r="W624" s="172"/>
      <c r="X624" s="172"/>
      <c r="Y624" s="172"/>
      <c r="Z624" s="172"/>
    </row>
    <row r="625">
      <c r="A625" s="172"/>
      <c r="B625" s="182"/>
      <c r="C625" s="172"/>
      <c r="D625" s="172"/>
      <c r="E625" s="172"/>
      <c r="F625" s="172"/>
      <c r="G625" s="172"/>
      <c r="H625" s="172"/>
      <c r="I625" s="182"/>
      <c r="J625" s="172"/>
      <c r="K625" s="172"/>
      <c r="L625" s="172"/>
      <c r="M625" s="172"/>
      <c r="N625" s="172"/>
      <c r="O625" s="172"/>
      <c r="P625" s="172"/>
      <c r="Q625" s="172"/>
      <c r="R625" s="172"/>
      <c r="S625" s="172"/>
      <c r="T625" s="172"/>
      <c r="U625" s="172"/>
      <c r="V625" s="172"/>
      <c r="W625" s="172"/>
      <c r="X625" s="172"/>
      <c r="Y625" s="172"/>
      <c r="Z625" s="172"/>
    </row>
    <row r="626">
      <c r="A626" s="172"/>
      <c r="B626" s="182"/>
      <c r="C626" s="172"/>
      <c r="D626" s="172"/>
      <c r="E626" s="172"/>
      <c r="F626" s="172"/>
      <c r="G626" s="172"/>
      <c r="H626" s="172"/>
      <c r="I626" s="182"/>
      <c r="J626" s="172"/>
      <c r="K626" s="172"/>
      <c r="L626" s="172"/>
      <c r="M626" s="172"/>
      <c r="N626" s="172"/>
      <c r="O626" s="172"/>
      <c r="P626" s="172"/>
      <c r="Q626" s="172"/>
      <c r="R626" s="172"/>
      <c r="S626" s="172"/>
      <c r="T626" s="172"/>
      <c r="U626" s="172"/>
      <c r="V626" s="172"/>
      <c r="W626" s="172"/>
      <c r="X626" s="172"/>
      <c r="Y626" s="172"/>
      <c r="Z626" s="172"/>
    </row>
    <row r="627">
      <c r="A627" s="172"/>
      <c r="B627" s="182"/>
      <c r="C627" s="172"/>
      <c r="D627" s="172"/>
      <c r="E627" s="172"/>
      <c r="F627" s="172"/>
      <c r="G627" s="172"/>
      <c r="H627" s="172"/>
      <c r="I627" s="182"/>
      <c r="J627" s="172"/>
      <c r="K627" s="172"/>
      <c r="L627" s="172"/>
      <c r="M627" s="172"/>
      <c r="N627" s="172"/>
      <c r="O627" s="172"/>
      <c r="P627" s="172"/>
      <c r="Q627" s="172"/>
      <c r="R627" s="172"/>
      <c r="S627" s="172"/>
      <c r="T627" s="172"/>
      <c r="U627" s="172"/>
      <c r="V627" s="172"/>
      <c r="W627" s="172"/>
      <c r="X627" s="172"/>
      <c r="Y627" s="172"/>
      <c r="Z627" s="172"/>
    </row>
    <row r="628">
      <c r="A628" s="172"/>
      <c r="B628" s="182"/>
      <c r="C628" s="172"/>
      <c r="D628" s="172"/>
      <c r="E628" s="172"/>
      <c r="F628" s="172"/>
      <c r="G628" s="172"/>
      <c r="H628" s="172"/>
      <c r="I628" s="182"/>
      <c r="J628" s="172"/>
      <c r="K628" s="172"/>
      <c r="L628" s="172"/>
      <c r="M628" s="172"/>
      <c r="N628" s="172"/>
      <c r="O628" s="172"/>
      <c r="P628" s="172"/>
      <c r="Q628" s="172"/>
      <c r="R628" s="172"/>
      <c r="S628" s="172"/>
      <c r="T628" s="172"/>
      <c r="U628" s="172"/>
      <c r="V628" s="172"/>
      <c r="W628" s="172"/>
      <c r="X628" s="172"/>
      <c r="Y628" s="172"/>
      <c r="Z628" s="172"/>
    </row>
    <row r="629">
      <c r="A629" s="172"/>
      <c r="B629" s="182"/>
      <c r="C629" s="172"/>
      <c r="D629" s="172"/>
      <c r="E629" s="172"/>
      <c r="F629" s="172"/>
      <c r="G629" s="172"/>
      <c r="H629" s="172"/>
      <c r="I629" s="182"/>
      <c r="J629" s="172"/>
      <c r="K629" s="172"/>
      <c r="L629" s="172"/>
      <c r="M629" s="172"/>
      <c r="N629" s="172"/>
      <c r="O629" s="172"/>
      <c r="P629" s="172"/>
      <c r="Q629" s="172"/>
      <c r="R629" s="172"/>
      <c r="S629" s="172"/>
      <c r="T629" s="172"/>
      <c r="U629" s="172"/>
      <c r="V629" s="172"/>
      <c r="W629" s="172"/>
      <c r="X629" s="172"/>
      <c r="Y629" s="172"/>
      <c r="Z629" s="172"/>
    </row>
    <row r="630">
      <c r="A630" s="172"/>
      <c r="B630" s="182"/>
      <c r="C630" s="172"/>
      <c r="D630" s="172"/>
      <c r="E630" s="172"/>
      <c r="F630" s="172"/>
      <c r="G630" s="172"/>
      <c r="H630" s="172"/>
      <c r="I630" s="182"/>
      <c r="J630" s="172"/>
      <c r="K630" s="172"/>
      <c r="L630" s="172"/>
      <c r="M630" s="172"/>
      <c r="N630" s="172"/>
      <c r="O630" s="172"/>
      <c r="P630" s="172"/>
      <c r="Q630" s="172"/>
      <c r="R630" s="172"/>
      <c r="S630" s="172"/>
      <c r="T630" s="172"/>
      <c r="U630" s="172"/>
      <c r="V630" s="172"/>
      <c r="W630" s="172"/>
      <c r="X630" s="172"/>
      <c r="Y630" s="172"/>
      <c r="Z630" s="172"/>
    </row>
    <row r="631">
      <c r="A631" s="172"/>
      <c r="B631" s="182"/>
      <c r="C631" s="172"/>
      <c r="D631" s="172"/>
      <c r="E631" s="172"/>
      <c r="F631" s="172"/>
      <c r="G631" s="172"/>
      <c r="H631" s="172"/>
      <c r="I631" s="182"/>
      <c r="J631" s="172"/>
      <c r="K631" s="172"/>
      <c r="L631" s="172"/>
      <c r="M631" s="172"/>
      <c r="N631" s="172"/>
      <c r="O631" s="172"/>
      <c r="P631" s="172"/>
      <c r="Q631" s="172"/>
      <c r="R631" s="172"/>
      <c r="S631" s="172"/>
      <c r="T631" s="172"/>
      <c r="U631" s="172"/>
      <c r="V631" s="172"/>
      <c r="W631" s="172"/>
      <c r="X631" s="172"/>
      <c r="Y631" s="172"/>
      <c r="Z631" s="172"/>
    </row>
    <row r="632">
      <c r="A632" s="172"/>
      <c r="B632" s="182"/>
      <c r="C632" s="172"/>
      <c r="D632" s="172"/>
      <c r="E632" s="172"/>
      <c r="F632" s="172"/>
      <c r="G632" s="172"/>
      <c r="H632" s="172"/>
      <c r="I632" s="182"/>
      <c r="J632" s="172"/>
      <c r="K632" s="172"/>
      <c r="L632" s="172"/>
      <c r="M632" s="172"/>
      <c r="N632" s="172"/>
      <c r="O632" s="172"/>
      <c r="P632" s="172"/>
      <c r="Q632" s="172"/>
      <c r="R632" s="172"/>
      <c r="S632" s="172"/>
      <c r="T632" s="172"/>
      <c r="U632" s="172"/>
      <c r="V632" s="172"/>
      <c r="W632" s="172"/>
      <c r="X632" s="172"/>
      <c r="Y632" s="172"/>
      <c r="Z632" s="172"/>
    </row>
    <row r="633">
      <c r="A633" s="172"/>
      <c r="B633" s="182"/>
      <c r="C633" s="172"/>
      <c r="D633" s="172"/>
      <c r="E633" s="172"/>
      <c r="F633" s="172"/>
      <c r="G633" s="172"/>
      <c r="H633" s="172"/>
      <c r="I633" s="182"/>
      <c r="J633" s="172"/>
      <c r="K633" s="172"/>
      <c r="L633" s="172"/>
      <c r="M633" s="172"/>
      <c r="N633" s="172"/>
      <c r="O633" s="172"/>
      <c r="P633" s="172"/>
      <c r="Q633" s="172"/>
      <c r="R633" s="172"/>
      <c r="S633" s="172"/>
      <c r="T633" s="172"/>
      <c r="U633" s="172"/>
      <c r="V633" s="172"/>
      <c r="W633" s="172"/>
      <c r="X633" s="172"/>
      <c r="Y633" s="172"/>
      <c r="Z633" s="172"/>
    </row>
    <row r="634">
      <c r="A634" s="172"/>
      <c r="B634" s="182"/>
      <c r="C634" s="172"/>
      <c r="D634" s="172"/>
      <c r="E634" s="172"/>
      <c r="F634" s="172"/>
      <c r="G634" s="172"/>
      <c r="H634" s="172"/>
      <c r="I634" s="182"/>
      <c r="J634" s="172"/>
      <c r="K634" s="172"/>
      <c r="L634" s="172"/>
      <c r="M634" s="172"/>
      <c r="N634" s="172"/>
      <c r="O634" s="172"/>
      <c r="P634" s="172"/>
      <c r="Q634" s="172"/>
      <c r="R634" s="172"/>
      <c r="S634" s="172"/>
      <c r="T634" s="172"/>
      <c r="U634" s="172"/>
      <c r="V634" s="172"/>
      <c r="W634" s="172"/>
      <c r="X634" s="172"/>
      <c r="Y634" s="172"/>
      <c r="Z634" s="172"/>
    </row>
    <row r="635">
      <c r="A635" s="172"/>
      <c r="B635" s="182"/>
      <c r="C635" s="172"/>
      <c r="D635" s="172"/>
      <c r="E635" s="172"/>
      <c r="F635" s="172"/>
      <c r="G635" s="172"/>
      <c r="H635" s="172"/>
      <c r="I635" s="182"/>
      <c r="J635" s="172"/>
      <c r="K635" s="172"/>
      <c r="L635" s="172"/>
      <c r="M635" s="172"/>
      <c r="N635" s="172"/>
      <c r="O635" s="172"/>
      <c r="P635" s="172"/>
      <c r="Q635" s="172"/>
      <c r="R635" s="172"/>
      <c r="S635" s="172"/>
      <c r="T635" s="172"/>
      <c r="U635" s="172"/>
      <c r="V635" s="172"/>
      <c r="W635" s="172"/>
      <c r="X635" s="172"/>
      <c r="Y635" s="172"/>
      <c r="Z635" s="172"/>
    </row>
    <row r="636">
      <c r="A636" s="172"/>
      <c r="B636" s="182"/>
      <c r="C636" s="172"/>
      <c r="D636" s="172"/>
      <c r="E636" s="172"/>
      <c r="F636" s="172"/>
      <c r="G636" s="172"/>
      <c r="H636" s="172"/>
      <c r="I636" s="182"/>
      <c r="J636" s="172"/>
      <c r="K636" s="172"/>
      <c r="L636" s="172"/>
      <c r="M636" s="172"/>
      <c r="N636" s="172"/>
      <c r="O636" s="172"/>
      <c r="P636" s="172"/>
      <c r="Q636" s="172"/>
      <c r="R636" s="172"/>
      <c r="S636" s="172"/>
      <c r="T636" s="172"/>
      <c r="U636" s="172"/>
      <c r="V636" s="172"/>
      <c r="W636" s="172"/>
      <c r="X636" s="172"/>
      <c r="Y636" s="172"/>
      <c r="Z636" s="172"/>
    </row>
    <row r="637">
      <c r="A637" s="172"/>
      <c r="B637" s="182"/>
      <c r="C637" s="172"/>
      <c r="D637" s="172"/>
      <c r="E637" s="172"/>
      <c r="F637" s="172"/>
      <c r="G637" s="172"/>
      <c r="H637" s="172"/>
      <c r="I637" s="182"/>
      <c r="J637" s="172"/>
      <c r="K637" s="172"/>
      <c r="L637" s="172"/>
      <c r="M637" s="172"/>
      <c r="N637" s="172"/>
      <c r="O637" s="172"/>
      <c r="P637" s="172"/>
      <c r="Q637" s="172"/>
      <c r="R637" s="172"/>
      <c r="S637" s="172"/>
      <c r="T637" s="172"/>
      <c r="U637" s="172"/>
      <c r="V637" s="172"/>
      <c r="W637" s="172"/>
      <c r="X637" s="172"/>
      <c r="Y637" s="172"/>
      <c r="Z637" s="172"/>
    </row>
    <row r="638">
      <c r="A638" s="172"/>
      <c r="B638" s="182"/>
      <c r="C638" s="172"/>
      <c r="D638" s="172"/>
      <c r="E638" s="172"/>
      <c r="F638" s="172"/>
      <c r="G638" s="172"/>
      <c r="H638" s="172"/>
      <c r="I638" s="182"/>
      <c r="J638" s="172"/>
      <c r="K638" s="172"/>
      <c r="L638" s="172"/>
      <c r="M638" s="172"/>
      <c r="N638" s="172"/>
      <c r="O638" s="172"/>
      <c r="P638" s="172"/>
      <c r="Q638" s="172"/>
      <c r="R638" s="172"/>
      <c r="S638" s="172"/>
      <c r="T638" s="172"/>
      <c r="U638" s="172"/>
      <c r="V638" s="172"/>
      <c r="W638" s="172"/>
      <c r="X638" s="172"/>
      <c r="Y638" s="172"/>
      <c r="Z638" s="172"/>
    </row>
    <row r="639">
      <c r="A639" s="172"/>
      <c r="B639" s="182"/>
      <c r="C639" s="172"/>
      <c r="D639" s="172"/>
      <c r="E639" s="172"/>
      <c r="F639" s="172"/>
      <c r="G639" s="172"/>
      <c r="H639" s="172"/>
      <c r="I639" s="182"/>
      <c r="J639" s="172"/>
      <c r="K639" s="172"/>
      <c r="L639" s="172"/>
      <c r="M639" s="172"/>
      <c r="N639" s="172"/>
      <c r="O639" s="172"/>
      <c r="P639" s="172"/>
      <c r="Q639" s="172"/>
      <c r="R639" s="172"/>
      <c r="S639" s="172"/>
      <c r="T639" s="172"/>
      <c r="U639" s="172"/>
      <c r="V639" s="172"/>
      <c r="W639" s="172"/>
      <c r="X639" s="172"/>
      <c r="Y639" s="172"/>
      <c r="Z639" s="172"/>
    </row>
    <row r="640">
      <c r="A640" s="172"/>
      <c r="B640" s="182"/>
      <c r="C640" s="172"/>
      <c r="D640" s="172"/>
      <c r="E640" s="172"/>
      <c r="F640" s="172"/>
      <c r="G640" s="172"/>
      <c r="H640" s="172"/>
      <c r="I640" s="182"/>
      <c r="J640" s="172"/>
      <c r="K640" s="172"/>
      <c r="L640" s="172"/>
      <c r="M640" s="172"/>
      <c r="N640" s="172"/>
      <c r="O640" s="172"/>
      <c r="P640" s="172"/>
      <c r="Q640" s="172"/>
      <c r="R640" s="172"/>
      <c r="S640" s="172"/>
      <c r="T640" s="172"/>
      <c r="U640" s="172"/>
      <c r="V640" s="172"/>
      <c r="W640" s="172"/>
      <c r="X640" s="172"/>
      <c r="Y640" s="172"/>
      <c r="Z640" s="172"/>
    </row>
    <row r="641">
      <c r="A641" s="172"/>
      <c r="B641" s="182"/>
      <c r="C641" s="172"/>
      <c r="D641" s="172"/>
      <c r="E641" s="172"/>
      <c r="F641" s="172"/>
      <c r="G641" s="172"/>
      <c r="H641" s="172"/>
      <c r="I641" s="182"/>
      <c r="J641" s="172"/>
      <c r="K641" s="172"/>
      <c r="L641" s="172"/>
      <c r="M641" s="172"/>
      <c r="N641" s="172"/>
      <c r="O641" s="172"/>
      <c r="P641" s="172"/>
      <c r="Q641" s="172"/>
      <c r="R641" s="172"/>
      <c r="S641" s="172"/>
      <c r="T641" s="172"/>
      <c r="U641" s="172"/>
      <c r="V641" s="172"/>
      <c r="W641" s="172"/>
      <c r="X641" s="172"/>
      <c r="Y641" s="172"/>
      <c r="Z641" s="172"/>
    </row>
    <row r="642">
      <c r="A642" s="172"/>
      <c r="B642" s="182"/>
      <c r="C642" s="172"/>
      <c r="D642" s="172"/>
      <c r="E642" s="172"/>
      <c r="F642" s="172"/>
      <c r="G642" s="172"/>
      <c r="H642" s="172"/>
      <c r="I642" s="182"/>
      <c r="J642" s="172"/>
      <c r="K642" s="172"/>
      <c r="L642" s="172"/>
      <c r="M642" s="172"/>
      <c r="N642" s="172"/>
      <c r="O642" s="172"/>
      <c r="P642" s="172"/>
      <c r="Q642" s="172"/>
      <c r="R642" s="172"/>
      <c r="S642" s="172"/>
      <c r="T642" s="172"/>
      <c r="U642" s="172"/>
      <c r="V642" s="172"/>
      <c r="W642" s="172"/>
      <c r="X642" s="172"/>
      <c r="Y642" s="172"/>
      <c r="Z642" s="172"/>
    </row>
    <row r="643">
      <c r="A643" s="172"/>
      <c r="B643" s="182"/>
      <c r="C643" s="172"/>
      <c r="D643" s="172"/>
      <c r="E643" s="172"/>
      <c r="F643" s="172"/>
      <c r="G643" s="172"/>
      <c r="H643" s="172"/>
      <c r="I643" s="182"/>
      <c r="J643" s="172"/>
      <c r="K643" s="172"/>
      <c r="L643" s="172"/>
      <c r="M643" s="172"/>
      <c r="N643" s="172"/>
      <c r="O643" s="172"/>
      <c r="P643" s="172"/>
      <c r="Q643" s="172"/>
      <c r="R643" s="172"/>
      <c r="S643" s="172"/>
      <c r="T643" s="172"/>
      <c r="U643" s="172"/>
      <c r="V643" s="172"/>
      <c r="W643" s="172"/>
      <c r="X643" s="172"/>
      <c r="Y643" s="172"/>
      <c r="Z643" s="172"/>
    </row>
    <row r="644">
      <c r="A644" s="172"/>
      <c r="B644" s="182"/>
      <c r="C644" s="172"/>
      <c r="D644" s="172"/>
      <c r="E644" s="172"/>
      <c r="F644" s="172"/>
      <c r="G644" s="172"/>
      <c r="H644" s="172"/>
      <c r="I644" s="182"/>
      <c r="J644" s="172"/>
      <c r="K644" s="172"/>
      <c r="L644" s="172"/>
      <c r="M644" s="172"/>
      <c r="N644" s="172"/>
      <c r="O644" s="172"/>
      <c r="P644" s="172"/>
      <c r="Q644" s="172"/>
      <c r="R644" s="172"/>
      <c r="S644" s="172"/>
      <c r="T644" s="172"/>
      <c r="U644" s="172"/>
      <c r="V644" s="172"/>
      <c r="W644" s="172"/>
      <c r="X644" s="172"/>
      <c r="Y644" s="172"/>
      <c r="Z644" s="172"/>
    </row>
    <row r="645">
      <c r="A645" s="172"/>
      <c r="B645" s="182"/>
      <c r="C645" s="172"/>
      <c r="D645" s="172"/>
      <c r="E645" s="172"/>
      <c r="F645" s="172"/>
      <c r="G645" s="172"/>
      <c r="H645" s="172"/>
      <c r="I645" s="182"/>
      <c r="J645" s="172"/>
      <c r="K645" s="172"/>
      <c r="L645" s="172"/>
      <c r="M645" s="172"/>
      <c r="N645" s="172"/>
      <c r="O645" s="172"/>
      <c r="P645" s="172"/>
      <c r="Q645" s="172"/>
      <c r="R645" s="172"/>
      <c r="S645" s="172"/>
      <c r="T645" s="172"/>
      <c r="U645" s="172"/>
      <c r="V645" s="172"/>
      <c r="W645" s="172"/>
      <c r="X645" s="172"/>
      <c r="Y645" s="172"/>
      <c r="Z645" s="172"/>
    </row>
    <row r="646">
      <c r="A646" s="172"/>
      <c r="B646" s="182"/>
      <c r="C646" s="172"/>
      <c r="D646" s="172"/>
      <c r="E646" s="172"/>
      <c r="F646" s="172"/>
      <c r="G646" s="172"/>
      <c r="H646" s="172"/>
      <c r="I646" s="182"/>
      <c r="J646" s="172"/>
      <c r="K646" s="172"/>
      <c r="L646" s="172"/>
      <c r="M646" s="172"/>
      <c r="N646" s="172"/>
      <c r="O646" s="172"/>
      <c r="P646" s="172"/>
      <c r="Q646" s="172"/>
      <c r="R646" s="172"/>
      <c r="S646" s="172"/>
      <c r="T646" s="172"/>
      <c r="U646" s="172"/>
      <c r="V646" s="172"/>
      <c r="W646" s="172"/>
      <c r="X646" s="172"/>
      <c r="Y646" s="172"/>
      <c r="Z646" s="172"/>
    </row>
    <row r="647">
      <c r="A647" s="172"/>
      <c r="B647" s="182"/>
      <c r="C647" s="172"/>
      <c r="D647" s="172"/>
      <c r="E647" s="172"/>
      <c r="F647" s="172"/>
      <c r="G647" s="172"/>
      <c r="H647" s="172"/>
      <c r="I647" s="182"/>
      <c r="J647" s="172"/>
      <c r="K647" s="172"/>
      <c r="L647" s="172"/>
      <c r="M647" s="172"/>
      <c r="N647" s="172"/>
      <c r="O647" s="172"/>
      <c r="P647" s="172"/>
      <c r="Q647" s="172"/>
      <c r="R647" s="172"/>
      <c r="S647" s="172"/>
      <c r="T647" s="172"/>
      <c r="U647" s="172"/>
      <c r="V647" s="172"/>
      <c r="W647" s="172"/>
      <c r="X647" s="172"/>
      <c r="Y647" s="172"/>
      <c r="Z647" s="172"/>
    </row>
    <row r="648">
      <c r="A648" s="172"/>
      <c r="B648" s="182"/>
      <c r="C648" s="172"/>
      <c r="D648" s="172"/>
      <c r="E648" s="172"/>
      <c r="F648" s="172"/>
      <c r="G648" s="172"/>
      <c r="H648" s="172"/>
      <c r="I648" s="182"/>
      <c r="J648" s="172"/>
      <c r="K648" s="172"/>
      <c r="L648" s="172"/>
      <c r="M648" s="172"/>
      <c r="N648" s="172"/>
      <c r="O648" s="172"/>
      <c r="P648" s="172"/>
      <c r="Q648" s="172"/>
      <c r="R648" s="172"/>
      <c r="S648" s="172"/>
      <c r="T648" s="172"/>
      <c r="U648" s="172"/>
      <c r="V648" s="172"/>
      <c r="W648" s="172"/>
      <c r="X648" s="172"/>
      <c r="Y648" s="172"/>
      <c r="Z648" s="172"/>
    </row>
    <row r="649">
      <c r="A649" s="172"/>
      <c r="B649" s="182"/>
      <c r="C649" s="172"/>
      <c r="D649" s="172"/>
      <c r="E649" s="172"/>
      <c r="F649" s="172"/>
      <c r="G649" s="172"/>
      <c r="H649" s="172"/>
      <c r="I649" s="182"/>
      <c r="J649" s="172"/>
      <c r="K649" s="172"/>
      <c r="L649" s="172"/>
      <c r="M649" s="172"/>
      <c r="N649" s="172"/>
      <c r="O649" s="172"/>
      <c r="P649" s="172"/>
      <c r="Q649" s="172"/>
      <c r="R649" s="172"/>
      <c r="S649" s="172"/>
      <c r="T649" s="172"/>
      <c r="U649" s="172"/>
      <c r="V649" s="172"/>
      <c r="W649" s="172"/>
      <c r="X649" s="172"/>
      <c r="Y649" s="172"/>
      <c r="Z649" s="172"/>
    </row>
    <row r="650">
      <c r="A650" s="172"/>
      <c r="B650" s="182"/>
      <c r="C650" s="172"/>
      <c r="D650" s="172"/>
      <c r="E650" s="172"/>
      <c r="F650" s="172"/>
      <c r="G650" s="172"/>
      <c r="H650" s="172"/>
      <c r="I650" s="182"/>
      <c r="J650" s="172"/>
      <c r="K650" s="172"/>
      <c r="L650" s="172"/>
      <c r="M650" s="172"/>
      <c r="N650" s="172"/>
      <c r="O650" s="172"/>
      <c r="P650" s="172"/>
      <c r="Q650" s="172"/>
      <c r="R650" s="172"/>
      <c r="S650" s="172"/>
      <c r="T650" s="172"/>
      <c r="U650" s="172"/>
      <c r="V650" s="172"/>
      <c r="W650" s="172"/>
      <c r="X650" s="172"/>
      <c r="Y650" s="172"/>
      <c r="Z650" s="172"/>
    </row>
    <row r="651">
      <c r="A651" s="172"/>
      <c r="B651" s="182"/>
      <c r="C651" s="172"/>
      <c r="D651" s="172"/>
      <c r="E651" s="172"/>
      <c r="F651" s="172"/>
      <c r="G651" s="172"/>
      <c r="H651" s="172"/>
      <c r="I651" s="182"/>
      <c r="J651" s="172"/>
      <c r="K651" s="172"/>
      <c r="L651" s="172"/>
      <c r="M651" s="172"/>
      <c r="N651" s="172"/>
      <c r="O651" s="172"/>
      <c r="P651" s="172"/>
      <c r="Q651" s="172"/>
      <c r="R651" s="172"/>
      <c r="S651" s="172"/>
      <c r="T651" s="172"/>
      <c r="U651" s="172"/>
      <c r="V651" s="172"/>
      <c r="W651" s="172"/>
      <c r="X651" s="172"/>
      <c r="Y651" s="172"/>
      <c r="Z651" s="172"/>
    </row>
    <row r="652">
      <c r="A652" s="172"/>
      <c r="B652" s="182"/>
      <c r="C652" s="172"/>
      <c r="D652" s="172"/>
      <c r="E652" s="172"/>
      <c r="F652" s="172"/>
      <c r="G652" s="172"/>
      <c r="H652" s="172"/>
      <c r="I652" s="182"/>
      <c r="J652" s="172"/>
      <c r="K652" s="172"/>
      <c r="L652" s="172"/>
      <c r="M652" s="172"/>
      <c r="N652" s="172"/>
      <c r="O652" s="172"/>
      <c r="P652" s="172"/>
      <c r="Q652" s="172"/>
      <c r="R652" s="172"/>
      <c r="S652" s="172"/>
      <c r="T652" s="172"/>
      <c r="U652" s="172"/>
      <c r="V652" s="172"/>
      <c r="W652" s="172"/>
      <c r="X652" s="172"/>
      <c r="Y652" s="172"/>
      <c r="Z652" s="172"/>
    </row>
    <row r="653">
      <c r="A653" s="172"/>
      <c r="B653" s="182"/>
      <c r="C653" s="172"/>
      <c r="D653" s="172"/>
      <c r="E653" s="172"/>
      <c r="F653" s="172"/>
      <c r="G653" s="172"/>
      <c r="H653" s="172"/>
      <c r="I653" s="182"/>
      <c r="J653" s="172"/>
      <c r="K653" s="172"/>
      <c r="L653" s="172"/>
      <c r="M653" s="172"/>
      <c r="N653" s="172"/>
      <c r="O653" s="172"/>
      <c r="P653" s="172"/>
      <c r="Q653" s="172"/>
      <c r="R653" s="172"/>
      <c r="S653" s="172"/>
      <c r="T653" s="172"/>
      <c r="U653" s="172"/>
      <c r="V653" s="172"/>
      <c r="W653" s="172"/>
      <c r="X653" s="172"/>
      <c r="Y653" s="172"/>
      <c r="Z653" s="172"/>
    </row>
    <row r="654">
      <c r="A654" s="172"/>
      <c r="B654" s="182"/>
      <c r="C654" s="172"/>
      <c r="D654" s="172"/>
      <c r="E654" s="172"/>
      <c r="F654" s="172"/>
      <c r="G654" s="172"/>
      <c r="H654" s="172"/>
      <c r="I654" s="182"/>
      <c r="J654" s="172"/>
      <c r="K654" s="172"/>
      <c r="L654" s="172"/>
      <c r="M654" s="172"/>
      <c r="N654" s="172"/>
      <c r="O654" s="172"/>
      <c r="P654" s="172"/>
      <c r="Q654" s="172"/>
      <c r="R654" s="172"/>
      <c r="S654" s="172"/>
      <c r="T654" s="172"/>
      <c r="U654" s="172"/>
      <c r="V654" s="172"/>
      <c r="W654" s="172"/>
      <c r="X654" s="172"/>
      <c r="Y654" s="172"/>
      <c r="Z654" s="172"/>
    </row>
    <row r="655">
      <c r="A655" s="172"/>
      <c r="B655" s="182"/>
      <c r="C655" s="172"/>
      <c r="D655" s="172"/>
      <c r="E655" s="172"/>
      <c r="F655" s="172"/>
      <c r="G655" s="172"/>
      <c r="H655" s="172"/>
      <c r="I655" s="182"/>
      <c r="J655" s="172"/>
      <c r="K655" s="172"/>
      <c r="L655" s="172"/>
      <c r="M655" s="172"/>
      <c r="N655" s="172"/>
      <c r="O655" s="172"/>
      <c r="P655" s="172"/>
      <c r="Q655" s="172"/>
      <c r="R655" s="172"/>
      <c r="S655" s="172"/>
      <c r="T655" s="172"/>
      <c r="U655" s="172"/>
      <c r="V655" s="172"/>
      <c r="W655" s="172"/>
      <c r="X655" s="172"/>
      <c r="Y655" s="172"/>
      <c r="Z655" s="172"/>
    </row>
    <row r="656">
      <c r="A656" s="172"/>
      <c r="B656" s="182"/>
      <c r="C656" s="172"/>
      <c r="D656" s="172"/>
      <c r="E656" s="172"/>
      <c r="F656" s="172"/>
      <c r="G656" s="172"/>
      <c r="H656" s="172"/>
      <c r="I656" s="182"/>
      <c r="J656" s="172"/>
      <c r="K656" s="172"/>
      <c r="L656" s="172"/>
      <c r="M656" s="172"/>
      <c r="N656" s="172"/>
      <c r="O656" s="172"/>
      <c r="P656" s="172"/>
      <c r="Q656" s="172"/>
      <c r="R656" s="172"/>
      <c r="S656" s="172"/>
      <c r="T656" s="172"/>
      <c r="U656" s="172"/>
      <c r="V656" s="172"/>
      <c r="W656" s="172"/>
      <c r="X656" s="172"/>
      <c r="Y656" s="172"/>
      <c r="Z656" s="172"/>
    </row>
    <row r="657">
      <c r="A657" s="172"/>
      <c r="B657" s="182"/>
      <c r="C657" s="172"/>
      <c r="D657" s="172"/>
      <c r="E657" s="172"/>
      <c r="F657" s="172"/>
      <c r="G657" s="172"/>
      <c r="H657" s="172"/>
      <c r="I657" s="182"/>
      <c r="J657" s="172"/>
      <c r="K657" s="172"/>
      <c r="L657" s="172"/>
      <c r="M657" s="172"/>
      <c r="N657" s="172"/>
      <c r="O657" s="172"/>
      <c r="P657" s="172"/>
      <c r="Q657" s="172"/>
      <c r="R657" s="172"/>
      <c r="S657" s="172"/>
      <c r="T657" s="172"/>
      <c r="U657" s="172"/>
      <c r="V657" s="172"/>
      <c r="W657" s="172"/>
      <c r="X657" s="172"/>
      <c r="Y657" s="172"/>
      <c r="Z657" s="172"/>
    </row>
    <row r="658">
      <c r="A658" s="172"/>
      <c r="B658" s="182"/>
      <c r="C658" s="172"/>
      <c r="D658" s="172"/>
      <c r="E658" s="172"/>
      <c r="F658" s="172"/>
      <c r="G658" s="172"/>
      <c r="H658" s="172"/>
      <c r="I658" s="182"/>
      <c r="J658" s="172"/>
      <c r="K658" s="172"/>
      <c r="L658" s="172"/>
      <c r="M658" s="172"/>
      <c r="N658" s="172"/>
      <c r="O658" s="172"/>
      <c r="P658" s="172"/>
      <c r="Q658" s="172"/>
      <c r="R658" s="172"/>
      <c r="S658" s="172"/>
      <c r="T658" s="172"/>
      <c r="U658" s="172"/>
      <c r="V658" s="172"/>
      <c r="W658" s="172"/>
      <c r="X658" s="172"/>
      <c r="Y658" s="172"/>
      <c r="Z658" s="172"/>
    </row>
    <row r="659">
      <c r="A659" s="172"/>
      <c r="B659" s="182"/>
      <c r="C659" s="172"/>
      <c r="D659" s="172"/>
      <c r="E659" s="172"/>
      <c r="F659" s="172"/>
      <c r="G659" s="172"/>
      <c r="H659" s="172"/>
      <c r="I659" s="182"/>
      <c r="J659" s="172"/>
      <c r="K659" s="172"/>
      <c r="L659" s="172"/>
      <c r="M659" s="172"/>
      <c r="N659" s="172"/>
      <c r="O659" s="172"/>
      <c r="P659" s="172"/>
      <c r="Q659" s="172"/>
      <c r="R659" s="172"/>
      <c r="S659" s="172"/>
      <c r="T659" s="172"/>
      <c r="U659" s="172"/>
      <c r="V659" s="172"/>
      <c r="W659" s="172"/>
      <c r="X659" s="172"/>
      <c r="Y659" s="172"/>
      <c r="Z659" s="172"/>
    </row>
    <row r="660">
      <c r="A660" s="172"/>
      <c r="B660" s="182"/>
      <c r="C660" s="172"/>
      <c r="D660" s="172"/>
      <c r="E660" s="172"/>
      <c r="F660" s="172"/>
      <c r="G660" s="172"/>
      <c r="H660" s="172"/>
      <c r="I660" s="182"/>
      <c r="J660" s="172"/>
      <c r="K660" s="172"/>
      <c r="L660" s="172"/>
      <c r="M660" s="172"/>
      <c r="N660" s="172"/>
      <c r="O660" s="172"/>
      <c r="P660" s="172"/>
      <c r="Q660" s="172"/>
      <c r="R660" s="172"/>
      <c r="S660" s="172"/>
      <c r="T660" s="172"/>
      <c r="U660" s="172"/>
      <c r="V660" s="172"/>
      <c r="W660" s="172"/>
      <c r="X660" s="172"/>
      <c r="Y660" s="172"/>
      <c r="Z660" s="172"/>
    </row>
    <row r="661">
      <c r="A661" s="172"/>
      <c r="B661" s="182"/>
      <c r="C661" s="172"/>
      <c r="D661" s="172"/>
      <c r="E661" s="172"/>
      <c r="F661" s="172"/>
      <c r="G661" s="172"/>
      <c r="H661" s="172"/>
      <c r="I661" s="182"/>
      <c r="J661" s="172"/>
      <c r="K661" s="172"/>
      <c r="L661" s="172"/>
      <c r="M661" s="172"/>
      <c r="N661" s="172"/>
      <c r="O661" s="172"/>
      <c r="P661" s="172"/>
      <c r="Q661" s="172"/>
      <c r="R661" s="172"/>
      <c r="S661" s="172"/>
      <c r="T661" s="172"/>
      <c r="U661" s="172"/>
      <c r="V661" s="172"/>
      <c r="W661" s="172"/>
      <c r="X661" s="172"/>
      <c r="Y661" s="172"/>
      <c r="Z661" s="172"/>
    </row>
    <row r="662">
      <c r="A662" s="172"/>
      <c r="B662" s="182"/>
      <c r="C662" s="172"/>
      <c r="D662" s="172"/>
      <c r="E662" s="172"/>
      <c r="F662" s="172"/>
      <c r="G662" s="172"/>
      <c r="H662" s="172"/>
      <c r="I662" s="182"/>
      <c r="J662" s="172"/>
      <c r="K662" s="172"/>
      <c r="L662" s="172"/>
      <c r="M662" s="172"/>
      <c r="N662" s="172"/>
      <c r="O662" s="172"/>
      <c r="P662" s="172"/>
      <c r="Q662" s="172"/>
      <c r="R662" s="172"/>
      <c r="S662" s="172"/>
      <c r="T662" s="172"/>
      <c r="U662" s="172"/>
      <c r="V662" s="172"/>
      <c r="W662" s="172"/>
      <c r="X662" s="172"/>
      <c r="Y662" s="172"/>
      <c r="Z662" s="172"/>
    </row>
    <row r="663">
      <c r="A663" s="172"/>
      <c r="B663" s="182"/>
      <c r="C663" s="172"/>
      <c r="D663" s="172"/>
      <c r="E663" s="172"/>
      <c r="F663" s="172"/>
      <c r="G663" s="172"/>
      <c r="H663" s="172"/>
      <c r="I663" s="182"/>
      <c r="J663" s="172"/>
      <c r="K663" s="172"/>
      <c r="L663" s="172"/>
      <c r="M663" s="172"/>
      <c r="N663" s="172"/>
      <c r="O663" s="172"/>
      <c r="P663" s="172"/>
      <c r="Q663" s="172"/>
      <c r="R663" s="172"/>
      <c r="S663" s="172"/>
      <c r="T663" s="172"/>
      <c r="U663" s="172"/>
      <c r="V663" s="172"/>
      <c r="W663" s="172"/>
      <c r="X663" s="172"/>
      <c r="Y663" s="172"/>
      <c r="Z663" s="172"/>
    </row>
    <row r="664">
      <c r="A664" s="172"/>
      <c r="B664" s="182"/>
      <c r="C664" s="172"/>
      <c r="D664" s="172"/>
      <c r="E664" s="172"/>
      <c r="F664" s="172"/>
      <c r="G664" s="172"/>
      <c r="H664" s="172"/>
      <c r="I664" s="182"/>
      <c r="J664" s="172"/>
      <c r="K664" s="172"/>
      <c r="L664" s="172"/>
      <c r="M664" s="172"/>
      <c r="N664" s="172"/>
      <c r="O664" s="172"/>
      <c r="P664" s="172"/>
      <c r="Q664" s="172"/>
      <c r="R664" s="172"/>
      <c r="S664" s="172"/>
      <c r="T664" s="172"/>
      <c r="U664" s="172"/>
      <c r="V664" s="172"/>
      <c r="W664" s="172"/>
      <c r="X664" s="172"/>
      <c r="Y664" s="172"/>
      <c r="Z664" s="172"/>
    </row>
    <row r="665">
      <c r="A665" s="172"/>
      <c r="B665" s="182"/>
      <c r="C665" s="172"/>
      <c r="D665" s="172"/>
      <c r="E665" s="172"/>
      <c r="F665" s="172"/>
      <c r="G665" s="172"/>
      <c r="H665" s="172"/>
      <c r="I665" s="182"/>
      <c r="J665" s="172"/>
      <c r="K665" s="172"/>
      <c r="L665" s="172"/>
      <c r="M665" s="172"/>
      <c r="N665" s="172"/>
      <c r="O665" s="172"/>
      <c r="P665" s="172"/>
      <c r="Q665" s="172"/>
      <c r="R665" s="172"/>
      <c r="S665" s="172"/>
      <c r="T665" s="172"/>
      <c r="U665" s="172"/>
      <c r="V665" s="172"/>
      <c r="W665" s="172"/>
      <c r="X665" s="172"/>
      <c r="Y665" s="172"/>
      <c r="Z665" s="172"/>
    </row>
    <row r="666">
      <c r="A666" s="172"/>
      <c r="B666" s="182"/>
      <c r="C666" s="172"/>
      <c r="D666" s="172"/>
      <c r="E666" s="172"/>
      <c r="F666" s="172"/>
      <c r="G666" s="172"/>
      <c r="H666" s="172"/>
      <c r="I666" s="182"/>
      <c r="J666" s="172"/>
      <c r="K666" s="172"/>
      <c r="L666" s="172"/>
      <c r="M666" s="172"/>
      <c r="N666" s="172"/>
      <c r="O666" s="172"/>
      <c r="P666" s="172"/>
      <c r="Q666" s="172"/>
      <c r="R666" s="172"/>
      <c r="S666" s="172"/>
      <c r="T666" s="172"/>
      <c r="U666" s="172"/>
      <c r="V666" s="172"/>
      <c r="W666" s="172"/>
      <c r="X666" s="172"/>
      <c r="Y666" s="172"/>
      <c r="Z666" s="172"/>
    </row>
    <row r="667">
      <c r="A667" s="172"/>
      <c r="B667" s="182"/>
      <c r="C667" s="172"/>
      <c r="D667" s="172"/>
      <c r="E667" s="172"/>
      <c r="F667" s="172"/>
      <c r="G667" s="172"/>
      <c r="H667" s="172"/>
      <c r="I667" s="182"/>
      <c r="J667" s="172"/>
      <c r="K667" s="172"/>
      <c r="L667" s="172"/>
      <c r="M667" s="172"/>
      <c r="N667" s="172"/>
      <c r="O667" s="172"/>
      <c r="P667" s="172"/>
      <c r="Q667" s="172"/>
      <c r="R667" s="172"/>
      <c r="S667" s="172"/>
      <c r="T667" s="172"/>
      <c r="U667" s="172"/>
      <c r="V667" s="172"/>
      <c r="W667" s="172"/>
      <c r="X667" s="172"/>
      <c r="Y667" s="172"/>
      <c r="Z667" s="172"/>
    </row>
    <row r="668">
      <c r="A668" s="172"/>
      <c r="B668" s="182"/>
      <c r="C668" s="172"/>
      <c r="D668" s="172"/>
      <c r="E668" s="172"/>
      <c r="F668" s="172"/>
      <c r="G668" s="172"/>
      <c r="H668" s="172"/>
      <c r="I668" s="182"/>
      <c r="J668" s="172"/>
      <c r="K668" s="172"/>
      <c r="L668" s="172"/>
      <c r="M668" s="172"/>
      <c r="N668" s="172"/>
      <c r="O668" s="172"/>
      <c r="P668" s="172"/>
      <c r="Q668" s="172"/>
      <c r="R668" s="172"/>
      <c r="S668" s="172"/>
      <c r="T668" s="172"/>
      <c r="U668" s="172"/>
      <c r="V668" s="172"/>
      <c r="W668" s="172"/>
      <c r="X668" s="172"/>
      <c r="Y668" s="172"/>
      <c r="Z668" s="172"/>
    </row>
    <row r="669">
      <c r="A669" s="172"/>
      <c r="B669" s="182"/>
      <c r="C669" s="172"/>
      <c r="D669" s="172"/>
      <c r="E669" s="172"/>
      <c r="F669" s="172"/>
      <c r="G669" s="172"/>
      <c r="H669" s="172"/>
      <c r="I669" s="182"/>
      <c r="J669" s="172"/>
      <c r="K669" s="172"/>
      <c r="L669" s="172"/>
      <c r="M669" s="172"/>
      <c r="N669" s="172"/>
      <c r="O669" s="172"/>
      <c r="P669" s="172"/>
      <c r="Q669" s="172"/>
      <c r="R669" s="172"/>
      <c r="S669" s="172"/>
      <c r="T669" s="172"/>
      <c r="U669" s="172"/>
      <c r="V669" s="172"/>
      <c r="W669" s="172"/>
      <c r="X669" s="172"/>
      <c r="Y669" s="172"/>
      <c r="Z669" s="172"/>
    </row>
    <row r="670">
      <c r="A670" s="172"/>
      <c r="B670" s="182"/>
      <c r="C670" s="172"/>
      <c r="D670" s="172"/>
      <c r="E670" s="172"/>
      <c r="F670" s="172"/>
      <c r="G670" s="172"/>
      <c r="H670" s="172"/>
      <c r="I670" s="182"/>
      <c r="J670" s="172"/>
      <c r="K670" s="172"/>
      <c r="L670" s="172"/>
      <c r="M670" s="172"/>
      <c r="N670" s="172"/>
      <c r="O670" s="172"/>
      <c r="P670" s="172"/>
      <c r="Q670" s="172"/>
      <c r="R670" s="172"/>
      <c r="S670" s="172"/>
      <c r="T670" s="172"/>
      <c r="U670" s="172"/>
      <c r="V670" s="172"/>
      <c r="W670" s="172"/>
      <c r="X670" s="172"/>
      <c r="Y670" s="172"/>
      <c r="Z670" s="172"/>
    </row>
    <row r="671">
      <c r="A671" s="172"/>
      <c r="B671" s="182"/>
      <c r="C671" s="172"/>
      <c r="D671" s="172"/>
      <c r="E671" s="172"/>
      <c r="F671" s="172"/>
      <c r="G671" s="172"/>
      <c r="H671" s="172"/>
      <c r="I671" s="182"/>
      <c r="J671" s="172"/>
      <c r="K671" s="172"/>
      <c r="L671" s="172"/>
      <c r="M671" s="172"/>
      <c r="N671" s="172"/>
      <c r="O671" s="172"/>
      <c r="P671" s="172"/>
      <c r="Q671" s="172"/>
      <c r="R671" s="172"/>
      <c r="S671" s="172"/>
      <c r="T671" s="172"/>
      <c r="U671" s="172"/>
      <c r="V671" s="172"/>
      <c r="W671" s="172"/>
      <c r="X671" s="172"/>
      <c r="Y671" s="172"/>
      <c r="Z671" s="172"/>
    </row>
    <row r="672">
      <c r="A672" s="172"/>
      <c r="B672" s="182"/>
      <c r="C672" s="172"/>
      <c r="D672" s="172"/>
      <c r="E672" s="172"/>
      <c r="F672" s="172"/>
      <c r="G672" s="172"/>
      <c r="H672" s="172"/>
      <c r="I672" s="182"/>
      <c r="J672" s="172"/>
      <c r="K672" s="172"/>
      <c r="L672" s="172"/>
      <c r="M672" s="172"/>
      <c r="N672" s="172"/>
      <c r="O672" s="172"/>
      <c r="P672" s="172"/>
      <c r="Q672" s="172"/>
      <c r="R672" s="172"/>
      <c r="S672" s="172"/>
      <c r="T672" s="172"/>
      <c r="U672" s="172"/>
      <c r="V672" s="172"/>
      <c r="W672" s="172"/>
      <c r="X672" s="172"/>
      <c r="Y672" s="172"/>
      <c r="Z672" s="172"/>
    </row>
    <row r="673">
      <c r="A673" s="172"/>
      <c r="B673" s="182"/>
      <c r="C673" s="172"/>
      <c r="D673" s="172"/>
      <c r="E673" s="172"/>
      <c r="F673" s="172"/>
      <c r="G673" s="172"/>
      <c r="H673" s="172"/>
      <c r="I673" s="182"/>
      <c r="J673" s="172"/>
      <c r="K673" s="172"/>
      <c r="L673" s="172"/>
      <c r="M673" s="172"/>
      <c r="N673" s="172"/>
      <c r="O673" s="172"/>
      <c r="P673" s="172"/>
      <c r="Q673" s="172"/>
      <c r="R673" s="172"/>
      <c r="S673" s="172"/>
      <c r="T673" s="172"/>
      <c r="U673" s="172"/>
      <c r="V673" s="172"/>
      <c r="W673" s="172"/>
      <c r="X673" s="172"/>
      <c r="Y673" s="172"/>
      <c r="Z673" s="172"/>
    </row>
    <row r="674">
      <c r="A674" s="172"/>
      <c r="B674" s="182"/>
      <c r="C674" s="172"/>
      <c r="D674" s="172"/>
      <c r="E674" s="172"/>
      <c r="F674" s="172"/>
      <c r="G674" s="172"/>
      <c r="H674" s="172"/>
      <c r="I674" s="182"/>
      <c r="J674" s="172"/>
      <c r="K674" s="172"/>
      <c r="L674" s="172"/>
      <c r="M674" s="172"/>
      <c r="N674" s="172"/>
      <c r="O674" s="172"/>
      <c r="P674" s="172"/>
      <c r="Q674" s="172"/>
      <c r="R674" s="172"/>
      <c r="S674" s="172"/>
      <c r="T674" s="172"/>
      <c r="U674" s="172"/>
      <c r="V674" s="172"/>
      <c r="W674" s="172"/>
      <c r="X674" s="172"/>
      <c r="Y674" s="172"/>
      <c r="Z674" s="172"/>
    </row>
    <row r="675">
      <c r="A675" s="172"/>
      <c r="B675" s="182"/>
      <c r="C675" s="172"/>
      <c r="D675" s="172"/>
      <c r="E675" s="172"/>
      <c r="F675" s="172"/>
      <c r="G675" s="172"/>
      <c r="H675" s="172"/>
      <c r="I675" s="182"/>
      <c r="J675" s="172"/>
      <c r="K675" s="172"/>
      <c r="L675" s="172"/>
      <c r="M675" s="172"/>
      <c r="N675" s="172"/>
      <c r="O675" s="172"/>
      <c r="P675" s="172"/>
      <c r="Q675" s="172"/>
      <c r="R675" s="172"/>
      <c r="S675" s="172"/>
      <c r="T675" s="172"/>
      <c r="U675" s="172"/>
      <c r="V675" s="172"/>
      <c r="W675" s="172"/>
      <c r="X675" s="172"/>
      <c r="Y675" s="172"/>
      <c r="Z675" s="172"/>
    </row>
    <row r="676">
      <c r="A676" s="172"/>
      <c r="B676" s="182"/>
      <c r="C676" s="172"/>
      <c r="D676" s="172"/>
      <c r="E676" s="172"/>
      <c r="F676" s="172"/>
      <c r="G676" s="172"/>
      <c r="H676" s="172"/>
      <c r="I676" s="182"/>
      <c r="J676" s="172"/>
      <c r="K676" s="172"/>
      <c r="L676" s="172"/>
      <c r="M676" s="172"/>
      <c r="N676" s="172"/>
      <c r="O676" s="172"/>
      <c r="P676" s="172"/>
      <c r="Q676" s="172"/>
      <c r="R676" s="172"/>
      <c r="S676" s="172"/>
      <c r="T676" s="172"/>
      <c r="U676" s="172"/>
      <c r="V676" s="172"/>
      <c r="W676" s="172"/>
      <c r="X676" s="172"/>
      <c r="Y676" s="172"/>
      <c r="Z676" s="172"/>
    </row>
    <row r="677">
      <c r="A677" s="172"/>
      <c r="B677" s="182"/>
      <c r="C677" s="172"/>
      <c r="D677" s="172"/>
      <c r="E677" s="172"/>
      <c r="F677" s="172"/>
      <c r="G677" s="172"/>
      <c r="H677" s="172"/>
      <c r="I677" s="182"/>
      <c r="J677" s="172"/>
      <c r="K677" s="172"/>
      <c r="L677" s="172"/>
      <c r="M677" s="172"/>
      <c r="N677" s="172"/>
      <c r="O677" s="172"/>
      <c r="P677" s="172"/>
      <c r="Q677" s="172"/>
      <c r="R677" s="172"/>
      <c r="S677" s="172"/>
      <c r="T677" s="172"/>
      <c r="U677" s="172"/>
      <c r="V677" s="172"/>
      <c r="W677" s="172"/>
      <c r="X677" s="172"/>
      <c r="Y677" s="172"/>
      <c r="Z677" s="172"/>
    </row>
    <row r="678">
      <c r="A678" s="172"/>
      <c r="B678" s="182"/>
      <c r="C678" s="172"/>
      <c r="D678" s="172"/>
      <c r="E678" s="172"/>
      <c r="F678" s="172"/>
      <c r="G678" s="172"/>
      <c r="H678" s="172"/>
      <c r="I678" s="182"/>
      <c r="J678" s="172"/>
      <c r="K678" s="172"/>
      <c r="L678" s="172"/>
      <c r="M678" s="172"/>
      <c r="N678" s="172"/>
      <c r="O678" s="172"/>
      <c r="P678" s="172"/>
      <c r="Q678" s="172"/>
      <c r="R678" s="172"/>
      <c r="S678" s="172"/>
      <c r="T678" s="172"/>
      <c r="U678" s="172"/>
      <c r="V678" s="172"/>
      <c r="W678" s="172"/>
      <c r="X678" s="172"/>
      <c r="Y678" s="172"/>
      <c r="Z678" s="172"/>
    </row>
    <row r="679">
      <c r="A679" s="172"/>
      <c r="B679" s="182"/>
      <c r="C679" s="172"/>
      <c r="D679" s="172"/>
      <c r="E679" s="172"/>
      <c r="F679" s="172"/>
      <c r="G679" s="172"/>
      <c r="H679" s="172"/>
      <c r="I679" s="182"/>
      <c r="J679" s="172"/>
      <c r="K679" s="172"/>
      <c r="L679" s="172"/>
      <c r="M679" s="172"/>
      <c r="N679" s="172"/>
      <c r="O679" s="172"/>
      <c r="P679" s="172"/>
      <c r="Q679" s="172"/>
      <c r="R679" s="172"/>
      <c r="S679" s="172"/>
      <c r="T679" s="172"/>
      <c r="U679" s="172"/>
      <c r="V679" s="172"/>
      <c r="W679" s="172"/>
      <c r="X679" s="172"/>
      <c r="Y679" s="172"/>
      <c r="Z679" s="172"/>
    </row>
    <row r="680">
      <c r="A680" s="172"/>
      <c r="B680" s="182"/>
      <c r="C680" s="172"/>
      <c r="D680" s="172"/>
      <c r="E680" s="172"/>
      <c r="F680" s="172"/>
      <c r="G680" s="172"/>
      <c r="H680" s="172"/>
      <c r="I680" s="182"/>
      <c r="J680" s="172"/>
      <c r="K680" s="172"/>
      <c r="L680" s="172"/>
      <c r="M680" s="172"/>
      <c r="N680" s="172"/>
      <c r="O680" s="172"/>
      <c r="P680" s="172"/>
      <c r="Q680" s="172"/>
      <c r="R680" s="172"/>
      <c r="S680" s="172"/>
      <c r="T680" s="172"/>
      <c r="U680" s="172"/>
      <c r="V680" s="172"/>
      <c r="W680" s="172"/>
      <c r="X680" s="172"/>
      <c r="Y680" s="172"/>
      <c r="Z680" s="172"/>
    </row>
    <row r="681">
      <c r="A681" s="172"/>
      <c r="B681" s="182"/>
      <c r="C681" s="172"/>
      <c r="D681" s="172"/>
      <c r="E681" s="172"/>
      <c r="F681" s="172"/>
      <c r="G681" s="172"/>
      <c r="H681" s="172"/>
      <c r="I681" s="182"/>
      <c r="J681" s="172"/>
      <c r="K681" s="172"/>
      <c r="L681" s="172"/>
      <c r="M681" s="172"/>
      <c r="N681" s="172"/>
      <c r="O681" s="172"/>
      <c r="P681" s="172"/>
      <c r="Q681" s="172"/>
      <c r="R681" s="172"/>
      <c r="S681" s="172"/>
      <c r="T681" s="172"/>
      <c r="U681" s="172"/>
      <c r="V681" s="172"/>
      <c r="W681" s="172"/>
      <c r="X681" s="172"/>
      <c r="Y681" s="172"/>
      <c r="Z681" s="172"/>
    </row>
    <row r="682">
      <c r="A682" s="172"/>
      <c r="B682" s="182"/>
      <c r="C682" s="172"/>
      <c r="D682" s="172"/>
      <c r="E682" s="172"/>
      <c r="F682" s="172"/>
      <c r="G682" s="172"/>
      <c r="H682" s="172"/>
      <c r="I682" s="182"/>
      <c r="J682" s="172"/>
      <c r="K682" s="172"/>
      <c r="L682" s="172"/>
      <c r="M682" s="172"/>
      <c r="N682" s="172"/>
      <c r="O682" s="172"/>
      <c r="P682" s="172"/>
      <c r="Q682" s="172"/>
      <c r="R682" s="172"/>
      <c r="S682" s="172"/>
      <c r="T682" s="172"/>
      <c r="U682" s="172"/>
      <c r="V682" s="172"/>
      <c r="W682" s="172"/>
      <c r="X682" s="172"/>
      <c r="Y682" s="172"/>
      <c r="Z682" s="172"/>
    </row>
    <row r="683">
      <c r="A683" s="172"/>
      <c r="B683" s="182"/>
      <c r="C683" s="172"/>
      <c r="D683" s="172"/>
      <c r="E683" s="172"/>
      <c r="F683" s="172"/>
      <c r="G683" s="172"/>
      <c r="H683" s="172"/>
      <c r="I683" s="182"/>
      <c r="J683" s="172"/>
      <c r="K683" s="172"/>
      <c r="L683" s="172"/>
      <c r="M683" s="172"/>
      <c r="N683" s="172"/>
      <c r="O683" s="172"/>
      <c r="P683" s="172"/>
      <c r="Q683" s="172"/>
      <c r="R683" s="172"/>
      <c r="S683" s="172"/>
      <c r="T683" s="172"/>
      <c r="U683" s="172"/>
      <c r="V683" s="172"/>
      <c r="W683" s="172"/>
      <c r="X683" s="172"/>
      <c r="Y683" s="172"/>
      <c r="Z683" s="172"/>
    </row>
    <row r="684">
      <c r="A684" s="172"/>
      <c r="B684" s="182"/>
      <c r="C684" s="172"/>
      <c r="D684" s="172"/>
      <c r="E684" s="172"/>
      <c r="F684" s="172"/>
      <c r="G684" s="172"/>
      <c r="H684" s="172"/>
      <c r="I684" s="182"/>
      <c r="J684" s="172"/>
      <c r="K684" s="172"/>
      <c r="L684" s="172"/>
      <c r="M684" s="172"/>
      <c r="N684" s="172"/>
      <c r="O684" s="172"/>
      <c r="P684" s="172"/>
      <c r="Q684" s="172"/>
      <c r="R684" s="172"/>
      <c r="S684" s="172"/>
      <c r="T684" s="172"/>
      <c r="U684" s="172"/>
      <c r="V684" s="172"/>
      <c r="W684" s="172"/>
      <c r="X684" s="172"/>
      <c r="Y684" s="172"/>
      <c r="Z684" s="172"/>
    </row>
    <row r="685">
      <c r="A685" s="172"/>
      <c r="B685" s="182"/>
      <c r="C685" s="172"/>
      <c r="D685" s="172"/>
      <c r="E685" s="172"/>
      <c r="F685" s="172"/>
      <c r="G685" s="172"/>
      <c r="H685" s="172"/>
      <c r="I685" s="182"/>
      <c r="J685" s="172"/>
      <c r="K685" s="172"/>
      <c r="L685" s="172"/>
      <c r="M685" s="172"/>
      <c r="N685" s="172"/>
      <c r="O685" s="172"/>
      <c r="P685" s="172"/>
      <c r="Q685" s="172"/>
      <c r="R685" s="172"/>
      <c r="S685" s="172"/>
      <c r="T685" s="172"/>
      <c r="U685" s="172"/>
      <c r="V685" s="172"/>
      <c r="W685" s="172"/>
      <c r="X685" s="172"/>
      <c r="Y685" s="172"/>
      <c r="Z685" s="172"/>
    </row>
    <row r="686">
      <c r="A686" s="172"/>
      <c r="B686" s="182"/>
      <c r="C686" s="172"/>
      <c r="D686" s="172"/>
      <c r="E686" s="172"/>
      <c r="F686" s="172"/>
      <c r="G686" s="172"/>
      <c r="H686" s="172"/>
      <c r="I686" s="182"/>
      <c r="J686" s="172"/>
      <c r="K686" s="172"/>
      <c r="L686" s="172"/>
      <c r="M686" s="172"/>
      <c r="N686" s="172"/>
      <c r="O686" s="172"/>
      <c r="P686" s="172"/>
      <c r="Q686" s="172"/>
      <c r="R686" s="172"/>
      <c r="S686" s="172"/>
      <c r="T686" s="172"/>
      <c r="U686" s="172"/>
      <c r="V686" s="172"/>
      <c r="W686" s="172"/>
      <c r="X686" s="172"/>
      <c r="Y686" s="172"/>
      <c r="Z686" s="172"/>
    </row>
    <row r="687">
      <c r="A687" s="172"/>
      <c r="B687" s="182"/>
      <c r="C687" s="172"/>
      <c r="D687" s="172"/>
      <c r="E687" s="172"/>
      <c r="F687" s="172"/>
      <c r="G687" s="172"/>
      <c r="H687" s="172"/>
      <c r="I687" s="182"/>
      <c r="J687" s="172"/>
      <c r="K687" s="172"/>
      <c r="L687" s="172"/>
      <c r="M687" s="172"/>
      <c r="N687" s="172"/>
      <c r="O687" s="172"/>
      <c r="P687" s="172"/>
      <c r="Q687" s="172"/>
      <c r="R687" s="172"/>
      <c r="S687" s="172"/>
      <c r="T687" s="172"/>
      <c r="U687" s="172"/>
      <c r="V687" s="172"/>
      <c r="W687" s="172"/>
      <c r="X687" s="172"/>
      <c r="Y687" s="172"/>
      <c r="Z687" s="172"/>
    </row>
    <row r="688">
      <c r="A688" s="172"/>
      <c r="B688" s="182"/>
      <c r="C688" s="172"/>
      <c r="D688" s="172"/>
      <c r="E688" s="172"/>
      <c r="F688" s="172"/>
      <c r="G688" s="172"/>
      <c r="H688" s="172"/>
      <c r="I688" s="182"/>
      <c r="J688" s="172"/>
      <c r="K688" s="172"/>
      <c r="L688" s="172"/>
      <c r="M688" s="172"/>
      <c r="N688" s="172"/>
      <c r="O688" s="172"/>
      <c r="P688" s="172"/>
      <c r="Q688" s="172"/>
      <c r="R688" s="172"/>
      <c r="S688" s="172"/>
      <c r="T688" s="172"/>
      <c r="U688" s="172"/>
      <c r="V688" s="172"/>
      <c r="W688" s="172"/>
      <c r="X688" s="172"/>
      <c r="Y688" s="172"/>
      <c r="Z688" s="172"/>
    </row>
    <row r="689">
      <c r="A689" s="172"/>
      <c r="B689" s="182"/>
      <c r="C689" s="172"/>
      <c r="D689" s="172"/>
      <c r="E689" s="172"/>
      <c r="F689" s="172"/>
      <c r="G689" s="172"/>
      <c r="H689" s="172"/>
      <c r="I689" s="182"/>
      <c r="J689" s="172"/>
      <c r="K689" s="172"/>
      <c r="L689" s="172"/>
      <c r="M689" s="172"/>
      <c r="N689" s="172"/>
      <c r="O689" s="172"/>
      <c r="P689" s="172"/>
      <c r="Q689" s="172"/>
      <c r="R689" s="172"/>
      <c r="S689" s="172"/>
      <c r="T689" s="172"/>
      <c r="U689" s="172"/>
      <c r="V689" s="172"/>
      <c r="W689" s="172"/>
      <c r="X689" s="172"/>
      <c r="Y689" s="172"/>
      <c r="Z689" s="172"/>
    </row>
    <row r="690">
      <c r="A690" s="172"/>
      <c r="B690" s="182"/>
      <c r="C690" s="172"/>
      <c r="D690" s="172"/>
      <c r="E690" s="172"/>
      <c r="F690" s="172"/>
      <c r="G690" s="172"/>
      <c r="H690" s="172"/>
      <c r="I690" s="182"/>
      <c r="J690" s="172"/>
      <c r="K690" s="172"/>
      <c r="L690" s="172"/>
      <c r="M690" s="172"/>
      <c r="N690" s="172"/>
      <c r="O690" s="172"/>
      <c r="P690" s="172"/>
      <c r="Q690" s="172"/>
      <c r="R690" s="172"/>
      <c r="S690" s="172"/>
      <c r="T690" s="172"/>
      <c r="U690" s="172"/>
      <c r="V690" s="172"/>
      <c r="W690" s="172"/>
      <c r="X690" s="172"/>
      <c r="Y690" s="172"/>
      <c r="Z690" s="172"/>
    </row>
    <row r="691">
      <c r="A691" s="172"/>
      <c r="B691" s="182"/>
      <c r="C691" s="172"/>
      <c r="D691" s="172"/>
      <c r="E691" s="172"/>
      <c r="F691" s="172"/>
      <c r="G691" s="172"/>
      <c r="H691" s="172"/>
      <c r="I691" s="182"/>
      <c r="J691" s="172"/>
      <c r="K691" s="172"/>
      <c r="L691" s="172"/>
      <c r="M691" s="172"/>
      <c r="N691" s="172"/>
      <c r="O691" s="172"/>
      <c r="P691" s="172"/>
      <c r="Q691" s="172"/>
      <c r="R691" s="172"/>
      <c r="S691" s="172"/>
      <c r="T691" s="172"/>
      <c r="U691" s="172"/>
      <c r="V691" s="172"/>
      <c r="W691" s="172"/>
      <c r="X691" s="172"/>
      <c r="Y691" s="172"/>
      <c r="Z691" s="172"/>
    </row>
    <row r="692">
      <c r="A692" s="172"/>
      <c r="B692" s="182"/>
      <c r="C692" s="172"/>
      <c r="D692" s="172"/>
      <c r="E692" s="172"/>
      <c r="F692" s="172"/>
      <c r="G692" s="172"/>
      <c r="H692" s="172"/>
      <c r="I692" s="182"/>
      <c r="J692" s="172"/>
      <c r="K692" s="172"/>
      <c r="L692" s="172"/>
      <c r="M692" s="172"/>
      <c r="N692" s="172"/>
      <c r="O692" s="172"/>
      <c r="P692" s="172"/>
      <c r="Q692" s="172"/>
      <c r="R692" s="172"/>
      <c r="S692" s="172"/>
      <c r="T692" s="172"/>
      <c r="U692" s="172"/>
      <c r="V692" s="172"/>
      <c r="W692" s="172"/>
      <c r="X692" s="172"/>
      <c r="Y692" s="172"/>
      <c r="Z692" s="172"/>
    </row>
    <row r="693">
      <c r="A693" s="172"/>
      <c r="B693" s="182"/>
      <c r="C693" s="172"/>
      <c r="D693" s="172"/>
      <c r="E693" s="172"/>
      <c r="F693" s="172"/>
      <c r="G693" s="172"/>
      <c r="H693" s="172"/>
      <c r="I693" s="182"/>
      <c r="J693" s="172"/>
      <c r="K693" s="172"/>
      <c r="L693" s="172"/>
      <c r="M693" s="172"/>
      <c r="N693" s="172"/>
      <c r="O693" s="172"/>
      <c r="P693" s="172"/>
      <c r="Q693" s="172"/>
      <c r="R693" s="172"/>
      <c r="S693" s="172"/>
      <c r="T693" s="172"/>
      <c r="U693" s="172"/>
      <c r="V693" s="172"/>
      <c r="W693" s="172"/>
      <c r="X693" s="172"/>
      <c r="Y693" s="172"/>
      <c r="Z693" s="172"/>
    </row>
    <row r="694">
      <c r="A694" s="172"/>
      <c r="B694" s="182"/>
      <c r="C694" s="172"/>
      <c r="D694" s="172"/>
      <c r="E694" s="172"/>
      <c r="F694" s="172"/>
      <c r="G694" s="172"/>
      <c r="H694" s="172"/>
      <c r="I694" s="182"/>
      <c r="J694" s="172"/>
      <c r="K694" s="172"/>
      <c r="L694" s="172"/>
      <c r="M694" s="172"/>
      <c r="N694" s="172"/>
      <c r="O694" s="172"/>
      <c r="P694" s="172"/>
      <c r="Q694" s="172"/>
      <c r="R694" s="172"/>
      <c r="S694" s="172"/>
      <c r="T694" s="172"/>
      <c r="U694" s="172"/>
      <c r="V694" s="172"/>
      <c r="W694" s="172"/>
      <c r="X694" s="172"/>
      <c r="Y694" s="172"/>
      <c r="Z694" s="172"/>
    </row>
    <row r="695">
      <c r="A695" s="172"/>
      <c r="B695" s="182"/>
      <c r="C695" s="172"/>
      <c r="D695" s="172"/>
      <c r="E695" s="172"/>
      <c r="F695" s="172"/>
      <c r="G695" s="172"/>
      <c r="H695" s="172"/>
      <c r="I695" s="182"/>
      <c r="J695" s="172"/>
      <c r="K695" s="172"/>
      <c r="L695" s="172"/>
      <c r="M695" s="172"/>
      <c r="N695" s="172"/>
      <c r="O695" s="172"/>
      <c r="P695" s="172"/>
      <c r="Q695" s="172"/>
      <c r="R695" s="172"/>
      <c r="S695" s="172"/>
      <c r="T695" s="172"/>
      <c r="U695" s="172"/>
      <c r="V695" s="172"/>
      <c r="W695" s="172"/>
      <c r="X695" s="172"/>
      <c r="Y695" s="172"/>
      <c r="Z695" s="172"/>
    </row>
    <row r="696">
      <c r="A696" s="172"/>
      <c r="B696" s="182"/>
      <c r="C696" s="172"/>
      <c r="D696" s="172"/>
      <c r="E696" s="172"/>
      <c r="F696" s="172"/>
      <c r="G696" s="172"/>
      <c r="H696" s="172"/>
      <c r="I696" s="182"/>
      <c r="J696" s="172"/>
      <c r="K696" s="172"/>
      <c r="L696" s="172"/>
      <c r="M696" s="172"/>
      <c r="N696" s="172"/>
      <c r="O696" s="172"/>
      <c r="P696" s="172"/>
      <c r="Q696" s="172"/>
      <c r="R696" s="172"/>
      <c r="S696" s="172"/>
      <c r="T696" s="172"/>
      <c r="U696" s="172"/>
      <c r="V696" s="172"/>
      <c r="W696" s="172"/>
      <c r="X696" s="172"/>
      <c r="Y696" s="172"/>
      <c r="Z696" s="172"/>
    </row>
    <row r="697">
      <c r="A697" s="172"/>
      <c r="B697" s="182"/>
      <c r="C697" s="172"/>
      <c r="D697" s="172"/>
      <c r="E697" s="172"/>
      <c r="F697" s="172"/>
      <c r="G697" s="172"/>
      <c r="H697" s="172"/>
      <c r="I697" s="182"/>
      <c r="J697" s="172"/>
      <c r="K697" s="172"/>
      <c r="L697" s="172"/>
      <c r="M697" s="172"/>
      <c r="N697" s="172"/>
      <c r="O697" s="172"/>
      <c r="P697" s="172"/>
      <c r="Q697" s="172"/>
      <c r="R697" s="172"/>
      <c r="S697" s="172"/>
      <c r="T697" s="172"/>
      <c r="U697" s="172"/>
      <c r="V697" s="172"/>
      <c r="W697" s="172"/>
      <c r="X697" s="172"/>
      <c r="Y697" s="172"/>
      <c r="Z697" s="172"/>
    </row>
    <row r="698">
      <c r="A698" s="172"/>
      <c r="B698" s="182"/>
      <c r="C698" s="172"/>
      <c r="D698" s="172"/>
      <c r="E698" s="172"/>
      <c r="F698" s="172"/>
      <c r="G698" s="172"/>
      <c r="H698" s="172"/>
      <c r="I698" s="182"/>
      <c r="J698" s="172"/>
      <c r="K698" s="172"/>
      <c r="L698" s="172"/>
      <c r="M698" s="172"/>
      <c r="N698" s="172"/>
      <c r="O698" s="172"/>
      <c r="P698" s="172"/>
      <c r="Q698" s="172"/>
      <c r="R698" s="172"/>
      <c r="S698" s="172"/>
      <c r="T698" s="172"/>
      <c r="U698" s="172"/>
      <c r="V698" s="172"/>
      <c r="W698" s="172"/>
      <c r="X698" s="172"/>
      <c r="Y698" s="172"/>
      <c r="Z698" s="172"/>
    </row>
    <row r="699">
      <c r="A699" s="172"/>
      <c r="B699" s="182"/>
      <c r="C699" s="172"/>
      <c r="D699" s="172"/>
      <c r="E699" s="172"/>
      <c r="F699" s="172"/>
      <c r="G699" s="172"/>
      <c r="H699" s="172"/>
      <c r="I699" s="182"/>
      <c r="J699" s="172"/>
      <c r="K699" s="172"/>
      <c r="L699" s="172"/>
      <c r="M699" s="172"/>
      <c r="N699" s="172"/>
      <c r="O699" s="172"/>
      <c r="P699" s="172"/>
      <c r="Q699" s="172"/>
      <c r="R699" s="172"/>
      <c r="S699" s="172"/>
      <c r="T699" s="172"/>
      <c r="U699" s="172"/>
      <c r="V699" s="172"/>
      <c r="W699" s="172"/>
      <c r="X699" s="172"/>
      <c r="Y699" s="172"/>
      <c r="Z699" s="172"/>
    </row>
    <row r="700">
      <c r="A700" s="172"/>
      <c r="B700" s="182"/>
      <c r="C700" s="172"/>
      <c r="D700" s="172"/>
      <c r="E700" s="172"/>
      <c r="F700" s="172"/>
      <c r="G700" s="172"/>
      <c r="H700" s="172"/>
      <c r="I700" s="182"/>
      <c r="J700" s="172"/>
      <c r="K700" s="172"/>
      <c r="L700" s="172"/>
      <c r="M700" s="172"/>
      <c r="N700" s="172"/>
      <c r="O700" s="172"/>
      <c r="P700" s="172"/>
      <c r="Q700" s="172"/>
      <c r="R700" s="172"/>
      <c r="S700" s="172"/>
      <c r="T700" s="172"/>
      <c r="U700" s="172"/>
      <c r="V700" s="172"/>
      <c r="W700" s="172"/>
      <c r="X700" s="172"/>
      <c r="Y700" s="172"/>
      <c r="Z700" s="172"/>
    </row>
    <row r="701">
      <c r="A701" s="172"/>
      <c r="B701" s="182"/>
      <c r="C701" s="172"/>
      <c r="D701" s="172"/>
      <c r="E701" s="172"/>
      <c r="F701" s="172"/>
      <c r="G701" s="172"/>
      <c r="H701" s="172"/>
      <c r="I701" s="182"/>
      <c r="J701" s="172"/>
      <c r="K701" s="172"/>
      <c r="L701" s="172"/>
      <c r="M701" s="172"/>
      <c r="N701" s="172"/>
      <c r="O701" s="172"/>
      <c r="P701" s="172"/>
      <c r="Q701" s="172"/>
      <c r="R701" s="172"/>
      <c r="S701" s="172"/>
      <c r="T701" s="172"/>
      <c r="U701" s="172"/>
      <c r="V701" s="172"/>
      <c r="W701" s="172"/>
      <c r="X701" s="172"/>
      <c r="Y701" s="172"/>
      <c r="Z701" s="172"/>
    </row>
    <row r="702">
      <c r="A702" s="172"/>
      <c r="B702" s="182"/>
      <c r="C702" s="172"/>
      <c r="D702" s="172"/>
      <c r="E702" s="172"/>
      <c r="F702" s="172"/>
      <c r="G702" s="172"/>
      <c r="H702" s="172"/>
      <c r="I702" s="182"/>
      <c r="J702" s="172"/>
      <c r="K702" s="172"/>
      <c r="L702" s="172"/>
      <c r="M702" s="172"/>
      <c r="N702" s="172"/>
      <c r="O702" s="172"/>
      <c r="P702" s="172"/>
      <c r="Q702" s="172"/>
      <c r="R702" s="172"/>
      <c r="S702" s="172"/>
      <c r="T702" s="172"/>
      <c r="U702" s="172"/>
      <c r="V702" s="172"/>
      <c r="W702" s="172"/>
      <c r="X702" s="172"/>
      <c r="Y702" s="172"/>
      <c r="Z702" s="172"/>
    </row>
    <row r="703">
      <c r="A703" s="172"/>
      <c r="B703" s="182"/>
      <c r="C703" s="172"/>
      <c r="D703" s="172"/>
      <c r="E703" s="172"/>
      <c r="F703" s="172"/>
      <c r="G703" s="172"/>
      <c r="H703" s="172"/>
      <c r="I703" s="182"/>
      <c r="J703" s="172"/>
      <c r="K703" s="172"/>
      <c r="L703" s="172"/>
      <c r="M703" s="172"/>
      <c r="N703" s="172"/>
      <c r="O703" s="172"/>
      <c r="P703" s="172"/>
      <c r="Q703" s="172"/>
      <c r="R703" s="172"/>
      <c r="S703" s="172"/>
      <c r="T703" s="172"/>
      <c r="U703" s="172"/>
      <c r="V703" s="172"/>
      <c r="W703" s="172"/>
      <c r="X703" s="172"/>
      <c r="Y703" s="172"/>
      <c r="Z703" s="172"/>
    </row>
    <row r="704">
      <c r="A704" s="172"/>
      <c r="B704" s="182"/>
      <c r="C704" s="172"/>
      <c r="D704" s="172"/>
      <c r="E704" s="172"/>
      <c r="F704" s="172"/>
      <c r="G704" s="172"/>
      <c r="H704" s="172"/>
      <c r="I704" s="182"/>
      <c r="J704" s="172"/>
      <c r="K704" s="172"/>
      <c r="L704" s="172"/>
      <c r="M704" s="172"/>
      <c r="N704" s="172"/>
      <c r="O704" s="172"/>
      <c r="P704" s="172"/>
      <c r="Q704" s="172"/>
      <c r="R704" s="172"/>
      <c r="S704" s="172"/>
      <c r="T704" s="172"/>
      <c r="U704" s="172"/>
      <c r="V704" s="172"/>
      <c r="W704" s="172"/>
      <c r="X704" s="172"/>
      <c r="Y704" s="172"/>
      <c r="Z704" s="172"/>
    </row>
    <row r="705">
      <c r="A705" s="172"/>
      <c r="B705" s="182"/>
      <c r="C705" s="172"/>
      <c r="D705" s="172"/>
      <c r="E705" s="172"/>
      <c r="F705" s="172"/>
      <c r="G705" s="172"/>
      <c r="H705" s="172"/>
      <c r="I705" s="182"/>
      <c r="J705" s="172"/>
      <c r="K705" s="172"/>
      <c r="L705" s="172"/>
      <c r="M705" s="172"/>
      <c r="N705" s="172"/>
      <c r="O705" s="172"/>
      <c r="P705" s="172"/>
      <c r="Q705" s="172"/>
      <c r="R705" s="172"/>
      <c r="S705" s="172"/>
      <c r="T705" s="172"/>
      <c r="U705" s="172"/>
      <c r="V705" s="172"/>
      <c r="W705" s="172"/>
      <c r="X705" s="172"/>
      <c r="Y705" s="172"/>
      <c r="Z705" s="172"/>
    </row>
    <row r="706">
      <c r="A706" s="172"/>
      <c r="B706" s="182"/>
      <c r="C706" s="172"/>
      <c r="D706" s="172"/>
      <c r="E706" s="172"/>
      <c r="F706" s="172"/>
      <c r="G706" s="172"/>
      <c r="H706" s="172"/>
      <c r="I706" s="182"/>
      <c r="J706" s="172"/>
      <c r="K706" s="172"/>
      <c r="L706" s="172"/>
      <c r="M706" s="172"/>
      <c r="N706" s="172"/>
      <c r="O706" s="172"/>
      <c r="P706" s="172"/>
      <c r="Q706" s="172"/>
      <c r="R706" s="172"/>
      <c r="S706" s="172"/>
      <c r="T706" s="172"/>
      <c r="U706" s="172"/>
      <c r="V706" s="172"/>
      <c r="W706" s="172"/>
      <c r="X706" s="172"/>
      <c r="Y706" s="172"/>
      <c r="Z706" s="172"/>
    </row>
    <row r="707">
      <c r="A707" s="172"/>
      <c r="B707" s="182"/>
      <c r="C707" s="172"/>
      <c r="D707" s="172"/>
      <c r="E707" s="172"/>
      <c r="F707" s="172"/>
      <c r="G707" s="172"/>
      <c r="H707" s="172"/>
      <c r="I707" s="182"/>
      <c r="J707" s="172"/>
      <c r="K707" s="172"/>
      <c r="L707" s="172"/>
      <c r="M707" s="172"/>
      <c r="N707" s="172"/>
      <c r="O707" s="172"/>
      <c r="P707" s="172"/>
      <c r="Q707" s="172"/>
      <c r="R707" s="172"/>
      <c r="S707" s="172"/>
      <c r="T707" s="172"/>
      <c r="U707" s="172"/>
      <c r="V707" s="172"/>
      <c r="W707" s="172"/>
      <c r="X707" s="172"/>
      <c r="Y707" s="172"/>
      <c r="Z707" s="172"/>
    </row>
    <row r="708">
      <c r="A708" s="172"/>
      <c r="B708" s="182"/>
      <c r="C708" s="172"/>
      <c r="D708" s="172"/>
      <c r="E708" s="172"/>
      <c r="F708" s="172"/>
      <c r="G708" s="172"/>
      <c r="H708" s="172"/>
      <c r="I708" s="182"/>
      <c r="J708" s="172"/>
      <c r="K708" s="172"/>
      <c r="L708" s="172"/>
      <c r="M708" s="172"/>
      <c r="N708" s="172"/>
      <c r="O708" s="172"/>
      <c r="P708" s="172"/>
      <c r="Q708" s="172"/>
      <c r="R708" s="172"/>
      <c r="S708" s="172"/>
      <c r="T708" s="172"/>
      <c r="U708" s="172"/>
      <c r="V708" s="172"/>
      <c r="W708" s="172"/>
      <c r="X708" s="172"/>
      <c r="Y708" s="172"/>
      <c r="Z708" s="172"/>
    </row>
    <row r="709">
      <c r="A709" s="172"/>
      <c r="B709" s="182"/>
      <c r="C709" s="172"/>
      <c r="D709" s="172"/>
      <c r="E709" s="172"/>
      <c r="F709" s="172"/>
      <c r="G709" s="172"/>
      <c r="H709" s="172"/>
      <c r="I709" s="182"/>
      <c r="J709" s="172"/>
      <c r="K709" s="172"/>
      <c r="L709" s="172"/>
      <c r="M709" s="172"/>
      <c r="N709" s="172"/>
      <c r="O709" s="172"/>
      <c r="P709" s="172"/>
      <c r="Q709" s="172"/>
      <c r="R709" s="172"/>
      <c r="S709" s="172"/>
      <c r="T709" s="172"/>
      <c r="U709" s="172"/>
      <c r="V709" s="172"/>
      <c r="W709" s="172"/>
      <c r="X709" s="172"/>
      <c r="Y709" s="172"/>
      <c r="Z709" s="172"/>
    </row>
    <row r="710">
      <c r="A710" s="172"/>
      <c r="B710" s="182"/>
      <c r="C710" s="172"/>
      <c r="D710" s="172"/>
      <c r="E710" s="172"/>
      <c r="F710" s="172"/>
      <c r="G710" s="172"/>
      <c r="H710" s="172"/>
      <c r="I710" s="182"/>
      <c r="J710" s="172"/>
      <c r="K710" s="172"/>
      <c r="L710" s="172"/>
      <c r="M710" s="172"/>
      <c r="N710" s="172"/>
      <c r="O710" s="172"/>
      <c r="P710" s="172"/>
      <c r="Q710" s="172"/>
      <c r="R710" s="172"/>
      <c r="S710" s="172"/>
      <c r="T710" s="172"/>
      <c r="U710" s="172"/>
      <c r="V710" s="172"/>
      <c r="W710" s="172"/>
      <c r="X710" s="172"/>
      <c r="Y710" s="172"/>
      <c r="Z710" s="172"/>
    </row>
    <row r="711">
      <c r="A711" s="172"/>
      <c r="B711" s="182"/>
      <c r="C711" s="172"/>
      <c r="D711" s="172"/>
      <c r="E711" s="172"/>
      <c r="F711" s="172"/>
      <c r="G711" s="172"/>
      <c r="H711" s="172"/>
      <c r="I711" s="182"/>
      <c r="J711" s="172"/>
      <c r="K711" s="172"/>
      <c r="L711" s="172"/>
      <c r="M711" s="172"/>
      <c r="N711" s="172"/>
      <c r="O711" s="172"/>
      <c r="P711" s="172"/>
      <c r="Q711" s="172"/>
      <c r="R711" s="172"/>
      <c r="S711" s="172"/>
      <c r="T711" s="172"/>
      <c r="U711" s="172"/>
      <c r="V711" s="172"/>
      <c r="W711" s="172"/>
      <c r="X711" s="172"/>
      <c r="Y711" s="172"/>
      <c r="Z711" s="172"/>
    </row>
    <row r="712">
      <c r="A712" s="172"/>
      <c r="B712" s="182"/>
      <c r="C712" s="172"/>
      <c r="D712" s="172"/>
      <c r="E712" s="172"/>
      <c r="F712" s="172"/>
      <c r="G712" s="172"/>
      <c r="H712" s="172"/>
      <c r="I712" s="182"/>
      <c r="J712" s="172"/>
      <c r="K712" s="172"/>
      <c r="L712" s="172"/>
      <c r="M712" s="172"/>
      <c r="N712" s="172"/>
      <c r="O712" s="172"/>
      <c r="P712" s="172"/>
      <c r="Q712" s="172"/>
      <c r="R712" s="172"/>
      <c r="S712" s="172"/>
      <c r="T712" s="172"/>
      <c r="U712" s="172"/>
      <c r="V712" s="172"/>
      <c r="W712" s="172"/>
      <c r="X712" s="172"/>
      <c r="Y712" s="172"/>
      <c r="Z712" s="172"/>
    </row>
    <row r="713">
      <c r="A713" s="172"/>
      <c r="B713" s="182"/>
      <c r="C713" s="172"/>
      <c r="D713" s="172"/>
      <c r="E713" s="172"/>
      <c r="F713" s="172"/>
      <c r="G713" s="172"/>
      <c r="H713" s="172"/>
      <c r="I713" s="182"/>
      <c r="J713" s="172"/>
      <c r="K713" s="172"/>
      <c r="L713" s="172"/>
      <c r="M713" s="172"/>
      <c r="N713" s="172"/>
      <c r="O713" s="172"/>
      <c r="P713" s="172"/>
      <c r="Q713" s="172"/>
      <c r="R713" s="172"/>
      <c r="S713" s="172"/>
      <c r="T713" s="172"/>
      <c r="U713" s="172"/>
      <c r="V713" s="172"/>
      <c r="W713" s="172"/>
      <c r="X713" s="172"/>
      <c r="Y713" s="172"/>
      <c r="Z713" s="172"/>
    </row>
    <row r="714">
      <c r="A714" s="172"/>
      <c r="B714" s="182"/>
      <c r="C714" s="172"/>
      <c r="D714" s="172"/>
      <c r="E714" s="172"/>
      <c r="F714" s="172"/>
      <c r="G714" s="172"/>
      <c r="H714" s="172"/>
      <c r="I714" s="182"/>
      <c r="J714" s="172"/>
      <c r="K714" s="172"/>
      <c r="L714" s="172"/>
      <c r="M714" s="172"/>
      <c r="N714" s="172"/>
      <c r="O714" s="172"/>
      <c r="P714" s="172"/>
      <c r="Q714" s="172"/>
      <c r="R714" s="172"/>
      <c r="S714" s="172"/>
      <c r="T714" s="172"/>
      <c r="U714" s="172"/>
      <c r="V714" s="172"/>
      <c r="W714" s="172"/>
      <c r="X714" s="172"/>
      <c r="Y714" s="172"/>
      <c r="Z714" s="172"/>
    </row>
    <row r="715">
      <c r="A715" s="172"/>
      <c r="B715" s="182"/>
      <c r="C715" s="172"/>
      <c r="D715" s="172"/>
      <c r="E715" s="172"/>
      <c r="F715" s="172"/>
      <c r="G715" s="172"/>
      <c r="H715" s="172"/>
      <c r="I715" s="182"/>
      <c r="J715" s="172"/>
      <c r="K715" s="172"/>
      <c r="L715" s="172"/>
      <c r="M715" s="172"/>
      <c r="N715" s="172"/>
      <c r="O715" s="172"/>
      <c r="P715" s="172"/>
      <c r="Q715" s="172"/>
      <c r="R715" s="172"/>
      <c r="S715" s="172"/>
      <c r="T715" s="172"/>
      <c r="U715" s="172"/>
      <c r="V715" s="172"/>
      <c r="W715" s="172"/>
      <c r="X715" s="172"/>
      <c r="Y715" s="172"/>
      <c r="Z715" s="172"/>
    </row>
    <row r="716">
      <c r="A716" s="172"/>
      <c r="B716" s="182"/>
      <c r="C716" s="172"/>
      <c r="D716" s="172"/>
      <c r="E716" s="172"/>
      <c r="F716" s="172"/>
      <c r="G716" s="172"/>
      <c r="H716" s="172"/>
      <c r="I716" s="182"/>
      <c r="J716" s="172"/>
      <c r="K716" s="172"/>
      <c r="L716" s="172"/>
      <c r="M716" s="172"/>
      <c r="N716" s="172"/>
      <c r="O716" s="172"/>
      <c r="P716" s="172"/>
      <c r="Q716" s="172"/>
      <c r="R716" s="172"/>
      <c r="S716" s="172"/>
      <c r="T716" s="172"/>
      <c r="U716" s="172"/>
      <c r="V716" s="172"/>
      <c r="W716" s="172"/>
      <c r="X716" s="172"/>
      <c r="Y716" s="172"/>
      <c r="Z716" s="172"/>
    </row>
    <row r="717">
      <c r="A717" s="172"/>
      <c r="B717" s="182"/>
      <c r="C717" s="172"/>
      <c r="D717" s="172"/>
      <c r="E717" s="172"/>
      <c r="F717" s="172"/>
      <c r="G717" s="172"/>
      <c r="H717" s="172"/>
      <c r="I717" s="182"/>
      <c r="J717" s="172"/>
      <c r="K717" s="172"/>
      <c r="L717" s="172"/>
      <c r="M717" s="172"/>
      <c r="N717" s="172"/>
      <c r="O717" s="172"/>
      <c r="P717" s="172"/>
      <c r="Q717" s="172"/>
      <c r="R717" s="172"/>
      <c r="S717" s="172"/>
      <c r="T717" s="172"/>
      <c r="U717" s="172"/>
      <c r="V717" s="172"/>
      <c r="W717" s="172"/>
      <c r="X717" s="172"/>
      <c r="Y717" s="172"/>
      <c r="Z717" s="172"/>
    </row>
    <row r="718">
      <c r="A718" s="172"/>
      <c r="B718" s="182"/>
      <c r="C718" s="172"/>
      <c r="D718" s="172"/>
      <c r="E718" s="172"/>
      <c r="F718" s="172"/>
      <c r="G718" s="172"/>
      <c r="H718" s="172"/>
      <c r="I718" s="182"/>
      <c r="J718" s="172"/>
      <c r="K718" s="172"/>
      <c r="L718" s="172"/>
      <c r="M718" s="172"/>
      <c r="N718" s="172"/>
      <c r="O718" s="172"/>
      <c r="P718" s="172"/>
      <c r="Q718" s="172"/>
      <c r="R718" s="172"/>
      <c r="S718" s="172"/>
      <c r="T718" s="172"/>
      <c r="U718" s="172"/>
      <c r="V718" s="172"/>
      <c r="W718" s="172"/>
      <c r="X718" s="172"/>
      <c r="Y718" s="172"/>
      <c r="Z718" s="172"/>
    </row>
    <row r="719">
      <c r="A719" s="172"/>
      <c r="B719" s="182"/>
      <c r="C719" s="172"/>
      <c r="D719" s="172"/>
      <c r="E719" s="172"/>
      <c r="F719" s="172"/>
      <c r="G719" s="172"/>
      <c r="H719" s="172"/>
      <c r="I719" s="182"/>
      <c r="J719" s="172"/>
      <c r="K719" s="172"/>
      <c r="L719" s="172"/>
      <c r="M719" s="172"/>
      <c r="N719" s="172"/>
      <c r="O719" s="172"/>
      <c r="P719" s="172"/>
      <c r="Q719" s="172"/>
      <c r="R719" s="172"/>
      <c r="S719" s="172"/>
      <c r="T719" s="172"/>
      <c r="U719" s="172"/>
      <c r="V719" s="172"/>
      <c r="W719" s="172"/>
      <c r="X719" s="172"/>
      <c r="Y719" s="172"/>
      <c r="Z719" s="172"/>
    </row>
    <row r="720">
      <c r="A720" s="172"/>
      <c r="B720" s="182"/>
      <c r="C720" s="172"/>
      <c r="D720" s="172"/>
      <c r="E720" s="172"/>
      <c r="F720" s="172"/>
      <c r="G720" s="172"/>
      <c r="H720" s="172"/>
      <c r="I720" s="182"/>
      <c r="J720" s="172"/>
      <c r="K720" s="172"/>
      <c r="L720" s="172"/>
      <c r="M720" s="172"/>
      <c r="N720" s="172"/>
      <c r="O720" s="172"/>
      <c r="P720" s="172"/>
      <c r="Q720" s="172"/>
      <c r="R720" s="172"/>
      <c r="S720" s="172"/>
      <c r="T720" s="172"/>
      <c r="U720" s="172"/>
      <c r="V720" s="172"/>
      <c r="W720" s="172"/>
      <c r="X720" s="172"/>
      <c r="Y720" s="172"/>
      <c r="Z720" s="172"/>
    </row>
    <row r="721">
      <c r="A721" s="172"/>
      <c r="B721" s="182"/>
      <c r="C721" s="172"/>
      <c r="D721" s="172"/>
      <c r="E721" s="172"/>
      <c r="F721" s="172"/>
      <c r="G721" s="172"/>
      <c r="H721" s="172"/>
      <c r="I721" s="182"/>
      <c r="J721" s="172"/>
      <c r="K721" s="172"/>
      <c r="L721" s="172"/>
      <c r="M721" s="172"/>
      <c r="N721" s="172"/>
      <c r="O721" s="172"/>
      <c r="P721" s="172"/>
      <c r="Q721" s="172"/>
      <c r="R721" s="172"/>
      <c r="S721" s="172"/>
      <c r="T721" s="172"/>
      <c r="U721" s="172"/>
      <c r="V721" s="172"/>
      <c r="W721" s="172"/>
      <c r="X721" s="172"/>
      <c r="Y721" s="172"/>
      <c r="Z721" s="172"/>
    </row>
    <row r="722">
      <c r="A722" s="172"/>
      <c r="B722" s="182"/>
      <c r="C722" s="172"/>
      <c r="D722" s="172"/>
      <c r="E722" s="172"/>
      <c r="F722" s="172"/>
      <c r="G722" s="172"/>
      <c r="H722" s="172"/>
      <c r="I722" s="182"/>
      <c r="J722" s="172"/>
      <c r="K722" s="172"/>
      <c r="L722" s="172"/>
      <c r="M722" s="172"/>
      <c r="N722" s="172"/>
      <c r="O722" s="172"/>
      <c r="P722" s="172"/>
      <c r="Q722" s="172"/>
      <c r="R722" s="172"/>
      <c r="S722" s="172"/>
      <c r="T722" s="172"/>
      <c r="U722" s="172"/>
      <c r="V722" s="172"/>
      <c r="W722" s="172"/>
      <c r="X722" s="172"/>
      <c r="Y722" s="172"/>
      <c r="Z722" s="172"/>
    </row>
    <row r="723">
      <c r="A723" s="172"/>
      <c r="B723" s="182"/>
      <c r="C723" s="172"/>
      <c r="D723" s="172"/>
      <c r="E723" s="172"/>
      <c r="F723" s="172"/>
      <c r="G723" s="172"/>
      <c r="H723" s="172"/>
      <c r="I723" s="182"/>
      <c r="J723" s="172"/>
      <c r="K723" s="172"/>
      <c r="L723" s="172"/>
      <c r="M723" s="172"/>
      <c r="N723" s="172"/>
      <c r="O723" s="172"/>
      <c r="P723" s="172"/>
      <c r="Q723" s="172"/>
      <c r="R723" s="172"/>
      <c r="S723" s="172"/>
      <c r="T723" s="172"/>
      <c r="U723" s="172"/>
      <c r="V723" s="172"/>
      <c r="W723" s="172"/>
      <c r="X723" s="172"/>
      <c r="Y723" s="172"/>
      <c r="Z723" s="172"/>
    </row>
    <row r="724">
      <c r="A724" s="172"/>
      <c r="B724" s="182"/>
      <c r="C724" s="172"/>
      <c r="D724" s="172"/>
      <c r="E724" s="172"/>
      <c r="F724" s="172"/>
      <c r="G724" s="172"/>
      <c r="H724" s="172"/>
      <c r="I724" s="182"/>
      <c r="J724" s="172"/>
      <c r="K724" s="172"/>
      <c r="L724" s="172"/>
      <c r="M724" s="172"/>
      <c r="N724" s="172"/>
      <c r="O724" s="172"/>
      <c r="P724" s="172"/>
      <c r="Q724" s="172"/>
      <c r="R724" s="172"/>
      <c r="S724" s="172"/>
      <c r="T724" s="172"/>
      <c r="U724" s="172"/>
      <c r="V724" s="172"/>
      <c r="W724" s="172"/>
      <c r="X724" s="172"/>
      <c r="Y724" s="172"/>
      <c r="Z724" s="172"/>
    </row>
    <row r="725">
      <c r="A725" s="172"/>
      <c r="B725" s="182"/>
      <c r="C725" s="172"/>
      <c r="D725" s="172"/>
      <c r="E725" s="172"/>
      <c r="F725" s="172"/>
      <c r="G725" s="172"/>
      <c r="H725" s="172"/>
      <c r="I725" s="182"/>
      <c r="J725" s="172"/>
      <c r="K725" s="172"/>
      <c r="L725" s="172"/>
      <c r="M725" s="172"/>
      <c r="N725" s="172"/>
      <c r="O725" s="172"/>
      <c r="P725" s="172"/>
      <c r="Q725" s="172"/>
      <c r="R725" s="172"/>
      <c r="S725" s="172"/>
      <c r="T725" s="172"/>
      <c r="U725" s="172"/>
      <c r="V725" s="172"/>
      <c r="W725" s="172"/>
      <c r="X725" s="172"/>
      <c r="Y725" s="172"/>
      <c r="Z725" s="172"/>
    </row>
    <row r="726">
      <c r="A726" s="172"/>
      <c r="B726" s="182"/>
      <c r="C726" s="172"/>
      <c r="D726" s="172"/>
      <c r="E726" s="172"/>
      <c r="F726" s="172"/>
      <c r="G726" s="172"/>
      <c r="H726" s="172"/>
      <c r="I726" s="182"/>
      <c r="J726" s="172"/>
      <c r="K726" s="172"/>
      <c r="L726" s="172"/>
      <c r="M726" s="172"/>
      <c r="N726" s="172"/>
      <c r="O726" s="172"/>
      <c r="P726" s="172"/>
      <c r="Q726" s="172"/>
      <c r="R726" s="172"/>
      <c r="S726" s="172"/>
      <c r="T726" s="172"/>
      <c r="U726" s="172"/>
      <c r="V726" s="172"/>
      <c r="W726" s="172"/>
      <c r="X726" s="172"/>
      <c r="Y726" s="172"/>
      <c r="Z726" s="172"/>
    </row>
    <row r="727">
      <c r="A727" s="172"/>
      <c r="B727" s="182"/>
      <c r="C727" s="172"/>
      <c r="D727" s="172"/>
      <c r="E727" s="172"/>
      <c r="F727" s="172"/>
      <c r="G727" s="172"/>
      <c r="H727" s="172"/>
      <c r="I727" s="182"/>
      <c r="J727" s="172"/>
      <c r="K727" s="172"/>
      <c r="L727" s="172"/>
      <c r="M727" s="172"/>
      <c r="N727" s="172"/>
      <c r="O727" s="172"/>
      <c r="P727" s="172"/>
      <c r="Q727" s="172"/>
      <c r="R727" s="172"/>
      <c r="S727" s="172"/>
      <c r="T727" s="172"/>
      <c r="U727" s="172"/>
      <c r="V727" s="172"/>
      <c r="W727" s="172"/>
      <c r="X727" s="172"/>
      <c r="Y727" s="172"/>
      <c r="Z727" s="172"/>
    </row>
    <row r="728">
      <c r="A728" s="172"/>
      <c r="B728" s="182"/>
      <c r="C728" s="172"/>
      <c r="D728" s="172"/>
      <c r="E728" s="172"/>
      <c r="F728" s="172"/>
      <c r="G728" s="172"/>
      <c r="H728" s="172"/>
      <c r="I728" s="182"/>
      <c r="J728" s="172"/>
      <c r="K728" s="172"/>
      <c r="L728" s="172"/>
      <c r="M728" s="172"/>
      <c r="N728" s="172"/>
      <c r="O728" s="172"/>
      <c r="P728" s="172"/>
      <c r="Q728" s="172"/>
      <c r="R728" s="172"/>
      <c r="S728" s="172"/>
      <c r="T728" s="172"/>
      <c r="U728" s="172"/>
      <c r="V728" s="172"/>
      <c r="W728" s="172"/>
      <c r="X728" s="172"/>
      <c r="Y728" s="172"/>
      <c r="Z728" s="172"/>
    </row>
    <row r="729">
      <c r="A729" s="172"/>
      <c r="B729" s="182"/>
      <c r="C729" s="172"/>
      <c r="D729" s="172"/>
      <c r="E729" s="172"/>
      <c r="F729" s="172"/>
      <c r="G729" s="172"/>
      <c r="H729" s="172"/>
      <c r="I729" s="182"/>
      <c r="J729" s="172"/>
      <c r="K729" s="172"/>
      <c r="L729" s="172"/>
      <c r="M729" s="172"/>
      <c r="N729" s="172"/>
      <c r="O729" s="172"/>
      <c r="P729" s="172"/>
      <c r="Q729" s="172"/>
      <c r="R729" s="172"/>
      <c r="S729" s="172"/>
      <c r="T729" s="172"/>
      <c r="U729" s="172"/>
      <c r="V729" s="172"/>
      <c r="W729" s="172"/>
      <c r="X729" s="172"/>
      <c r="Y729" s="172"/>
      <c r="Z729" s="172"/>
    </row>
    <row r="730">
      <c r="A730" s="172"/>
      <c r="B730" s="182"/>
      <c r="C730" s="172"/>
      <c r="D730" s="172"/>
      <c r="E730" s="172"/>
      <c r="F730" s="172"/>
      <c r="G730" s="172"/>
      <c r="H730" s="172"/>
      <c r="I730" s="182"/>
      <c r="J730" s="172"/>
      <c r="K730" s="172"/>
      <c r="L730" s="172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</row>
    <row r="731">
      <c r="A731" s="172"/>
      <c r="B731" s="182"/>
      <c r="C731" s="172"/>
      <c r="D731" s="172"/>
      <c r="E731" s="172"/>
      <c r="F731" s="172"/>
      <c r="G731" s="172"/>
      <c r="H731" s="172"/>
      <c r="I731" s="182"/>
      <c r="J731" s="172"/>
      <c r="K731" s="172"/>
      <c r="L731" s="172"/>
      <c r="M731" s="172"/>
      <c r="N731" s="172"/>
      <c r="O731" s="172"/>
      <c r="P731" s="172"/>
      <c r="Q731" s="172"/>
      <c r="R731" s="172"/>
      <c r="S731" s="172"/>
      <c r="T731" s="172"/>
      <c r="U731" s="172"/>
      <c r="V731" s="172"/>
      <c r="W731" s="172"/>
      <c r="X731" s="172"/>
      <c r="Y731" s="172"/>
      <c r="Z731" s="172"/>
    </row>
    <row r="732">
      <c r="A732" s="172"/>
      <c r="B732" s="182"/>
      <c r="C732" s="172"/>
      <c r="D732" s="172"/>
      <c r="E732" s="172"/>
      <c r="F732" s="172"/>
      <c r="G732" s="172"/>
      <c r="H732" s="172"/>
      <c r="I732" s="182"/>
      <c r="J732" s="172"/>
      <c r="K732" s="172"/>
      <c r="L732" s="172"/>
      <c r="M732" s="172"/>
      <c r="N732" s="172"/>
      <c r="O732" s="172"/>
      <c r="P732" s="172"/>
      <c r="Q732" s="172"/>
      <c r="R732" s="172"/>
      <c r="S732" s="172"/>
      <c r="T732" s="172"/>
      <c r="U732" s="172"/>
      <c r="V732" s="172"/>
      <c r="W732" s="172"/>
      <c r="X732" s="172"/>
      <c r="Y732" s="172"/>
      <c r="Z732" s="172"/>
    </row>
    <row r="733">
      <c r="A733" s="172"/>
      <c r="B733" s="182"/>
      <c r="C733" s="172"/>
      <c r="D733" s="172"/>
      <c r="E733" s="172"/>
      <c r="F733" s="172"/>
      <c r="G733" s="172"/>
      <c r="H733" s="172"/>
      <c r="I733" s="182"/>
      <c r="J733" s="172"/>
      <c r="K733" s="172"/>
      <c r="L733" s="172"/>
      <c r="M733" s="172"/>
      <c r="N733" s="172"/>
      <c r="O733" s="172"/>
      <c r="P733" s="172"/>
      <c r="Q733" s="172"/>
      <c r="R733" s="172"/>
      <c r="S733" s="172"/>
      <c r="T733" s="172"/>
      <c r="U733" s="172"/>
      <c r="V733" s="172"/>
      <c r="W733" s="172"/>
      <c r="X733" s="172"/>
      <c r="Y733" s="172"/>
      <c r="Z733" s="172"/>
    </row>
    <row r="734">
      <c r="A734" s="172"/>
      <c r="B734" s="182"/>
      <c r="C734" s="172"/>
      <c r="D734" s="172"/>
      <c r="E734" s="172"/>
      <c r="F734" s="172"/>
      <c r="G734" s="172"/>
      <c r="H734" s="172"/>
      <c r="I734" s="182"/>
      <c r="J734" s="172"/>
      <c r="K734" s="172"/>
      <c r="L734" s="172"/>
      <c r="M734" s="172"/>
      <c r="N734" s="172"/>
      <c r="O734" s="172"/>
      <c r="P734" s="172"/>
      <c r="Q734" s="172"/>
      <c r="R734" s="172"/>
      <c r="S734" s="172"/>
      <c r="T734" s="172"/>
      <c r="U734" s="172"/>
      <c r="V734" s="172"/>
      <c r="W734" s="172"/>
      <c r="X734" s="172"/>
      <c r="Y734" s="172"/>
      <c r="Z734" s="172"/>
    </row>
    <row r="735">
      <c r="A735" s="172"/>
      <c r="B735" s="182"/>
      <c r="C735" s="172"/>
      <c r="D735" s="172"/>
      <c r="E735" s="172"/>
      <c r="F735" s="172"/>
      <c r="G735" s="172"/>
      <c r="H735" s="172"/>
      <c r="I735" s="182"/>
      <c r="J735" s="172"/>
      <c r="K735" s="172"/>
      <c r="L735" s="172"/>
      <c r="M735" s="172"/>
      <c r="N735" s="172"/>
      <c r="O735" s="172"/>
      <c r="P735" s="172"/>
      <c r="Q735" s="172"/>
      <c r="R735" s="172"/>
      <c r="S735" s="172"/>
      <c r="T735" s="172"/>
      <c r="U735" s="172"/>
      <c r="V735" s="172"/>
      <c r="W735" s="172"/>
      <c r="X735" s="172"/>
      <c r="Y735" s="172"/>
      <c r="Z735" s="172"/>
    </row>
    <row r="736">
      <c r="A736" s="172"/>
      <c r="B736" s="182"/>
      <c r="C736" s="172"/>
      <c r="D736" s="172"/>
      <c r="E736" s="172"/>
      <c r="F736" s="172"/>
      <c r="G736" s="172"/>
      <c r="H736" s="172"/>
      <c r="I736" s="182"/>
      <c r="J736" s="172"/>
      <c r="K736" s="172"/>
      <c r="L736" s="172"/>
      <c r="M736" s="172"/>
      <c r="N736" s="172"/>
      <c r="O736" s="172"/>
      <c r="P736" s="172"/>
      <c r="Q736" s="172"/>
      <c r="R736" s="172"/>
      <c r="S736" s="172"/>
      <c r="T736" s="172"/>
      <c r="U736" s="172"/>
      <c r="V736" s="172"/>
      <c r="W736" s="172"/>
      <c r="X736" s="172"/>
      <c r="Y736" s="172"/>
      <c r="Z736" s="172"/>
    </row>
    <row r="737">
      <c r="A737" s="172"/>
      <c r="B737" s="182"/>
      <c r="C737" s="172"/>
      <c r="D737" s="172"/>
      <c r="E737" s="172"/>
      <c r="F737" s="172"/>
      <c r="G737" s="172"/>
      <c r="H737" s="172"/>
      <c r="I737" s="182"/>
      <c r="J737" s="172"/>
      <c r="K737" s="172"/>
      <c r="L737" s="172"/>
      <c r="M737" s="172"/>
      <c r="N737" s="172"/>
      <c r="O737" s="172"/>
      <c r="P737" s="172"/>
      <c r="Q737" s="172"/>
      <c r="R737" s="172"/>
      <c r="S737" s="172"/>
      <c r="T737" s="172"/>
      <c r="U737" s="172"/>
      <c r="V737" s="172"/>
      <c r="W737" s="172"/>
      <c r="X737" s="172"/>
      <c r="Y737" s="172"/>
      <c r="Z737" s="172"/>
    </row>
    <row r="738">
      <c r="A738" s="172"/>
      <c r="B738" s="182"/>
      <c r="C738" s="172"/>
      <c r="D738" s="172"/>
      <c r="E738" s="172"/>
      <c r="F738" s="172"/>
      <c r="G738" s="172"/>
      <c r="H738" s="172"/>
      <c r="I738" s="182"/>
      <c r="J738" s="172"/>
      <c r="K738" s="172"/>
      <c r="L738" s="172"/>
      <c r="M738" s="172"/>
      <c r="N738" s="172"/>
      <c r="O738" s="172"/>
      <c r="P738" s="172"/>
      <c r="Q738" s="172"/>
      <c r="R738" s="172"/>
      <c r="S738" s="172"/>
      <c r="T738" s="172"/>
      <c r="U738" s="172"/>
      <c r="V738" s="172"/>
      <c r="W738" s="172"/>
      <c r="X738" s="172"/>
      <c r="Y738" s="172"/>
      <c r="Z738" s="172"/>
    </row>
    <row r="739">
      <c r="A739" s="172"/>
      <c r="B739" s="182"/>
      <c r="C739" s="172"/>
      <c r="D739" s="172"/>
      <c r="E739" s="172"/>
      <c r="F739" s="172"/>
      <c r="G739" s="172"/>
      <c r="H739" s="172"/>
      <c r="I739" s="182"/>
      <c r="J739" s="172"/>
      <c r="K739" s="172"/>
      <c r="L739" s="172"/>
      <c r="M739" s="172"/>
      <c r="N739" s="172"/>
      <c r="O739" s="172"/>
      <c r="P739" s="172"/>
      <c r="Q739" s="172"/>
      <c r="R739" s="172"/>
      <c r="S739" s="172"/>
      <c r="T739" s="172"/>
      <c r="U739" s="172"/>
      <c r="V739" s="172"/>
      <c r="W739" s="172"/>
      <c r="X739" s="172"/>
      <c r="Y739" s="172"/>
      <c r="Z739" s="172"/>
    </row>
    <row r="740">
      <c r="A740" s="172"/>
      <c r="B740" s="182"/>
      <c r="C740" s="172"/>
      <c r="D740" s="172"/>
      <c r="E740" s="172"/>
      <c r="F740" s="172"/>
      <c r="G740" s="172"/>
      <c r="H740" s="172"/>
      <c r="I740" s="182"/>
      <c r="J740" s="172"/>
      <c r="K740" s="172"/>
      <c r="L740" s="172"/>
      <c r="M740" s="172"/>
      <c r="N740" s="172"/>
      <c r="O740" s="172"/>
      <c r="P740" s="172"/>
      <c r="Q740" s="172"/>
      <c r="R740" s="172"/>
      <c r="S740" s="172"/>
      <c r="T740" s="172"/>
      <c r="U740" s="172"/>
      <c r="V740" s="172"/>
      <c r="W740" s="172"/>
      <c r="X740" s="172"/>
      <c r="Y740" s="172"/>
      <c r="Z740" s="172"/>
    </row>
    <row r="741">
      <c r="A741" s="172"/>
      <c r="B741" s="182"/>
      <c r="C741" s="172"/>
      <c r="D741" s="172"/>
      <c r="E741" s="172"/>
      <c r="F741" s="172"/>
      <c r="G741" s="172"/>
      <c r="H741" s="172"/>
      <c r="I741" s="182"/>
      <c r="J741" s="172"/>
      <c r="K741" s="172"/>
      <c r="L741" s="172"/>
      <c r="M741" s="172"/>
      <c r="N741" s="172"/>
      <c r="O741" s="172"/>
      <c r="P741" s="172"/>
      <c r="Q741" s="172"/>
      <c r="R741" s="172"/>
      <c r="S741" s="172"/>
      <c r="T741" s="172"/>
      <c r="U741" s="172"/>
      <c r="V741" s="172"/>
      <c r="W741" s="172"/>
      <c r="X741" s="172"/>
      <c r="Y741" s="172"/>
      <c r="Z741" s="172"/>
    </row>
    <row r="742">
      <c r="A742" s="172"/>
      <c r="B742" s="182"/>
      <c r="C742" s="172"/>
      <c r="D742" s="172"/>
      <c r="E742" s="172"/>
      <c r="F742" s="172"/>
      <c r="G742" s="172"/>
      <c r="H742" s="172"/>
      <c r="I742" s="182"/>
      <c r="J742" s="172"/>
      <c r="K742" s="172"/>
      <c r="L742" s="172"/>
      <c r="M742" s="172"/>
      <c r="N742" s="172"/>
      <c r="O742" s="172"/>
      <c r="P742" s="172"/>
      <c r="Q742" s="172"/>
      <c r="R742" s="172"/>
      <c r="S742" s="172"/>
      <c r="T742" s="172"/>
      <c r="U742" s="172"/>
      <c r="V742" s="172"/>
      <c r="W742" s="172"/>
      <c r="X742" s="172"/>
      <c r="Y742" s="172"/>
      <c r="Z742" s="172"/>
    </row>
    <row r="743">
      <c r="A743" s="172"/>
      <c r="B743" s="182"/>
      <c r="C743" s="172"/>
      <c r="D743" s="172"/>
      <c r="E743" s="172"/>
      <c r="F743" s="172"/>
      <c r="G743" s="172"/>
      <c r="H743" s="172"/>
      <c r="I743" s="182"/>
      <c r="J743" s="172"/>
      <c r="K743" s="172"/>
      <c r="L743" s="172"/>
      <c r="M743" s="172"/>
      <c r="N743" s="172"/>
      <c r="O743" s="172"/>
      <c r="P743" s="172"/>
      <c r="Q743" s="172"/>
      <c r="R743" s="172"/>
      <c r="S743" s="172"/>
      <c r="T743" s="172"/>
      <c r="U743" s="172"/>
      <c r="V743" s="172"/>
      <c r="W743" s="172"/>
      <c r="X743" s="172"/>
      <c r="Y743" s="172"/>
      <c r="Z743" s="172"/>
    </row>
    <row r="744">
      <c r="A744" s="172"/>
      <c r="B744" s="182"/>
      <c r="C744" s="172"/>
      <c r="D744" s="172"/>
      <c r="E744" s="172"/>
      <c r="F744" s="172"/>
      <c r="G744" s="172"/>
      <c r="H744" s="172"/>
      <c r="I744" s="182"/>
      <c r="J744" s="172"/>
      <c r="K744" s="172"/>
      <c r="L744" s="172"/>
      <c r="M744" s="172"/>
      <c r="N744" s="172"/>
      <c r="O744" s="172"/>
      <c r="P744" s="172"/>
      <c r="Q744" s="172"/>
      <c r="R744" s="172"/>
      <c r="S744" s="172"/>
      <c r="T744" s="172"/>
      <c r="U744" s="172"/>
      <c r="V744" s="172"/>
      <c r="W744" s="172"/>
      <c r="X744" s="172"/>
      <c r="Y744" s="172"/>
      <c r="Z744" s="172"/>
    </row>
    <row r="745">
      <c r="A745" s="172"/>
      <c r="B745" s="182"/>
      <c r="C745" s="172"/>
      <c r="D745" s="172"/>
      <c r="E745" s="172"/>
      <c r="F745" s="172"/>
      <c r="G745" s="172"/>
      <c r="H745" s="172"/>
      <c r="I745" s="182"/>
      <c r="J745" s="172"/>
      <c r="K745" s="172"/>
      <c r="L745" s="172"/>
      <c r="M745" s="172"/>
      <c r="N745" s="172"/>
      <c r="O745" s="172"/>
      <c r="P745" s="172"/>
      <c r="Q745" s="172"/>
      <c r="R745" s="172"/>
      <c r="S745" s="172"/>
      <c r="T745" s="172"/>
      <c r="U745" s="172"/>
      <c r="V745" s="172"/>
      <c r="W745" s="172"/>
      <c r="X745" s="172"/>
      <c r="Y745" s="172"/>
      <c r="Z745" s="172"/>
    </row>
    <row r="746">
      <c r="A746" s="172"/>
      <c r="B746" s="182"/>
      <c r="C746" s="172"/>
      <c r="D746" s="172"/>
      <c r="E746" s="172"/>
      <c r="F746" s="172"/>
      <c r="G746" s="172"/>
      <c r="H746" s="172"/>
      <c r="I746" s="182"/>
      <c r="J746" s="172"/>
      <c r="K746" s="172"/>
      <c r="L746" s="172"/>
      <c r="M746" s="172"/>
      <c r="N746" s="172"/>
      <c r="O746" s="172"/>
      <c r="P746" s="172"/>
      <c r="Q746" s="172"/>
      <c r="R746" s="172"/>
      <c r="S746" s="172"/>
      <c r="T746" s="172"/>
      <c r="U746" s="172"/>
      <c r="V746" s="172"/>
      <c r="W746" s="172"/>
      <c r="X746" s="172"/>
      <c r="Y746" s="172"/>
      <c r="Z746" s="172"/>
    </row>
    <row r="747">
      <c r="A747" s="172"/>
      <c r="B747" s="182"/>
      <c r="C747" s="172"/>
      <c r="D747" s="172"/>
      <c r="E747" s="172"/>
      <c r="F747" s="172"/>
      <c r="G747" s="172"/>
      <c r="H747" s="172"/>
      <c r="I747" s="182"/>
      <c r="J747" s="172"/>
      <c r="K747" s="172"/>
      <c r="L747" s="172"/>
      <c r="M747" s="172"/>
      <c r="N747" s="172"/>
      <c r="O747" s="172"/>
      <c r="P747" s="172"/>
      <c r="Q747" s="172"/>
      <c r="R747" s="172"/>
      <c r="S747" s="172"/>
      <c r="T747" s="172"/>
      <c r="U747" s="172"/>
      <c r="V747" s="172"/>
      <c r="W747" s="172"/>
      <c r="X747" s="172"/>
      <c r="Y747" s="172"/>
      <c r="Z747" s="172"/>
    </row>
    <row r="748">
      <c r="A748" s="172"/>
      <c r="B748" s="182"/>
      <c r="C748" s="172"/>
      <c r="D748" s="172"/>
      <c r="E748" s="172"/>
      <c r="F748" s="172"/>
      <c r="G748" s="172"/>
      <c r="H748" s="172"/>
      <c r="I748" s="182"/>
      <c r="J748" s="172"/>
      <c r="K748" s="172"/>
      <c r="L748" s="172"/>
      <c r="M748" s="172"/>
      <c r="N748" s="172"/>
      <c r="O748" s="172"/>
      <c r="P748" s="172"/>
      <c r="Q748" s="172"/>
      <c r="R748" s="172"/>
      <c r="S748" s="172"/>
      <c r="T748" s="172"/>
      <c r="U748" s="172"/>
      <c r="V748" s="172"/>
      <c r="W748" s="172"/>
      <c r="X748" s="172"/>
      <c r="Y748" s="172"/>
      <c r="Z748" s="172"/>
    </row>
    <row r="749">
      <c r="A749" s="172"/>
      <c r="B749" s="182"/>
      <c r="C749" s="172"/>
      <c r="D749" s="172"/>
      <c r="E749" s="172"/>
      <c r="F749" s="172"/>
      <c r="G749" s="172"/>
      <c r="H749" s="172"/>
      <c r="I749" s="182"/>
      <c r="J749" s="172"/>
      <c r="K749" s="172"/>
      <c r="L749" s="172"/>
      <c r="M749" s="172"/>
      <c r="N749" s="172"/>
      <c r="O749" s="172"/>
      <c r="P749" s="172"/>
      <c r="Q749" s="172"/>
      <c r="R749" s="172"/>
      <c r="S749" s="172"/>
      <c r="T749" s="172"/>
      <c r="U749" s="172"/>
      <c r="V749" s="172"/>
      <c r="W749" s="172"/>
      <c r="X749" s="172"/>
      <c r="Y749" s="172"/>
      <c r="Z749" s="172"/>
    </row>
    <row r="750">
      <c r="A750" s="172"/>
      <c r="B750" s="182"/>
      <c r="C750" s="172"/>
      <c r="D750" s="172"/>
      <c r="E750" s="172"/>
      <c r="F750" s="172"/>
      <c r="G750" s="172"/>
      <c r="H750" s="172"/>
      <c r="I750" s="182"/>
      <c r="J750" s="172"/>
      <c r="K750" s="172"/>
      <c r="L750" s="172"/>
      <c r="M750" s="172"/>
      <c r="N750" s="172"/>
      <c r="O750" s="172"/>
      <c r="P750" s="172"/>
      <c r="Q750" s="172"/>
      <c r="R750" s="172"/>
      <c r="S750" s="172"/>
      <c r="T750" s="172"/>
      <c r="U750" s="172"/>
      <c r="V750" s="172"/>
      <c r="W750" s="172"/>
      <c r="X750" s="172"/>
      <c r="Y750" s="172"/>
      <c r="Z750" s="172"/>
    </row>
    <row r="751">
      <c r="A751" s="172"/>
      <c r="B751" s="182"/>
      <c r="C751" s="172"/>
      <c r="D751" s="172"/>
      <c r="E751" s="172"/>
      <c r="F751" s="172"/>
      <c r="G751" s="172"/>
      <c r="H751" s="172"/>
      <c r="I751" s="182"/>
      <c r="J751" s="172"/>
      <c r="K751" s="172"/>
      <c r="L751" s="172"/>
      <c r="M751" s="172"/>
      <c r="N751" s="172"/>
      <c r="O751" s="172"/>
      <c r="P751" s="172"/>
      <c r="Q751" s="172"/>
      <c r="R751" s="172"/>
      <c r="S751" s="172"/>
      <c r="T751" s="172"/>
      <c r="U751" s="172"/>
      <c r="V751" s="172"/>
      <c r="W751" s="172"/>
      <c r="X751" s="172"/>
      <c r="Y751" s="172"/>
      <c r="Z751" s="172"/>
    </row>
    <row r="752">
      <c r="A752" s="172"/>
      <c r="B752" s="182"/>
      <c r="C752" s="172"/>
      <c r="D752" s="172"/>
      <c r="E752" s="172"/>
      <c r="F752" s="172"/>
      <c r="G752" s="172"/>
      <c r="H752" s="172"/>
      <c r="I752" s="182"/>
      <c r="J752" s="172"/>
      <c r="K752" s="172"/>
      <c r="L752" s="172"/>
      <c r="M752" s="172"/>
      <c r="N752" s="172"/>
      <c r="O752" s="172"/>
      <c r="P752" s="172"/>
      <c r="Q752" s="172"/>
      <c r="R752" s="172"/>
      <c r="S752" s="172"/>
      <c r="T752" s="172"/>
      <c r="U752" s="172"/>
      <c r="V752" s="172"/>
      <c r="W752" s="172"/>
      <c r="X752" s="172"/>
      <c r="Y752" s="172"/>
      <c r="Z752" s="172"/>
    </row>
    <row r="753">
      <c r="A753" s="172"/>
      <c r="B753" s="182"/>
      <c r="C753" s="172"/>
      <c r="D753" s="172"/>
      <c r="E753" s="172"/>
      <c r="F753" s="172"/>
      <c r="G753" s="172"/>
      <c r="H753" s="172"/>
      <c r="I753" s="182"/>
      <c r="J753" s="172"/>
      <c r="K753" s="172"/>
      <c r="L753" s="172"/>
      <c r="M753" s="172"/>
      <c r="N753" s="172"/>
      <c r="O753" s="172"/>
      <c r="P753" s="172"/>
      <c r="Q753" s="172"/>
      <c r="R753" s="172"/>
      <c r="S753" s="172"/>
      <c r="T753" s="172"/>
      <c r="U753" s="172"/>
      <c r="V753" s="172"/>
      <c r="W753" s="172"/>
      <c r="X753" s="172"/>
      <c r="Y753" s="172"/>
      <c r="Z753" s="172"/>
    </row>
    <row r="754">
      <c r="A754" s="172"/>
      <c r="B754" s="182"/>
      <c r="C754" s="172"/>
      <c r="D754" s="172"/>
      <c r="E754" s="172"/>
      <c r="F754" s="172"/>
      <c r="G754" s="172"/>
      <c r="H754" s="172"/>
      <c r="I754" s="182"/>
      <c r="J754" s="172"/>
      <c r="K754" s="172"/>
      <c r="L754" s="172"/>
      <c r="M754" s="172"/>
      <c r="N754" s="172"/>
      <c r="O754" s="172"/>
      <c r="P754" s="172"/>
      <c r="Q754" s="172"/>
      <c r="R754" s="172"/>
      <c r="S754" s="172"/>
      <c r="T754" s="172"/>
      <c r="U754" s="172"/>
      <c r="V754" s="172"/>
      <c r="W754" s="172"/>
      <c r="X754" s="172"/>
      <c r="Y754" s="172"/>
      <c r="Z754" s="172"/>
    </row>
    <row r="755">
      <c r="A755" s="172"/>
      <c r="B755" s="182"/>
      <c r="C755" s="172"/>
      <c r="D755" s="172"/>
      <c r="E755" s="172"/>
      <c r="F755" s="172"/>
      <c r="G755" s="172"/>
      <c r="H755" s="172"/>
      <c r="I755" s="182"/>
      <c r="J755" s="172"/>
      <c r="K755" s="172"/>
      <c r="L755" s="172"/>
      <c r="M755" s="172"/>
      <c r="N755" s="172"/>
      <c r="O755" s="172"/>
      <c r="P755" s="172"/>
      <c r="Q755" s="172"/>
      <c r="R755" s="172"/>
      <c r="S755" s="172"/>
      <c r="T755" s="172"/>
      <c r="U755" s="172"/>
      <c r="V755" s="172"/>
      <c r="W755" s="172"/>
      <c r="X755" s="172"/>
      <c r="Y755" s="172"/>
      <c r="Z755" s="172"/>
    </row>
    <row r="756">
      <c r="A756" s="172"/>
      <c r="B756" s="182"/>
      <c r="C756" s="172"/>
      <c r="D756" s="172"/>
      <c r="E756" s="172"/>
      <c r="F756" s="172"/>
      <c r="G756" s="172"/>
      <c r="H756" s="172"/>
      <c r="I756" s="182"/>
      <c r="J756" s="172"/>
      <c r="K756" s="172"/>
      <c r="L756" s="172"/>
      <c r="M756" s="172"/>
      <c r="N756" s="172"/>
      <c r="O756" s="172"/>
      <c r="P756" s="172"/>
      <c r="Q756" s="172"/>
      <c r="R756" s="172"/>
      <c r="S756" s="172"/>
      <c r="T756" s="172"/>
      <c r="U756" s="172"/>
      <c r="V756" s="172"/>
      <c r="W756" s="172"/>
      <c r="X756" s="172"/>
      <c r="Y756" s="172"/>
      <c r="Z756" s="172"/>
    </row>
    <row r="757">
      <c r="A757" s="172"/>
      <c r="B757" s="182"/>
      <c r="C757" s="172"/>
      <c r="D757" s="172"/>
      <c r="E757" s="172"/>
      <c r="F757" s="172"/>
      <c r="G757" s="172"/>
      <c r="H757" s="172"/>
      <c r="I757" s="182"/>
      <c r="J757" s="172"/>
      <c r="K757" s="172"/>
      <c r="L757" s="172"/>
      <c r="M757" s="172"/>
      <c r="N757" s="172"/>
      <c r="O757" s="172"/>
      <c r="P757" s="172"/>
      <c r="Q757" s="172"/>
      <c r="R757" s="172"/>
      <c r="S757" s="172"/>
      <c r="T757" s="172"/>
      <c r="U757" s="172"/>
      <c r="V757" s="172"/>
      <c r="W757" s="172"/>
      <c r="X757" s="172"/>
      <c r="Y757" s="172"/>
      <c r="Z757" s="172"/>
    </row>
    <row r="758">
      <c r="A758" s="172"/>
      <c r="B758" s="182"/>
      <c r="C758" s="172"/>
      <c r="D758" s="172"/>
      <c r="E758" s="172"/>
      <c r="F758" s="172"/>
      <c r="G758" s="172"/>
      <c r="H758" s="172"/>
      <c r="I758" s="182"/>
      <c r="J758" s="172"/>
      <c r="K758" s="172"/>
      <c r="L758" s="172"/>
      <c r="M758" s="172"/>
      <c r="N758" s="172"/>
      <c r="O758" s="172"/>
      <c r="P758" s="172"/>
      <c r="Q758" s="172"/>
      <c r="R758" s="172"/>
      <c r="S758" s="172"/>
      <c r="T758" s="172"/>
      <c r="U758" s="172"/>
      <c r="V758" s="172"/>
      <c r="W758" s="172"/>
      <c r="X758" s="172"/>
      <c r="Y758" s="172"/>
      <c r="Z758" s="172"/>
    </row>
    <row r="759">
      <c r="A759" s="172"/>
      <c r="B759" s="182"/>
      <c r="C759" s="172"/>
      <c r="D759" s="172"/>
      <c r="E759" s="172"/>
      <c r="F759" s="172"/>
      <c r="G759" s="172"/>
      <c r="H759" s="172"/>
      <c r="I759" s="182"/>
      <c r="J759" s="172"/>
      <c r="K759" s="172"/>
      <c r="L759" s="172"/>
      <c r="M759" s="172"/>
      <c r="N759" s="172"/>
      <c r="O759" s="172"/>
      <c r="P759" s="172"/>
      <c r="Q759" s="172"/>
      <c r="R759" s="172"/>
      <c r="S759" s="172"/>
      <c r="T759" s="172"/>
      <c r="U759" s="172"/>
      <c r="V759" s="172"/>
      <c r="W759" s="172"/>
      <c r="X759" s="172"/>
      <c r="Y759" s="172"/>
      <c r="Z759" s="172"/>
    </row>
    <row r="760">
      <c r="A760" s="172"/>
      <c r="B760" s="182"/>
      <c r="C760" s="172"/>
      <c r="D760" s="172"/>
      <c r="E760" s="172"/>
      <c r="F760" s="172"/>
      <c r="G760" s="172"/>
      <c r="H760" s="172"/>
      <c r="I760" s="182"/>
      <c r="J760" s="172"/>
      <c r="K760" s="172"/>
      <c r="L760" s="172"/>
      <c r="M760" s="172"/>
      <c r="N760" s="172"/>
      <c r="O760" s="172"/>
      <c r="P760" s="172"/>
      <c r="Q760" s="172"/>
      <c r="R760" s="172"/>
      <c r="S760" s="172"/>
      <c r="T760" s="172"/>
      <c r="U760" s="172"/>
      <c r="V760" s="172"/>
      <c r="W760" s="172"/>
      <c r="X760" s="172"/>
      <c r="Y760" s="172"/>
      <c r="Z760" s="172"/>
    </row>
    <row r="761">
      <c r="A761" s="172"/>
      <c r="B761" s="182"/>
      <c r="C761" s="172"/>
      <c r="D761" s="172"/>
      <c r="E761" s="172"/>
      <c r="F761" s="172"/>
      <c r="G761" s="172"/>
      <c r="H761" s="172"/>
      <c r="I761" s="182"/>
      <c r="J761" s="172"/>
      <c r="K761" s="172"/>
      <c r="L761" s="172"/>
      <c r="M761" s="172"/>
      <c r="N761" s="172"/>
      <c r="O761" s="172"/>
      <c r="P761" s="172"/>
      <c r="Q761" s="172"/>
      <c r="R761" s="172"/>
      <c r="S761" s="172"/>
      <c r="T761" s="172"/>
      <c r="U761" s="172"/>
      <c r="V761" s="172"/>
      <c r="W761" s="172"/>
      <c r="X761" s="172"/>
      <c r="Y761" s="172"/>
      <c r="Z761" s="172"/>
    </row>
    <row r="762">
      <c r="A762" s="172"/>
      <c r="B762" s="182"/>
      <c r="C762" s="172"/>
      <c r="D762" s="172"/>
      <c r="E762" s="172"/>
      <c r="F762" s="172"/>
      <c r="G762" s="172"/>
      <c r="H762" s="172"/>
      <c r="I762" s="182"/>
      <c r="J762" s="172"/>
      <c r="K762" s="172"/>
      <c r="L762" s="172"/>
      <c r="M762" s="172"/>
      <c r="N762" s="172"/>
      <c r="O762" s="172"/>
      <c r="P762" s="172"/>
      <c r="Q762" s="172"/>
      <c r="R762" s="172"/>
      <c r="S762" s="172"/>
      <c r="T762" s="172"/>
      <c r="U762" s="172"/>
      <c r="V762" s="172"/>
      <c r="W762" s="172"/>
      <c r="X762" s="172"/>
      <c r="Y762" s="172"/>
      <c r="Z762" s="172"/>
    </row>
    <row r="763">
      <c r="A763" s="172"/>
      <c r="B763" s="182"/>
      <c r="C763" s="172"/>
      <c r="D763" s="172"/>
      <c r="E763" s="172"/>
      <c r="F763" s="172"/>
      <c r="G763" s="172"/>
      <c r="H763" s="172"/>
      <c r="I763" s="182"/>
      <c r="J763" s="172"/>
      <c r="K763" s="172"/>
      <c r="L763" s="172"/>
      <c r="M763" s="172"/>
      <c r="N763" s="172"/>
      <c r="O763" s="172"/>
      <c r="P763" s="172"/>
      <c r="Q763" s="172"/>
      <c r="R763" s="172"/>
      <c r="S763" s="172"/>
      <c r="T763" s="172"/>
      <c r="U763" s="172"/>
      <c r="V763" s="172"/>
      <c r="W763" s="172"/>
      <c r="X763" s="172"/>
      <c r="Y763" s="172"/>
      <c r="Z763" s="172"/>
    </row>
    <row r="764">
      <c r="A764" s="172"/>
      <c r="B764" s="182"/>
      <c r="C764" s="172"/>
      <c r="D764" s="172"/>
      <c r="E764" s="172"/>
      <c r="F764" s="172"/>
      <c r="G764" s="172"/>
      <c r="H764" s="172"/>
      <c r="I764" s="182"/>
      <c r="J764" s="172"/>
      <c r="K764" s="172"/>
      <c r="L764" s="172"/>
      <c r="M764" s="172"/>
      <c r="N764" s="172"/>
      <c r="O764" s="172"/>
      <c r="P764" s="172"/>
      <c r="Q764" s="172"/>
      <c r="R764" s="172"/>
      <c r="S764" s="172"/>
      <c r="T764" s="172"/>
      <c r="U764" s="172"/>
      <c r="V764" s="172"/>
      <c r="W764" s="172"/>
      <c r="X764" s="172"/>
      <c r="Y764" s="172"/>
      <c r="Z764" s="172"/>
    </row>
    <row r="765">
      <c r="A765" s="172"/>
      <c r="B765" s="182"/>
      <c r="C765" s="172"/>
      <c r="D765" s="172"/>
      <c r="E765" s="172"/>
      <c r="F765" s="172"/>
      <c r="G765" s="172"/>
      <c r="H765" s="172"/>
      <c r="I765" s="182"/>
      <c r="J765" s="172"/>
      <c r="K765" s="172"/>
      <c r="L765" s="172"/>
      <c r="M765" s="172"/>
      <c r="N765" s="172"/>
      <c r="O765" s="172"/>
      <c r="P765" s="172"/>
      <c r="Q765" s="172"/>
      <c r="R765" s="172"/>
      <c r="S765" s="172"/>
      <c r="T765" s="172"/>
      <c r="U765" s="172"/>
      <c r="V765" s="172"/>
      <c r="W765" s="172"/>
      <c r="X765" s="172"/>
      <c r="Y765" s="172"/>
      <c r="Z765" s="172"/>
    </row>
    <row r="766">
      <c r="A766" s="172"/>
      <c r="B766" s="182"/>
      <c r="C766" s="172"/>
      <c r="D766" s="172"/>
      <c r="E766" s="172"/>
      <c r="F766" s="172"/>
      <c r="G766" s="172"/>
      <c r="H766" s="172"/>
      <c r="I766" s="182"/>
      <c r="J766" s="172"/>
      <c r="K766" s="172"/>
      <c r="L766" s="172"/>
      <c r="M766" s="172"/>
      <c r="N766" s="172"/>
      <c r="O766" s="172"/>
      <c r="P766" s="172"/>
      <c r="Q766" s="172"/>
      <c r="R766" s="172"/>
      <c r="S766" s="172"/>
      <c r="T766" s="172"/>
      <c r="U766" s="172"/>
      <c r="V766" s="172"/>
      <c r="W766" s="172"/>
      <c r="X766" s="172"/>
      <c r="Y766" s="172"/>
      <c r="Z766" s="172"/>
    </row>
    <row r="767">
      <c r="A767" s="172"/>
      <c r="B767" s="182"/>
      <c r="C767" s="172"/>
      <c r="D767" s="172"/>
      <c r="E767" s="172"/>
      <c r="F767" s="172"/>
      <c r="G767" s="172"/>
      <c r="H767" s="172"/>
      <c r="I767" s="182"/>
      <c r="J767" s="172"/>
      <c r="K767" s="172"/>
      <c r="L767" s="172"/>
      <c r="M767" s="172"/>
      <c r="N767" s="172"/>
      <c r="O767" s="172"/>
      <c r="P767" s="172"/>
      <c r="Q767" s="172"/>
      <c r="R767" s="172"/>
      <c r="S767" s="172"/>
      <c r="T767" s="172"/>
      <c r="U767" s="172"/>
      <c r="V767" s="172"/>
      <c r="W767" s="172"/>
      <c r="X767" s="172"/>
      <c r="Y767" s="172"/>
      <c r="Z767" s="172"/>
    </row>
    <row r="768">
      <c r="A768" s="172"/>
      <c r="B768" s="182"/>
      <c r="C768" s="172"/>
      <c r="D768" s="172"/>
      <c r="E768" s="172"/>
      <c r="F768" s="172"/>
      <c r="G768" s="172"/>
      <c r="H768" s="172"/>
      <c r="I768" s="182"/>
      <c r="J768" s="172"/>
      <c r="K768" s="172"/>
      <c r="L768" s="172"/>
      <c r="M768" s="172"/>
      <c r="N768" s="172"/>
      <c r="O768" s="172"/>
      <c r="P768" s="172"/>
      <c r="Q768" s="172"/>
      <c r="R768" s="172"/>
      <c r="S768" s="172"/>
      <c r="T768" s="172"/>
      <c r="U768" s="172"/>
      <c r="V768" s="172"/>
      <c r="W768" s="172"/>
      <c r="X768" s="172"/>
      <c r="Y768" s="172"/>
      <c r="Z768" s="172"/>
    </row>
    <row r="769">
      <c r="A769" s="172"/>
      <c r="B769" s="182"/>
      <c r="C769" s="172"/>
      <c r="D769" s="172"/>
      <c r="E769" s="172"/>
      <c r="F769" s="172"/>
      <c r="G769" s="172"/>
      <c r="H769" s="172"/>
      <c r="I769" s="182"/>
      <c r="J769" s="172"/>
      <c r="K769" s="172"/>
      <c r="L769" s="172"/>
      <c r="M769" s="172"/>
      <c r="N769" s="172"/>
      <c r="O769" s="172"/>
      <c r="P769" s="172"/>
      <c r="Q769" s="172"/>
      <c r="R769" s="172"/>
      <c r="S769" s="172"/>
      <c r="T769" s="172"/>
      <c r="U769" s="172"/>
      <c r="V769" s="172"/>
      <c r="W769" s="172"/>
      <c r="X769" s="172"/>
      <c r="Y769" s="172"/>
      <c r="Z769" s="172"/>
    </row>
    <row r="770">
      <c r="A770" s="172"/>
      <c r="B770" s="182"/>
      <c r="C770" s="172"/>
      <c r="D770" s="172"/>
      <c r="E770" s="172"/>
      <c r="F770" s="172"/>
      <c r="G770" s="172"/>
      <c r="H770" s="172"/>
      <c r="I770" s="182"/>
      <c r="J770" s="172"/>
      <c r="K770" s="172"/>
      <c r="L770" s="172"/>
      <c r="M770" s="172"/>
      <c r="N770" s="172"/>
      <c r="O770" s="172"/>
      <c r="P770" s="172"/>
      <c r="Q770" s="172"/>
      <c r="R770" s="172"/>
      <c r="S770" s="172"/>
      <c r="T770" s="172"/>
      <c r="U770" s="172"/>
      <c r="V770" s="172"/>
      <c r="W770" s="172"/>
      <c r="X770" s="172"/>
      <c r="Y770" s="172"/>
      <c r="Z770" s="172"/>
    </row>
    <row r="771">
      <c r="A771" s="172"/>
      <c r="B771" s="182"/>
      <c r="C771" s="172"/>
      <c r="D771" s="172"/>
      <c r="E771" s="172"/>
      <c r="F771" s="172"/>
      <c r="G771" s="172"/>
      <c r="H771" s="172"/>
      <c r="I771" s="182"/>
      <c r="J771" s="172"/>
      <c r="K771" s="172"/>
      <c r="L771" s="172"/>
      <c r="M771" s="172"/>
      <c r="N771" s="172"/>
      <c r="O771" s="172"/>
      <c r="P771" s="172"/>
      <c r="Q771" s="172"/>
      <c r="R771" s="172"/>
      <c r="S771" s="172"/>
      <c r="T771" s="172"/>
      <c r="U771" s="172"/>
      <c r="V771" s="172"/>
      <c r="W771" s="172"/>
      <c r="X771" s="172"/>
      <c r="Y771" s="172"/>
      <c r="Z771" s="172"/>
    </row>
    <row r="772">
      <c r="A772" s="172"/>
      <c r="B772" s="182"/>
      <c r="C772" s="172"/>
      <c r="D772" s="172"/>
      <c r="E772" s="172"/>
      <c r="F772" s="172"/>
      <c r="G772" s="172"/>
      <c r="H772" s="172"/>
      <c r="I772" s="182"/>
      <c r="J772" s="172"/>
      <c r="K772" s="172"/>
      <c r="L772" s="172"/>
      <c r="M772" s="172"/>
      <c r="N772" s="172"/>
      <c r="O772" s="172"/>
      <c r="P772" s="172"/>
      <c r="Q772" s="172"/>
      <c r="R772" s="172"/>
      <c r="S772" s="172"/>
      <c r="T772" s="172"/>
      <c r="U772" s="172"/>
      <c r="V772" s="172"/>
      <c r="W772" s="172"/>
      <c r="X772" s="172"/>
      <c r="Y772" s="172"/>
      <c r="Z772" s="172"/>
    </row>
    <row r="773">
      <c r="A773" s="172"/>
      <c r="B773" s="182"/>
      <c r="C773" s="172"/>
      <c r="D773" s="172"/>
      <c r="E773" s="172"/>
      <c r="F773" s="172"/>
      <c r="G773" s="172"/>
      <c r="H773" s="172"/>
      <c r="I773" s="182"/>
      <c r="J773" s="172"/>
      <c r="K773" s="172"/>
      <c r="L773" s="172"/>
      <c r="M773" s="172"/>
      <c r="N773" s="172"/>
      <c r="O773" s="172"/>
      <c r="P773" s="172"/>
      <c r="Q773" s="172"/>
      <c r="R773" s="172"/>
      <c r="S773" s="172"/>
      <c r="T773" s="172"/>
      <c r="U773" s="172"/>
      <c r="V773" s="172"/>
      <c r="W773" s="172"/>
      <c r="X773" s="172"/>
      <c r="Y773" s="172"/>
      <c r="Z773" s="172"/>
    </row>
    <row r="774">
      <c r="A774" s="172"/>
      <c r="B774" s="182"/>
      <c r="C774" s="172"/>
      <c r="D774" s="172"/>
      <c r="E774" s="172"/>
      <c r="F774" s="172"/>
      <c r="G774" s="172"/>
      <c r="H774" s="172"/>
      <c r="I774" s="182"/>
      <c r="J774" s="172"/>
      <c r="K774" s="172"/>
      <c r="L774" s="172"/>
      <c r="M774" s="172"/>
      <c r="N774" s="172"/>
      <c r="O774" s="172"/>
      <c r="P774" s="172"/>
      <c r="Q774" s="172"/>
      <c r="R774" s="172"/>
      <c r="S774" s="172"/>
      <c r="T774" s="172"/>
      <c r="U774" s="172"/>
      <c r="V774" s="172"/>
      <c r="W774" s="172"/>
      <c r="X774" s="172"/>
      <c r="Y774" s="172"/>
      <c r="Z774" s="172"/>
    </row>
    <row r="775">
      <c r="A775" s="172"/>
      <c r="B775" s="182"/>
      <c r="C775" s="172"/>
      <c r="D775" s="172"/>
      <c r="E775" s="172"/>
      <c r="F775" s="172"/>
      <c r="G775" s="172"/>
      <c r="H775" s="172"/>
      <c r="I775" s="182"/>
      <c r="J775" s="172"/>
      <c r="K775" s="172"/>
      <c r="L775" s="172"/>
      <c r="M775" s="172"/>
      <c r="N775" s="172"/>
      <c r="O775" s="172"/>
      <c r="P775" s="172"/>
      <c r="Q775" s="172"/>
      <c r="R775" s="172"/>
      <c r="S775" s="172"/>
      <c r="T775" s="172"/>
      <c r="U775" s="172"/>
      <c r="V775" s="172"/>
      <c r="W775" s="172"/>
      <c r="X775" s="172"/>
      <c r="Y775" s="172"/>
      <c r="Z775" s="172"/>
    </row>
    <row r="776">
      <c r="A776" s="172"/>
      <c r="B776" s="182"/>
      <c r="C776" s="172"/>
      <c r="D776" s="172"/>
      <c r="E776" s="172"/>
      <c r="F776" s="172"/>
      <c r="G776" s="172"/>
      <c r="H776" s="172"/>
      <c r="I776" s="182"/>
      <c r="J776" s="172"/>
      <c r="K776" s="172"/>
      <c r="L776" s="172"/>
      <c r="M776" s="172"/>
      <c r="N776" s="172"/>
      <c r="O776" s="172"/>
      <c r="P776" s="172"/>
      <c r="Q776" s="172"/>
      <c r="R776" s="172"/>
      <c r="S776" s="172"/>
      <c r="T776" s="172"/>
      <c r="U776" s="172"/>
      <c r="V776" s="172"/>
      <c r="W776" s="172"/>
      <c r="X776" s="172"/>
      <c r="Y776" s="172"/>
      <c r="Z776" s="172"/>
    </row>
    <row r="777">
      <c r="A777" s="172"/>
      <c r="B777" s="182"/>
      <c r="C777" s="172"/>
      <c r="D777" s="172"/>
      <c r="E777" s="172"/>
      <c r="F777" s="172"/>
      <c r="G777" s="172"/>
      <c r="H777" s="172"/>
      <c r="I777" s="182"/>
      <c r="J777" s="172"/>
      <c r="K777" s="172"/>
      <c r="L777" s="172"/>
      <c r="M777" s="172"/>
      <c r="N777" s="172"/>
      <c r="O777" s="172"/>
      <c r="P777" s="172"/>
      <c r="Q777" s="172"/>
      <c r="R777" s="172"/>
      <c r="S777" s="172"/>
      <c r="T777" s="172"/>
      <c r="U777" s="172"/>
      <c r="V777" s="172"/>
      <c r="W777" s="172"/>
      <c r="X777" s="172"/>
      <c r="Y777" s="172"/>
      <c r="Z777" s="172"/>
    </row>
    <row r="778">
      <c r="A778" s="172"/>
      <c r="B778" s="182"/>
      <c r="C778" s="172"/>
      <c r="D778" s="172"/>
      <c r="E778" s="172"/>
      <c r="F778" s="172"/>
      <c r="G778" s="172"/>
      <c r="H778" s="172"/>
      <c r="I778" s="182"/>
      <c r="J778" s="172"/>
      <c r="K778" s="172"/>
      <c r="L778" s="172"/>
      <c r="M778" s="172"/>
      <c r="N778" s="172"/>
      <c r="O778" s="172"/>
      <c r="P778" s="172"/>
      <c r="Q778" s="172"/>
      <c r="R778" s="172"/>
      <c r="S778" s="172"/>
      <c r="T778" s="172"/>
      <c r="U778" s="172"/>
      <c r="V778" s="172"/>
      <c r="W778" s="172"/>
      <c r="X778" s="172"/>
      <c r="Y778" s="172"/>
      <c r="Z778" s="172"/>
    </row>
    <row r="779">
      <c r="A779" s="172"/>
      <c r="B779" s="182"/>
      <c r="C779" s="172"/>
      <c r="D779" s="172"/>
      <c r="E779" s="172"/>
      <c r="F779" s="172"/>
      <c r="G779" s="172"/>
      <c r="H779" s="172"/>
      <c r="I779" s="182"/>
      <c r="J779" s="172"/>
      <c r="K779" s="172"/>
      <c r="L779" s="172"/>
      <c r="M779" s="172"/>
      <c r="N779" s="172"/>
      <c r="O779" s="172"/>
      <c r="P779" s="172"/>
      <c r="Q779" s="172"/>
      <c r="R779" s="172"/>
      <c r="S779" s="172"/>
      <c r="T779" s="172"/>
      <c r="U779" s="172"/>
      <c r="V779" s="172"/>
      <c r="W779" s="172"/>
      <c r="X779" s="172"/>
      <c r="Y779" s="172"/>
      <c r="Z779" s="172"/>
    </row>
    <row r="780">
      <c r="A780" s="172"/>
      <c r="B780" s="182"/>
      <c r="C780" s="172"/>
      <c r="D780" s="172"/>
      <c r="E780" s="172"/>
      <c r="F780" s="172"/>
      <c r="G780" s="172"/>
      <c r="H780" s="172"/>
      <c r="I780" s="182"/>
      <c r="J780" s="172"/>
      <c r="K780" s="172"/>
      <c r="L780" s="172"/>
      <c r="M780" s="172"/>
      <c r="N780" s="172"/>
      <c r="O780" s="172"/>
      <c r="P780" s="172"/>
      <c r="Q780" s="172"/>
      <c r="R780" s="172"/>
      <c r="S780" s="172"/>
      <c r="T780" s="172"/>
      <c r="U780" s="172"/>
      <c r="V780" s="172"/>
      <c r="W780" s="172"/>
      <c r="X780" s="172"/>
      <c r="Y780" s="172"/>
      <c r="Z780" s="172"/>
    </row>
    <row r="781">
      <c r="A781" s="172"/>
      <c r="B781" s="182"/>
      <c r="C781" s="172"/>
      <c r="D781" s="172"/>
      <c r="E781" s="172"/>
      <c r="F781" s="172"/>
      <c r="G781" s="172"/>
      <c r="H781" s="172"/>
      <c r="I781" s="182"/>
      <c r="J781" s="172"/>
      <c r="K781" s="172"/>
      <c r="L781" s="172"/>
      <c r="M781" s="172"/>
      <c r="N781" s="172"/>
      <c r="O781" s="172"/>
      <c r="P781" s="172"/>
      <c r="Q781" s="172"/>
      <c r="R781" s="172"/>
      <c r="S781" s="172"/>
      <c r="T781" s="172"/>
      <c r="U781" s="172"/>
      <c r="V781" s="172"/>
      <c r="W781" s="172"/>
      <c r="X781" s="172"/>
      <c r="Y781" s="172"/>
      <c r="Z781" s="172"/>
    </row>
    <row r="782">
      <c r="A782" s="172"/>
      <c r="B782" s="182"/>
      <c r="C782" s="172"/>
      <c r="D782" s="172"/>
      <c r="E782" s="172"/>
      <c r="F782" s="172"/>
      <c r="G782" s="172"/>
      <c r="H782" s="172"/>
      <c r="I782" s="182"/>
      <c r="J782" s="172"/>
      <c r="K782" s="172"/>
      <c r="L782" s="172"/>
      <c r="M782" s="172"/>
      <c r="N782" s="172"/>
      <c r="O782" s="172"/>
      <c r="P782" s="172"/>
      <c r="Q782" s="172"/>
      <c r="R782" s="172"/>
      <c r="S782" s="172"/>
      <c r="T782" s="172"/>
      <c r="U782" s="172"/>
      <c r="V782" s="172"/>
      <c r="W782" s="172"/>
      <c r="X782" s="172"/>
      <c r="Y782" s="172"/>
      <c r="Z782" s="172"/>
    </row>
    <row r="783">
      <c r="A783" s="172"/>
      <c r="B783" s="182"/>
      <c r="C783" s="172"/>
      <c r="D783" s="172"/>
      <c r="E783" s="172"/>
      <c r="F783" s="172"/>
      <c r="G783" s="172"/>
      <c r="H783" s="172"/>
      <c r="I783" s="182"/>
      <c r="J783" s="172"/>
      <c r="K783" s="172"/>
      <c r="L783" s="172"/>
      <c r="M783" s="172"/>
      <c r="N783" s="172"/>
      <c r="O783" s="172"/>
      <c r="P783" s="172"/>
      <c r="Q783" s="172"/>
      <c r="R783" s="172"/>
      <c r="S783" s="172"/>
      <c r="T783" s="172"/>
      <c r="U783" s="172"/>
      <c r="V783" s="172"/>
      <c r="W783" s="172"/>
      <c r="X783" s="172"/>
      <c r="Y783" s="172"/>
      <c r="Z783" s="172"/>
    </row>
    <row r="784">
      <c r="A784" s="172"/>
      <c r="B784" s="182"/>
      <c r="C784" s="172"/>
      <c r="D784" s="172"/>
      <c r="E784" s="172"/>
      <c r="F784" s="172"/>
      <c r="G784" s="172"/>
      <c r="H784" s="172"/>
      <c r="I784" s="182"/>
      <c r="J784" s="172"/>
      <c r="K784" s="172"/>
      <c r="L784" s="172"/>
      <c r="M784" s="172"/>
      <c r="N784" s="172"/>
      <c r="O784" s="172"/>
      <c r="P784" s="172"/>
      <c r="Q784" s="172"/>
      <c r="R784" s="172"/>
      <c r="S784" s="172"/>
      <c r="T784" s="172"/>
      <c r="U784" s="172"/>
      <c r="V784" s="172"/>
      <c r="W784" s="172"/>
      <c r="X784" s="172"/>
      <c r="Y784" s="172"/>
      <c r="Z784" s="172"/>
    </row>
    <row r="785">
      <c r="A785" s="172"/>
      <c r="B785" s="182"/>
      <c r="C785" s="172"/>
      <c r="D785" s="172"/>
      <c r="E785" s="172"/>
      <c r="F785" s="172"/>
      <c r="G785" s="172"/>
      <c r="H785" s="172"/>
      <c r="I785" s="182"/>
      <c r="J785" s="172"/>
      <c r="K785" s="172"/>
      <c r="L785" s="172"/>
      <c r="M785" s="172"/>
      <c r="N785" s="172"/>
      <c r="O785" s="172"/>
      <c r="P785" s="172"/>
      <c r="Q785" s="172"/>
      <c r="R785" s="172"/>
      <c r="S785" s="172"/>
      <c r="T785" s="172"/>
      <c r="U785" s="172"/>
      <c r="V785" s="172"/>
      <c r="W785" s="172"/>
      <c r="X785" s="172"/>
      <c r="Y785" s="172"/>
      <c r="Z785" s="172"/>
    </row>
    <row r="786">
      <c r="A786" s="172"/>
      <c r="B786" s="182"/>
      <c r="C786" s="172"/>
      <c r="D786" s="172"/>
      <c r="E786" s="172"/>
      <c r="F786" s="172"/>
      <c r="G786" s="172"/>
      <c r="H786" s="172"/>
      <c r="I786" s="182"/>
      <c r="J786" s="172"/>
      <c r="K786" s="172"/>
      <c r="L786" s="172"/>
      <c r="M786" s="172"/>
      <c r="N786" s="172"/>
      <c r="O786" s="172"/>
      <c r="P786" s="172"/>
      <c r="Q786" s="172"/>
      <c r="R786" s="172"/>
      <c r="S786" s="172"/>
      <c r="T786" s="172"/>
      <c r="U786" s="172"/>
      <c r="V786" s="172"/>
      <c r="W786" s="172"/>
      <c r="X786" s="172"/>
      <c r="Y786" s="172"/>
      <c r="Z786" s="172"/>
    </row>
    <row r="787">
      <c r="A787" s="172"/>
      <c r="B787" s="182"/>
      <c r="C787" s="172"/>
      <c r="D787" s="172"/>
      <c r="E787" s="172"/>
      <c r="F787" s="172"/>
      <c r="G787" s="172"/>
      <c r="H787" s="172"/>
      <c r="I787" s="182"/>
      <c r="J787" s="172"/>
      <c r="K787" s="172"/>
      <c r="L787" s="172"/>
      <c r="M787" s="172"/>
      <c r="N787" s="172"/>
      <c r="O787" s="172"/>
      <c r="P787" s="172"/>
      <c r="Q787" s="172"/>
      <c r="R787" s="172"/>
      <c r="S787" s="172"/>
      <c r="T787" s="172"/>
      <c r="U787" s="172"/>
      <c r="V787" s="172"/>
      <c r="W787" s="172"/>
      <c r="X787" s="172"/>
      <c r="Y787" s="172"/>
      <c r="Z787" s="172"/>
    </row>
    <row r="788">
      <c r="A788" s="172"/>
      <c r="B788" s="182"/>
      <c r="C788" s="172"/>
      <c r="D788" s="172"/>
      <c r="E788" s="172"/>
      <c r="F788" s="172"/>
      <c r="G788" s="172"/>
      <c r="H788" s="172"/>
      <c r="I788" s="182"/>
      <c r="J788" s="172"/>
      <c r="K788" s="172"/>
      <c r="L788" s="172"/>
      <c r="M788" s="172"/>
      <c r="N788" s="172"/>
      <c r="O788" s="172"/>
      <c r="P788" s="172"/>
      <c r="Q788" s="172"/>
      <c r="R788" s="172"/>
      <c r="S788" s="172"/>
      <c r="T788" s="172"/>
      <c r="U788" s="172"/>
      <c r="V788" s="172"/>
      <c r="W788" s="172"/>
      <c r="X788" s="172"/>
      <c r="Y788" s="172"/>
      <c r="Z788" s="172"/>
    </row>
    <row r="789">
      <c r="A789" s="172"/>
      <c r="B789" s="182"/>
      <c r="C789" s="172"/>
      <c r="D789" s="172"/>
      <c r="E789" s="172"/>
      <c r="F789" s="172"/>
      <c r="G789" s="172"/>
      <c r="H789" s="172"/>
      <c r="I789" s="182"/>
      <c r="J789" s="172"/>
      <c r="K789" s="172"/>
      <c r="L789" s="172"/>
      <c r="M789" s="172"/>
      <c r="N789" s="172"/>
      <c r="O789" s="172"/>
      <c r="P789" s="172"/>
      <c r="Q789" s="172"/>
      <c r="R789" s="172"/>
      <c r="S789" s="172"/>
      <c r="T789" s="172"/>
      <c r="U789" s="172"/>
      <c r="V789" s="172"/>
      <c r="W789" s="172"/>
      <c r="X789" s="172"/>
      <c r="Y789" s="172"/>
      <c r="Z789" s="172"/>
    </row>
    <row r="790">
      <c r="A790" s="172"/>
      <c r="B790" s="182"/>
      <c r="C790" s="172"/>
      <c r="D790" s="172"/>
      <c r="E790" s="172"/>
      <c r="F790" s="172"/>
      <c r="G790" s="172"/>
      <c r="H790" s="172"/>
      <c r="I790" s="182"/>
      <c r="J790" s="172"/>
      <c r="K790" s="172"/>
      <c r="L790" s="172"/>
      <c r="M790" s="172"/>
      <c r="N790" s="172"/>
      <c r="O790" s="172"/>
      <c r="P790" s="172"/>
      <c r="Q790" s="172"/>
      <c r="R790" s="172"/>
      <c r="S790" s="172"/>
      <c r="T790" s="172"/>
      <c r="U790" s="172"/>
      <c r="V790" s="172"/>
      <c r="W790" s="172"/>
      <c r="X790" s="172"/>
      <c r="Y790" s="172"/>
      <c r="Z790" s="172"/>
    </row>
    <row r="791">
      <c r="A791" s="172"/>
      <c r="B791" s="182"/>
      <c r="C791" s="172"/>
      <c r="D791" s="172"/>
      <c r="E791" s="172"/>
      <c r="F791" s="172"/>
      <c r="G791" s="172"/>
      <c r="H791" s="172"/>
      <c r="I791" s="182"/>
      <c r="J791" s="172"/>
      <c r="K791" s="172"/>
      <c r="L791" s="172"/>
      <c r="M791" s="172"/>
      <c r="N791" s="172"/>
      <c r="O791" s="172"/>
      <c r="P791" s="172"/>
      <c r="Q791" s="172"/>
      <c r="R791" s="172"/>
      <c r="S791" s="172"/>
      <c r="T791" s="172"/>
      <c r="U791" s="172"/>
      <c r="V791" s="172"/>
      <c r="W791" s="172"/>
      <c r="X791" s="172"/>
      <c r="Y791" s="172"/>
      <c r="Z791" s="172"/>
    </row>
    <row r="792">
      <c r="A792" s="172"/>
      <c r="B792" s="182"/>
      <c r="C792" s="172"/>
      <c r="D792" s="172"/>
      <c r="E792" s="172"/>
      <c r="F792" s="172"/>
      <c r="G792" s="172"/>
      <c r="H792" s="172"/>
      <c r="I792" s="182"/>
      <c r="J792" s="172"/>
      <c r="K792" s="172"/>
      <c r="L792" s="172"/>
      <c r="M792" s="172"/>
      <c r="N792" s="172"/>
      <c r="O792" s="172"/>
      <c r="P792" s="172"/>
      <c r="Q792" s="172"/>
      <c r="R792" s="172"/>
      <c r="S792" s="172"/>
      <c r="T792" s="172"/>
      <c r="U792" s="172"/>
      <c r="V792" s="172"/>
      <c r="W792" s="172"/>
      <c r="X792" s="172"/>
      <c r="Y792" s="172"/>
      <c r="Z792" s="172"/>
    </row>
    <row r="793">
      <c r="A793" s="172"/>
      <c r="B793" s="182"/>
      <c r="C793" s="172"/>
      <c r="D793" s="172"/>
      <c r="E793" s="172"/>
      <c r="F793" s="172"/>
      <c r="G793" s="172"/>
      <c r="H793" s="172"/>
      <c r="I793" s="182"/>
      <c r="J793" s="172"/>
      <c r="K793" s="172"/>
      <c r="L793" s="172"/>
      <c r="M793" s="172"/>
      <c r="N793" s="172"/>
      <c r="O793" s="172"/>
      <c r="P793" s="172"/>
      <c r="Q793" s="172"/>
      <c r="R793" s="172"/>
      <c r="S793" s="172"/>
      <c r="T793" s="172"/>
      <c r="U793" s="172"/>
      <c r="V793" s="172"/>
      <c r="W793" s="172"/>
      <c r="X793" s="172"/>
      <c r="Y793" s="172"/>
      <c r="Z793" s="172"/>
    </row>
    <row r="794">
      <c r="A794" s="172"/>
      <c r="B794" s="182"/>
      <c r="C794" s="172"/>
      <c r="D794" s="172"/>
      <c r="E794" s="172"/>
      <c r="F794" s="172"/>
      <c r="G794" s="172"/>
      <c r="H794" s="172"/>
      <c r="I794" s="182"/>
      <c r="J794" s="172"/>
      <c r="K794" s="172"/>
      <c r="L794" s="172"/>
      <c r="M794" s="172"/>
      <c r="N794" s="172"/>
      <c r="O794" s="172"/>
      <c r="P794" s="172"/>
      <c r="Q794" s="172"/>
      <c r="R794" s="172"/>
      <c r="S794" s="172"/>
      <c r="T794" s="172"/>
      <c r="U794" s="172"/>
      <c r="V794" s="172"/>
      <c r="W794" s="172"/>
      <c r="X794" s="172"/>
      <c r="Y794" s="172"/>
      <c r="Z794" s="172"/>
    </row>
    <row r="795">
      <c r="A795" s="172"/>
      <c r="B795" s="182"/>
      <c r="C795" s="172"/>
      <c r="D795" s="172"/>
      <c r="E795" s="172"/>
      <c r="F795" s="172"/>
      <c r="G795" s="172"/>
      <c r="H795" s="172"/>
      <c r="I795" s="182"/>
      <c r="J795" s="172"/>
      <c r="K795" s="172"/>
      <c r="L795" s="172"/>
      <c r="M795" s="172"/>
      <c r="N795" s="172"/>
      <c r="O795" s="172"/>
      <c r="P795" s="172"/>
      <c r="Q795" s="172"/>
      <c r="R795" s="172"/>
      <c r="S795" s="172"/>
      <c r="T795" s="172"/>
      <c r="U795" s="172"/>
      <c r="V795" s="172"/>
      <c r="W795" s="172"/>
      <c r="X795" s="172"/>
      <c r="Y795" s="172"/>
      <c r="Z795" s="172"/>
    </row>
    <row r="796">
      <c r="A796" s="172"/>
      <c r="B796" s="182"/>
      <c r="C796" s="172"/>
      <c r="D796" s="172"/>
      <c r="E796" s="172"/>
      <c r="F796" s="172"/>
      <c r="G796" s="172"/>
      <c r="H796" s="172"/>
      <c r="I796" s="182"/>
      <c r="J796" s="172"/>
      <c r="K796" s="172"/>
      <c r="L796" s="172"/>
      <c r="M796" s="172"/>
      <c r="N796" s="172"/>
      <c r="O796" s="172"/>
      <c r="P796" s="172"/>
      <c r="Q796" s="172"/>
      <c r="R796" s="172"/>
      <c r="S796" s="172"/>
      <c r="T796" s="172"/>
      <c r="U796" s="172"/>
      <c r="V796" s="172"/>
      <c r="W796" s="172"/>
      <c r="X796" s="172"/>
      <c r="Y796" s="172"/>
      <c r="Z796" s="172"/>
    </row>
    <row r="797">
      <c r="A797" s="172"/>
      <c r="B797" s="182"/>
      <c r="C797" s="172"/>
      <c r="D797" s="172"/>
      <c r="E797" s="172"/>
      <c r="F797" s="172"/>
      <c r="G797" s="172"/>
      <c r="H797" s="172"/>
      <c r="I797" s="182"/>
      <c r="J797" s="172"/>
      <c r="K797" s="172"/>
      <c r="L797" s="172"/>
      <c r="M797" s="172"/>
      <c r="N797" s="172"/>
      <c r="O797" s="172"/>
      <c r="P797" s="172"/>
      <c r="Q797" s="172"/>
      <c r="R797" s="172"/>
      <c r="S797" s="172"/>
      <c r="T797" s="172"/>
      <c r="U797" s="172"/>
      <c r="V797" s="172"/>
      <c r="W797" s="172"/>
      <c r="X797" s="172"/>
      <c r="Y797" s="172"/>
      <c r="Z797" s="172"/>
    </row>
    <row r="798">
      <c r="A798" s="172"/>
      <c r="B798" s="182"/>
      <c r="C798" s="172"/>
      <c r="D798" s="172"/>
      <c r="E798" s="172"/>
      <c r="F798" s="172"/>
      <c r="G798" s="172"/>
      <c r="H798" s="172"/>
      <c r="I798" s="182"/>
      <c r="J798" s="172"/>
      <c r="K798" s="172"/>
      <c r="L798" s="172"/>
      <c r="M798" s="172"/>
      <c r="N798" s="172"/>
      <c r="O798" s="172"/>
      <c r="P798" s="172"/>
      <c r="Q798" s="172"/>
      <c r="R798" s="172"/>
      <c r="S798" s="172"/>
      <c r="T798" s="172"/>
      <c r="U798" s="172"/>
      <c r="V798" s="172"/>
      <c r="W798" s="172"/>
      <c r="X798" s="172"/>
      <c r="Y798" s="172"/>
      <c r="Z798" s="172"/>
    </row>
    <row r="799">
      <c r="A799" s="172"/>
      <c r="B799" s="182"/>
      <c r="C799" s="172"/>
      <c r="D799" s="172"/>
      <c r="E799" s="172"/>
      <c r="F799" s="172"/>
      <c r="G799" s="172"/>
      <c r="H799" s="172"/>
      <c r="I799" s="182"/>
      <c r="J799" s="172"/>
      <c r="K799" s="172"/>
      <c r="L799" s="172"/>
      <c r="M799" s="172"/>
      <c r="N799" s="172"/>
      <c r="O799" s="172"/>
      <c r="P799" s="172"/>
      <c r="Q799" s="172"/>
      <c r="R799" s="172"/>
      <c r="S799" s="172"/>
      <c r="T799" s="172"/>
      <c r="U799" s="172"/>
      <c r="V799" s="172"/>
      <c r="W799" s="172"/>
      <c r="X799" s="172"/>
      <c r="Y799" s="172"/>
      <c r="Z799" s="172"/>
    </row>
    <row r="800">
      <c r="A800" s="172"/>
      <c r="B800" s="182"/>
      <c r="C800" s="172"/>
      <c r="D800" s="172"/>
      <c r="E800" s="172"/>
      <c r="F800" s="172"/>
      <c r="G800" s="172"/>
      <c r="H800" s="172"/>
      <c r="I800" s="182"/>
      <c r="J800" s="172"/>
      <c r="K800" s="172"/>
      <c r="L800" s="172"/>
      <c r="M800" s="172"/>
      <c r="N800" s="172"/>
      <c r="O800" s="172"/>
      <c r="P800" s="172"/>
      <c r="Q800" s="172"/>
      <c r="R800" s="172"/>
      <c r="S800" s="172"/>
      <c r="T800" s="172"/>
      <c r="U800" s="172"/>
      <c r="V800" s="172"/>
      <c r="W800" s="172"/>
      <c r="X800" s="172"/>
      <c r="Y800" s="172"/>
      <c r="Z800" s="172"/>
    </row>
    <row r="801">
      <c r="A801" s="172"/>
      <c r="B801" s="182"/>
      <c r="C801" s="172"/>
      <c r="D801" s="172"/>
      <c r="E801" s="172"/>
      <c r="F801" s="172"/>
      <c r="G801" s="172"/>
      <c r="H801" s="172"/>
      <c r="I801" s="182"/>
      <c r="J801" s="172"/>
      <c r="K801" s="172"/>
      <c r="L801" s="172"/>
      <c r="M801" s="172"/>
      <c r="N801" s="172"/>
      <c r="O801" s="172"/>
      <c r="P801" s="172"/>
      <c r="Q801" s="172"/>
      <c r="R801" s="172"/>
      <c r="S801" s="172"/>
      <c r="T801" s="172"/>
      <c r="U801" s="172"/>
      <c r="V801" s="172"/>
      <c r="W801" s="172"/>
      <c r="X801" s="172"/>
      <c r="Y801" s="172"/>
      <c r="Z801" s="172"/>
    </row>
    <row r="802">
      <c r="A802" s="172"/>
      <c r="B802" s="182"/>
      <c r="C802" s="172"/>
      <c r="D802" s="172"/>
      <c r="E802" s="172"/>
      <c r="F802" s="172"/>
      <c r="G802" s="172"/>
      <c r="H802" s="172"/>
      <c r="I802" s="182"/>
      <c r="J802" s="172"/>
      <c r="K802" s="172"/>
      <c r="L802" s="172"/>
      <c r="M802" s="172"/>
      <c r="N802" s="172"/>
      <c r="O802" s="172"/>
      <c r="P802" s="172"/>
      <c r="Q802" s="172"/>
      <c r="R802" s="172"/>
      <c r="S802" s="172"/>
      <c r="T802" s="172"/>
      <c r="U802" s="172"/>
      <c r="V802" s="172"/>
      <c r="W802" s="172"/>
      <c r="X802" s="172"/>
      <c r="Y802" s="172"/>
      <c r="Z802" s="172"/>
    </row>
    <row r="803">
      <c r="A803" s="172"/>
      <c r="B803" s="182"/>
      <c r="C803" s="172"/>
      <c r="D803" s="172"/>
      <c r="E803" s="172"/>
      <c r="F803" s="172"/>
      <c r="G803" s="172"/>
      <c r="H803" s="172"/>
      <c r="I803" s="182"/>
      <c r="J803" s="172"/>
      <c r="K803" s="172"/>
      <c r="L803" s="172"/>
      <c r="M803" s="172"/>
      <c r="N803" s="172"/>
      <c r="O803" s="172"/>
      <c r="P803" s="172"/>
      <c r="Q803" s="172"/>
      <c r="R803" s="172"/>
      <c r="S803" s="172"/>
      <c r="T803" s="172"/>
      <c r="U803" s="172"/>
      <c r="V803" s="172"/>
      <c r="W803" s="172"/>
      <c r="X803" s="172"/>
      <c r="Y803" s="172"/>
      <c r="Z803" s="172"/>
    </row>
    <row r="804">
      <c r="A804" s="172"/>
      <c r="B804" s="182"/>
      <c r="C804" s="172"/>
      <c r="D804" s="172"/>
      <c r="E804" s="172"/>
      <c r="F804" s="172"/>
      <c r="G804" s="172"/>
      <c r="H804" s="172"/>
      <c r="I804" s="182"/>
      <c r="J804" s="172"/>
      <c r="K804" s="172"/>
      <c r="L804" s="172"/>
      <c r="M804" s="172"/>
      <c r="N804" s="172"/>
      <c r="O804" s="172"/>
      <c r="P804" s="172"/>
      <c r="Q804" s="172"/>
      <c r="R804" s="172"/>
      <c r="S804" s="172"/>
      <c r="T804" s="172"/>
      <c r="U804" s="172"/>
      <c r="V804" s="172"/>
      <c r="W804" s="172"/>
      <c r="X804" s="172"/>
      <c r="Y804" s="172"/>
      <c r="Z804" s="172"/>
    </row>
    <row r="805">
      <c r="A805" s="172"/>
      <c r="B805" s="182"/>
      <c r="C805" s="172"/>
      <c r="D805" s="172"/>
      <c r="E805" s="172"/>
      <c r="F805" s="172"/>
      <c r="G805" s="172"/>
      <c r="H805" s="172"/>
      <c r="I805" s="182"/>
      <c r="J805" s="172"/>
      <c r="K805" s="172"/>
      <c r="L805" s="172"/>
      <c r="M805" s="172"/>
      <c r="N805" s="172"/>
      <c r="O805" s="172"/>
      <c r="P805" s="172"/>
      <c r="Q805" s="172"/>
      <c r="R805" s="172"/>
      <c r="S805" s="172"/>
      <c r="T805" s="172"/>
      <c r="U805" s="172"/>
      <c r="V805" s="172"/>
      <c r="W805" s="172"/>
      <c r="X805" s="172"/>
      <c r="Y805" s="172"/>
      <c r="Z805" s="172"/>
    </row>
    <row r="806">
      <c r="A806" s="172"/>
      <c r="B806" s="182"/>
      <c r="C806" s="172"/>
      <c r="D806" s="172"/>
      <c r="E806" s="172"/>
      <c r="F806" s="172"/>
      <c r="G806" s="172"/>
      <c r="H806" s="172"/>
      <c r="I806" s="182"/>
      <c r="J806" s="172"/>
      <c r="K806" s="172"/>
      <c r="L806" s="172"/>
      <c r="M806" s="172"/>
      <c r="N806" s="172"/>
      <c r="O806" s="172"/>
      <c r="P806" s="172"/>
      <c r="Q806" s="172"/>
      <c r="R806" s="172"/>
      <c r="S806" s="172"/>
      <c r="T806" s="172"/>
      <c r="U806" s="172"/>
      <c r="V806" s="172"/>
      <c r="W806" s="172"/>
      <c r="X806" s="172"/>
      <c r="Y806" s="172"/>
      <c r="Z806" s="172"/>
    </row>
    <row r="807">
      <c r="A807" s="172"/>
      <c r="B807" s="182"/>
      <c r="C807" s="172"/>
      <c r="D807" s="172"/>
      <c r="E807" s="172"/>
      <c r="F807" s="172"/>
      <c r="G807" s="172"/>
      <c r="H807" s="172"/>
      <c r="I807" s="182"/>
      <c r="J807" s="172"/>
      <c r="K807" s="172"/>
      <c r="L807" s="172"/>
      <c r="M807" s="172"/>
      <c r="N807" s="172"/>
      <c r="O807" s="172"/>
      <c r="P807" s="172"/>
      <c r="Q807" s="172"/>
      <c r="R807" s="172"/>
      <c r="S807" s="172"/>
      <c r="T807" s="172"/>
      <c r="U807" s="172"/>
      <c r="V807" s="172"/>
      <c r="W807" s="172"/>
      <c r="X807" s="172"/>
      <c r="Y807" s="172"/>
      <c r="Z807" s="172"/>
    </row>
    <row r="808">
      <c r="A808" s="172"/>
      <c r="B808" s="182"/>
      <c r="C808" s="172"/>
      <c r="D808" s="172"/>
      <c r="E808" s="172"/>
      <c r="F808" s="172"/>
      <c r="G808" s="172"/>
      <c r="H808" s="172"/>
      <c r="I808" s="182"/>
      <c r="J808" s="172"/>
      <c r="K808" s="172"/>
      <c r="L808" s="172"/>
      <c r="M808" s="172"/>
      <c r="N808" s="172"/>
      <c r="O808" s="172"/>
      <c r="P808" s="172"/>
      <c r="Q808" s="172"/>
      <c r="R808" s="172"/>
      <c r="S808" s="172"/>
      <c r="T808" s="172"/>
      <c r="U808" s="172"/>
      <c r="V808" s="172"/>
      <c r="W808" s="172"/>
      <c r="X808" s="172"/>
      <c r="Y808" s="172"/>
      <c r="Z808" s="172"/>
    </row>
    <row r="809">
      <c r="A809" s="172"/>
      <c r="B809" s="182"/>
      <c r="C809" s="172"/>
      <c r="D809" s="172"/>
      <c r="E809" s="172"/>
      <c r="F809" s="172"/>
      <c r="G809" s="172"/>
      <c r="H809" s="172"/>
      <c r="I809" s="182"/>
      <c r="J809" s="172"/>
      <c r="K809" s="172"/>
      <c r="L809" s="172"/>
      <c r="M809" s="172"/>
      <c r="N809" s="172"/>
      <c r="O809" s="172"/>
      <c r="P809" s="172"/>
      <c r="Q809" s="172"/>
      <c r="R809" s="172"/>
      <c r="S809" s="172"/>
      <c r="T809" s="172"/>
      <c r="U809" s="172"/>
      <c r="V809" s="172"/>
      <c r="W809" s="172"/>
      <c r="X809" s="172"/>
      <c r="Y809" s="172"/>
      <c r="Z809" s="172"/>
    </row>
    <row r="810">
      <c r="A810" s="172"/>
      <c r="B810" s="182"/>
      <c r="C810" s="172"/>
      <c r="D810" s="172"/>
      <c r="E810" s="172"/>
      <c r="F810" s="172"/>
      <c r="G810" s="172"/>
      <c r="H810" s="172"/>
      <c r="I810" s="182"/>
      <c r="J810" s="172"/>
      <c r="K810" s="172"/>
      <c r="L810" s="172"/>
      <c r="M810" s="172"/>
      <c r="N810" s="172"/>
      <c r="O810" s="172"/>
      <c r="P810" s="172"/>
      <c r="Q810" s="172"/>
      <c r="R810" s="172"/>
      <c r="S810" s="172"/>
      <c r="T810" s="172"/>
      <c r="U810" s="172"/>
      <c r="V810" s="172"/>
      <c r="W810" s="172"/>
      <c r="X810" s="172"/>
      <c r="Y810" s="172"/>
      <c r="Z810" s="172"/>
    </row>
    <row r="811">
      <c r="A811" s="172"/>
      <c r="B811" s="182"/>
      <c r="C811" s="172"/>
      <c r="D811" s="172"/>
      <c r="E811" s="172"/>
      <c r="F811" s="172"/>
      <c r="G811" s="172"/>
      <c r="H811" s="172"/>
      <c r="I811" s="182"/>
      <c r="J811" s="172"/>
      <c r="K811" s="172"/>
      <c r="L811" s="172"/>
      <c r="M811" s="172"/>
      <c r="N811" s="172"/>
      <c r="O811" s="172"/>
      <c r="P811" s="172"/>
      <c r="Q811" s="172"/>
      <c r="R811" s="172"/>
      <c r="S811" s="172"/>
      <c r="T811" s="172"/>
      <c r="U811" s="172"/>
      <c r="V811" s="172"/>
      <c r="W811" s="172"/>
      <c r="X811" s="172"/>
      <c r="Y811" s="172"/>
      <c r="Z811" s="172"/>
    </row>
    <row r="812">
      <c r="A812" s="172"/>
      <c r="B812" s="182"/>
      <c r="C812" s="172"/>
      <c r="D812" s="172"/>
      <c r="E812" s="172"/>
      <c r="F812" s="172"/>
      <c r="G812" s="172"/>
      <c r="H812" s="172"/>
      <c r="I812" s="182"/>
      <c r="J812" s="172"/>
      <c r="K812" s="172"/>
      <c r="L812" s="172"/>
      <c r="M812" s="172"/>
      <c r="N812" s="172"/>
      <c r="O812" s="172"/>
      <c r="P812" s="172"/>
      <c r="Q812" s="172"/>
      <c r="R812" s="172"/>
      <c r="S812" s="172"/>
      <c r="T812" s="172"/>
      <c r="U812" s="172"/>
      <c r="V812" s="172"/>
      <c r="W812" s="172"/>
      <c r="X812" s="172"/>
      <c r="Y812" s="172"/>
      <c r="Z812" s="172"/>
    </row>
    <row r="813">
      <c r="A813" s="172"/>
      <c r="B813" s="182"/>
      <c r="C813" s="172"/>
      <c r="D813" s="172"/>
      <c r="E813" s="172"/>
      <c r="F813" s="172"/>
      <c r="G813" s="172"/>
      <c r="H813" s="172"/>
      <c r="I813" s="182"/>
      <c r="J813" s="172"/>
      <c r="K813" s="172"/>
      <c r="L813" s="172"/>
      <c r="M813" s="172"/>
      <c r="N813" s="172"/>
      <c r="O813" s="172"/>
      <c r="P813" s="172"/>
      <c r="Q813" s="172"/>
      <c r="R813" s="172"/>
      <c r="S813" s="172"/>
      <c r="T813" s="172"/>
      <c r="U813" s="172"/>
      <c r="V813" s="172"/>
      <c r="W813" s="172"/>
      <c r="X813" s="172"/>
      <c r="Y813" s="172"/>
      <c r="Z813" s="172"/>
    </row>
    <row r="814">
      <c r="A814" s="172"/>
      <c r="B814" s="182"/>
      <c r="C814" s="172"/>
      <c r="D814" s="172"/>
      <c r="E814" s="172"/>
      <c r="F814" s="172"/>
      <c r="G814" s="172"/>
      <c r="H814" s="172"/>
      <c r="I814" s="182"/>
      <c r="J814" s="172"/>
      <c r="K814" s="172"/>
      <c r="L814" s="172"/>
      <c r="M814" s="172"/>
      <c r="N814" s="172"/>
      <c r="O814" s="172"/>
      <c r="P814" s="172"/>
      <c r="Q814" s="172"/>
      <c r="R814" s="172"/>
      <c r="S814" s="172"/>
      <c r="T814" s="172"/>
      <c r="U814" s="172"/>
      <c r="V814" s="172"/>
      <c r="W814" s="172"/>
      <c r="X814" s="172"/>
      <c r="Y814" s="172"/>
      <c r="Z814" s="172"/>
    </row>
    <row r="815">
      <c r="A815" s="172"/>
      <c r="B815" s="182"/>
      <c r="C815" s="172"/>
      <c r="D815" s="172"/>
      <c r="E815" s="172"/>
      <c r="F815" s="172"/>
      <c r="G815" s="172"/>
      <c r="H815" s="172"/>
      <c r="I815" s="182"/>
      <c r="J815" s="172"/>
      <c r="K815" s="172"/>
      <c r="L815" s="172"/>
      <c r="M815" s="172"/>
      <c r="N815" s="172"/>
      <c r="O815" s="172"/>
      <c r="P815" s="172"/>
      <c r="Q815" s="172"/>
      <c r="R815" s="172"/>
      <c r="S815" s="172"/>
      <c r="T815" s="172"/>
      <c r="U815" s="172"/>
      <c r="V815" s="172"/>
      <c r="W815" s="172"/>
      <c r="X815" s="172"/>
      <c r="Y815" s="172"/>
      <c r="Z815" s="172"/>
    </row>
    <row r="816">
      <c r="A816" s="172"/>
      <c r="B816" s="182"/>
      <c r="C816" s="172"/>
      <c r="D816" s="172"/>
      <c r="E816" s="172"/>
      <c r="F816" s="172"/>
      <c r="G816" s="172"/>
      <c r="H816" s="172"/>
      <c r="I816" s="182"/>
      <c r="J816" s="172"/>
      <c r="K816" s="172"/>
      <c r="L816" s="172"/>
      <c r="M816" s="172"/>
      <c r="N816" s="172"/>
      <c r="O816" s="172"/>
      <c r="P816" s="172"/>
      <c r="Q816" s="172"/>
      <c r="R816" s="172"/>
      <c r="S816" s="172"/>
      <c r="T816" s="172"/>
      <c r="U816" s="172"/>
      <c r="V816" s="172"/>
      <c r="W816" s="172"/>
      <c r="X816" s="172"/>
      <c r="Y816" s="172"/>
      <c r="Z816" s="172"/>
    </row>
    <row r="817">
      <c r="A817" s="172"/>
      <c r="B817" s="182"/>
      <c r="C817" s="172"/>
      <c r="D817" s="172"/>
      <c r="E817" s="172"/>
      <c r="F817" s="172"/>
      <c r="G817" s="172"/>
      <c r="H817" s="172"/>
      <c r="I817" s="182"/>
      <c r="J817" s="172"/>
      <c r="K817" s="172"/>
      <c r="L817" s="172"/>
      <c r="M817" s="172"/>
      <c r="N817" s="172"/>
      <c r="O817" s="172"/>
      <c r="P817" s="172"/>
      <c r="Q817" s="172"/>
      <c r="R817" s="172"/>
      <c r="S817" s="172"/>
      <c r="T817" s="172"/>
      <c r="U817" s="172"/>
      <c r="V817" s="172"/>
      <c r="W817" s="172"/>
      <c r="X817" s="172"/>
      <c r="Y817" s="172"/>
      <c r="Z817" s="172"/>
    </row>
    <row r="818">
      <c r="A818" s="172"/>
      <c r="B818" s="182"/>
      <c r="C818" s="172"/>
      <c r="D818" s="172"/>
      <c r="E818" s="172"/>
      <c r="F818" s="172"/>
      <c r="G818" s="172"/>
      <c r="H818" s="172"/>
      <c r="I818" s="182"/>
      <c r="J818" s="172"/>
      <c r="K818" s="172"/>
      <c r="L818" s="172"/>
      <c r="M818" s="172"/>
      <c r="N818" s="172"/>
      <c r="O818" s="172"/>
      <c r="P818" s="172"/>
      <c r="Q818" s="172"/>
      <c r="R818" s="172"/>
      <c r="S818" s="172"/>
      <c r="T818" s="172"/>
      <c r="U818" s="172"/>
      <c r="V818" s="172"/>
      <c r="W818" s="172"/>
      <c r="X818" s="172"/>
      <c r="Y818" s="172"/>
      <c r="Z818" s="172"/>
    </row>
    <row r="819">
      <c r="A819" s="172"/>
      <c r="B819" s="182"/>
      <c r="C819" s="172"/>
      <c r="D819" s="172"/>
      <c r="E819" s="172"/>
      <c r="F819" s="172"/>
      <c r="G819" s="172"/>
      <c r="H819" s="172"/>
      <c r="I819" s="182"/>
      <c r="J819" s="172"/>
      <c r="K819" s="172"/>
      <c r="L819" s="172"/>
      <c r="M819" s="172"/>
      <c r="N819" s="172"/>
      <c r="O819" s="172"/>
      <c r="P819" s="172"/>
      <c r="Q819" s="172"/>
      <c r="R819" s="172"/>
      <c r="S819" s="172"/>
      <c r="T819" s="172"/>
      <c r="U819" s="172"/>
      <c r="V819" s="172"/>
      <c r="W819" s="172"/>
      <c r="X819" s="172"/>
      <c r="Y819" s="172"/>
      <c r="Z819" s="172"/>
    </row>
    <row r="820">
      <c r="A820" s="172"/>
      <c r="B820" s="182"/>
      <c r="C820" s="172"/>
      <c r="D820" s="172"/>
      <c r="E820" s="172"/>
      <c r="F820" s="172"/>
      <c r="G820" s="172"/>
      <c r="H820" s="172"/>
      <c r="I820" s="182"/>
      <c r="J820" s="172"/>
      <c r="K820" s="172"/>
      <c r="L820" s="172"/>
      <c r="M820" s="172"/>
      <c r="N820" s="172"/>
      <c r="O820" s="172"/>
      <c r="P820" s="172"/>
      <c r="Q820" s="172"/>
      <c r="R820" s="172"/>
      <c r="S820" s="172"/>
      <c r="T820" s="172"/>
      <c r="U820" s="172"/>
      <c r="V820" s="172"/>
      <c r="W820" s="172"/>
      <c r="X820" s="172"/>
      <c r="Y820" s="172"/>
      <c r="Z820" s="172"/>
    </row>
    <row r="821">
      <c r="A821" s="172"/>
      <c r="B821" s="182"/>
      <c r="C821" s="172"/>
      <c r="D821" s="172"/>
      <c r="E821" s="172"/>
      <c r="F821" s="172"/>
      <c r="G821" s="172"/>
      <c r="H821" s="172"/>
      <c r="I821" s="182"/>
      <c r="J821" s="172"/>
      <c r="K821" s="172"/>
      <c r="L821" s="172"/>
      <c r="M821" s="172"/>
      <c r="N821" s="172"/>
      <c r="O821" s="172"/>
      <c r="P821" s="172"/>
      <c r="Q821" s="172"/>
      <c r="R821" s="172"/>
      <c r="S821" s="172"/>
      <c r="T821" s="172"/>
      <c r="U821" s="172"/>
      <c r="V821" s="172"/>
      <c r="W821" s="172"/>
      <c r="X821" s="172"/>
      <c r="Y821" s="172"/>
      <c r="Z821" s="172"/>
    </row>
    <row r="822">
      <c r="A822" s="172"/>
      <c r="B822" s="182"/>
      <c r="C822" s="172"/>
      <c r="D822" s="172"/>
      <c r="E822" s="172"/>
      <c r="F822" s="172"/>
      <c r="G822" s="172"/>
      <c r="H822" s="172"/>
      <c r="I822" s="182"/>
      <c r="J822" s="172"/>
      <c r="K822" s="172"/>
      <c r="L822" s="172"/>
      <c r="M822" s="172"/>
      <c r="N822" s="172"/>
      <c r="O822" s="172"/>
      <c r="P822" s="172"/>
      <c r="Q822" s="172"/>
      <c r="R822" s="172"/>
      <c r="S822" s="172"/>
      <c r="T822" s="172"/>
      <c r="U822" s="172"/>
      <c r="V822" s="172"/>
      <c r="W822" s="172"/>
      <c r="X822" s="172"/>
      <c r="Y822" s="172"/>
      <c r="Z822" s="172"/>
    </row>
    <row r="823">
      <c r="A823" s="172"/>
      <c r="B823" s="182"/>
      <c r="C823" s="172"/>
      <c r="D823" s="172"/>
      <c r="E823" s="172"/>
      <c r="F823" s="172"/>
      <c r="G823" s="172"/>
      <c r="H823" s="172"/>
      <c r="I823" s="182"/>
      <c r="J823" s="172"/>
      <c r="K823" s="172"/>
      <c r="L823" s="172"/>
      <c r="M823" s="172"/>
      <c r="N823" s="172"/>
      <c r="O823" s="172"/>
      <c r="P823" s="172"/>
      <c r="Q823" s="172"/>
      <c r="R823" s="172"/>
      <c r="S823" s="172"/>
      <c r="T823" s="172"/>
      <c r="U823" s="172"/>
      <c r="V823" s="172"/>
      <c r="W823" s="172"/>
      <c r="X823" s="172"/>
      <c r="Y823" s="172"/>
      <c r="Z823" s="172"/>
    </row>
    <row r="824">
      <c r="A824" s="172"/>
      <c r="B824" s="182"/>
      <c r="C824" s="172"/>
      <c r="D824" s="172"/>
      <c r="E824" s="172"/>
      <c r="F824" s="172"/>
      <c r="G824" s="172"/>
      <c r="H824" s="172"/>
      <c r="I824" s="182"/>
      <c r="J824" s="172"/>
      <c r="K824" s="172"/>
      <c r="L824" s="172"/>
      <c r="M824" s="172"/>
      <c r="N824" s="172"/>
      <c r="O824" s="172"/>
      <c r="P824" s="172"/>
      <c r="Q824" s="172"/>
      <c r="R824" s="172"/>
      <c r="S824" s="172"/>
      <c r="T824" s="172"/>
      <c r="U824" s="172"/>
      <c r="V824" s="172"/>
      <c r="W824" s="172"/>
      <c r="X824" s="172"/>
      <c r="Y824" s="172"/>
      <c r="Z824" s="172"/>
    </row>
    <row r="825">
      <c r="A825" s="172"/>
      <c r="B825" s="182"/>
      <c r="C825" s="172"/>
      <c r="D825" s="172"/>
      <c r="E825" s="172"/>
      <c r="F825" s="172"/>
      <c r="G825" s="172"/>
      <c r="H825" s="172"/>
      <c r="I825" s="182"/>
      <c r="J825" s="172"/>
      <c r="K825" s="172"/>
      <c r="L825" s="172"/>
      <c r="M825" s="172"/>
      <c r="N825" s="172"/>
      <c r="O825" s="172"/>
      <c r="P825" s="172"/>
      <c r="Q825" s="172"/>
      <c r="R825" s="172"/>
      <c r="S825" s="172"/>
      <c r="T825" s="172"/>
      <c r="U825" s="172"/>
      <c r="V825" s="172"/>
      <c r="W825" s="172"/>
      <c r="X825" s="172"/>
      <c r="Y825" s="172"/>
      <c r="Z825" s="172"/>
    </row>
    <row r="826">
      <c r="A826" s="172"/>
      <c r="B826" s="182"/>
      <c r="C826" s="172"/>
      <c r="D826" s="172"/>
      <c r="E826" s="172"/>
      <c r="F826" s="172"/>
      <c r="G826" s="172"/>
      <c r="H826" s="172"/>
      <c r="I826" s="182"/>
      <c r="J826" s="172"/>
      <c r="K826" s="172"/>
      <c r="L826" s="172"/>
      <c r="M826" s="172"/>
      <c r="N826" s="172"/>
      <c r="O826" s="172"/>
      <c r="P826" s="172"/>
      <c r="Q826" s="172"/>
      <c r="R826" s="172"/>
      <c r="S826" s="172"/>
      <c r="T826" s="172"/>
      <c r="U826" s="172"/>
      <c r="V826" s="172"/>
      <c r="W826" s="172"/>
      <c r="X826" s="172"/>
      <c r="Y826" s="172"/>
      <c r="Z826" s="172"/>
    </row>
    <row r="827">
      <c r="A827" s="172"/>
      <c r="B827" s="182"/>
      <c r="C827" s="172"/>
      <c r="D827" s="172"/>
      <c r="E827" s="172"/>
      <c r="F827" s="172"/>
      <c r="G827" s="172"/>
      <c r="H827" s="172"/>
      <c r="I827" s="182"/>
      <c r="J827" s="172"/>
      <c r="K827" s="172"/>
      <c r="L827" s="172"/>
      <c r="M827" s="172"/>
      <c r="N827" s="172"/>
      <c r="O827" s="172"/>
      <c r="P827" s="172"/>
      <c r="Q827" s="172"/>
      <c r="R827" s="172"/>
      <c r="S827" s="172"/>
      <c r="T827" s="172"/>
      <c r="U827" s="172"/>
      <c r="V827" s="172"/>
      <c r="W827" s="172"/>
      <c r="X827" s="172"/>
      <c r="Y827" s="172"/>
      <c r="Z827" s="172"/>
    </row>
    <row r="828">
      <c r="A828" s="172"/>
      <c r="B828" s="182"/>
      <c r="C828" s="172"/>
      <c r="D828" s="172"/>
      <c r="E828" s="172"/>
      <c r="F828" s="172"/>
      <c r="G828" s="172"/>
      <c r="H828" s="172"/>
      <c r="I828" s="182"/>
      <c r="J828" s="172"/>
      <c r="K828" s="172"/>
      <c r="L828" s="172"/>
      <c r="M828" s="172"/>
      <c r="N828" s="172"/>
      <c r="O828" s="172"/>
      <c r="P828" s="172"/>
      <c r="Q828" s="172"/>
      <c r="R828" s="172"/>
      <c r="S828" s="172"/>
      <c r="T828" s="172"/>
      <c r="U828" s="172"/>
      <c r="V828" s="172"/>
      <c r="W828" s="172"/>
      <c r="X828" s="172"/>
      <c r="Y828" s="172"/>
      <c r="Z828" s="172"/>
    </row>
    <row r="829">
      <c r="A829" s="172"/>
      <c r="B829" s="182"/>
      <c r="C829" s="172"/>
      <c r="D829" s="172"/>
      <c r="E829" s="172"/>
      <c r="F829" s="172"/>
      <c r="G829" s="172"/>
      <c r="H829" s="172"/>
      <c r="I829" s="182"/>
      <c r="J829" s="172"/>
      <c r="K829" s="172"/>
      <c r="L829" s="172"/>
      <c r="M829" s="172"/>
      <c r="N829" s="172"/>
      <c r="O829" s="172"/>
      <c r="P829" s="172"/>
      <c r="Q829" s="172"/>
      <c r="R829" s="172"/>
      <c r="S829" s="172"/>
      <c r="T829" s="172"/>
      <c r="U829" s="172"/>
      <c r="V829" s="172"/>
      <c r="W829" s="172"/>
      <c r="X829" s="172"/>
      <c r="Y829" s="172"/>
      <c r="Z829" s="172"/>
    </row>
    <row r="830">
      <c r="A830" s="172"/>
      <c r="B830" s="182"/>
      <c r="C830" s="172"/>
      <c r="D830" s="172"/>
      <c r="E830" s="172"/>
      <c r="F830" s="172"/>
      <c r="G830" s="172"/>
      <c r="H830" s="172"/>
      <c r="I830" s="182"/>
      <c r="J830" s="172"/>
      <c r="K830" s="172"/>
      <c r="L830" s="172"/>
      <c r="M830" s="172"/>
      <c r="N830" s="172"/>
      <c r="O830" s="172"/>
      <c r="P830" s="172"/>
      <c r="Q830" s="172"/>
      <c r="R830" s="172"/>
      <c r="S830" s="172"/>
      <c r="T830" s="172"/>
      <c r="U830" s="172"/>
      <c r="V830" s="172"/>
      <c r="W830" s="172"/>
      <c r="X830" s="172"/>
      <c r="Y830" s="172"/>
      <c r="Z830" s="172"/>
    </row>
    <row r="831">
      <c r="A831" s="172"/>
      <c r="B831" s="182"/>
      <c r="C831" s="172"/>
      <c r="D831" s="172"/>
      <c r="E831" s="172"/>
      <c r="F831" s="172"/>
      <c r="G831" s="172"/>
      <c r="H831" s="172"/>
      <c r="I831" s="182"/>
      <c r="J831" s="172"/>
      <c r="K831" s="172"/>
      <c r="L831" s="172"/>
      <c r="M831" s="172"/>
      <c r="N831" s="172"/>
      <c r="O831" s="172"/>
      <c r="P831" s="172"/>
      <c r="Q831" s="172"/>
      <c r="R831" s="172"/>
      <c r="S831" s="172"/>
      <c r="T831" s="172"/>
      <c r="U831" s="172"/>
      <c r="V831" s="172"/>
      <c r="W831" s="172"/>
      <c r="X831" s="172"/>
      <c r="Y831" s="172"/>
      <c r="Z831" s="172"/>
    </row>
    <row r="832">
      <c r="A832" s="172"/>
      <c r="B832" s="182"/>
      <c r="C832" s="172"/>
      <c r="D832" s="172"/>
      <c r="E832" s="172"/>
      <c r="F832" s="172"/>
      <c r="G832" s="172"/>
      <c r="H832" s="172"/>
      <c r="I832" s="182"/>
      <c r="J832" s="172"/>
      <c r="K832" s="172"/>
      <c r="L832" s="172"/>
      <c r="M832" s="172"/>
      <c r="N832" s="172"/>
      <c r="O832" s="172"/>
      <c r="P832" s="172"/>
      <c r="Q832" s="172"/>
      <c r="R832" s="172"/>
      <c r="S832" s="172"/>
      <c r="T832" s="172"/>
      <c r="U832" s="172"/>
      <c r="V832" s="172"/>
      <c r="W832" s="172"/>
      <c r="X832" s="172"/>
      <c r="Y832" s="172"/>
      <c r="Z832" s="172"/>
    </row>
    <row r="833">
      <c r="A833" s="172"/>
      <c r="B833" s="182"/>
      <c r="C833" s="172"/>
      <c r="D833" s="172"/>
      <c r="E833" s="172"/>
      <c r="F833" s="172"/>
      <c r="G833" s="172"/>
      <c r="H833" s="172"/>
      <c r="I833" s="182"/>
      <c r="J833" s="172"/>
      <c r="K833" s="172"/>
      <c r="L833" s="172"/>
      <c r="M833" s="172"/>
      <c r="N833" s="172"/>
      <c r="O833" s="172"/>
      <c r="P833" s="172"/>
      <c r="Q833" s="172"/>
      <c r="R833" s="172"/>
      <c r="S833" s="172"/>
      <c r="T833" s="172"/>
      <c r="U833" s="172"/>
      <c r="V833" s="172"/>
      <c r="W833" s="172"/>
      <c r="X833" s="172"/>
      <c r="Y833" s="172"/>
      <c r="Z833" s="172"/>
    </row>
    <row r="834">
      <c r="A834" s="172"/>
      <c r="B834" s="182"/>
      <c r="C834" s="172"/>
      <c r="D834" s="172"/>
      <c r="E834" s="172"/>
      <c r="F834" s="172"/>
      <c r="G834" s="172"/>
      <c r="H834" s="172"/>
      <c r="I834" s="182"/>
      <c r="J834" s="172"/>
      <c r="K834" s="172"/>
      <c r="L834" s="172"/>
      <c r="M834" s="172"/>
      <c r="N834" s="172"/>
      <c r="O834" s="172"/>
      <c r="P834" s="172"/>
      <c r="Q834" s="172"/>
      <c r="R834" s="172"/>
      <c r="S834" s="172"/>
      <c r="T834" s="172"/>
      <c r="U834" s="172"/>
      <c r="V834" s="172"/>
      <c r="W834" s="172"/>
      <c r="X834" s="172"/>
      <c r="Y834" s="172"/>
      <c r="Z834" s="172"/>
    </row>
    <row r="835">
      <c r="A835" s="172"/>
      <c r="B835" s="182"/>
      <c r="C835" s="172"/>
      <c r="D835" s="172"/>
      <c r="E835" s="172"/>
      <c r="F835" s="172"/>
      <c r="G835" s="172"/>
      <c r="H835" s="172"/>
      <c r="I835" s="182"/>
      <c r="J835" s="172"/>
      <c r="K835" s="172"/>
      <c r="L835" s="172"/>
      <c r="M835" s="172"/>
      <c r="N835" s="172"/>
      <c r="O835" s="172"/>
      <c r="P835" s="172"/>
      <c r="Q835" s="172"/>
      <c r="R835" s="172"/>
      <c r="S835" s="172"/>
      <c r="T835" s="172"/>
      <c r="U835" s="172"/>
      <c r="V835" s="172"/>
      <c r="W835" s="172"/>
      <c r="X835" s="172"/>
      <c r="Y835" s="172"/>
      <c r="Z835" s="172"/>
    </row>
    <row r="836">
      <c r="A836" s="172"/>
      <c r="B836" s="182"/>
      <c r="C836" s="172"/>
      <c r="D836" s="172"/>
      <c r="E836" s="172"/>
      <c r="F836" s="172"/>
      <c r="G836" s="172"/>
      <c r="H836" s="172"/>
      <c r="I836" s="182"/>
      <c r="J836" s="172"/>
      <c r="K836" s="172"/>
      <c r="L836" s="172"/>
      <c r="M836" s="172"/>
      <c r="N836" s="172"/>
      <c r="O836" s="172"/>
      <c r="P836" s="172"/>
      <c r="Q836" s="172"/>
      <c r="R836" s="172"/>
      <c r="S836" s="172"/>
      <c r="T836" s="172"/>
      <c r="U836" s="172"/>
      <c r="V836" s="172"/>
      <c r="W836" s="172"/>
      <c r="X836" s="172"/>
      <c r="Y836" s="172"/>
      <c r="Z836" s="172"/>
    </row>
    <row r="837">
      <c r="A837" s="172"/>
      <c r="B837" s="182"/>
      <c r="C837" s="172"/>
      <c r="D837" s="172"/>
      <c r="E837" s="172"/>
      <c r="F837" s="172"/>
      <c r="G837" s="172"/>
      <c r="H837" s="172"/>
      <c r="I837" s="182"/>
      <c r="J837" s="172"/>
      <c r="K837" s="172"/>
      <c r="L837" s="172"/>
      <c r="M837" s="172"/>
      <c r="N837" s="172"/>
      <c r="O837" s="172"/>
      <c r="P837" s="172"/>
      <c r="Q837" s="172"/>
      <c r="R837" s="172"/>
      <c r="S837" s="172"/>
      <c r="T837" s="172"/>
      <c r="U837" s="172"/>
      <c r="V837" s="172"/>
      <c r="W837" s="172"/>
      <c r="X837" s="172"/>
      <c r="Y837" s="172"/>
      <c r="Z837" s="172"/>
    </row>
    <row r="838">
      <c r="A838" s="172"/>
      <c r="B838" s="182"/>
      <c r="C838" s="172"/>
      <c r="D838" s="172"/>
      <c r="E838" s="172"/>
      <c r="F838" s="172"/>
      <c r="G838" s="172"/>
      <c r="H838" s="172"/>
      <c r="I838" s="182"/>
      <c r="J838" s="172"/>
      <c r="K838" s="172"/>
      <c r="L838" s="172"/>
      <c r="M838" s="172"/>
      <c r="N838" s="172"/>
      <c r="O838" s="172"/>
      <c r="P838" s="172"/>
      <c r="Q838" s="172"/>
      <c r="R838" s="172"/>
      <c r="S838" s="172"/>
      <c r="T838" s="172"/>
      <c r="U838" s="172"/>
      <c r="V838" s="172"/>
      <c r="W838" s="172"/>
      <c r="X838" s="172"/>
      <c r="Y838" s="172"/>
      <c r="Z838" s="172"/>
    </row>
    <row r="839">
      <c r="A839" s="172"/>
      <c r="B839" s="182"/>
      <c r="C839" s="172"/>
      <c r="D839" s="172"/>
      <c r="E839" s="172"/>
      <c r="F839" s="172"/>
      <c r="G839" s="172"/>
      <c r="H839" s="172"/>
      <c r="I839" s="182"/>
      <c r="J839" s="172"/>
      <c r="K839" s="172"/>
      <c r="L839" s="172"/>
      <c r="M839" s="172"/>
      <c r="N839" s="172"/>
      <c r="O839" s="172"/>
      <c r="P839" s="172"/>
      <c r="Q839" s="172"/>
      <c r="R839" s="172"/>
      <c r="S839" s="172"/>
      <c r="T839" s="172"/>
      <c r="U839" s="172"/>
      <c r="V839" s="172"/>
      <c r="W839" s="172"/>
      <c r="X839" s="172"/>
      <c r="Y839" s="172"/>
      <c r="Z839" s="172"/>
    </row>
    <row r="840">
      <c r="A840" s="172"/>
      <c r="B840" s="182"/>
      <c r="C840" s="172"/>
      <c r="D840" s="172"/>
      <c r="E840" s="172"/>
      <c r="F840" s="172"/>
      <c r="G840" s="172"/>
      <c r="H840" s="172"/>
      <c r="I840" s="182"/>
      <c r="J840" s="172"/>
      <c r="K840" s="172"/>
      <c r="L840" s="172"/>
      <c r="M840" s="172"/>
      <c r="N840" s="172"/>
      <c r="O840" s="172"/>
      <c r="P840" s="172"/>
      <c r="Q840" s="172"/>
      <c r="R840" s="172"/>
      <c r="S840" s="172"/>
      <c r="T840" s="172"/>
      <c r="U840" s="172"/>
      <c r="V840" s="172"/>
      <c r="W840" s="172"/>
      <c r="X840" s="172"/>
      <c r="Y840" s="172"/>
      <c r="Z840" s="172"/>
    </row>
    <row r="841">
      <c r="A841" s="172"/>
      <c r="B841" s="182"/>
      <c r="C841" s="172"/>
      <c r="D841" s="172"/>
      <c r="E841" s="172"/>
      <c r="F841" s="172"/>
      <c r="G841" s="172"/>
      <c r="H841" s="172"/>
      <c r="I841" s="182"/>
      <c r="J841" s="172"/>
      <c r="K841" s="172"/>
      <c r="L841" s="172"/>
      <c r="M841" s="172"/>
      <c r="N841" s="172"/>
      <c r="O841" s="172"/>
      <c r="P841" s="172"/>
      <c r="Q841" s="172"/>
      <c r="R841" s="172"/>
      <c r="S841" s="172"/>
      <c r="T841" s="172"/>
      <c r="U841" s="172"/>
      <c r="V841" s="172"/>
      <c r="W841" s="172"/>
      <c r="X841" s="172"/>
      <c r="Y841" s="172"/>
      <c r="Z841" s="172"/>
    </row>
    <row r="842">
      <c r="A842" s="172"/>
      <c r="B842" s="182"/>
      <c r="C842" s="172"/>
      <c r="D842" s="172"/>
      <c r="E842" s="172"/>
      <c r="F842" s="172"/>
      <c r="G842" s="172"/>
      <c r="H842" s="172"/>
      <c r="I842" s="182"/>
      <c r="J842" s="172"/>
      <c r="K842" s="172"/>
      <c r="L842" s="172"/>
      <c r="M842" s="172"/>
      <c r="N842" s="172"/>
      <c r="O842" s="172"/>
      <c r="P842" s="172"/>
      <c r="Q842" s="172"/>
      <c r="R842" s="172"/>
      <c r="S842" s="172"/>
      <c r="T842" s="172"/>
      <c r="U842" s="172"/>
      <c r="V842" s="172"/>
      <c r="W842" s="172"/>
      <c r="X842" s="172"/>
      <c r="Y842" s="172"/>
      <c r="Z842" s="172"/>
    </row>
    <row r="843">
      <c r="A843" s="172"/>
      <c r="B843" s="182"/>
      <c r="C843" s="172"/>
      <c r="D843" s="172"/>
      <c r="E843" s="172"/>
      <c r="F843" s="172"/>
      <c r="G843" s="172"/>
      <c r="H843" s="172"/>
      <c r="I843" s="182"/>
      <c r="J843" s="172"/>
      <c r="K843" s="172"/>
      <c r="L843" s="172"/>
      <c r="M843" s="172"/>
      <c r="N843" s="172"/>
      <c r="O843" s="172"/>
      <c r="P843" s="172"/>
      <c r="Q843" s="172"/>
      <c r="R843" s="172"/>
      <c r="S843" s="172"/>
      <c r="T843" s="172"/>
      <c r="U843" s="172"/>
      <c r="V843" s="172"/>
      <c r="W843" s="172"/>
      <c r="X843" s="172"/>
      <c r="Y843" s="172"/>
      <c r="Z843" s="172"/>
    </row>
    <row r="844">
      <c r="A844" s="172"/>
      <c r="B844" s="182"/>
      <c r="C844" s="172"/>
      <c r="D844" s="172"/>
      <c r="E844" s="172"/>
      <c r="F844" s="172"/>
      <c r="G844" s="172"/>
      <c r="H844" s="172"/>
      <c r="I844" s="182"/>
      <c r="J844" s="172"/>
      <c r="K844" s="172"/>
      <c r="L844" s="172"/>
      <c r="M844" s="172"/>
      <c r="N844" s="172"/>
      <c r="O844" s="172"/>
      <c r="P844" s="172"/>
      <c r="Q844" s="172"/>
      <c r="R844" s="172"/>
      <c r="S844" s="172"/>
      <c r="T844" s="172"/>
      <c r="U844" s="172"/>
      <c r="V844" s="172"/>
      <c r="W844" s="172"/>
      <c r="X844" s="172"/>
      <c r="Y844" s="172"/>
      <c r="Z844" s="172"/>
    </row>
    <row r="845">
      <c r="A845" s="172"/>
      <c r="B845" s="182"/>
      <c r="C845" s="172"/>
      <c r="D845" s="172"/>
      <c r="E845" s="172"/>
      <c r="F845" s="172"/>
      <c r="G845" s="172"/>
      <c r="H845" s="172"/>
      <c r="I845" s="182"/>
      <c r="J845" s="172"/>
      <c r="K845" s="172"/>
      <c r="L845" s="172"/>
      <c r="M845" s="172"/>
      <c r="N845" s="172"/>
      <c r="O845" s="172"/>
      <c r="P845" s="172"/>
      <c r="Q845" s="172"/>
      <c r="R845" s="172"/>
      <c r="S845" s="172"/>
      <c r="T845" s="172"/>
      <c r="U845" s="172"/>
      <c r="V845" s="172"/>
      <c r="W845" s="172"/>
      <c r="X845" s="172"/>
      <c r="Y845" s="172"/>
      <c r="Z845" s="172"/>
    </row>
    <row r="846">
      <c r="A846" s="172"/>
      <c r="B846" s="182"/>
      <c r="C846" s="172"/>
      <c r="D846" s="172"/>
      <c r="E846" s="172"/>
      <c r="F846" s="172"/>
      <c r="G846" s="172"/>
      <c r="H846" s="172"/>
      <c r="I846" s="182"/>
      <c r="J846" s="172"/>
      <c r="K846" s="172"/>
      <c r="L846" s="172"/>
      <c r="M846" s="172"/>
      <c r="N846" s="172"/>
      <c r="O846" s="172"/>
      <c r="P846" s="172"/>
      <c r="Q846" s="172"/>
      <c r="R846" s="172"/>
      <c r="S846" s="172"/>
      <c r="T846" s="172"/>
      <c r="U846" s="172"/>
      <c r="V846" s="172"/>
      <c r="W846" s="172"/>
      <c r="X846" s="172"/>
      <c r="Y846" s="172"/>
      <c r="Z846" s="172"/>
    </row>
    <row r="847">
      <c r="A847" s="172"/>
      <c r="B847" s="182"/>
      <c r="C847" s="172"/>
      <c r="D847" s="172"/>
      <c r="E847" s="172"/>
      <c r="F847" s="172"/>
      <c r="G847" s="172"/>
      <c r="H847" s="172"/>
      <c r="I847" s="182"/>
      <c r="J847" s="172"/>
      <c r="K847" s="172"/>
      <c r="L847" s="172"/>
      <c r="M847" s="172"/>
      <c r="N847" s="172"/>
      <c r="O847" s="172"/>
      <c r="P847" s="172"/>
      <c r="Q847" s="172"/>
      <c r="R847" s="172"/>
      <c r="S847" s="172"/>
      <c r="T847" s="172"/>
      <c r="U847" s="172"/>
      <c r="V847" s="172"/>
      <c r="W847" s="172"/>
      <c r="X847" s="172"/>
      <c r="Y847" s="172"/>
      <c r="Z847" s="172"/>
    </row>
    <row r="848">
      <c r="A848" s="172"/>
      <c r="B848" s="182"/>
      <c r="C848" s="172"/>
      <c r="D848" s="172"/>
      <c r="E848" s="172"/>
      <c r="F848" s="172"/>
      <c r="G848" s="172"/>
      <c r="H848" s="172"/>
      <c r="I848" s="182"/>
      <c r="J848" s="172"/>
      <c r="K848" s="172"/>
      <c r="L848" s="172"/>
      <c r="M848" s="172"/>
      <c r="N848" s="172"/>
      <c r="O848" s="172"/>
      <c r="P848" s="172"/>
      <c r="Q848" s="172"/>
      <c r="R848" s="172"/>
      <c r="S848" s="172"/>
      <c r="T848" s="172"/>
      <c r="U848" s="172"/>
      <c r="V848" s="172"/>
      <c r="W848" s="172"/>
      <c r="X848" s="172"/>
      <c r="Y848" s="172"/>
      <c r="Z848" s="172"/>
    </row>
    <row r="849">
      <c r="A849" s="172"/>
      <c r="B849" s="182"/>
      <c r="C849" s="172"/>
      <c r="D849" s="172"/>
      <c r="E849" s="172"/>
      <c r="F849" s="172"/>
      <c r="G849" s="172"/>
      <c r="H849" s="172"/>
      <c r="I849" s="182"/>
      <c r="J849" s="172"/>
      <c r="K849" s="172"/>
      <c r="L849" s="172"/>
      <c r="M849" s="172"/>
      <c r="N849" s="172"/>
      <c r="O849" s="172"/>
      <c r="P849" s="172"/>
      <c r="Q849" s="172"/>
      <c r="R849" s="172"/>
      <c r="S849" s="172"/>
      <c r="T849" s="172"/>
      <c r="U849" s="172"/>
      <c r="V849" s="172"/>
      <c r="W849" s="172"/>
      <c r="X849" s="172"/>
      <c r="Y849" s="172"/>
      <c r="Z849" s="172"/>
    </row>
    <row r="850">
      <c r="A850" s="172"/>
      <c r="B850" s="182"/>
      <c r="C850" s="172"/>
      <c r="D850" s="172"/>
      <c r="E850" s="172"/>
      <c r="F850" s="172"/>
      <c r="G850" s="172"/>
      <c r="H850" s="172"/>
      <c r="I850" s="182"/>
      <c r="J850" s="172"/>
      <c r="K850" s="172"/>
      <c r="L850" s="172"/>
      <c r="M850" s="172"/>
      <c r="N850" s="172"/>
      <c r="O850" s="172"/>
      <c r="P850" s="172"/>
      <c r="Q850" s="172"/>
      <c r="R850" s="172"/>
      <c r="S850" s="172"/>
      <c r="T850" s="172"/>
      <c r="U850" s="172"/>
      <c r="V850" s="172"/>
      <c r="W850" s="172"/>
      <c r="X850" s="172"/>
      <c r="Y850" s="172"/>
      <c r="Z850" s="172"/>
    </row>
    <row r="851">
      <c r="A851" s="172"/>
      <c r="B851" s="182"/>
      <c r="C851" s="172"/>
      <c r="D851" s="172"/>
      <c r="E851" s="172"/>
      <c r="F851" s="172"/>
      <c r="G851" s="172"/>
      <c r="H851" s="172"/>
      <c r="I851" s="182"/>
      <c r="J851" s="172"/>
      <c r="K851" s="172"/>
      <c r="L851" s="172"/>
      <c r="M851" s="172"/>
      <c r="N851" s="172"/>
      <c r="O851" s="172"/>
      <c r="P851" s="172"/>
      <c r="Q851" s="172"/>
      <c r="R851" s="172"/>
      <c r="S851" s="172"/>
      <c r="T851" s="172"/>
      <c r="U851" s="172"/>
      <c r="V851" s="172"/>
      <c r="W851" s="172"/>
      <c r="X851" s="172"/>
      <c r="Y851" s="172"/>
      <c r="Z851" s="172"/>
    </row>
    <row r="852">
      <c r="A852" s="172"/>
      <c r="B852" s="182"/>
      <c r="C852" s="172"/>
      <c r="D852" s="172"/>
      <c r="E852" s="172"/>
      <c r="F852" s="172"/>
      <c r="G852" s="172"/>
      <c r="H852" s="172"/>
      <c r="I852" s="182"/>
      <c r="J852" s="172"/>
      <c r="K852" s="172"/>
      <c r="L852" s="172"/>
      <c r="M852" s="172"/>
      <c r="N852" s="172"/>
      <c r="O852" s="172"/>
      <c r="P852" s="172"/>
      <c r="Q852" s="172"/>
      <c r="R852" s="172"/>
      <c r="S852" s="172"/>
      <c r="T852" s="172"/>
      <c r="U852" s="172"/>
      <c r="V852" s="172"/>
      <c r="W852" s="172"/>
      <c r="X852" s="172"/>
      <c r="Y852" s="172"/>
      <c r="Z852" s="172"/>
    </row>
    <row r="853">
      <c r="A853" s="172"/>
      <c r="B853" s="182"/>
      <c r="C853" s="172"/>
      <c r="D853" s="172"/>
      <c r="E853" s="172"/>
      <c r="F853" s="172"/>
      <c r="G853" s="172"/>
      <c r="H853" s="172"/>
      <c r="I853" s="182"/>
      <c r="J853" s="172"/>
      <c r="K853" s="172"/>
      <c r="L853" s="172"/>
      <c r="M853" s="172"/>
      <c r="N853" s="172"/>
      <c r="O853" s="172"/>
      <c r="P853" s="172"/>
      <c r="Q853" s="172"/>
      <c r="R853" s="172"/>
      <c r="S853" s="172"/>
      <c r="T853" s="172"/>
      <c r="U853" s="172"/>
      <c r="V853" s="172"/>
      <c r="W853" s="172"/>
      <c r="X853" s="172"/>
      <c r="Y853" s="172"/>
      <c r="Z853" s="172"/>
    </row>
    <row r="854">
      <c r="A854" s="172"/>
      <c r="B854" s="182"/>
      <c r="C854" s="172"/>
      <c r="D854" s="172"/>
      <c r="E854" s="172"/>
      <c r="F854" s="172"/>
      <c r="G854" s="172"/>
      <c r="H854" s="172"/>
      <c r="I854" s="182"/>
      <c r="J854" s="172"/>
      <c r="K854" s="172"/>
      <c r="L854" s="172"/>
      <c r="M854" s="172"/>
      <c r="N854" s="172"/>
      <c r="O854" s="172"/>
      <c r="P854" s="172"/>
      <c r="Q854" s="172"/>
      <c r="R854" s="172"/>
      <c r="S854" s="172"/>
      <c r="T854" s="172"/>
      <c r="U854" s="172"/>
      <c r="V854" s="172"/>
      <c r="W854" s="172"/>
      <c r="X854" s="172"/>
      <c r="Y854" s="172"/>
      <c r="Z854" s="172"/>
    </row>
    <row r="855">
      <c r="A855" s="172"/>
      <c r="B855" s="182"/>
      <c r="C855" s="172"/>
      <c r="D855" s="172"/>
      <c r="E855" s="172"/>
      <c r="F855" s="172"/>
      <c r="G855" s="172"/>
      <c r="H855" s="172"/>
      <c r="I855" s="182"/>
      <c r="J855" s="172"/>
      <c r="K855" s="172"/>
      <c r="L855" s="172"/>
      <c r="M855" s="172"/>
      <c r="N855" s="172"/>
      <c r="O855" s="172"/>
      <c r="P855" s="172"/>
      <c r="Q855" s="172"/>
      <c r="R855" s="172"/>
      <c r="S855" s="172"/>
      <c r="T855" s="172"/>
      <c r="U855" s="172"/>
      <c r="V855" s="172"/>
      <c r="W855" s="172"/>
      <c r="X855" s="172"/>
      <c r="Y855" s="172"/>
      <c r="Z855" s="172"/>
    </row>
    <row r="856">
      <c r="A856" s="172"/>
      <c r="B856" s="182"/>
      <c r="C856" s="172"/>
      <c r="D856" s="172"/>
      <c r="E856" s="172"/>
      <c r="F856" s="172"/>
      <c r="G856" s="172"/>
      <c r="H856" s="172"/>
      <c r="I856" s="182"/>
      <c r="J856" s="172"/>
      <c r="K856" s="172"/>
      <c r="L856" s="172"/>
      <c r="M856" s="172"/>
      <c r="N856" s="172"/>
      <c r="O856" s="172"/>
      <c r="P856" s="172"/>
      <c r="Q856" s="172"/>
      <c r="R856" s="172"/>
      <c r="S856" s="172"/>
      <c r="T856" s="172"/>
      <c r="U856" s="172"/>
      <c r="V856" s="172"/>
      <c r="W856" s="172"/>
      <c r="X856" s="172"/>
      <c r="Y856" s="172"/>
      <c r="Z856" s="172"/>
    </row>
    <row r="857">
      <c r="A857" s="172"/>
      <c r="B857" s="182"/>
      <c r="C857" s="172"/>
      <c r="D857" s="172"/>
      <c r="E857" s="172"/>
      <c r="F857" s="172"/>
      <c r="G857" s="172"/>
      <c r="H857" s="172"/>
      <c r="I857" s="182"/>
      <c r="J857" s="172"/>
      <c r="K857" s="172"/>
      <c r="L857" s="172"/>
      <c r="M857" s="172"/>
      <c r="N857" s="172"/>
      <c r="O857" s="172"/>
      <c r="P857" s="172"/>
      <c r="Q857" s="172"/>
      <c r="R857" s="172"/>
      <c r="S857" s="172"/>
      <c r="T857" s="172"/>
      <c r="U857" s="172"/>
      <c r="V857" s="172"/>
      <c r="W857" s="172"/>
      <c r="X857" s="172"/>
      <c r="Y857" s="172"/>
      <c r="Z857" s="172"/>
    </row>
    <row r="858">
      <c r="A858" s="172"/>
      <c r="B858" s="182"/>
      <c r="C858" s="172"/>
      <c r="D858" s="172"/>
      <c r="E858" s="172"/>
      <c r="F858" s="172"/>
      <c r="G858" s="172"/>
      <c r="H858" s="172"/>
      <c r="I858" s="182"/>
      <c r="J858" s="172"/>
      <c r="K858" s="172"/>
      <c r="L858" s="172"/>
      <c r="M858" s="172"/>
      <c r="N858" s="172"/>
      <c r="O858" s="172"/>
      <c r="P858" s="172"/>
      <c r="Q858" s="172"/>
      <c r="R858" s="172"/>
      <c r="S858" s="172"/>
      <c r="T858" s="172"/>
      <c r="U858" s="172"/>
      <c r="V858" s="172"/>
      <c r="W858" s="172"/>
      <c r="X858" s="172"/>
      <c r="Y858" s="172"/>
      <c r="Z858" s="172"/>
    </row>
    <row r="859">
      <c r="A859" s="172"/>
      <c r="B859" s="182"/>
      <c r="C859" s="172"/>
      <c r="D859" s="172"/>
      <c r="E859" s="172"/>
      <c r="F859" s="172"/>
      <c r="G859" s="172"/>
      <c r="H859" s="172"/>
      <c r="I859" s="182"/>
      <c r="J859" s="172"/>
      <c r="K859" s="172"/>
      <c r="L859" s="172"/>
      <c r="M859" s="172"/>
      <c r="N859" s="172"/>
      <c r="O859" s="172"/>
      <c r="P859" s="172"/>
      <c r="Q859" s="172"/>
      <c r="R859" s="172"/>
      <c r="S859" s="172"/>
      <c r="T859" s="172"/>
      <c r="U859" s="172"/>
      <c r="V859" s="172"/>
      <c r="W859" s="172"/>
      <c r="X859" s="172"/>
      <c r="Y859" s="172"/>
      <c r="Z859" s="172"/>
    </row>
    <row r="860">
      <c r="A860" s="172"/>
      <c r="B860" s="182"/>
      <c r="C860" s="172"/>
      <c r="D860" s="172"/>
      <c r="E860" s="172"/>
      <c r="F860" s="172"/>
      <c r="G860" s="172"/>
      <c r="H860" s="172"/>
      <c r="I860" s="182"/>
      <c r="J860" s="172"/>
      <c r="K860" s="172"/>
      <c r="L860" s="172"/>
      <c r="M860" s="172"/>
      <c r="N860" s="172"/>
      <c r="O860" s="172"/>
      <c r="P860" s="172"/>
      <c r="Q860" s="172"/>
      <c r="R860" s="172"/>
      <c r="S860" s="172"/>
      <c r="T860" s="172"/>
      <c r="U860" s="172"/>
      <c r="V860" s="172"/>
      <c r="W860" s="172"/>
      <c r="X860" s="172"/>
      <c r="Y860" s="172"/>
      <c r="Z860" s="172"/>
    </row>
    <row r="861">
      <c r="A861" s="172"/>
      <c r="B861" s="182"/>
      <c r="C861" s="172"/>
      <c r="D861" s="172"/>
      <c r="E861" s="172"/>
      <c r="F861" s="172"/>
      <c r="G861" s="172"/>
      <c r="H861" s="172"/>
      <c r="I861" s="182"/>
      <c r="J861" s="172"/>
      <c r="K861" s="172"/>
      <c r="L861" s="172"/>
      <c r="M861" s="172"/>
      <c r="N861" s="172"/>
      <c r="O861" s="172"/>
      <c r="P861" s="172"/>
      <c r="Q861" s="172"/>
      <c r="R861" s="172"/>
      <c r="S861" s="172"/>
      <c r="T861" s="172"/>
      <c r="U861" s="172"/>
      <c r="V861" s="172"/>
      <c r="W861" s="172"/>
      <c r="X861" s="172"/>
      <c r="Y861" s="172"/>
      <c r="Z861" s="172"/>
    </row>
    <row r="862">
      <c r="A862" s="172"/>
      <c r="B862" s="182"/>
      <c r="C862" s="172"/>
      <c r="D862" s="172"/>
      <c r="E862" s="172"/>
      <c r="F862" s="172"/>
      <c r="G862" s="172"/>
      <c r="H862" s="172"/>
      <c r="I862" s="182"/>
      <c r="J862" s="172"/>
      <c r="K862" s="172"/>
      <c r="L862" s="172"/>
      <c r="M862" s="172"/>
      <c r="N862" s="172"/>
      <c r="O862" s="172"/>
      <c r="P862" s="172"/>
      <c r="Q862" s="172"/>
      <c r="R862" s="172"/>
      <c r="S862" s="172"/>
      <c r="T862" s="172"/>
      <c r="U862" s="172"/>
      <c r="V862" s="172"/>
      <c r="W862" s="172"/>
      <c r="X862" s="172"/>
      <c r="Y862" s="172"/>
      <c r="Z862" s="172"/>
    </row>
    <row r="863">
      <c r="A863" s="172"/>
      <c r="B863" s="182"/>
      <c r="C863" s="172"/>
      <c r="D863" s="172"/>
      <c r="E863" s="172"/>
      <c r="F863" s="172"/>
      <c r="G863" s="172"/>
      <c r="H863" s="172"/>
      <c r="I863" s="182"/>
      <c r="J863" s="172"/>
      <c r="K863" s="172"/>
      <c r="L863" s="172"/>
      <c r="M863" s="172"/>
      <c r="N863" s="172"/>
      <c r="O863" s="172"/>
      <c r="P863" s="172"/>
      <c r="Q863" s="172"/>
      <c r="R863" s="172"/>
      <c r="S863" s="172"/>
      <c r="T863" s="172"/>
      <c r="U863" s="172"/>
      <c r="V863" s="172"/>
      <c r="W863" s="172"/>
      <c r="X863" s="172"/>
      <c r="Y863" s="172"/>
      <c r="Z863" s="172"/>
    </row>
    <row r="864">
      <c r="A864" s="172"/>
      <c r="B864" s="182"/>
      <c r="C864" s="172"/>
      <c r="D864" s="172"/>
      <c r="E864" s="172"/>
      <c r="F864" s="172"/>
      <c r="G864" s="172"/>
      <c r="H864" s="172"/>
      <c r="I864" s="182"/>
      <c r="J864" s="172"/>
      <c r="K864" s="172"/>
      <c r="L864" s="172"/>
      <c r="M864" s="172"/>
      <c r="N864" s="172"/>
      <c r="O864" s="172"/>
      <c r="P864" s="172"/>
      <c r="Q864" s="172"/>
      <c r="R864" s="172"/>
      <c r="S864" s="172"/>
      <c r="T864" s="172"/>
      <c r="U864" s="172"/>
      <c r="V864" s="172"/>
      <c r="W864" s="172"/>
      <c r="X864" s="172"/>
      <c r="Y864" s="172"/>
      <c r="Z864" s="172"/>
    </row>
    <row r="865">
      <c r="A865" s="172"/>
      <c r="B865" s="182"/>
      <c r="C865" s="172"/>
      <c r="D865" s="172"/>
      <c r="E865" s="172"/>
      <c r="F865" s="172"/>
      <c r="G865" s="172"/>
      <c r="H865" s="172"/>
      <c r="I865" s="182"/>
      <c r="J865" s="172"/>
      <c r="K865" s="172"/>
      <c r="L865" s="172"/>
      <c r="M865" s="172"/>
      <c r="N865" s="172"/>
      <c r="O865" s="172"/>
      <c r="P865" s="172"/>
      <c r="Q865" s="172"/>
      <c r="R865" s="172"/>
      <c r="S865" s="172"/>
      <c r="T865" s="172"/>
      <c r="U865" s="172"/>
      <c r="V865" s="172"/>
      <c r="W865" s="172"/>
      <c r="X865" s="172"/>
      <c r="Y865" s="172"/>
      <c r="Z865" s="172"/>
    </row>
    <row r="866">
      <c r="A866" s="172"/>
      <c r="B866" s="182"/>
      <c r="C866" s="172"/>
      <c r="D866" s="172"/>
      <c r="E866" s="172"/>
      <c r="F866" s="172"/>
      <c r="G866" s="172"/>
      <c r="H866" s="172"/>
      <c r="I866" s="182"/>
      <c r="J866" s="172"/>
      <c r="K866" s="172"/>
      <c r="L866" s="172"/>
      <c r="M866" s="172"/>
      <c r="N866" s="172"/>
      <c r="O866" s="172"/>
      <c r="P866" s="172"/>
      <c r="Q866" s="172"/>
      <c r="R866" s="172"/>
      <c r="S866" s="172"/>
      <c r="T866" s="172"/>
      <c r="U866" s="172"/>
      <c r="V866" s="172"/>
      <c r="W866" s="172"/>
      <c r="X866" s="172"/>
      <c r="Y866" s="172"/>
      <c r="Z866" s="172"/>
    </row>
    <row r="867">
      <c r="A867" s="172"/>
      <c r="B867" s="182"/>
      <c r="C867" s="172"/>
      <c r="D867" s="172"/>
      <c r="E867" s="172"/>
      <c r="F867" s="172"/>
      <c r="G867" s="172"/>
      <c r="H867" s="172"/>
      <c r="I867" s="182"/>
      <c r="J867" s="172"/>
      <c r="K867" s="172"/>
      <c r="L867" s="172"/>
      <c r="M867" s="172"/>
      <c r="N867" s="172"/>
      <c r="O867" s="172"/>
      <c r="P867" s="172"/>
      <c r="Q867" s="172"/>
      <c r="R867" s="172"/>
      <c r="S867" s="172"/>
      <c r="T867" s="172"/>
      <c r="U867" s="172"/>
      <c r="V867" s="172"/>
      <c r="W867" s="172"/>
      <c r="X867" s="172"/>
      <c r="Y867" s="172"/>
      <c r="Z867" s="172"/>
    </row>
    <row r="868">
      <c r="A868" s="172"/>
      <c r="B868" s="182"/>
      <c r="C868" s="172"/>
      <c r="D868" s="172"/>
      <c r="E868" s="172"/>
      <c r="F868" s="172"/>
      <c r="G868" s="172"/>
      <c r="H868" s="172"/>
      <c r="I868" s="182"/>
      <c r="J868" s="172"/>
      <c r="K868" s="172"/>
      <c r="L868" s="172"/>
      <c r="M868" s="172"/>
      <c r="N868" s="172"/>
      <c r="O868" s="172"/>
      <c r="P868" s="172"/>
      <c r="Q868" s="172"/>
      <c r="R868" s="172"/>
      <c r="S868" s="172"/>
      <c r="T868" s="172"/>
      <c r="U868" s="172"/>
      <c r="V868" s="172"/>
      <c r="W868" s="172"/>
      <c r="X868" s="172"/>
      <c r="Y868" s="172"/>
      <c r="Z868" s="172"/>
    </row>
    <row r="869">
      <c r="A869" s="172"/>
      <c r="B869" s="182"/>
      <c r="C869" s="172"/>
      <c r="D869" s="172"/>
      <c r="E869" s="172"/>
      <c r="F869" s="172"/>
      <c r="G869" s="172"/>
      <c r="H869" s="172"/>
      <c r="I869" s="182"/>
      <c r="J869" s="172"/>
      <c r="K869" s="172"/>
      <c r="L869" s="172"/>
      <c r="M869" s="172"/>
      <c r="N869" s="172"/>
      <c r="O869" s="172"/>
      <c r="P869" s="172"/>
      <c r="Q869" s="172"/>
      <c r="R869" s="172"/>
      <c r="S869" s="172"/>
      <c r="T869" s="172"/>
      <c r="U869" s="172"/>
      <c r="V869" s="172"/>
      <c r="W869" s="172"/>
      <c r="X869" s="172"/>
      <c r="Y869" s="172"/>
      <c r="Z869" s="172"/>
    </row>
    <row r="870">
      <c r="A870" s="172"/>
      <c r="B870" s="182"/>
      <c r="C870" s="172"/>
      <c r="D870" s="172"/>
      <c r="E870" s="172"/>
      <c r="F870" s="172"/>
      <c r="G870" s="172"/>
      <c r="H870" s="172"/>
      <c r="I870" s="182"/>
      <c r="J870" s="172"/>
      <c r="K870" s="172"/>
      <c r="L870" s="172"/>
      <c r="M870" s="172"/>
      <c r="N870" s="172"/>
      <c r="O870" s="172"/>
      <c r="P870" s="172"/>
      <c r="Q870" s="172"/>
      <c r="R870" s="172"/>
      <c r="S870" s="172"/>
      <c r="T870" s="172"/>
      <c r="U870" s="172"/>
      <c r="V870" s="172"/>
      <c r="W870" s="172"/>
      <c r="X870" s="172"/>
      <c r="Y870" s="172"/>
      <c r="Z870" s="172"/>
    </row>
    <row r="871">
      <c r="A871" s="172"/>
      <c r="B871" s="182"/>
      <c r="C871" s="172"/>
      <c r="D871" s="172"/>
      <c r="E871" s="172"/>
      <c r="F871" s="172"/>
      <c r="G871" s="172"/>
      <c r="H871" s="172"/>
      <c r="I871" s="182"/>
      <c r="J871" s="172"/>
      <c r="K871" s="172"/>
      <c r="L871" s="172"/>
      <c r="M871" s="172"/>
      <c r="N871" s="172"/>
      <c r="O871" s="172"/>
      <c r="P871" s="172"/>
      <c r="Q871" s="172"/>
      <c r="R871" s="172"/>
      <c r="S871" s="172"/>
      <c r="T871" s="172"/>
      <c r="U871" s="172"/>
      <c r="V871" s="172"/>
      <c r="W871" s="172"/>
      <c r="X871" s="172"/>
      <c r="Y871" s="172"/>
      <c r="Z871" s="172"/>
    </row>
    <row r="872">
      <c r="A872" s="172"/>
      <c r="B872" s="182"/>
      <c r="C872" s="172"/>
      <c r="D872" s="172"/>
      <c r="E872" s="172"/>
      <c r="F872" s="172"/>
      <c r="G872" s="172"/>
      <c r="H872" s="172"/>
      <c r="I872" s="182"/>
      <c r="J872" s="172"/>
      <c r="K872" s="172"/>
      <c r="L872" s="172"/>
      <c r="M872" s="172"/>
      <c r="N872" s="172"/>
      <c r="O872" s="172"/>
      <c r="P872" s="172"/>
      <c r="Q872" s="172"/>
      <c r="R872" s="172"/>
      <c r="S872" s="172"/>
      <c r="T872" s="172"/>
      <c r="U872" s="172"/>
      <c r="V872" s="172"/>
      <c r="W872" s="172"/>
      <c r="X872" s="172"/>
      <c r="Y872" s="172"/>
      <c r="Z872" s="172"/>
    </row>
    <row r="873">
      <c r="A873" s="172"/>
      <c r="B873" s="182"/>
      <c r="C873" s="172"/>
      <c r="D873" s="172"/>
      <c r="E873" s="172"/>
      <c r="F873" s="172"/>
      <c r="G873" s="172"/>
      <c r="H873" s="172"/>
      <c r="I873" s="182"/>
      <c r="J873" s="172"/>
      <c r="K873" s="172"/>
      <c r="L873" s="172"/>
      <c r="M873" s="172"/>
      <c r="N873" s="172"/>
      <c r="O873" s="172"/>
      <c r="P873" s="172"/>
      <c r="Q873" s="172"/>
      <c r="R873" s="172"/>
      <c r="S873" s="172"/>
      <c r="T873" s="172"/>
      <c r="U873" s="172"/>
      <c r="V873" s="172"/>
      <c r="W873" s="172"/>
      <c r="X873" s="172"/>
      <c r="Y873" s="172"/>
      <c r="Z873" s="172"/>
    </row>
    <row r="874">
      <c r="A874" s="172"/>
      <c r="B874" s="182"/>
      <c r="C874" s="172"/>
      <c r="D874" s="172"/>
      <c r="E874" s="172"/>
      <c r="F874" s="172"/>
      <c r="G874" s="172"/>
      <c r="H874" s="172"/>
      <c r="I874" s="182"/>
      <c r="J874" s="172"/>
      <c r="K874" s="172"/>
      <c r="L874" s="172"/>
      <c r="M874" s="172"/>
      <c r="N874" s="172"/>
      <c r="O874" s="172"/>
      <c r="P874" s="172"/>
      <c r="Q874" s="172"/>
      <c r="R874" s="172"/>
      <c r="S874" s="172"/>
      <c r="T874" s="172"/>
      <c r="U874" s="172"/>
      <c r="V874" s="172"/>
      <c r="W874" s="172"/>
      <c r="X874" s="172"/>
      <c r="Y874" s="172"/>
      <c r="Z874" s="172"/>
    </row>
    <row r="875">
      <c r="A875" s="172"/>
      <c r="B875" s="182"/>
      <c r="C875" s="172"/>
      <c r="D875" s="172"/>
      <c r="E875" s="172"/>
      <c r="F875" s="172"/>
      <c r="G875" s="172"/>
      <c r="H875" s="172"/>
      <c r="I875" s="182"/>
      <c r="J875" s="172"/>
      <c r="K875" s="172"/>
      <c r="L875" s="172"/>
      <c r="M875" s="172"/>
      <c r="N875" s="172"/>
      <c r="O875" s="172"/>
      <c r="P875" s="172"/>
      <c r="Q875" s="172"/>
      <c r="R875" s="172"/>
      <c r="S875" s="172"/>
      <c r="T875" s="172"/>
      <c r="U875" s="172"/>
      <c r="V875" s="172"/>
      <c r="W875" s="172"/>
      <c r="X875" s="172"/>
      <c r="Y875" s="172"/>
      <c r="Z875" s="172"/>
    </row>
    <row r="876">
      <c r="A876" s="172"/>
      <c r="B876" s="182"/>
      <c r="C876" s="172"/>
      <c r="D876" s="172"/>
      <c r="E876" s="172"/>
      <c r="F876" s="172"/>
      <c r="G876" s="172"/>
      <c r="H876" s="172"/>
      <c r="I876" s="182"/>
      <c r="J876" s="172"/>
      <c r="K876" s="172"/>
      <c r="L876" s="172"/>
      <c r="M876" s="172"/>
      <c r="N876" s="172"/>
      <c r="O876" s="172"/>
      <c r="P876" s="172"/>
      <c r="Q876" s="172"/>
      <c r="R876" s="172"/>
      <c r="S876" s="172"/>
      <c r="T876" s="172"/>
      <c r="U876" s="172"/>
      <c r="V876" s="172"/>
      <c r="W876" s="172"/>
      <c r="X876" s="172"/>
      <c r="Y876" s="172"/>
      <c r="Z876" s="172"/>
    </row>
    <row r="877">
      <c r="A877" s="172"/>
      <c r="B877" s="182"/>
      <c r="C877" s="172"/>
      <c r="D877" s="172"/>
      <c r="E877" s="172"/>
      <c r="F877" s="172"/>
      <c r="G877" s="172"/>
      <c r="H877" s="172"/>
      <c r="I877" s="182"/>
      <c r="J877" s="172"/>
      <c r="K877" s="172"/>
      <c r="L877" s="172"/>
      <c r="M877" s="172"/>
      <c r="N877" s="172"/>
      <c r="O877" s="172"/>
      <c r="P877" s="172"/>
      <c r="Q877" s="172"/>
      <c r="R877" s="172"/>
      <c r="S877" s="172"/>
      <c r="T877" s="172"/>
      <c r="U877" s="172"/>
      <c r="V877" s="172"/>
      <c r="W877" s="172"/>
      <c r="X877" s="172"/>
      <c r="Y877" s="172"/>
      <c r="Z877" s="172"/>
    </row>
    <row r="878">
      <c r="A878" s="172"/>
      <c r="B878" s="182"/>
      <c r="C878" s="172"/>
      <c r="D878" s="172"/>
      <c r="E878" s="172"/>
      <c r="F878" s="172"/>
      <c r="G878" s="172"/>
      <c r="H878" s="172"/>
      <c r="I878" s="182"/>
      <c r="J878" s="172"/>
      <c r="K878" s="172"/>
      <c r="L878" s="172"/>
      <c r="M878" s="172"/>
      <c r="N878" s="172"/>
      <c r="O878" s="172"/>
      <c r="P878" s="172"/>
      <c r="Q878" s="172"/>
      <c r="R878" s="172"/>
      <c r="S878" s="172"/>
      <c r="T878" s="172"/>
      <c r="U878" s="172"/>
      <c r="V878" s="172"/>
      <c r="W878" s="172"/>
      <c r="X878" s="172"/>
      <c r="Y878" s="172"/>
      <c r="Z878" s="172"/>
    </row>
    <row r="879">
      <c r="A879" s="172"/>
      <c r="B879" s="182"/>
      <c r="C879" s="172"/>
      <c r="D879" s="172"/>
      <c r="E879" s="172"/>
      <c r="F879" s="172"/>
      <c r="G879" s="172"/>
      <c r="H879" s="172"/>
      <c r="I879" s="182"/>
      <c r="J879" s="172"/>
      <c r="K879" s="172"/>
      <c r="L879" s="172"/>
      <c r="M879" s="172"/>
      <c r="N879" s="172"/>
      <c r="O879" s="172"/>
      <c r="P879" s="172"/>
      <c r="Q879" s="172"/>
      <c r="R879" s="172"/>
      <c r="S879" s="172"/>
      <c r="T879" s="172"/>
      <c r="U879" s="172"/>
      <c r="V879" s="172"/>
      <c r="W879" s="172"/>
      <c r="X879" s="172"/>
      <c r="Y879" s="172"/>
      <c r="Z879" s="172"/>
    </row>
    <row r="880">
      <c r="A880" s="172"/>
      <c r="B880" s="182"/>
      <c r="C880" s="172"/>
      <c r="D880" s="172"/>
      <c r="E880" s="172"/>
      <c r="F880" s="172"/>
      <c r="G880" s="172"/>
      <c r="H880" s="172"/>
      <c r="I880" s="182"/>
      <c r="J880" s="172"/>
      <c r="K880" s="172"/>
      <c r="L880" s="172"/>
      <c r="M880" s="172"/>
      <c r="N880" s="172"/>
      <c r="O880" s="172"/>
      <c r="P880" s="172"/>
      <c r="Q880" s="172"/>
      <c r="R880" s="172"/>
      <c r="S880" s="172"/>
      <c r="T880" s="172"/>
      <c r="U880" s="172"/>
      <c r="V880" s="172"/>
      <c r="W880" s="172"/>
      <c r="X880" s="172"/>
      <c r="Y880" s="172"/>
      <c r="Z880" s="172"/>
    </row>
    <row r="881">
      <c r="A881" s="172"/>
      <c r="B881" s="182"/>
      <c r="C881" s="172"/>
      <c r="D881" s="172"/>
      <c r="E881" s="172"/>
      <c r="F881" s="172"/>
      <c r="G881" s="172"/>
      <c r="H881" s="172"/>
      <c r="I881" s="182"/>
      <c r="J881" s="172"/>
      <c r="K881" s="172"/>
      <c r="L881" s="172"/>
      <c r="M881" s="172"/>
      <c r="N881" s="172"/>
      <c r="O881" s="172"/>
      <c r="P881" s="172"/>
      <c r="Q881" s="172"/>
      <c r="R881" s="172"/>
      <c r="S881" s="172"/>
      <c r="T881" s="172"/>
      <c r="U881" s="172"/>
      <c r="V881" s="172"/>
      <c r="W881" s="172"/>
      <c r="X881" s="172"/>
      <c r="Y881" s="172"/>
      <c r="Z881" s="172"/>
    </row>
    <row r="882">
      <c r="A882" s="172"/>
      <c r="B882" s="182"/>
      <c r="C882" s="172"/>
      <c r="D882" s="172"/>
      <c r="E882" s="172"/>
      <c r="F882" s="172"/>
      <c r="G882" s="172"/>
      <c r="H882" s="172"/>
      <c r="I882" s="182"/>
      <c r="J882" s="172"/>
      <c r="K882" s="172"/>
      <c r="L882" s="172"/>
      <c r="M882" s="172"/>
      <c r="N882" s="172"/>
      <c r="O882" s="172"/>
      <c r="P882" s="172"/>
      <c r="Q882" s="172"/>
      <c r="R882" s="172"/>
      <c r="S882" s="172"/>
      <c r="T882" s="172"/>
      <c r="U882" s="172"/>
      <c r="V882" s="172"/>
      <c r="W882" s="172"/>
      <c r="X882" s="172"/>
      <c r="Y882" s="172"/>
      <c r="Z882" s="172"/>
    </row>
    <row r="883">
      <c r="A883" s="172"/>
      <c r="B883" s="182"/>
      <c r="C883" s="172"/>
      <c r="D883" s="172"/>
      <c r="E883" s="172"/>
      <c r="F883" s="172"/>
      <c r="G883" s="172"/>
      <c r="H883" s="172"/>
      <c r="I883" s="182"/>
      <c r="J883" s="172"/>
      <c r="K883" s="172"/>
      <c r="L883" s="172"/>
      <c r="M883" s="172"/>
      <c r="N883" s="172"/>
      <c r="O883" s="172"/>
      <c r="P883" s="172"/>
      <c r="Q883" s="172"/>
      <c r="R883" s="172"/>
      <c r="S883" s="172"/>
      <c r="T883" s="172"/>
      <c r="U883" s="172"/>
      <c r="V883" s="172"/>
      <c r="W883" s="172"/>
      <c r="X883" s="172"/>
      <c r="Y883" s="172"/>
      <c r="Z883" s="172"/>
    </row>
    <row r="884">
      <c r="A884" s="172"/>
      <c r="B884" s="182"/>
      <c r="C884" s="172"/>
      <c r="D884" s="172"/>
      <c r="E884" s="172"/>
      <c r="F884" s="172"/>
      <c r="G884" s="172"/>
      <c r="H884" s="172"/>
      <c r="I884" s="182"/>
      <c r="J884" s="172"/>
      <c r="K884" s="172"/>
      <c r="L884" s="172"/>
      <c r="M884" s="172"/>
      <c r="N884" s="172"/>
      <c r="O884" s="172"/>
      <c r="P884" s="172"/>
      <c r="Q884" s="172"/>
      <c r="R884" s="172"/>
      <c r="S884" s="172"/>
      <c r="T884" s="172"/>
      <c r="U884" s="172"/>
      <c r="V884" s="172"/>
      <c r="W884" s="172"/>
      <c r="X884" s="172"/>
      <c r="Y884" s="172"/>
      <c r="Z884" s="172"/>
    </row>
    <row r="885">
      <c r="A885" s="172"/>
      <c r="B885" s="182"/>
      <c r="C885" s="172"/>
      <c r="D885" s="172"/>
      <c r="E885" s="172"/>
      <c r="F885" s="172"/>
      <c r="G885" s="172"/>
      <c r="H885" s="172"/>
      <c r="I885" s="182"/>
      <c r="J885" s="172"/>
      <c r="K885" s="172"/>
      <c r="L885" s="172"/>
      <c r="M885" s="172"/>
      <c r="N885" s="172"/>
      <c r="O885" s="172"/>
      <c r="P885" s="172"/>
      <c r="Q885" s="172"/>
      <c r="R885" s="172"/>
      <c r="S885" s="172"/>
      <c r="T885" s="172"/>
      <c r="U885" s="172"/>
      <c r="V885" s="172"/>
      <c r="W885" s="172"/>
      <c r="X885" s="172"/>
      <c r="Y885" s="172"/>
      <c r="Z885" s="172"/>
    </row>
    <row r="886">
      <c r="A886" s="172"/>
      <c r="B886" s="182"/>
      <c r="C886" s="172"/>
      <c r="D886" s="172"/>
      <c r="E886" s="172"/>
      <c r="F886" s="172"/>
      <c r="G886" s="172"/>
      <c r="H886" s="172"/>
      <c r="I886" s="182"/>
      <c r="J886" s="172"/>
      <c r="K886" s="172"/>
      <c r="L886" s="172"/>
      <c r="M886" s="172"/>
      <c r="N886" s="172"/>
      <c r="O886" s="172"/>
      <c r="P886" s="172"/>
      <c r="Q886" s="172"/>
      <c r="R886" s="172"/>
      <c r="S886" s="172"/>
      <c r="T886" s="172"/>
      <c r="U886" s="172"/>
      <c r="V886" s="172"/>
      <c r="W886" s="172"/>
      <c r="X886" s="172"/>
      <c r="Y886" s="172"/>
      <c r="Z886" s="172"/>
    </row>
    <row r="887">
      <c r="A887" s="172"/>
      <c r="B887" s="182"/>
      <c r="C887" s="172"/>
      <c r="D887" s="172"/>
      <c r="E887" s="172"/>
      <c r="F887" s="172"/>
      <c r="G887" s="172"/>
      <c r="H887" s="172"/>
      <c r="I887" s="182"/>
      <c r="J887" s="172"/>
      <c r="K887" s="172"/>
      <c r="L887" s="172"/>
      <c r="M887" s="172"/>
      <c r="N887" s="172"/>
      <c r="O887" s="172"/>
      <c r="P887" s="172"/>
      <c r="Q887" s="172"/>
      <c r="R887" s="172"/>
      <c r="S887" s="172"/>
      <c r="T887" s="172"/>
      <c r="U887" s="172"/>
      <c r="V887" s="172"/>
      <c r="W887" s="172"/>
      <c r="X887" s="172"/>
      <c r="Y887" s="172"/>
      <c r="Z887" s="172"/>
    </row>
    <row r="888">
      <c r="A888" s="172"/>
      <c r="B888" s="182"/>
      <c r="C888" s="172"/>
      <c r="D888" s="172"/>
      <c r="E888" s="172"/>
      <c r="F888" s="172"/>
      <c r="G888" s="172"/>
      <c r="H888" s="172"/>
      <c r="I888" s="182"/>
      <c r="J888" s="172"/>
      <c r="K888" s="172"/>
      <c r="L888" s="172"/>
      <c r="M888" s="172"/>
      <c r="N888" s="172"/>
      <c r="O888" s="172"/>
      <c r="P888" s="172"/>
      <c r="Q888" s="172"/>
      <c r="R888" s="172"/>
      <c r="S888" s="172"/>
      <c r="T888" s="172"/>
      <c r="U888" s="172"/>
      <c r="V888" s="172"/>
      <c r="W888" s="172"/>
      <c r="X888" s="172"/>
      <c r="Y888" s="172"/>
      <c r="Z888" s="172"/>
    </row>
    <row r="889">
      <c r="A889" s="172"/>
      <c r="B889" s="182"/>
      <c r="C889" s="172"/>
      <c r="D889" s="172"/>
      <c r="E889" s="172"/>
      <c r="F889" s="172"/>
      <c r="G889" s="172"/>
      <c r="H889" s="172"/>
      <c r="I889" s="182"/>
      <c r="J889" s="172"/>
      <c r="K889" s="172"/>
      <c r="L889" s="172"/>
      <c r="M889" s="172"/>
      <c r="N889" s="172"/>
      <c r="O889" s="172"/>
      <c r="P889" s="172"/>
      <c r="Q889" s="172"/>
      <c r="R889" s="172"/>
      <c r="S889" s="172"/>
      <c r="T889" s="172"/>
      <c r="U889" s="172"/>
      <c r="V889" s="172"/>
      <c r="W889" s="172"/>
      <c r="X889" s="172"/>
      <c r="Y889" s="172"/>
      <c r="Z889" s="172"/>
    </row>
    <row r="890">
      <c r="A890" s="172"/>
      <c r="B890" s="182"/>
      <c r="C890" s="172"/>
      <c r="D890" s="172"/>
      <c r="E890" s="172"/>
      <c r="F890" s="172"/>
      <c r="G890" s="172"/>
      <c r="H890" s="172"/>
      <c r="I890" s="182"/>
      <c r="J890" s="172"/>
      <c r="K890" s="172"/>
      <c r="L890" s="172"/>
      <c r="M890" s="172"/>
      <c r="N890" s="172"/>
      <c r="O890" s="172"/>
      <c r="P890" s="172"/>
      <c r="Q890" s="172"/>
      <c r="R890" s="172"/>
      <c r="S890" s="172"/>
      <c r="T890" s="172"/>
      <c r="U890" s="172"/>
      <c r="V890" s="172"/>
      <c r="W890" s="172"/>
      <c r="X890" s="172"/>
      <c r="Y890" s="172"/>
      <c r="Z890" s="172"/>
    </row>
    <row r="891">
      <c r="A891" s="172"/>
      <c r="B891" s="182"/>
      <c r="C891" s="172"/>
      <c r="D891" s="172"/>
      <c r="E891" s="172"/>
      <c r="F891" s="172"/>
      <c r="G891" s="172"/>
      <c r="H891" s="172"/>
      <c r="I891" s="182"/>
      <c r="J891" s="172"/>
      <c r="K891" s="172"/>
      <c r="L891" s="172"/>
      <c r="M891" s="172"/>
      <c r="N891" s="172"/>
      <c r="O891" s="172"/>
      <c r="P891" s="172"/>
      <c r="Q891" s="172"/>
      <c r="R891" s="172"/>
      <c r="S891" s="172"/>
      <c r="T891" s="172"/>
      <c r="U891" s="172"/>
      <c r="V891" s="172"/>
      <c r="W891" s="172"/>
      <c r="X891" s="172"/>
      <c r="Y891" s="172"/>
      <c r="Z891" s="172"/>
    </row>
    <row r="892">
      <c r="A892" s="172"/>
      <c r="B892" s="182"/>
      <c r="C892" s="172"/>
      <c r="D892" s="172"/>
      <c r="E892" s="172"/>
      <c r="F892" s="172"/>
      <c r="G892" s="172"/>
      <c r="H892" s="172"/>
      <c r="I892" s="182"/>
      <c r="J892" s="172"/>
      <c r="K892" s="172"/>
      <c r="L892" s="172"/>
      <c r="M892" s="172"/>
      <c r="N892" s="172"/>
      <c r="O892" s="172"/>
      <c r="P892" s="172"/>
      <c r="Q892" s="172"/>
      <c r="R892" s="172"/>
      <c r="S892" s="172"/>
      <c r="T892" s="172"/>
      <c r="U892" s="172"/>
      <c r="V892" s="172"/>
      <c r="W892" s="172"/>
      <c r="X892" s="172"/>
      <c r="Y892" s="172"/>
      <c r="Z892" s="172"/>
    </row>
    <row r="893">
      <c r="A893" s="172"/>
      <c r="B893" s="182"/>
      <c r="C893" s="172"/>
      <c r="D893" s="172"/>
      <c r="E893" s="172"/>
      <c r="F893" s="172"/>
      <c r="G893" s="172"/>
      <c r="H893" s="172"/>
      <c r="I893" s="182"/>
      <c r="J893" s="172"/>
      <c r="K893" s="172"/>
      <c r="L893" s="172"/>
      <c r="M893" s="172"/>
      <c r="N893" s="172"/>
      <c r="O893" s="172"/>
      <c r="P893" s="172"/>
      <c r="Q893" s="172"/>
      <c r="R893" s="172"/>
      <c r="S893" s="172"/>
      <c r="T893" s="172"/>
      <c r="U893" s="172"/>
      <c r="V893" s="172"/>
      <c r="W893" s="172"/>
      <c r="X893" s="172"/>
      <c r="Y893" s="172"/>
      <c r="Z893" s="172"/>
    </row>
    <row r="894">
      <c r="A894" s="172"/>
      <c r="B894" s="182"/>
      <c r="C894" s="172"/>
      <c r="D894" s="172"/>
      <c r="E894" s="172"/>
      <c r="F894" s="172"/>
      <c r="G894" s="172"/>
      <c r="H894" s="172"/>
      <c r="I894" s="182"/>
      <c r="J894" s="172"/>
      <c r="K894" s="172"/>
      <c r="L894" s="172"/>
      <c r="M894" s="172"/>
      <c r="N894" s="172"/>
      <c r="O894" s="172"/>
      <c r="P894" s="172"/>
      <c r="Q894" s="172"/>
      <c r="R894" s="172"/>
      <c r="S894" s="172"/>
      <c r="T894" s="172"/>
      <c r="U894" s="172"/>
      <c r="V894" s="172"/>
      <c r="W894" s="172"/>
      <c r="X894" s="172"/>
      <c r="Y894" s="172"/>
      <c r="Z894" s="172"/>
    </row>
    <row r="895">
      <c r="A895" s="172"/>
      <c r="B895" s="182"/>
      <c r="C895" s="172"/>
      <c r="D895" s="172"/>
      <c r="E895" s="172"/>
      <c r="F895" s="172"/>
      <c r="G895" s="172"/>
      <c r="H895" s="172"/>
      <c r="I895" s="182"/>
      <c r="J895" s="172"/>
      <c r="K895" s="172"/>
      <c r="L895" s="172"/>
      <c r="M895" s="172"/>
      <c r="N895" s="172"/>
      <c r="O895" s="172"/>
      <c r="P895" s="172"/>
      <c r="Q895" s="172"/>
      <c r="R895" s="172"/>
      <c r="S895" s="172"/>
      <c r="T895" s="172"/>
      <c r="U895" s="172"/>
      <c r="V895" s="172"/>
      <c r="W895" s="172"/>
      <c r="X895" s="172"/>
      <c r="Y895" s="172"/>
      <c r="Z895" s="172"/>
    </row>
    <row r="896">
      <c r="A896" s="172"/>
      <c r="B896" s="182"/>
      <c r="C896" s="172"/>
      <c r="D896" s="172"/>
      <c r="E896" s="172"/>
      <c r="F896" s="172"/>
      <c r="G896" s="172"/>
      <c r="H896" s="172"/>
      <c r="I896" s="182"/>
      <c r="J896" s="172"/>
      <c r="K896" s="172"/>
      <c r="L896" s="172"/>
      <c r="M896" s="172"/>
      <c r="N896" s="172"/>
      <c r="O896" s="172"/>
      <c r="P896" s="172"/>
      <c r="Q896" s="172"/>
      <c r="R896" s="172"/>
      <c r="S896" s="172"/>
      <c r="T896" s="172"/>
      <c r="U896" s="172"/>
      <c r="V896" s="172"/>
      <c r="W896" s="172"/>
      <c r="X896" s="172"/>
      <c r="Y896" s="172"/>
      <c r="Z896" s="172"/>
    </row>
    <row r="897">
      <c r="A897" s="172"/>
      <c r="B897" s="182"/>
      <c r="C897" s="172"/>
      <c r="D897" s="172"/>
      <c r="E897" s="172"/>
      <c r="F897" s="172"/>
      <c r="G897" s="172"/>
      <c r="H897" s="172"/>
      <c r="I897" s="182"/>
      <c r="J897" s="172"/>
      <c r="K897" s="172"/>
      <c r="L897" s="172"/>
      <c r="M897" s="172"/>
      <c r="N897" s="172"/>
      <c r="O897" s="172"/>
      <c r="P897" s="172"/>
      <c r="Q897" s="172"/>
      <c r="R897" s="172"/>
      <c r="S897" s="172"/>
      <c r="T897" s="172"/>
      <c r="U897" s="172"/>
      <c r="V897" s="172"/>
      <c r="W897" s="172"/>
      <c r="X897" s="172"/>
      <c r="Y897" s="172"/>
      <c r="Z897" s="172"/>
    </row>
    <row r="898">
      <c r="A898" s="172"/>
      <c r="B898" s="182"/>
      <c r="C898" s="172"/>
      <c r="D898" s="172"/>
      <c r="E898" s="172"/>
      <c r="F898" s="172"/>
      <c r="G898" s="172"/>
      <c r="H898" s="172"/>
      <c r="I898" s="182"/>
      <c r="J898" s="172"/>
      <c r="K898" s="172"/>
      <c r="L898" s="172"/>
      <c r="M898" s="172"/>
      <c r="N898" s="172"/>
      <c r="O898" s="172"/>
      <c r="P898" s="172"/>
      <c r="Q898" s="172"/>
      <c r="R898" s="172"/>
      <c r="S898" s="172"/>
      <c r="T898" s="172"/>
      <c r="U898" s="172"/>
      <c r="V898" s="172"/>
      <c r="W898" s="172"/>
      <c r="X898" s="172"/>
      <c r="Y898" s="172"/>
      <c r="Z898" s="172"/>
    </row>
    <row r="899">
      <c r="A899" s="172"/>
      <c r="B899" s="182"/>
      <c r="C899" s="172"/>
      <c r="D899" s="172"/>
      <c r="E899" s="172"/>
      <c r="F899" s="172"/>
      <c r="G899" s="172"/>
      <c r="H899" s="172"/>
      <c r="I899" s="182"/>
      <c r="J899" s="172"/>
      <c r="K899" s="172"/>
      <c r="L899" s="172"/>
      <c r="M899" s="172"/>
      <c r="N899" s="172"/>
      <c r="O899" s="172"/>
      <c r="P899" s="172"/>
      <c r="Q899" s="172"/>
      <c r="R899" s="172"/>
      <c r="S899" s="172"/>
      <c r="T899" s="172"/>
      <c r="U899" s="172"/>
      <c r="V899" s="172"/>
      <c r="W899" s="172"/>
      <c r="X899" s="172"/>
      <c r="Y899" s="172"/>
      <c r="Z899" s="172"/>
    </row>
    <row r="900">
      <c r="A900" s="172"/>
      <c r="B900" s="182"/>
      <c r="C900" s="172"/>
      <c r="D900" s="172"/>
      <c r="E900" s="172"/>
      <c r="F900" s="172"/>
      <c r="G900" s="172"/>
      <c r="H900" s="172"/>
      <c r="I900" s="182"/>
      <c r="J900" s="172"/>
      <c r="K900" s="172"/>
      <c r="L900" s="172"/>
      <c r="M900" s="172"/>
      <c r="N900" s="172"/>
      <c r="O900" s="172"/>
      <c r="P900" s="172"/>
      <c r="Q900" s="172"/>
      <c r="R900" s="172"/>
      <c r="S900" s="172"/>
      <c r="T900" s="172"/>
      <c r="U900" s="172"/>
      <c r="V900" s="172"/>
      <c r="W900" s="172"/>
      <c r="X900" s="172"/>
      <c r="Y900" s="172"/>
      <c r="Z900" s="172"/>
    </row>
    <row r="901">
      <c r="A901" s="172"/>
      <c r="B901" s="182"/>
      <c r="C901" s="172"/>
      <c r="D901" s="172"/>
      <c r="E901" s="172"/>
      <c r="F901" s="172"/>
      <c r="G901" s="172"/>
      <c r="H901" s="172"/>
      <c r="I901" s="182"/>
      <c r="J901" s="172"/>
      <c r="K901" s="172"/>
      <c r="L901" s="172"/>
      <c r="M901" s="172"/>
      <c r="N901" s="172"/>
      <c r="O901" s="172"/>
      <c r="P901" s="172"/>
      <c r="Q901" s="172"/>
      <c r="R901" s="172"/>
      <c r="S901" s="172"/>
      <c r="T901" s="172"/>
      <c r="U901" s="172"/>
      <c r="V901" s="172"/>
      <c r="W901" s="172"/>
      <c r="X901" s="172"/>
      <c r="Y901" s="172"/>
      <c r="Z901" s="172"/>
    </row>
    <row r="902">
      <c r="A902" s="172"/>
      <c r="B902" s="182"/>
      <c r="C902" s="172"/>
      <c r="D902" s="172"/>
      <c r="E902" s="172"/>
      <c r="F902" s="172"/>
      <c r="G902" s="172"/>
      <c r="H902" s="172"/>
      <c r="I902" s="182"/>
      <c r="J902" s="172"/>
      <c r="K902" s="172"/>
      <c r="L902" s="172"/>
      <c r="M902" s="172"/>
      <c r="N902" s="172"/>
      <c r="O902" s="172"/>
      <c r="P902" s="172"/>
      <c r="Q902" s="172"/>
      <c r="R902" s="172"/>
      <c r="S902" s="172"/>
      <c r="T902" s="172"/>
      <c r="U902" s="172"/>
      <c r="V902" s="172"/>
      <c r="W902" s="172"/>
      <c r="X902" s="172"/>
      <c r="Y902" s="172"/>
      <c r="Z902" s="172"/>
    </row>
    <row r="903">
      <c r="A903" s="172"/>
      <c r="B903" s="182"/>
      <c r="C903" s="172"/>
      <c r="D903" s="172"/>
      <c r="E903" s="172"/>
      <c r="F903" s="172"/>
      <c r="G903" s="172"/>
      <c r="H903" s="172"/>
      <c r="I903" s="182"/>
      <c r="J903" s="172"/>
      <c r="K903" s="172"/>
      <c r="L903" s="172"/>
      <c r="M903" s="172"/>
      <c r="N903" s="172"/>
      <c r="O903" s="172"/>
      <c r="P903" s="172"/>
      <c r="Q903" s="172"/>
      <c r="R903" s="172"/>
      <c r="S903" s="172"/>
      <c r="T903" s="172"/>
      <c r="U903" s="172"/>
      <c r="V903" s="172"/>
      <c r="W903" s="172"/>
      <c r="X903" s="172"/>
      <c r="Y903" s="172"/>
      <c r="Z903" s="172"/>
    </row>
    <row r="904">
      <c r="A904" s="172"/>
      <c r="B904" s="182"/>
      <c r="C904" s="172"/>
      <c r="D904" s="172"/>
      <c r="E904" s="172"/>
      <c r="F904" s="172"/>
      <c r="G904" s="172"/>
      <c r="H904" s="172"/>
      <c r="I904" s="182"/>
      <c r="J904" s="172"/>
      <c r="K904" s="172"/>
      <c r="L904" s="172"/>
      <c r="M904" s="172"/>
      <c r="N904" s="172"/>
      <c r="O904" s="172"/>
      <c r="P904" s="172"/>
      <c r="Q904" s="172"/>
      <c r="R904" s="172"/>
      <c r="S904" s="172"/>
      <c r="T904" s="172"/>
      <c r="U904" s="172"/>
      <c r="V904" s="172"/>
      <c r="W904" s="172"/>
      <c r="X904" s="172"/>
      <c r="Y904" s="172"/>
      <c r="Z904" s="172"/>
    </row>
    <row r="905">
      <c r="A905" s="172"/>
      <c r="B905" s="182"/>
      <c r="C905" s="172"/>
      <c r="D905" s="172"/>
      <c r="E905" s="172"/>
      <c r="F905" s="172"/>
      <c r="G905" s="172"/>
      <c r="H905" s="172"/>
      <c r="I905" s="182"/>
      <c r="J905" s="172"/>
      <c r="K905" s="172"/>
      <c r="L905" s="172"/>
      <c r="M905" s="172"/>
      <c r="N905" s="172"/>
      <c r="O905" s="172"/>
      <c r="P905" s="172"/>
      <c r="Q905" s="172"/>
      <c r="R905" s="172"/>
      <c r="S905" s="172"/>
      <c r="T905" s="172"/>
      <c r="U905" s="172"/>
      <c r="V905" s="172"/>
      <c r="W905" s="172"/>
      <c r="X905" s="172"/>
      <c r="Y905" s="172"/>
      <c r="Z905" s="172"/>
    </row>
    <row r="906">
      <c r="A906" s="172"/>
      <c r="B906" s="182"/>
      <c r="C906" s="172"/>
      <c r="D906" s="172"/>
      <c r="E906" s="172"/>
      <c r="F906" s="172"/>
      <c r="G906" s="172"/>
      <c r="H906" s="172"/>
      <c r="I906" s="182"/>
      <c r="J906" s="172"/>
      <c r="K906" s="172"/>
      <c r="L906" s="172"/>
      <c r="M906" s="172"/>
      <c r="N906" s="172"/>
      <c r="O906" s="172"/>
      <c r="P906" s="172"/>
      <c r="Q906" s="172"/>
      <c r="R906" s="172"/>
      <c r="S906" s="172"/>
      <c r="T906" s="172"/>
      <c r="U906" s="172"/>
      <c r="V906" s="172"/>
      <c r="W906" s="172"/>
      <c r="X906" s="172"/>
      <c r="Y906" s="172"/>
      <c r="Z906" s="172"/>
    </row>
    <row r="907">
      <c r="A907" s="172"/>
      <c r="B907" s="182"/>
      <c r="C907" s="172"/>
      <c r="D907" s="172"/>
      <c r="E907" s="172"/>
      <c r="F907" s="172"/>
      <c r="G907" s="172"/>
      <c r="H907" s="172"/>
      <c r="I907" s="182"/>
      <c r="J907" s="172"/>
      <c r="K907" s="172"/>
      <c r="L907" s="172"/>
      <c r="M907" s="172"/>
      <c r="N907" s="172"/>
      <c r="O907" s="172"/>
      <c r="P907" s="172"/>
      <c r="Q907" s="172"/>
      <c r="R907" s="172"/>
      <c r="S907" s="172"/>
      <c r="T907" s="172"/>
      <c r="U907" s="172"/>
      <c r="V907" s="172"/>
      <c r="W907" s="172"/>
      <c r="X907" s="172"/>
      <c r="Y907" s="172"/>
      <c r="Z907" s="172"/>
    </row>
    <row r="908">
      <c r="A908" s="172"/>
      <c r="B908" s="182"/>
      <c r="C908" s="172"/>
      <c r="D908" s="172"/>
      <c r="E908" s="172"/>
      <c r="F908" s="172"/>
      <c r="G908" s="172"/>
      <c r="H908" s="172"/>
      <c r="I908" s="182"/>
      <c r="J908" s="172"/>
      <c r="K908" s="172"/>
      <c r="L908" s="172"/>
      <c r="M908" s="172"/>
      <c r="N908" s="172"/>
      <c r="O908" s="172"/>
      <c r="P908" s="172"/>
      <c r="Q908" s="172"/>
      <c r="R908" s="172"/>
      <c r="S908" s="172"/>
      <c r="T908" s="172"/>
      <c r="U908" s="172"/>
      <c r="V908" s="172"/>
      <c r="W908" s="172"/>
      <c r="X908" s="172"/>
      <c r="Y908" s="172"/>
      <c r="Z908" s="172"/>
    </row>
    <row r="909">
      <c r="A909" s="172"/>
      <c r="B909" s="182"/>
      <c r="C909" s="172"/>
      <c r="D909" s="172"/>
      <c r="E909" s="172"/>
      <c r="F909" s="172"/>
      <c r="G909" s="172"/>
      <c r="H909" s="172"/>
      <c r="I909" s="182"/>
      <c r="J909" s="172"/>
      <c r="K909" s="172"/>
      <c r="L909" s="172"/>
      <c r="M909" s="172"/>
      <c r="N909" s="172"/>
      <c r="O909" s="172"/>
      <c r="P909" s="172"/>
      <c r="Q909" s="172"/>
      <c r="R909" s="172"/>
      <c r="S909" s="172"/>
      <c r="T909" s="172"/>
      <c r="U909" s="172"/>
      <c r="V909" s="172"/>
      <c r="W909" s="172"/>
      <c r="X909" s="172"/>
      <c r="Y909" s="172"/>
      <c r="Z909" s="172"/>
    </row>
    <row r="910">
      <c r="A910" s="172"/>
      <c r="B910" s="182"/>
      <c r="C910" s="172"/>
      <c r="D910" s="172"/>
      <c r="E910" s="172"/>
      <c r="F910" s="172"/>
      <c r="G910" s="172"/>
      <c r="H910" s="172"/>
      <c r="I910" s="182"/>
      <c r="J910" s="172"/>
      <c r="K910" s="172"/>
      <c r="L910" s="172"/>
      <c r="M910" s="172"/>
      <c r="N910" s="172"/>
      <c r="O910" s="172"/>
      <c r="P910" s="172"/>
      <c r="Q910" s="172"/>
      <c r="R910" s="172"/>
      <c r="S910" s="172"/>
      <c r="T910" s="172"/>
      <c r="U910" s="172"/>
      <c r="V910" s="172"/>
      <c r="W910" s="172"/>
      <c r="X910" s="172"/>
      <c r="Y910" s="172"/>
      <c r="Z910" s="172"/>
    </row>
    <row r="911">
      <c r="A911" s="172"/>
      <c r="B911" s="182"/>
      <c r="C911" s="172"/>
      <c r="D911" s="172"/>
      <c r="E911" s="172"/>
      <c r="F911" s="172"/>
      <c r="G911" s="172"/>
      <c r="H911" s="172"/>
      <c r="I911" s="182"/>
      <c r="J911" s="172"/>
      <c r="K911" s="172"/>
      <c r="L911" s="172"/>
      <c r="M911" s="172"/>
      <c r="N911" s="172"/>
      <c r="O911" s="172"/>
      <c r="P911" s="172"/>
      <c r="Q911" s="172"/>
      <c r="R911" s="172"/>
      <c r="S911" s="172"/>
      <c r="T911" s="172"/>
      <c r="U911" s="172"/>
      <c r="V911" s="172"/>
      <c r="W911" s="172"/>
      <c r="X911" s="172"/>
      <c r="Y911" s="172"/>
      <c r="Z911" s="172"/>
    </row>
    <row r="912">
      <c r="A912" s="172"/>
      <c r="B912" s="182"/>
      <c r="C912" s="172"/>
      <c r="D912" s="172"/>
      <c r="E912" s="172"/>
      <c r="F912" s="172"/>
      <c r="G912" s="172"/>
      <c r="H912" s="172"/>
      <c r="I912" s="182"/>
      <c r="J912" s="172"/>
      <c r="K912" s="172"/>
      <c r="L912" s="172"/>
      <c r="M912" s="172"/>
      <c r="N912" s="172"/>
      <c r="O912" s="172"/>
      <c r="P912" s="172"/>
      <c r="Q912" s="172"/>
      <c r="R912" s="172"/>
      <c r="S912" s="172"/>
      <c r="T912" s="172"/>
      <c r="U912" s="172"/>
      <c r="V912" s="172"/>
      <c r="W912" s="172"/>
      <c r="X912" s="172"/>
      <c r="Y912" s="172"/>
      <c r="Z912" s="172"/>
    </row>
    <row r="913">
      <c r="A913" s="172"/>
      <c r="B913" s="182"/>
      <c r="C913" s="172"/>
      <c r="D913" s="172"/>
      <c r="E913" s="172"/>
      <c r="F913" s="172"/>
      <c r="G913" s="172"/>
      <c r="H913" s="172"/>
      <c r="I913" s="182"/>
      <c r="J913" s="172"/>
      <c r="K913" s="172"/>
      <c r="L913" s="172"/>
      <c r="M913" s="172"/>
      <c r="N913" s="172"/>
      <c r="O913" s="172"/>
      <c r="P913" s="172"/>
      <c r="Q913" s="172"/>
      <c r="R913" s="172"/>
      <c r="S913" s="172"/>
      <c r="T913" s="172"/>
      <c r="U913" s="172"/>
      <c r="V913" s="172"/>
      <c r="W913" s="172"/>
      <c r="X913" s="172"/>
      <c r="Y913" s="172"/>
      <c r="Z913" s="172"/>
    </row>
    <row r="914">
      <c r="A914" s="172"/>
      <c r="B914" s="182"/>
      <c r="C914" s="172"/>
      <c r="D914" s="172"/>
      <c r="E914" s="172"/>
      <c r="F914" s="172"/>
      <c r="G914" s="172"/>
      <c r="H914" s="172"/>
      <c r="I914" s="182"/>
      <c r="J914" s="172"/>
      <c r="K914" s="172"/>
      <c r="L914" s="172"/>
      <c r="M914" s="172"/>
      <c r="N914" s="172"/>
      <c r="O914" s="172"/>
      <c r="P914" s="172"/>
      <c r="Q914" s="172"/>
      <c r="R914" s="172"/>
      <c r="S914" s="172"/>
      <c r="T914" s="172"/>
      <c r="U914" s="172"/>
      <c r="V914" s="172"/>
      <c r="W914" s="172"/>
      <c r="X914" s="172"/>
      <c r="Y914" s="172"/>
      <c r="Z914" s="172"/>
    </row>
    <row r="915">
      <c r="A915" s="172"/>
      <c r="B915" s="182"/>
      <c r="C915" s="172"/>
      <c r="D915" s="172"/>
      <c r="E915" s="172"/>
      <c r="F915" s="172"/>
      <c r="G915" s="172"/>
      <c r="H915" s="172"/>
      <c r="I915" s="182"/>
      <c r="J915" s="172"/>
      <c r="K915" s="172"/>
      <c r="L915" s="172"/>
      <c r="M915" s="172"/>
      <c r="N915" s="172"/>
      <c r="O915" s="172"/>
      <c r="P915" s="172"/>
      <c r="Q915" s="172"/>
      <c r="R915" s="172"/>
      <c r="S915" s="172"/>
      <c r="T915" s="172"/>
      <c r="U915" s="172"/>
      <c r="V915" s="172"/>
      <c r="W915" s="172"/>
      <c r="X915" s="172"/>
      <c r="Y915" s="172"/>
      <c r="Z915" s="172"/>
    </row>
    <row r="916">
      <c r="A916" s="172"/>
      <c r="B916" s="182"/>
      <c r="C916" s="172"/>
      <c r="D916" s="172"/>
      <c r="E916" s="172"/>
      <c r="F916" s="172"/>
      <c r="G916" s="172"/>
      <c r="H916" s="172"/>
      <c r="I916" s="182"/>
      <c r="J916" s="172"/>
      <c r="K916" s="172"/>
      <c r="L916" s="172"/>
      <c r="M916" s="172"/>
      <c r="N916" s="172"/>
      <c r="O916" s="172"/>
      <c r="P916" s="172"/>
      <c r="Q916" s="172"/>
      <c r="R916" s="172"/>
      <c r="S916" s="172"/>
      <c r="T916" s="172"/>
      <c r="U916" s="172"/>
      <c r="V916" s="172"/>
      <c r="W916" s="172"/>
      <c r="X916" s="172"/>
      <c r="Y916" s="172"/>
      <c r="Z916" s="172"/>
    </row>
    <row r="917">
      <c r="A917" s="172"/>
      <c r="B917" s="182"/>
      <c r="C917" s="172"/>
      <c r="D917" s="172"/>
      <c r="E917" s="172"/>
      <c r="F917" s="172"/>
      <c r="G917" s="172"/>
      <c r="H917" s="172"/>
      <c r="I917" s="182"/>
      <c r="J917" s="172"/>
      <c r="K917" s="172"/>
      <c r="L917" s="172"/>
      <c r="M917" s="172"/>
      <c r="N917" s="172"/>
      <c r="O917" s="172"/>
      <c r="P917" s="172"/>
      <c r="Q917" s="172"/>
      <c r="R917" s="172"/>
      <c r="S917" s="172"/>
      <c r="T917" s="172"/>
      <c r="U917" s="172"/>
      <c r="V917" s="172"/>
      <c r="W917" s="172"/>
      <c r="X917" s="172"/>
      <c r="Y917" s="172"/>
      <c r="Z917" s="172"/>
    </row>
    <row r="918">
      <c r="A918" s="172"/>
      <c r="B918" s="182"/>
      <c r="C918" s="172"/>
      <c r="D918" s="172"/>
      <c r="E918" s="172"/>
      <c r="F918" s="172"/>
      <c r="G918" s="172"/>
      <c r="H918" s="172"/>
      <c r="I918" s="182"/>
      <c r="J918" s="172"/>
      <c r="K918" s="172"/>
      <c r="L918" s="172"/>
      <c r="M918" s="172"/>
      <c r="N918" s="172"/>
      <c r="O918" s="172"/>
      <c r="P918" s="172"/>
      <c r="Q918" s="172"/>
      <c r="R918" s="172"/>
      <c r="S918" s="172"/>
      <c r="T918" s="172"/>
      <c r="U918" s="172"/>
      <c r="V918" s="172"/>
      <c r="W918" s="172"/>
      <c r="X918" s="172"/>
      <c r="Y918" s="172"/>
      <c r="Z918" s="172"/>
    </row>
    <row r="919">
      <c r="A919" s="172"/>
      <c r="B919" s="182"/>
      <c r="C919" s="172"/>
      <c r="D919" s="172"/>
      <c r="E919" s="172"/>
      <c r="F919" s="172"/>
      <c r="G919" s="172"/>
      <c r="H919" s="172"/>
      <c r="I919" s="182"/>
      <c r="J919" s="172"/>
      <c r="K919" s="172"/>
      <c r="L919" s="172"/>
      <c r="M919" s="172"/>
      <c r="N919" s="172"/>
      <c r="O919" s="172"/>
      <c r="P919" s="172"/>
      <c r="Q919" s="172"/>
      <c r="R919" s="172"/>
      <c r="S919" s="172"/>
      <c r="T919" s="172"/>
      <c r="U919" s="172"/>
      <c r="V919" s="172"/>
      <c r="W919" s="172"/>
      <c r="X919" s="172"/>
      <c r="Y919" s="172"/>
      <c r="Z919" s="172"/>
    </row>
    <row r="920">
      <c r="A920" s="172"/>
      <c r="B920" s="182"/>
      <c r="C920" s="172"/>
      <c r="D920" s="172"/>
      <c r="E920" s="172"/>
      <c r="F920" s="172"/>
      <c r="G920" s="172"/>
      <c r="H920" s="172"/>
      <c r="I920" s="182"/>
      <c r="J920" s="172"/>
      <c r="K920" s="172"/>
      <c r="L920" s="172"/>
      <c r="M920" s="172"/>
      <c r="N920" s="172"/>
      <c r="O920" s="172"/>
      <c r="P920" s="172"/>
      <c r="Q920" s="172"/>
      <c r="R920" s="172"/>
      <c r="S920" s="172"/>
      <c r="T920" s="172"/>
      <c r="U920" s="172"/>
      <c r="V920" s="172"/>
      <c r="W920" s="172"/>
      <c r="X920" s="172"/>
      <c r="Y920" s="172"/>
      <c r="Z920" s="172"/>
    </row>
    <row r="921">
      <c r="A921" s="172"/>
      <c r="B921" s="182"/>
      <c r="C921" s="172"/>
      <c r="D921" s="172"/>
      <c r="E921" s="172"/>
      <c r="F921" s="172"/>
      <c r="G921" s="172"/>
      <c r="H921" s="172"/>
      <c r="I921" s="182"/>
      <c r="J921" s="172"/>
      <c r="K921" s="172"/>
      <c r="L921" s="172"/>
      <c r="M921" s="172"/>
      <c r="N921" s="172"/>
      <c r="O921" s="172"/>
      <c r="P921" s="172"/>
      <c r="Q921" s="172"/>
      <c r="R921" s="172"/>
      <c r="S921" s="172"/>
      <c r="T921" s="172"/>
      <c r="U921" s="172"/>
      <c r="V921" s="172"/>
      <c r="W921" s="172"/>
      <c r="X921" s="172"/>
      <c r="Y921" s="172"/>
      <c r="Z921" s="172"/>
    </row>
    <row r="922">
      <c r="A922" s="172"/>
      <c r="B922" s="182"/>
      <c r="C922" s="172"/>
      <c r="D922" s="172"/>
      <c r="E922" s="172"/>
      <c r="F922" s="172"/>
      <c r="G922" s="172"/>
      <c r="H922" s="172"/>
      <c r="I922" s="182"/>
      <c r="J922" s="172"/>
      <c r="K922" s="172"/>
      <c r="L922" s="172"/>
      <c r="M922" s="172"/>
      <c r="N922" s="172"/>
      <c r="O922" s="172"/>
      <c r="P922" s="172"/>
      <c r="Q922" s="172"/>
      <c r="R922" s="172"/>
      <c r="S922" s="172"/>
      <c r="T922" s="172"/>
      <c r="U922" s="172"/>
      <c r="V922" s="172"/>
      <c r="W922" s="172"/>
      <c r="X922" s="172"/>
      <c r="Y922" s="172"/>
      <c r="Z922" s="172"/>
    </row>
    <row r="923">
      <c r="A923" s="172"/>
      <c r="B923" s="182"/>
      <c r="C923" s="172"/>
      <c r="D923" s="172"/>
      <c r="E923" s="172"/>
      <c r="F923" s="172"/>
      <c r="G923" s="172"/>
      <c r="H923" s="172"/>
      <c r="I923" s="182"/>
      <c r="J923" s="172"/>
      <c r="K923" s="172"/>
      <c r="L923" s="172"/>
      <c r="M923" s="172"/>
      <c r="N923" s="172"/>
      <c r="O923" s="172"/>
      <c r="P923" s="172"/>
      <c r="Q923" s="172"/>
      <c r="R923" s="172"/>
      <c r="S923" s="172"/>
      <c r="T923" s="172"/>
      <c r="U923" s="172"/>
      <c r="V923" s="172"/>
      <c r="W923" s="172"/>
      <c r="X923" s="172"/>
      <c r="Y923" s="172"/>
      <c r="Z923" s="172"/>
    </row>
    <row r="924">
      <c r="A924" s="172"/>
      <c r="B924" s="182"/>
      <c r="C924" s="172"/>
      <c r="D924" s="172"/>
      <c r="E924" s="172"/>
      <c r="F924" s="172"/>
      <c r="G924" s="172"/>
      <c r="H924" s="172"/>
      <c r="I924" s="182"/>
      <c r="J924" s="172"/>
      <c r="K924" s="172"/>
      <c r="L924" s="172"/>
      <c r="M924" s="172"/>
      <c r="N924" s="172"/>
      <c r="O924" s="172"/>
      <c r="P924" s="172"/>
      <c r="Q924" s="172"/>
      <c r="R924" s="172"/>
      <c r="S924" s="172"/>
      <c r="T924" s="172"/>
      <c r="U924" s="172"/>
      <c r="V924" s="172"/>
      <c r="W924" s="172"/>
      <c r="X924" s="172"/>
      <c r="Y924" s="172"/>
      <c r="Z924" s="172"/>
    </row>
    <row r="925">
      <c r="A925" s="172"/>
      <c r="B925" s="182"/>
      <c r="C925" s="172"/>
      <c r="D925" s="172"/>
      <c r="E925" s="172"/>
      <c r="F925" s="172"/>
      <c r="G925" s="172"/>
      <c r="H925" s="172"/>
      <c r="I925" s="182"/>
      <c r="J925" s="172"/>
      <c r="K925" s="172"/>
      <c r="L925" s="172"/>
      <c r="M925" s="172"/>
      <c r="N925" s="172"/>
      <c r="O925" s="172"/>
      <c r="P925" s="172"/>
      <c r="Q925" s="172"/>
      <c r="R925" s="172"/>
      <c r="S925" s="172"/>
      <c r="T925" s="172"/>
      <c r="U925" s="172"/>
      <c r="V925" s="172"/>
      <c r="W925" s="172"/>
      <c r="X925" s="172"/>
      <c r="Y925" s="172"/>
      <c r="Z925" s="172"/>
    </row>
    <row r="926">
      <c r="A926" s="172"/>
      <c r="B926" s="182"/>
      <c r="C926" s="172"/>
      <c r="D926" s="172"/>
      <c r="E926" s="172"/>
      <c r="F926" s="172"/>
      <c r="G926" s="172"/>
      <c r="H926" s="172"/>
      <c r="I926" s="182"/>
      <c r="J926" s="172"/>
      <c r="K926" s="172"/>
      <c r="L926" s="172"/>
      <c r="M926" s="172"/>
      <c r="N926" s="172"/>
      <c r="O926" s="172"/>
      <c r="P926" s="172"/>
      <c r="Q926" s="172"/>
      <c r="R926" s="172"/>
      <c r="S926" s="172"/>
      <c r="T926" s="172"/>
      <c r="U926" s="172"/>
      <c r="V926" s="172"/>
      <c r="W926" s="172"/>
      <c r="X926" s="172"/>
      <c r="Y926" s="172"/>
      <c r="Z926" s="172"/>
    </row>
    <row r="927">
      <c r="A927" s="172"/>
      <c r="B927" s="182"/>
      <c r="C927" s="172"/>
      <c r="D927" s="172"/>
      <c r="E927" s="172"/>
      <c r="F927" s="172"/>
      <c r="G927" s="172"/>
      <c r="H927" s="172"/>
      <c r="I927" s="182"/>
      <c r="J927" s="172"/>
      <c r="K927" s="172"/>
      <c r="L927" s="172"/>
      <c r="M927" s="172"/>
      <c r="N927" s="172"/>
      <c r="O927" s="172"/>
      <c r="P927" s="172"/>
      <c r="Q927" s="172"/>
      <c r="R927" s="172"/>
      <c r="S927" s="172"/>
      <c r="T927" s="172"/>
      <c r="U927" s="172"/>
      <c r="V927" s="172"/>
      <c r="W927" s="172"/>
      <c r="X927" s="172"/>
      <c r="Y927" s="172"/>
      <c r="Z927" s="172"/>
    </row>
    <row r="928">
      <c r="A928" s="172"/>
      <c r="B928" s="182"/>
      <c r="C928" s="172"/>
      <c r="D928" s="172"/>
      <c r="E928" s="172"/>
      <c r="F928" s="172"/>
      <c r="G928" s="172"/>
      <c r="H928" s="172"/>
      <c r="I928" s="182"/>
      <c r="J928" s="172"/>
      <c r="K928" s="172"/>
      <c r="L928" s="172"/>
      <c r="M928" s="172"/>
      <c r="N928" s="172"/>
      <c r="O928" s="172"/>
      <c r="P928" s="172"/>
      <c r="Q928" s="172"/>
      <c r="R928" s="172"/>
      <c r="S928" s="172"/>
      <c r="T928" s="172"/>
      <c r="U928" s="172"/>
      <c r="V928" s="172"/>
      <c r="W928" s="172"/>
      <c r="X928" s="172"/>
      <c r="Y928" s="172"/>
      <c r="Z928" s="172"/>
    </row>
    <row r="929">
      <c r="A929" s="172"/>
      <c r="B929" s="182"/>
      <c r="C929" s="172"/>
      <c r="D929" s="172"/>
      <c r="E929" s="172"/>
      <c r="F929" s="172"/>
      <c r="G929" s="172"/>
      <c r="H929" s="172"/>
      <c r="I929" s="182"/>
      <c r="J929" s="172"/>
      <c r="K929" s="172"/>
      <c r="L929" s="172"/>
      <c r="M929" s="172"/>
      <c r="N929" s="172"/>
      <c r="O929" s="172"/>
      <c r="P929" s="172"/>
      <c r="Q929" s="172"/>
      <c r="R929" s="172"/>
      <c r="S929" s="172"/>
      <c r="T929" s="172"/>
      <c r="U929" s="172"/>
      <c r="V929" s="172"/>
      <c r="W929" s="172"/>
      <c r="X929" s="172"/>
      <c r="Y929" s="172"/>
      <c r="Z929" s="172"/>
    </row>
    <row r="930">
      <c r="A930" s="172"/>
      <c r="B930" s="182"/>
      <c r="C930" s="172"/>
      <c r="D930" s="172"/>
      <c r="E930" s="172"/>
      <c r="F930" s="172"/>
      <c r="G930" s="172"/>
      <c r="H930" s="172"/>
      <c r="I930" s="182"/>
      <c r="J930" s="172"/>
      <c r="K930" s="172"/>
      <c r="L930" s="172"/>
      <c r="M930" s="172"/>
      <c r="N930" s="172"/>
      <c r="O930" s="172"/>
      <c r="P930" s="172"/>
      <c r="Q930" s="172"/>
      <c r="R930" s="172"/>
      <c r="S930" s="172"/>
      <c r="T930" s="172"/>
      <c r="U930" s="172"/>
      <c r="V930" s="172"/>
      <c r="W930" s="172"/>
      <c r="X930" s="172"/>
      <c r="Y930" s="172"/>
      <c r="Z930" s="172"/>
    </row>
    <row r="931">
      <c r="A931" s="172"/>
      <c r="B931" s="182"/>
      <c r="C931" s="172"/>
      <c r="D931" s="172"/>
      <c r="E931" s="172"/>
      <c r="F931" s="172"/>
      <c r="G931" s="172"/>
      <c r="H931" s="172"/>
      <c r="I931" s="182"/>
      <c r="J931" s="172"/>
      <c r="K931" s="172"/>
      <c r="L931" s="172"/>
      <c r="M931" s="172"/>
      <c r="N931" s="172"/>
      <c r="O931" s="172"/>
      <c r="P931" s="172"/>
      <c r="Q931" s="172"/>
      <c r="R931" s="172"/>
      <c r="S931" s="172"/>
      <c r="T931" s="172"/>
      <c r="U931" s="172"/>
      <c r="V931" s="172"/>
      <c r="W931" s="172"/>
      <c r="X931" s="172"/>
      <c r="Y931" s="172"/>
      <c r="Z931" s="172"/>
    </row>
    <row r="932">
      <c r="A932" s="172"/>
      <c r="B932" s="182"/>
      <c r="C932" s="172"/>
      <c r="D932" s="172"/>
      <c r="E932" s="172"/>
      <c r="F932" s="172"/>
      <c r="G932" s="172"/>
      <c r="H932" s="172"/>
      <c r="I932" s="182"/>
      <c r="J932" s="172"/>
      <c r="K932" s="172"/>
      <c r="L932" s="172"/>
      <c r="M932" s="172"/>
      <c r="N932" s="172"/>
      <c r="O932" s="172"/>
      <c r="P932" s="172"/>
      <c r="Q932" s="172"/>
      <c r="R932" s="172"/>
      <c r="S932" s="172"/>
      <c r="T932" s="172"/>
      <c r="U932" s="172"/>
      <c r="V932" s="172"/>
      <c r="W932" s="172"/>
      <c r="X932" s="172"/>
      <c r="Y932" s="172"/>
      <c r="Z932" s="172"/>
    </row>
    <row r="933">
      <c r="A933" s="172"/>
      <c r="B933" s="182"/>
      <c r="C933" s="172"/>
      <c r="D933" s="172"/>
      <c r="E933" s="172"/>
      <c r="F933" s="172"/>
      <c r="G933" s="172"/>
      <c r="H933" s="172"/>
      <c r="I933" s="182"/>
      <c r="J933" s="172"/>
      <c r="K933" s="172"/>
      <c r="L933" s="172"/>
      <c r="M933" s="172"/>
      <c r="N933" s="172"/>
      <c r="O933" s="172"/>
      <c r="P933" s="172"/>
      <c r="Q933" s="172"/>
      <c r="R933" s="172"/>
      <c r="S933" s="172"/>
      <c r="T933" s="172"/>
      <c r="U933" s="172"/>
      <c r="V933" s="172"/>
      <c r="W933" s="172"/>
      <c r="X933" s="172"/>
      <c r="Y933" s="172"/>
      <c r="Z933" s="172"/>
    </row>
    <row r="934">
      <c r="A934" s="172"/>
      <c r="B934" s="182"/>
      <c r="C934" s="172"/>
      <c r="D934" s="172"/>
      <c r="E934" s="172"/>
      <c r="F934" s="172"/>
      <c r="G934" s="172"/>
      <c r="H934" s="172"/>
      <c r="I934" s="182"/>
      <c r="J934" s="172"/>
      <c r="K934" s="172"/>
      <c r="L934" s="172"/>
      <c r="M934" s="172"/>
      <c r="N934" s="172"/>
      <c r="O934" s="172"/>
      <c r="P934" s="172"/>
      <c r="Q934" s="172"/>
      <c r="R934" s="172"/>
      <c r="S934" s="172"/>
      <c r="T934" s="172"/>
      <c r="U934" s="172"/>
      <c r="V934" s="172"/>
      <c r="W934" s="172"/>
      <c r="X934" s="172"/>
      <c r="Y934" s="172"/>
      <c r="Z934" s="172"/>
    </row>
    <row r="935">
      <c r="A935" s="172"/>
      <c r="B935" s="182"/>
      <c r="C935" s="172"/>
      <c r="D935" s="172"/>
      <c r="E935" s="172"/>
      <c r="F935" s="172"/>
      <c r="G935" s="172"/>
      <c r="H935" s="172"/>
      <c r="I935" s="182"/>
      <c r="J935" s="172"/>
      <c r="K935" s="172"/>
      <c r="L935" s="172"/>
      <c r="M935" s="172"/>
      <c r="N935" s="172"/>
      <c r="O935" s="172"/>
      <c r="P935" s="172"/>
      <c r="Q935" s="172"/>
      <c r="R935" s="172"/>
      <c r="S935" s="172"/>
      <c r="T935" s="172"/>
      <c r="U935" s="172"/>
      <c r="V935" s="172"/>
      <c r="W935" s="172"/>
      <c r="X935" s="172"/>
      <c r="Y935" s="172"/>
      <c r="Z935" s="172"/>
    </row>
    <row r="936">
      <c r="A936" s="172"/>
      <c r="B936" s="182"/>
      <c r="C936" s="172"/>
      <c r="D936" s="172"/>
      <c r="E936" s="172"/>
      <c r="F936" s="172"/>
      <c r="G936" s="172"/>
      <c r="H936" s="172"/>
      <c r="I936" s="182"/>
      <c r="J936" s="172"/>
      <c r="K936" s="172"/>
      <c r="L936" s="172"/>
      <c r="M936" s="172"/>
      <c r="N936" s="172"/>
      <c r="O936" s="172"/>
      <c r="P936" s="172"/>
      <c r="Q936" s="172"/>
      <c r="R936" s="172"/>
      <c r="S936" s="172"/>
      <c r="T936" s="172"/>
      <c r="U936" s="172"/>
      <c r="V936" s="172"/>
      <c r="W936" s="172"/>
      <c r="X936" s="172"/>
      <c r="Y936" s="172"/>
      <c r="Z936" s="172"/>
    </row>
    <row r="937">
      <c r="A937" s="172"/>
      <c r="B937" s="182"/>
      <c r="C937" s="172"/>
      <c r="D937" s="172"/>
      <c r="E937" s="172"/>
      <c r="F937" s="172"/>
      <c r="G937" s="172"/>
      <c r="H937" s="172"/>
      <c r="I937" s="182"/>
      <c r="J937" s="172"/>
      <c r="K937" s="172"/>
      <c r="L937" s="172"/>
      <c r="M937" s="172"/>
      <c r="N937" s="172"/>
      <c r="O937" s="172"/>
      <c r="P937" s="172"/>
      <c r="Q937" s="172"/>
      <c r="R937" s="172"/>
      <c r="S937" s="172"/>
      <c r="T937" s="172"/>
      <c r="U937" s="172"/>
      <c r="V937" s="172"/>
      <c r="W937" s="172"/>
      <c r="X937" s="172"/>
      <c r="Y937" s="172"/>
      <c r="Z937" s="172"/>
    </row>
    <row r="938">
      <c r="A938" s="172"/>
      <c r="B938" s="182"/>
      <c r="C938" s="172"/>
      <c r="D938" s="172"/>
      <c r="E938" s="172"/>
      <c r="F938" s="172"/>
      <c r="G938" s="172"/>
      <c r="H938" s="172"/>
      <c r="I938" s="182"/>
      <c r="J938" s="172"/>
      <c r="K938" s="172"/>
      <c r="L938" s="172"/>
      <c r="M938" s="172"/>
      <c r="N938" s="172"/>
      <c r="O938" s="172"/>
      <c r="P938" s="172"/>
      <c r="Q938" s="172"/>
      <c r="R938" s="172"/>
      <c r="S938" s="172"/>
      <c r="T938" s="172"/>
      <c r="U938" s="172"/>
      <c r="V938" s="172"/>
      <c r="W938" s="172"/>
      <c r="X938" s="172"/>
      <c r="Y938" s="172"/>
      <c r="Z938" s="172"/>
    </row>
    <row r="939">
      <c r="A939" s="172"/>
      <c r="B939" s="182"/>
      <c r="C939" s="172"/>
      <c r="D939" s="172"/>
      <c r="E939" s="172"/>
      <c r="F939" s="172"/>
      <c r="G939" s="172"/>
      <c r="H939" s="172"/>
      <c r="I939" s="182"/>
      <c r="J939" s="172"/>
      <c r="K939" s="172"/>
      <c r="L939" s="172"/>
      <c r="M939" s="172"/>
      <c r="N939" s="172"/>
      <c r="O939" s="172"/>
      <c r="P939" s="172"/>
      <c r="Q939" s="172"/>
      <c r="R939" s="172"/>
      <c r="S939" s="172"/>
      <c r="T939" s="172"/>
      <c r="U939" s="172"/>
      <c r="V939" s="172"/>
      <c r="W939" s="172"/>
      <c r="X939" s="172"/>
      <c r="Y939" s="172"/>
      <c r="Z939" s="172"/>
    </row>
    <row r="940">
      <c r="A940" s="172"/>
      <c r="B940" s="182"/>
      <c r="C940" s="172"/>
      <c r="D940" s="172"/>
      <c r="E940" s="172"/>
      <c r="F940" s="172"/>
      <c r="G940" s="172"/>
      <c r="H940" s="172"/>
      <c r="I940" s="182"/>
      <c r="J940" s="172"/>
      <c r="K940" s="172"/>
      <c r="L940" s="172"/>
      <c r="M940" s="172"/>
      <c r="N940" s="172"/>
      <c r="O940" s="172"/>
      <c r="P940" s="172"/>
      <c r="Q940" s="172"/>
      <c r="R940" s="172"/>
      <c r="S940" s="172"/>
      <c r="T940" s="172"/>
      <c r="U940" s="172"/>
      <c r="V940" s="172"/>
      <c r="W940" s="172"/>
      <c r="X940" s="172"/>
      <c r="Y940" s="172"/>
      <c r="Z940" s="172"/>
    </row>
    <row r="941">
      <c r="A941" s="172"/>
      <c r="B941" s="182"/>
      <c r="C941" s="172"/>
      <c r="D941" s="172"/>
      <c r="E941" s="172"/>
      <c r="F941" s="172"/>
      <c r="G941" s="172"/>
      <c r="H941" s="172"/>
      <c r="I941" s="182"/>
      <c r="J941" s="172"/>
      <c r="K941" s="172"/>
      <c r="L941" s="172"/>
      <c r="M941" s="172"/>
      <c r="N941" s="172"/>
      <c r="O941" s="172"/>
      <c r="P941" s="172"/>
      <c r="Q941" s="172"/>
      <c r="R941" s="172"/>
      <c r="S941" s="172"/>
      <c r="T941" s="172"/>
      <c r="U941" s="172"/>
      <c r="V941" s="172"/>
      <c r="W941" s="172"/>
      <c r="X941" s="172"/>
      <c r="Y941" s="172"/>
      <c r="Z941" s="172"/>
    </row>
    <row r="942">
      <c r="A942" s="172"/>
      <c r="B942" s="182"/>
      <c r="C942" s="172"/>
      <c r="D942" s="172"/>
      <c r="E942" s="172"/>
      <c r="F942" s="172"/>
      <c r="G942" s="172"/>
      <c r="H942" s="172"/>
      <c r="I942" s="182"/>
      <c r="J942" s="172"/>
      <c r="K942" s="172"/>
      <c r="L942" s="172"/>
      <c r="M942" s="172"/>
      <c r="N942" s="172"/>
      <c r="O942" s="172"/>
      <c r="P942" s="172"/>
      <c r="Q942" s="172"/>
      <c r="R942" s="172"/>
      <c r="S942" s="172"/>
      <c r="T942" s="172"/>
      <c r="U942" s="172"/>
      <c r="V942" s="172"/>
      <c r="W942" s="172"/>
      <c r="X942" s="172"/>
      <c r="Y942" s="172"/>
      <c r="Z942" s="172"/>
    </row>
    <row r="943">
      <c r="A943" s="172"/>
      <c r="B943" s="182"/>
      <c r="C943" s="172"/>
      <c r="D943" s="172"/>
      <c r="E943" s="172"/>
      <c r="F943" s="172"/>
      <c r="G943" s="172"/>
      <c r="H943" s="172"/>
      <c r="I943" s="182"/>
      <c r="J943" s="172"/>
      <c r="K943" s="172"/>
      <c r="L943" s="172"/>
      <c r="M943" s="172"/>
      <c r="N943" s="172"/>
      <c r="O943" s="172"/>
      <c r="P943" s="172"/>
      <c r="Q943" s="172"/>
      <c r="R943" s="172"/>
      <c r="S943" s="172"/>
      <c r="T943" s="172"/>
      <c r="U943" s="172"/>
      <c r="V943" s="172"/>
      <c r="W943" s="172"/>
      <c r="X943" s="172"/>
      <c r="Y943" s="172"/>
      <c r="Z943" s="172"/>
    </row>
    <row r="944">
      <c r="A944" s="172"/>
      <c r="B944" s="182"/>
      <c r="C944" s="172"/>
      <c r="D944" s="172"/>
      <c r="E944" s="172"/>
      <c r="F944" s="172"/>
      <c r="G944" s="172"/>
      <c r="H944" s="172"/>
      <c r="I944" s="182"/>
      <c r="J944" s="172"/>
      <c r="K944" s="172"/>
      <c r="L944" s="172"/>
      <c r="M944" s="172"/>
      <c r="N944" s="172"/>
      <c r="O944" s="172"/>
      <c r="P944" s="172"/>
      <c r="Q944" s="172"/>
      <c r="R944" s="172"/>
      <c r="S944" s="172"/>
      <c r="T944" s="172"/>
      <c r="U944" s="172"/>
      <c r="V944" s="172"/>
      <c r="W944" s="172"/>
      <c r="X944" s="172"/>
      <c r="Y944" s="172"/>
      <c r="Z944" s="172"/>
    </row>
    <row r="945">
      <c r="A945" s="172"/>
      <c r="B945" s="182"/>
      <c r="C945" s="172"/>
      <c r="D945" s="172"/>
      <c r="E945" s="172"/>
      <c r="F945" s="172"/>
      <c r="G945" s="172"/>
      <c r="H945" s="172"/>
      <c r="I945" s="182"/>
      <c r="J945" s="172"/>
      <c r="K945" s="172"/>
      <c r="L945" s="172"/>
      <c r="M945" s="172"/>
      <c r="N945" s="172"/>
      <c r="O945" s="172"/>
      <c r="P945" s="172"/>
      <c r="Q945" s="172"/>
      <c r="R945" s="172"/>
      <c r="S945" s="172"/>
      <c r="T945" s="172"/>
      <c r="U945" s="172"/>
      <c r="V945" s="172"/>
      <c r="W945" s="172"/>
      <c r="X945" s="172"/>
      <c r="Y945" s="172"/>
      <c r="Z945" s="172"/>
    </row>
    <row r="946">
      <c r="A946" s="172"/>
      <c r="B946" s="182"/>
      <c r="C946" s="172"/>
      <c r="D946" s="172"/>
      <c r="E946" s="172"/>
      <c r="F946" s="172"/>
      <c r="G946" s="172"/>
      <c r="H946" s="172"/>
      <c r="I946" s="182"/>
      <c r="J946" s="172"/>
      <c r="K946" s="172"/>
      <c r="L946" s="172"/>
      <c r="M946" s="172"/>
      <c r="N946" s="172"/>
      <c r="O946" s="172"/>
      <c r="P946" s="172"/>
      <c r="Q946" s="172"/>
      <c r="R946" s="172"/>
      <c r="S946" s="172"/>
      <c r="T946" s="172"/>
      <c r="U946" s="172"/>
      <c r="V946" s="172"/>
      <c r="W946" s="172"/>
      <c r="X946" s="172"/>
      <c r="Y946" s="172"/>
      <c r="Z946" s="172"/>
    </row>
    <row r="947">
      <c r="A947" s="172"/>
      <c r="B947" s="182"/>
      <c r="C947" s="172"/>
      <c r="D947" s="172"/>
      <c r="E947" s="172"/>
      <c r="F947" s="172"/>
      <c r="G947" s="172"/>
      <c r="H947" s="172"/>
      <c r="I947" s="182"/>
      <c r="J947" s="172"/>
      <c r="K947" s="172"/>
      <c r="L947" s="172"/>
      <c r="M947" s="172"/>
      <c r="N947" s="172"/>
      <c r="O947" s="172"/>
      <c r="P947" s="172"/>
      <c r="Q947" s="172"/>
      <c r="R947" s="172"/>
      <c r="S947" s="172"/>
      <c r="T947" s="172"/>
      <c r="U947" s="172"/>
      <c r="V947" s="172"/>
      <c r="W947" s="172"/>
      <c r="X947" s="172"/>
      <c r="Y947" s="172"/>
      <c r="Z947" s="172"/>
    </row>
    <row r="948">
      <c r="A948" s="172"/>
      <c r="B948" s="182"/>
      <c r="C948" s="172"/>
      <c r="D948" s="172"/>
      <c r="E948" s="172"/>
      <c r="F948" s="172"/>
      <c r="G948" s="172"/>
      <c r="H948" s="172"/>
      <c r="I948" s="182"/>
      <c r="J948" s="172"/>
      <c r="K948" s="172"/>
      <c r="L948" s="172"/>
      <c r="M948" s="172"/>
      <c r="N948" s="172"/>
      <c r="O948" s="172"/>
      <c r="P948" s="172"/>
      <c r="Q948" s="172"/>
      <c r="R948" s="172"/>
      <c r="S948" s="172"/>
      <c r="T948" s="172"/>
      <c r="U948" s="172"/>
      <c r="V948" s="172"/>
      <c r="W948" s="172"/>
      <c r="X948" s="172"/>
      <c r="Y948" s="172"/>
      <c r="Z948" s="172"/>
    </row>
    <row r="949">
      <c r="A949" s="172"/>
      <c r="B949" s="182"/>
      <c r="C949" s="172"/>
      <c r="D949" s="172"/>
      <c r="E949" s="172"/>
      <c r="F949" s="172"/>
      <c r="G949" s="172"/>
      <c r="H949" s="172"/>
      <c r="I949" s="182"/>
      <c r="J949" s="172"/>
      <c r="K949" s="172"/>
      <c r="L949" s="172"/>
      <c r="M949" s="172"/>
      <c r="N949" s="172"/>
      <c r="O949" s="172"/>
      <c r="P949" s="172"/>
      <c r="Q949" s="172"/>
      <c r="R949" s="172"/>
      <c r="S949" s="172"/>
      <c r="T949" s="172"/>
      <c r="U949" s="172"/>
      <c r="V949" s="172"/>
      <c r="W949" s="172"/>
      <c r="X949" s="172"/>
      <c r="Y949" s="172"/>
      <c r="Z949" s="172"/>
    </row>
    <row r="950">
      <c r="A950" s="172"/>
      <c r="B950" s="182"/>
      <c r="C950" s="172"/>
      <c r="D950" s="172"/>
      <c r="E950" s="172"/>
      <c r="F950" s="172"/>
      <c r="G950" s="172"/>
      <c r="H950" s="172"/>
      <c r="I950" s="182"/>
      <c r="J950" s="172"/>
      <c r="K950" s="172"/>
      <c r="L950" s="172"/>
      <c r="M950" s="172"/>
      <c r="N950" s="172"/>
      <c r="O950" s="172"/>
      <c r="P950" s="172"/>
      <c r="Q950" s="172"/>
      <c r="R950" s="172"/>
      <c r="S950" s="172"/>
      <c r="T950" s="172"/>
      <c r="U950" s="172"/>
      <c r="V950" s="172"/>
      <c r="W950" s="172"/>
      <c r="X950" s="172"/>
      <c r="Y950" s="172"/>
      <c r="Z950" s="172"/>
    </row>
    <row r="951">
      <c r="A951" s="172"/>
      <c r="B951" s="182"/>
      <c r="C951" s="172"/>
      <c r="D951" s="172"/>
      <c r="E951" s="172"/>
      <c r="F951" s="172"/>
      <c r="G951" s="172"/>
      <c r="H951" s="172"/>
      <c r="I951" s="182"/>
      <c r="J951" s="172"/>
      <c r="K951" s="172"/>
      <c r="L951" s="172"/>
      <c r="M951" s="172"/>
      <c r="N951" s="172"/>
      <c r="O951" s="172"/>
      <c r="P951" s="172"/>
      <c r="Q951" s="172"/>
      <c r="R951" s="172"/>
      <c r="S951" s="172"/>
      <c r="T951" s="172"/>
      <c r="U951" s="172"/>
      <c r="V951" s="172"/>
      <c r="W951" s="172"/>
      <c r="X951" s="172"/>
      <c r="Y951" s="172"/>
      <c r="Z951" s="172"/>
    </row>
    <row r="952">
      <c r="A952" s="172"/>
      <c r="B952" s="182"/>
      <c r="C952" s="172"/>
      <c r="D952" s="172"/>
      <c r="E952" s="172"/>
      <c r="F952" s="172"/>
      <c r="G952" s="172"/>
      <c r="H952" s="172"/>
      <c r="I952" s="182"/>
      <c r="J952" s="172"/>
      <c r="K952" s="172"/>
      <c r="L952" s="172"/>
      <c r="M952" s="172"/>
      <c r="N952" s="172"/>
      <c r="O952" s="172"/>
      <c r="P952" s="172"/>
      <c r="Q952" s="172"/>
      <c r="R952" s="172"/>
      <c r="S952" s="172"/>
      <c r="T952" s="172"/>
      <c r="U952" s="172"/>
      <c r="V952" s="172"/>
      <c r="W952" s="172"/>
      <c r="X952" s="172"/>
      <c r="Y952" s="172"/>
      <c r="Z952" s="172"/>
    </row>
    <row r="953">
      <c r="A953" s="172"/>
      <c r="B953" s="182"/>
      <c r="C953" s="172"/>
      <c r="D953" s="172"/>
      <c r="E953" s="172"/>
      <c r="F953" s="172"/>
      <c r="G953" s="172"/>
      <c r="H953" s="172"/>
      <c r="I953" s="182"/>
      <c r="J953" s="172"/>
      <c r="K953" s="172"/>
      <c r="L953" s="172"/>
      <c r="M953" s="172"/>
      <c r="N953" s="172"/>
      <c r="O953" s="172"/>
      <c r="P953" s="172"/>
      <c r="Q953" s="172"/>
      <c r="R953" s="172"/>
      <c r="S953" s="172"/>
      <c r="T953" s="172"/>
      <c r="U953" s="172"/>
      <c r="V953" s="172"/>
      <c r="W953" s="172"/>
      <c r="X953" s="172"/>
      <c r="Y953" s="172"/>
      <c r="Z953" s="172"/>
    </row>
    <row r="954">
      <c r="A954" s="172"/>
      <c r="B954" s="182"/>
      <c r="C954" s="172"/>
      <c r="D954" s="172"/>
      <c r="E954" s="172"/>
      <c r="F954" s="172"/>
      <c r="G954" s="172"/>
      <c r="H954" s="172"/>
      <c r="I954" s="182"/>
      <c r="J954" s="172"/>
      <c r="K954" s="172"/>
      <c r="L954" s="172"/>
      <c r="M954" s="172"/>
      <c r="N954" s="172"/>
      <c r="O954" s="172"/>
      <c r="P954" s="172"/>
      <c r="Q954" s="172"/>
      <c r="R954" s="172"/>
      <c r="S954" s="172"/>
      <c r="T954" s="172"/>
      <c r="U954" s="172"/>
      <c r="V954" s="172"/>
      <c r="W954" s="172"/>
      <c r="X954" s="172"/>
      <c r="Y954" s="172"/>
      <c r="Z954" s="172"/>
    </row>
    <row r="955">
      <c r="A955" s="172"/>
      <c r="B955" s="182"/>
      <c r="C955" s="172"/>
      <c r="D955" s="172"/>
      <c r="E955" s="172"/>
      <c r="F955" s="172"/>
      <c r="G955" s="172"/>
      <c r="H955" s="172"/>
      <c r="I955" s="182"/>
      <c r="J955" s="172"/>
      <c r="K955" s="172"/>
      <c r="L955" s="172"/>
      <c r="M955" s="172"/>
      <c r="N955" s="172"/>
      <c r="O955" s="172"/>
      <c r="P955" s="172"/>
      <c r="Q955" s="172"/>
      <c r="R955" s="172"/>
      <c r="S955" s="172"/>
      <c r="T955" s="172"/>
      <c r="U955" s="172"/>
      <c r="V955" s="172"/>
      <c r="W955" s="172"/>
      <c r="X955" s="172"/>
      <c r="Y955" s="172"/>
      <c r="Z955" s="172"/>
    </row>
    <row r="956">
      <c r="A956" s="172"/>
      <c r="B956" s="182"/>
      <c r="C956" s="172"/>
      <c r="D956" s="172"/>
      <c r="E956" s="172"/>
      <c r="F956" s="172"/>
      <c r="G956" s="172"/>
      <c r="H956" s="172"/>
      <c r="I956" s="182"/>
      <c r="J956" s="172"/>
      <c r="K956" s="172"/>
      <c r="L956" s="172"/>
      <c r="M956" s="172"/>
      <c r="N956" s="172"/>
      <c r="O956" s="172"/>
      <c r="P956" s="172"/>
      <c r="Q956" s="172"/>
      <c r="R956" s="172"/>
      <c r="S956" s="172"/>
      <c r="T956" s="172"/>
      <c r="U956" s="172"/>
      <c r="V956" s="172"/>
      <c r="W956" s="172"/>
      <c r="X956" s="172"/>
      <c r="Y956" s="172"/>
      <c r="Z956" s="172"/>
    </row>
    <row r="957">
      <c r="A957" s="172"/>
      <c r="B957" s="182"/>
      <c r="C957" s="172"/>
      <c r="D957" s="172"/>
      <c r="E957" s="172"/>
      <c r="F957" s="172"/>
      <c r="G957" s="172"/>
      <c r="H957" s="172"/>
      <c r="I957" s="182"/>
      <c r="J957" s="172"/>
      <c r="K957" s="172"/>
      <c r="L957" s="172"/>
      <c r="M957" s="172"/>
      <c r="N957" s="172"/>
      <c r="O957" s="172"/>
      <c r="P957" s="172"/>
      <c r="Q957" s="172"/>
      <c r="R957" s="172"/>
      <c r="S957" s="172"/>
      <c r="T957" s="172"/>
      <c r="U957" s="172"/>
      <c r="V957" s="172"/>
      <c r="W957" s="172"/>
      <c r="X957" s="172"/>
      <c r="Y957" s="172"/>
      <c r="Z957" s="172"/>
    </row>
    <row r="958">
      <c r="A958" s="172"/>
      <c r="B958" s="182"/>
      <c r="C958" s="172"/>
      <c r="D958" s="172"/>
      <c r="E958" s="172"/>
      <c r="F958" s="172"/>
      <c r="G958" s="172"/>
      <c r="H958" s="172"/>
      <c r="I958" s="182"/>
      <c r="J958" s="172"/>
      <c r="K958" s="172"/>
      <c r="L958" s="172"/>
      <c r="M958" s="172"/>
      <c r="N958" s="172"/>
      <c r="O958" s="172"/>
      <c r="P958" s="172"/>
      <c r="Q958" s="172"/>
      <c r="R958" s="172"/>
      <c r="S958" s="172"/>
      <c r="T958" s="172"/>
      <c r="U958" s="172"/>
      <c r="V958" s="172"/>
      <c r="W958" s="172"/>
      <c r="X958" s="172"/>
      <c r="Y958" s="172"/>
      <c r="Z958" s="172"/>
    </row>
    <row r="959">
      <c r="A959" s="172"/>
      <c r="B959" s="182"/>
      <c r="C959" s="172"/>
      <c r="D959" s="172"/>
      <c r="E959" s="172"/>
      <c r="F959" s="172"/>
      <c r="G959" s="172"/>
      <c r="H959" s="172"/>
      <c r="I959" s="182"/>
      <c r="J959" s="172"/>
      <c r="K959" s="172"/>
      <c r="L959" s="172"/>
      <c r="M959" s="172"/>
      <c r="N959" s="172"/>
      <c r="O959" s="172"/>
      <c r="P959" s="172"/>
      <c r="Q959" s="172"/>
      <c r="R959" s="172"/>
      <c r="S959" s="172"/>
      <c r="T959" s="172"/>
      <c r="U959" s="172"/>
      <c r="V959" s="172"/>
      <c r="W959" s="172"/>
      <c r="X959" s="172"/>
      <c r="Y959" s="172"/>
      <c r="Z959" s="172"/>
    </row>
    <row r="960">
      <c r="A960" s="172"/>
      <c r="B960" s="182"/>
      <c r="C960" s="172"/>
      <c r="D960" s="172"/>
      <c r="E960" s="172"/>
      <c r="F960" s="172"/>
      <c r="G960" s="172"/>
      <c r="H960" s="172"/>
      <c r="I960" s="182"/>
      <c r="J960" s="172"/>
      <c r="K960" s="172"/>
      <c r="L960" s="172"/>
      <c r="M960" s="172"/>
      <c r="N960" s="172"/>
      <c r="O960" s="172"/>
      <c r="P960" s="172"/>
      <c r="Q960" s="172"/>
      <c r="R960" s="172"/>
      <c r="S960" s="172"/>
      <c r="T960" s="172"/>
      <c r="U960" s="172"/>
      <c r="V960" s="172"/>
      <c r="W960" s="172"/>
      <c r="X960" s="172"/>
      <c r="Y960" s="172"/>
      <c r="Z960" s="172"/>
    </row>
    <row r="961">
      <c r="A961" s="172"/>
      <c r="B961" s="182"/>
      <c r="C961" s="172"/>
      <c r="D961" s="172"/>
      <c r="E961" s="172"/>
      <c r="F961" s="172"/>
      <c r="G961" s="172"/>
      <c r="H961" s="172"/>
      <c r="I961" s="182"/>
      <c r="J961" s="172"/>
      <c r="K961" s="172"/>
      <c r="L961" s="172"/>
      <c r="M961" s="172"/>
      <c r="N961" s="172"/>
      <c r="O961" s="172"/>
      <c r="P961" s="172"/>
      <c r="Q961" s="172"/>
      <c r="R961" s="172"/>
      <c r="S961" s="172"/>
      <c r="T961" s="172"/>
      <c r="U961" s="172"/>
      <c r="V961" s="172"/>
      <c r="W961" s="172"/>
      <c r="X961" s="172"/>
      <c r="Y961" s="172"/>
      <c r="Z961" s="172"/>
    </row>
    <row r="962">
      <c r="A962" s="172"/>
      <c r="B962" s="182"/>
      <c r="C962" s="172"/>
      <c r="D962" s="172"/>
      <c r="E962" s="172"/>
      <c r="F962" s="172"/>
      <c r="G962" s="172"/>
      <c r="H962" s="172"/>
      <c r="I962" s="182"/>
      <c r="J962" s="172"/>
      <c r="K962" s="172"/>
      <c r="L962" s="172"/>
      <c r="M962" s="172"/>
      <c r="N962" s="172"/>
      <c r="O962" s="172"/>
      <c r="P962" s="172"/>
      <c r="Q962" s="172"/>
      <c r="R962" s="172"/>
      <c r="S962" s="172"/>
      <c r="T962" s="172"/>
      <c r="U962" s="172"/>
      <c r="V962" s="172"/>
      <c r="W962" s="172"/>
      <c r="X962" s="172"/>
      <c r="Y962" s="172"/>
      <c r="Z962" s="172"/>
    </row>
    <row r="963">
      <c r="A963" s="172"/>
      <c r="B963" s="182"/>
      <c r="C963" s="172"/>
      <c r="D963" s="172"/>
      <c r="E963" s="172"/>
      <c r="F963" s="172"/>
      <c r="G963" s="172"/>
      <c r="H963" s="172"/>
      <c r="I963" s="182"/>
      <c r="J963" s="172"/>
      <c r="K963" s="172"/>
      <c r="L963" s="172"/>
      <c r="M963" s="172"/>
      <c r="N963" s="172"/>
      <c r="O963" s="172"/>
      <c r="P963" s="172"/>
      <c r="Q963" s="172"/>
      <c r="R963" s="172"/>
      <c r="S963" s="172"/>
      <c r="T963" s="172"/>
      <c r="U963" s="172"/>
      <c r="V963" s="172"/>
      <c r="W963" s="172"/>
      <c r="X963" s="172"/>
      <c r="Y963" s="172"/>
      <c r="Z963" s="172"/>
    </row>
    <row r="964">
      <c r="A964" s="172"/>
      <c r="B964" s="182"/>
      <c r="C964" s="172"/>
      <c r="D964" s="172"/>
      <c r="E964" s="172"/>
      <c r="F964" s="172"/>
      <c r="G964" s="172"/>
      <c r="H964" s="172"/>
      <c r="I964" s="182"/>
      <c r="J964" s="172"/>
      <c r="K964" s="172"/>
      <c r="L964" s="172"/>
      <c r="M964" s="172"/>
      <c r="N964" s="172"/>
      <c r="O964" s="172"/>
      <c r="P964" s="172"/>
      <c r="Q964" s="172"/>
      <c r="R964" s="172"/>
      <c r="S964" s="172"/>
      <c r="T964" s="172"/>
      <c r="U964" s="172"/>
      <c r="V964" s="172"/>
      <c r="W964" s="172"/>
      <c r="X964" s="172"/>
      <c r="Y964" s="172"/>
      <c r="Z964" s="172"/>
    </row>
    <row r="965">
      <c r="A965" s="172"/>
      <c r="B965" s="182"/>
      <c r="C965" s="172"/>
      <c r="D965" s="172"/>
      <c r="E965" s="172"/>
      <c r="F965" s="172"/>
      <c r="G965" s="172"/>
      <c r="H965" s="172"/>
      <c r="I965" s="182"/>
      <c r="J965" s="172"/>
      <c r="K965" s="172"/>
      <c r="L965" s="172"/>
      <c r="M965" s="172"/>
      <c r="N965" s="172"/>
      <c r="O965" s="172"/>
      <c r="P965" s="172"/>
      <c r="Q965" s="172"/>
      <c r="R965" s="172"/>
      <c r="S965" s="172"/>
      <c r="T965" s="172"/>
      <c r="U965" s="172"/>
      <c r="V965" s="172"/>
      <c r="W965" s="172"/>
      <c r="X965" s="172"/>
      <c r="Y965" s="172"/>
      <c r="Z965" s="172"/>
    </row>
    <row r="966">
      <c r="A966" s="172"/>
      <c r="B966" s="182"/>
      <c r="C966" s="172"/>
      <c r="D966" s="172"/>
      <c r="E966" s="172"/>
      <c r="F966" s="172"/>
      <c r="G966" s="172"/>
      <c r="H966" s="172"/>
      <c r="I966" s="182"/>
      <c r="J966" s="172"/>
      <c r="K966" s="172"/>
      <c r="L966" s="172"/>
      <c r="M966" s="172"/>
      <c r="N966" s="172"/>
      <c r="O966" s="172"/>
      <c r="P966" s="172"/>
      <c r="Q966" s="172"/>
      <c r="R966" s="172"/>
      <c r="S966" s="172"/>
      <c r="T966" s="172"/>
      <c r="U966" s="172"/>
      <c r="V966" s="172"/>
      <c r="W966" s="172"/>
      <c r="X966" s="172"/>
      <c r="Y966" s="172"/>
      <c r="Z966" s="172"/>
    </row>
    <row r="967">
      <c r="A967" s="172"/>
      <c r="B967" s="182"/>
      <c r="C967" s="172"/>
      <c r="D967" s="172"/>
      <c r="E967" s="172"/>
      <c r="F967" s="172"/>
      <c r="G967" s="172"/>
      <c r="H967" s="172"/>
      <c r="I967" s="182"/>
      <c r="J967" s="172"/>
      <c r="K967" s="172"/>
      <c r="L967" s="172"/>
      <c r="M967" s="172"/>
      <c r="N967" s="172"/>
      <c r="O967" s="172"/>
      <c r="P967" s="172"/>
      <c r="Q967" s="172"/>
      <c r="R967" s="172"/>
      <c r="S967" s="172"/>
      <c r="T967" s="172"/>
      <c r="U967" s="172"/>
      <c r="V967" s="172"/>
      <c r="W967" s="172"/>
      <c r="X967" s="172"/>
      <c r="Y967" s="172"/>
      <c r="Z967" s="172"/>
    </row>
    <row r="968">
      <c r="A968" s="172"/>
      <c r="B968" s="182"/>
      <c r="C968" s="172"/>
      <c r="D968" s="172"/>
      <c r="E968" s="172"/>
      <c r="F968" s="172"/>
      <c r="G968" s="172"/>
      <c r="H968" s="172"/>
      <c r="I968" s="182"/>
      <c r="J968" s="172"/>
      <c r="K968" s="172"/>
      <c r="L968" s="172"/>
      <c r="M968" s="172"/>
      <c r="N968" s="172"/>
      <c r="O968" s="172"/>
      <c r="P968" s="172"/>
      <c r="Q968" s="172"/>
      <c r="R968" s="172"/>
      <c r="S968" s="172"/>
      <c r="T968" s="172"/>
      <c r="U968" s="172"/>
      <c r="V968" s="172"/>
      <c r="W968" s="172"/>
      <c r="X968" s="172"/>
      <c r="Y968" s="172"/>
      <c r="Z968" s="172"/>
    </row>
    <row r="969">
      <c r="A969" s="172"/>
      <c r="B969" s="182"/>
      <c r="C969" s="172"/>
      <c r="D969" s="172"/>
      <c r="E969" s="172"/>
      <c r="F969" s="172"/>
      <c r="G969" s="172"/>
      <c r="H969" s="172"/>
      <c r="I969" s="182"/>
      <c r="J969" s="172"/>
      <c r="K969" s="172"/>
      <c r="L969" s="172"/>
      <c r="M969" s="172"/>
      <c r="N969" s="172"/>
      <c r="O969" s="172"/>
      <c r="P969" s="172"/>
      <c r="Q969" s="172"/>
      <c r="R969" s="172"/>
      <c r="S969" s="172"/>
      <c r="T969" s="172"/>
      <c r="U969" s="172"/>
      <c r="V969" s="172"/>
      <c r="W969" s="172"/>
      <c r="X969" s="172"/>
      <c r="Y969" s="172"/>
      <c r="Z969" s="172"/>
    </row>
    <row r="970">
      <c r="A970" s="172"/>
      <c r="B970" s="182"/>
      <c r="C970" s="172"/>
      <c r="D970" s="172"/>
      <c r="E970" s="172"/>
      <c r="F970" s="172"/>
      <c r="G970" s="172"/>
      <c r="H970" s="172"/>
      <c r="I970" s="182"/>
      <c r="J970" s="172"/>
      <c r="K970" s="172"/>
      <c r="L970" s="172"/>
      <c r="M970" s="172"/>
      <c r="N970" s="172"/>
      <c r="O970" s="172"/>
      <c r="P970" s="172"/>
      <c r="Q970" s="172"/>
      <c r="R970" s="172"/>
      <c r="S970" s="172"/>
      <c r="T970" s="172"/>
      <c r="U970" s="172"/>
      <c r="V970" s="172"/>
      <c r="W970" s="172"/>
      <c r="X970" s="172"/>
      <c r="Y970" s="172"/>
      <c r="Z970" s="172"/>
    </row>
    <row r="971">
      <c r="A971" s="172"/>
      <c r="B971" s="182"/>
      <c r="C971" s="172"/>
      <c r="D971" s="172"/>
      <c r="E971" s="172"/>
      <c r="F971" s="172"/>
      <c r="G971" s="172"/>
      <c r="H971" s="172"/>
      <c r="I971" s="182"/>
      <c r="J971" s="172"/>
      <c r="K971" s="172"/>
      <c r="L971" s="172"/>
      <c r="M971" s="172"/>
      <c r="N971" s="172"/>
      <c r="O971" s="172"/>
      <c r="P971" s="172"/>
      <c r="Q971" s="172"/>
      <c r="R971" s="172"/>
      <c r="S971" s="172"/>
      <c r="T971" s="172"/>
      <c r="U971" s="172"/>
      <c r="V971" s="172"/>
      <c r="W971" s="172"/>
      <c r="X971" s="172"/>
      <c r="Y971" s="172"/>
      <c r="Z971" s="172"/>
    </row>
    <row r="972">
      <c r="A972" s="172"/>
      <c r="B972" s="182"/>
      <c r="C972" s="172"/>
      <c r="D972" s="172"/>
      <c r="E972" s="172"/>
      <c r="F972" s="172"/>
      <c r="G972" s="172"/>
      <c r="H972" s="172"/>
      <c r="I972" s="182"/>
      <c r="J972" s="172"/>
      <c r="K972" s="172"/>
      <c r="L972" s="172"/>
      <c r="M972" s="172"/>
      <c r="N972" s="172"/>
      <c r="O972" s="172"/>
      <c r="P972" s="172"/>
      <c r="Q972" s="172"/>
      <c r="R972" s="172"/>
      <c r="S972" s="172"/>
      <c r="T972" s="172"/>
      <c r="U972" s="172"/>
      <c r="V972" s="172"/>
      <c r="W972" s="172"/>
      <c r="X972" s="172"/>
      <c r="Y972" s="172"/>
      <c r="Z972" s="172"/>
    </row>
    <row r="973">
      <c r="A973" s="172"/>
      <c r="B973" s="182"/>
      <c r="C973" s="172"/>
      <c r="D973" s="172"/>
      <c r="E973" s="172"/>
      <c r="F973" s="172"/>
      <c r="G973" s="172"/>
      <c r="H973" s="172"/>
      <c r="I973" s="182"/>
      <c r="J973" s="172"/>
      <c r="K973" s="172"/>
      <c r="L973" s="172"/>
      <c r="M973" s="172"/>
      <c r="N973" s="172"/>
      <c r="O973" s="172"/>
      <c r="P973" s="172"/>
      <c r="Q973" s="172"/>
      <c r="R973" s="172"/>
      <c r="S973" s="172"/>
      <c r="T973" s="172"/>
      <c r="U973" s="172"/>
      <c r="V973" s="172"/>
      <c r="W973" s="172"/>
      <c r="X973" s="172"/>
      <c r="Y973" s="172"/>
      <c r="Z973" s="172"/>
    </row>
    <row r="974">
      <c r="A974" s="172"/>
      <c r="B974" s="182"/>
      <c r="C974" s="172"/>
      <c r="D974" s="172"/>
      <c r="E974" s="172"/>
      <c r="F974" s="172"/>
      <c r="G974" s="172"/>
      <c r="H974" s="172"/>
      <c r="I974" s="182"/>
      <c r="J974" s="172"/>
      <c r="K974" s="172"/>
      <c r="L974" s="172"/>
      <c r="M974" s="172"/>
      <c r="N974" s="172"/>
      <c r="O974" s="172"/>
      <c r="P974" s="172"/>
      <c r="Q974" s="172"/>
      <c r="R974" s="172"/>
      <c r="S974" s="172"/>
      <c r="T974" s="172"/>
      <c r="U974" s="172"/>
      <c r="V974" s="172"/>
      <c r="W974" s="172"/>
      <c r="X974" s="172"/>
      <c r="Y974" s="172"/>
      <c r="Z974" s="172"/>
    </row>
    <row r="975">
      <c r="A975" s="172"/>
      <c r="B975" s="182"/>
      <c r="C975" s="172"/>
      <c r="D975" s="172"/>
      <c r="E975" s="172"/>
      <c r="F975" s="172"/>
      <c r="G975" s="172"/>
      <c r="H975" s="172"/>
      <c r="I975" s="182"/>
      <c r="J975" s="172"/>
      <c r="K975" s="172"/>
      <c r="L975" s="172"/>
      <c r="M975" s="172"/>
      <c r="N975" s="172"/>
      <c r="O975" s="172"/>
      <c r="P975" s="172"/>
      <c r="Q975" s="172"/>
      <c r="R975" s="172"/>
      <c r="S975" s="172"/>
      <c r="T975" s="172"/>
      <c r="U975" s="172"/>
      <c r="V975" s="172"/>
      <c r="W975" s="172"/>
      <c r="X975" s="172"/>
      <c r="Y975" s="172"/>
      <c r="Z975" s="172"/>
    </row>
    <row r="976">
      <c r="A976" s="172"/>
      <c r="B976" s="182"/>
      <c r="C976" s="172"/>
      <c r="D976" s="172"/>
      <c r="E976" s="172"/>
      <c r="F976" s="172"/>
      <c r="G976" s="172"/>
      <c r="H976" s="172"/>
      <c r="I976" s="182"/>
      <c r="J976" s="172"/>
      <c r="K976" s="172"/>
      <c r="L976" s="172"/>
      <c r="M976" s="172"/>
      <c r="N976" s="172"/>
      <c r="O976" s="172"/>
      <c r="P976" s="172"/>
      <c r="Q976" s="172"/>
      <c r="R976" s="172"/>
      <c r="S976" s="172"/>
      <c r="T976" s="172"/>
      <c r="U976" s="172"/>
      <c r="V976" s="172"/>
      <c r="W976" s="172"/>
      <c r="X976" s="172"/>
      <c r="Y976" s="172"/>
      <c r="Z976" s="172"/>
    </row>
    <row r="977">
      <c r="A977" s="172"/>
      <c r="B977" s="182"/>
      <c r="C977" s="172"/>
      <c r="D977" s="172"/>
      <c r="E977" s="172"/>
      <c r="F977" s="172"/>
      <c r="G977" s="172"/>
      <c r="H977" s="172"/>
      <c r="I977" s="182"/>
      <c r="J977" s="172"/>
      <c r="K977" s="172"/>
      <c r="L977" s="172"/>
      <c r="M977" s="172"/>
      <c r="N977" s="172"/>
      <c r="O977" s="172"/>
      <c r="P977" s="172"/>
      <c r="Q977" s="172"/>
      <c r="R977" s="172"/>
      <c r="S977" s="172"/>
      <c r="T977" s="172"/>
      <c r="U977" s="172"/>
      <c r="V977" s="172"/>
      <c r="W977" s="172"/>
      <c r="X977" s="172"/>
      <c r="Y977" s="172"/>
      <c r="Z977" s="172"/>
    </row>
    <row r="978">
      <c r="A978" s="172"/>
      <c r="B978" s="182"/>
      <c r="C978" s="172"/>
      <c r="D978" s="172"/>
      <c r="E978" s="172"/>
      <c r="F978" s="172"/>
      <c r="G978" s="172"/>
      <c r="H978" s="172"/>
      <c r="I978" s="182"/>
      <c r="J978" s="172"/>
      <c r="K978" s="172"/>
      <c r="L978" s="172"/>
      <c r="M978" s="172"/>
      <c r="N978" s="172"/>
      <c r="O978" s="172"/>
      <c r="P978" s="172"/>
      <c r="Q978" s="172"/>
      <c r="R978" s="172"/>
      <c r="S978" s="172"/>
      <c r="T978" s="172"/>
      <c r="U978" s="172"/>
      <c r="V978" s="172"/>
      <c r="W978" s="172"/>
      <c r="X978" s="172"/>
      <c r="Y978" s="172"/>
      <c r="Z978" s="172"/>
    </row>
    <row r="979">
      <c r="A979" s="172"/>
      <c r="B979" s="182"/>
      <c r="C979" s="172"/>
      <c r="D979" s="172"/>
      <c r="E979" s="172"/>
      <c r="F979" s="172"/>
      <c r="G979" s="172"/>
      <c r="H979" s="172"/>
      <c r="I979" s="182"/>
      <c r="J979" s="172"/>
      <c r="K979" s="172"/>
      <c r="L979" s="172"/>
      <c r="M979" s="172"/>
      <c r="N979" s="172"/>
      <c r="O979" s="172"/>
      <c r="P979" s="172"/>
      <c r="Q979" s="172"/>
      <c r="R979" s="172"/>
      <c r="S979" s="172"/>
      <c r="T979" s="172"/>
      <c r="U979" s="172"/>
      <c r="V979" s="172"/>
      <c r="W979" s="172"/>
      <c r="X979" s="172"/>
      <c r="Y979" s="172"/>
      <c r="Z979" s="172"/>
    </row>
    <row r="980">
      <c r="A980" s="172"/>
      <c r="B980" s="182"/>
      <c r="C980" s="172"/>
      <c r="D980" s="172"/>
      <c r="E980" s="172"/>
      <c r="F980" s="172"/>
      <c r="G980" s="172"/>
      <c r="H980" s="172"/>
      <c r="I980" s="182"/>
      <c r="J980" s="172"/>
      <c r="K980" s="172"/>
      <c r="L980" s="172"/>
      <c r="M980" s="172"/>
      <c r="N980" s="172"/>
      <c r="O980" s="172"/>
      <c r="P980" s="172"/>
      <c r="Q980" s="172"/>
      <c r="R980" s="172"/>
      <c r="S980" s="172"/>
      <c r="T980" s="172"/>
      <c r="U980" s="172"/>
      <c r="V980" s="172"/>
      <c r="W980" s="172"/>
      <c r="X980" s="172"/>
      <c r="Y980" s="172"/>
      <c r="Z980" s="172"/>
    </row>
    <row r="981">
      <c r="A981" s="172"/>
      <c r="B981" s="182"/>
      <c r="C981" s="172"/>
      <c r="D981" s="172"/>
      <c r="E981" s="172"/>
      <c r="F981" s="172"/>
      <c r="G981" s="172"/>
      <c r="H981" s="172"/>
      <c r="I981" s="182"/>
      <c r="J981" s="172"/>
      <c r="K981" s="172"/>
      <c r="L981" s="172"/>
      <c r="M981" s="172"/>
      <c r="N981" s="172"/>
      <c r="O981" s="172"/>
      <c r="P981" s="172"/>
      <c r="Q981" s="172"/>
      <c r="R981" s="172"/>
      <c r="S981" s="172"/>
      <c r="T981" s="172"/>
      <c r="U981" s="172"/>
      <c r="V981" s="172"/>
      <c r="W981" s="172"/>
      <c r="X981" s="172"/>
      <c r="Y981" s="172"/>
      <c r="Z981" s="172"/>
    </row>
    <row r="982">
      <c r="A982" s="172"/>
      <c r="B982" s="182"/>
      <c r="C982" s="172"/>
      <c r="D982" s="172"/>
      <c r="E982" s="172"/>
      <c r="F982" s="172"/>
      <c r="G982" s="172"/>
      <c r="H982" s="172"/>
      <c r="I982" s="182"/>
      <c r="J982" s="172"/>
      <c r="K982" s="172"/>
      <c r="L982" s="172"/>
      <c r="M982" s="172"/>
      <c r="N982" s="172"/>
      <c r="O982" s="172"/>
      <c r="P982" s="172"/>
      <c r="Q982" s="172"/>
      <c r="R982" s="172"/>
      <c r="S982" s="172"/>
      <c r="T982" s="172"/>
      <c r="U982" s="172"/>
      <c r="V982" s="172"/>
      <c r="W982" s="172"/>
      <c r="X982" s="172"/>
      <c r="Y982" s="172"/>
      <c r="Z982" s="172"/>
    </row>
    <row r="983">
      <c r="A983" s="172"/>
      <c r="B983" s="182"/>
      <c r="C983" s="172"/>
      <c r="D983" s="172"/>
      <c r="E983" s="172"/>
      <c r="F983" s="172"/>
      <c r="G983" s="172"/>
      <c r="H983" s="172"/>
      <c r="I983" s="182"/>
      <c r="J983" s="172"/>
      <c r="K983" s="172"/>
      <c r="L983" s="172"/>
      <c r="M983" s="172"/>
      <c r="N983" s="172"/>
      <c r="O983" s="172"/>
      <c r="P983" s="172"/>
      <c r="Q983" s="172"/>
      <c r="R983" s="172"/>
      <c r="S983" s="172"/>
      <c r="T983" s="172"/>
      <c r="U983" s="172"/>
      <c r="V983" s="172"/>
      <c r="W983" s="172"/>
      <c r="X983" s="172"/>
      <c r="Y983" s="172"/>
      <c r="Z983" s="172"/>
    </row>
    <row r="984">
      <c r="A984" s="172"/>
      <c r="B984" s="182"/>
      <c r="C984" s="172"/>
      <c r="D984" s="172"/>
      <c r="E984" s="172"/>
      <c r="F984" s="172"/>
      <c r="G984" s="172"/>
      <c r="H984" s="172"/>
      <c r="I984" s="182"/>
      <c r="J984" s="172"/>
      <c r="K984" s="172"/>
      <c r="L984" s="172"/>
      <c r="M984" s="172"/>
      <c r="N984" s="172"/>
      <c r="O984" s="172"/>
      <c r="P984" s="172"/>
      <c r="Q984" s="172"/>
      <c r="R984" s="172"/>
      <c r="S984" s="172"/>
      <c r="T984" s="172"/>
      <c r="U984" s="172"/>
      <c r="V984" s="172"/>
      <c r="W984" s="172"/>
      <c r="X984" s="172"/>
      <c r="Y984" s="172"/>
      <c r="Z984" s="172"/>
    </row>
    <row r="985">
      <c r="A985" s="172"/>
      <c r="B985" s="182"/>
      <c r="C985" s="172"/>
      <c r="D985" s="172"/>
      <c r="E985" s="172"/>
      <c r="F985" s="172"/>
      <c r="G985" s="172"/>
      <c r="H985" s="172"/>
      <c r="I985" s="182"/>
      <c r="J985" s="172"/>
      <c r="K985" s="172"/>
      <c r="L985" s="172"/>
      <c r="M985" s="172"/>
      <c r="N985" s="172"/>
      <c r="O985" s="172"/>
      <c r="P985" s="172"/>
      <c r="Q985" s="172"/>
      <c r="R985" s="172"/>
      <c r="S985" s="172"/>
      <c r="T985" s="172"/>
      <c r="U985" s="172"/>
      <c r="V985" s="172"/>
      <c r="W985" s="172"/>
      <c r="X985" s="172"/>
      <c r="Y985" s="172"/>
      <c r="Z985" s="172"/>
    </row>
    <row r="986">
      <c r="A986" s="172"/>
      <c r="B986" s="182"/>
      <c r="C986" s="172"/>
      <c r="D986" s="172"/>
      <c r="E986" s="172"/>
      <c r="F986" s="172"/>
      <c r="G986" s="172"/>
      <c r="H986" s="172"/>
      <c r="I986" s="182"/>
      <c r="J986" s="172"/>
      <c r="K986" s="172"/>
      <c r="L986" s="172"/>
      <c r="M986" s="172"/>
      <c r="N986" s="172"/>
      <c r="O986" s="172"/>
      <c r="P986" s="172"/>
      <c r="Q986" s="172"/>
      <c r="R986" s="172"/>
      <c r="S986" s="172"/>
      <c r="T986" s="172"/>
      <c r="U986" s="172"/>
      <c r="V986" s="172"/>
      <c r="W986" s="172"/>
      <c r="X986" s="172"/>
      <c r="Y986" s="172"/>
      <c r="Z986" s="172"/>
    </row>
    <row r="987">
      <c r="A987" s="172"/>
      <c r="B987" s="182"/>
      <c r="C987" s="172"/>
      <c r="D987" s="172"/>
      <c r="E987" s="172"/>
      <c r="F987" s="172"/>
      <c r="G987" s="172"/>
      <c r="H987" s="172"/>
      <c r="I987" s="182"/>
      <c r="J987" s="172"/>
      <c r="K987" s="172"/>
      <c r="L987" s="172"/>
      <c r="M987" s="172"/>
      <c r="N987" s="172"/>
      <c r="O987" s="172"/>
      <c r="P987" s="172"/>
      <c r="Q987" s="172"/>
      <c r="R987" s="172"/>
      <c r="S987" s="172"/>
      <c r="T987" s="172"/>
      <c r="U987" s="172"/>
      <c r="V987" s="172"/>
      <c r="W987" s="172"/>
      <c r="X987" s="172"/>
      <c r="Y987" s="172"/>
      <c r="Z987" s="172"/>
    </row>
    <row r="988">
      <c r="A988" s="172"/>
      <c r="B988" s="182"/>
      <c r="C988" s="172"/>
      <c r="D988" s="172"/>
      <c r="E988" s="172"/>
      <c r="F988" s="172"/>
      <c r="G988" s="172"/>
      <c r="H988" s="172"/>
      <c r="I988" s="182"/>
      <c r="J988" s="172"/>
      <c r="K988" s="172"/>
      <c r="L988" s="172"/>
      <c r="M988" s="172"/>
      <c r="N988" s="172"/>
      <c r="O988" s="172"/>
      <c r="P988" s="172"/>
      <c r="Q988" s="172"/>
      <c r="R988" s="172"/>
      <c r="S988" s="172"/>
      <c r="T988" s="172"/>
      <c r="U988" s="172"/>
      <c r="V988" s="172"/>
      <c r="W988" s="172"/>
      <c r="X988" s="172"/>
      <c r="Y988" s="172"/>
      <c r="Z988" s="172"/>
    </row>
    <row r="989">
      <c r="A989" s="172"/>
      <c r="B989" s="182"/>
      <c r="C989" s="172"/>
      <c r="D989" s="172"/>
      <c r="E989" s="172"/>
      <c r="F989" s="172"/>
      <c r="G989" s="172"/>
      <c r="H989" s="172"/>
      <c r="I989" s="182"/>
      <c r="J989" s="172"/>
      <c r="K989" s="172"/>
      <c r="L989" s="172"/>
      <c r="M989" s="172"/>
      <c r="N989" s="172"/>
      <c r="O989" s="172"/>
      <c r="P989" s="172"/>
      <c r="Q989" s="172"/>
      <c r="R989" s="172"/>
      <c r="S989" s="172"/>
      <c r="T989" s="172"/>
      <c r="U989" s="172"/>
      <c r="V989" s="172"/>
      <c r="W989" s="172"/>
      <c r="X989" s="172"/>
      <c r="Y989" s="172"/>
      <c r="Z989" s="172"/>
    </row>
    <row r="990">
      <c r="A990" s="172"/>
      <c r="B990" s="182"/>
      <c r="C990" s="172"/>
      <c r="D990" s="172"/>
      <c r="E990" s="172"/>
      <c r="F990" s="172"/>
      <c r="G990" s="172"/>
      <c r="H990" s="172"/>
      <c r="I990" s="182"/>
      <c r="J990" s="172"/>
      <c r="K990" s="172"/>
      <c r="L990" s="172"/>
      <c r="M990" s="172"/>
      <c r="N990" s="172"/>
      <c r="O990" s="172"/>
      <c r="P990" s="172"/>
      <c r="Q990" s="172"/>
      <c r="R990" s="172"/>
      <c r="S990" s="172"/>
      <c r="T990" s="172"/>
      <c r="U990" s="172"/>
      <c r="V990" s="172"/>
      <c r="W990" s="172"/>
      <c r="X990" s="172"/>
      <c r="Y990" s="172"/>
      <c r="Z990" s="172"/>
    </row>
    <row r="991">
      <c r="A991" s="172"/>
      <c r="B991" s="182"/>
      <c r="C991" s="172"/>
      <c r="D991" s="172"/>
      <c r="E991" s="172"/>
      <c r="F991" s="172"/>
      <c r="G991" s="172"/>
      <c r="H991" s="172"/>
      <c r="I991" s="182"/>
      <c r="J991" s="172"/>
      <c r="K991" s="172"/>
      <c r="L991" s="172"/>
      <c r="M991" s="172"/>
      <c r="N991" s="172"/>
      <c r="O991" s="172"/>
      <c r="P991" s="172"/>
      <c r="Q991" s="172"/>
      <c r="R991" s="172"/>
      <c r="S991" s="172"/>
      <c r="T991" s="172"/>
      <c r="U991" s="172"/>
      <c r="V991" s="172"/>
      <c r="W991" s="172"/>
      <c r="X991" s="172"/>
      <c r="Y991" s="172"/>
      <c r="Z991" s="172"/>
    </row>
    <row r="992">
      <c r="A992" s="172"/>
      <c r="B992" s="182"/>
      <c r="C992" s="172"/>
      <c r="D992" s="172"/>
      <c r="E992" s="172"/>
      <c r="F992" s="172"/>
      <c r="G992" s="172"/>
      <c r="H992" s="172"/>
      <c r="I992" s="182"/>
      <c r="J992" s="172"/>
      <c r="K992" s="172"/>
      <c r="L992" s="172"/>
      <c r="M992" s="172"/>
      <c r="N992" s="172"/>
      <c r="O992" s="172"/>
      <c r="P992" s="172"/>
      <c r="Q992" s="172"/>
      <c r="R992" s="172"/>
      <c r="S992" s="172"/>
      <c r="T992" s="172"/>
      <c r="U992" s="172"/>
      <c r="V992" s="172"/>
      <c r="W992" s="172"/>
      <c r="X992" s="172"/>
      <c r="Y992" s="172"/>
      <c r="Z992" s="172"/>
    </row>
    <row r="993">
      <c r="A993" s="172"/>
      <c r="B993" s="182"/>
      <c r="C993" s="172"/>
      <c r="D993" s="172"/>
      <c r="E993" s="172"/>
      <c r="F993" s="172"/>
      <c r="G993" s="172"/>
      <c r="H993" s="172"/>
      <c r="I993" s="182"/>
      <c r="J993" s="172"/>
      <c r="K993" s="172"/>
      <c r="L993" s="172"/>
      <c r="M993" s="172"/>
      <c r="N993" s="172"/>
      <c r="O993" s="172"/>
      <c r="P993" s="172"/>
      <c r="Q993" s="172"/>
      <c r="R993" s="172"/>
      <c r="S993" s="172"/>
      <c r="T993" s="172"/>
      <c r="U993" s="172"/>
      <c r="V993" s="172"/>
      <c r="W993" s="172"/>
      <c r="X993" s="172"/>
      <c r="Y993" s="172"/>
      <c r="Z993" s="172"/>
    </row>
    <row r="994">
      <c r="A994" s="172"/>
      <c r="B994" s="182"/>
      <c r="C994" s="172"/>
      <c r="D994" s="172"/>
      <c r="E994" s="172"/>
      <c r="F994" s="172"/>
      <c r="G994" s="172"/>
      <c r="H994" s="172"/>
      <c r="I994" s="182"/>
      <c r="J994" s="172"/>
      <c r="K994" s="172"/>
      <c r="L994" s="172"/>
      <c r="M994" s="172"/>
      <c r="N994" s="172"/>
      <c r="O994" s="172"/>
      <c r="P994" s="172"/>
      <c r="Q994" s="172"/>
      <c r="R994" s="172"/>
      <c r="S994" s="172"/>
      <c r="T994" s="172"/>
      <c r="U994" s="172"/>
      <c r="V994" s="172"/>
      <c r="W994" s="172"/>
      <c r="X994" s="172"/>
      <c r="Y994" s="172"/>
      <c r="Z994" s="172"/>
    </row>
    <row r="995">
      <c r="A995" s="172"/>
      <c r="B995" s="182"/>
      <c r="C995" s="172"/>
      <c r="D995" s="172"/>
      <c r="E995" s="172"/>
      <c r="F995" s="172"/>
      <c r="G995" s="172"/>
      <c r="H995" s="172"/>
      <c r="I995" s="182"/>
      <c r="J995" s="172"/>
      <c r="K995" s="172"/>
      <c r="L995" s="172"/>
      <c r="M995" s="172"/>
      <c r="N995" s="172"/>
      <c r="O995" s="172"/>
      <c r="P995" s="172"/>
      <c r="Q995" s="172"/>
      <c r="R995" s="172"/>
      <c r="S995" s="172"/>
      <c r="T995" s="172"/>
      <c r="U995" s="172"/>
      <c r="V995" s="172"/>
      <c r="W995" s="172"/>
      <c r="X995" s="172"/>
      <c r="Y995" s="172"/>
      <c r="Z995" s="172"/>
    </row>
    <row r="996">
      <c r="A996" s="172"/>
      <c r="B996" s="182"/>
      <c r="C996" s="172"/>
      <c r="D996" s="172"/>
      <c r="E996" s="172"/>
      <c r="F996" s="172"/>
      <c r="G996" s="172"/>
      <c r="H996" s="172"/>
      <c r="I996" s="182"/>
      <c r="J996" s="172"/>
      <c r="K996" s="172"/>
      <c r="L996" s="172"/>
      <c r="M996" s="172"/>
      <c r="N996" s="172"/>
      <c r="O996" s="172"/>
      <c r="P996" s="172"/>
      <c r="Q996" s="172"/>
      <c r="R996" s="172"/>
      <c r="S996" s="172"/>
      <c r="T996" s="172"/>
      <c r="U996" s="172"/>
      <c r="V996" s="172"/>
      <c r="W996" s="172"/>
      <c r="X996" s="172"/>
      <c r="Y996" s="172"/>
      <c r="Z996" s="172"/>
    </row>
    <row r="997">
      <c r="A997" s="172"/>
      <c r="B997" s="182"/>
      <c r="C997" s="172"/>
      <c r="D997" s="172"/>
      <c r="E997" s="172"/>
      <c r="F997" s="172"/>
      <c r="G997" s="172"/>
      <c r="H997" s="172"/>
      <c r="I997" s="182"/>
      <c r="J997" s="172"/>
      <c r="K997" s="172"/>
      <c r="L997" s="172"/>
      <c r="M997" s="172"/>
      <c r="N997" s="172"/>
      <c r="O997" s="172"/>
      <c r="P997" s="172"/>
      <c r="Q997" s="172"/>
      <c r="R997" s="172"/>
      <c r="S997" s="172"/>
      <c r="T997" s="172"/>
      <c r="U997" s="172"/>
      <c r="V997" s="172"/>
      <c r="W997" s="172"/>
      <c r="X997" s="172"/>
      <c r="Y997" s="172"/>
      <c r="Z997" s="172"/>
    </row>
    <row r="998">
      <c r="A998" s="172"/>
      <c r="B998" s="182"/>
      <c r="C998" s="172"/>
      <c r="D998" s="172"/>
      <c r="E998" s="172"/>
      <c r="F998" s="172"/>
      <c r="G998" s="172"/>
      <c r="H998" s="172"/>
      <c r="I998" s="182"/>
      <c r="J998" s="172"/>
      <c r="K998" s="172"/>
      <c r="L998" s="172"/>
      <c r="M998" s="172"/>
      <c r="N998" s="172"/>
      <c r="O998" s="172"/>
      <c r="P998" s="172"/>
      <c r="Q998" s="172"/>
      <c r="R998" s="172"/>
      <c r="S998" s="172"/>
      <c r="T998" s="172"/>
      <c r="U998" s="172"/>
      <c r="V998" s="172"/>
      <c r="W998" s="172"/>
      <c r="X998" s="172"/>
      <c r="Y998" s="172"/>
      <c r="Z998" s="172"/>
    </row>
    <row r="999">
      <c r="A999" s="172"/>
      <c r="B999" s="182"/>
      <c r="C999" s="172"/>
      <c r="D999" s="172"/>
      <c r="E999" s="172"/>
      <c r="F999" s="172"/>
      <c r="G999" s="172"/>
      <c r="H999" s="172"/>
      <c r="I999" s="182"/>
      <c r="J999" s="172"/>
      <c r="K999" s="172"/>
      <c r="L999" s="172"/>
      <c r="M999" s="172"/>
      <c r="N999" s="172"/>
      <c r="O999" s="172"/>
      <c r="P999" s="172"/>
      <c r="Q999" s="172"/>
      <c r="R999" s="172"/>
      <c r="S999" s="172"/>
      <c r="T999" s="172"/>
      <c r="U999" s="172"/>
      <c r="V999" s="172"/>
      <c r="W999" s="172"/>
      <c r="X999" s="172"/>
      <c r="Y999" s="172"/>
      <c r="Z999" s="172"/>
    </row>
    <row r="1000">
      <c r="A1000" s="172"/>
      <c r="B1000" s="182"/>
      <c r="C1000" s="172"/>
      <c r="D1000" s="172"/>
      <c r="E1000" s="172"/>
      <c r="F1000" s="172"/>
      <c r="G1000" s="172"/>
      <c r="H1000" s="172"/>
      <c r="I1000" s="182"/>
      <c r="J1000" s="172"/>
      <c r="K1000" s="172"/>
      <c r="L1000" s="172"/>
      <c r="M1000" s="172"/>
      <c r="N1000" s="172"/>
      <c r="O1000" s="172"/>
      <c r="P1000" s="172"/>
      <c r="Q1000" s="172"/>
      <c r="R1000" s="172"/>
      <c r="S1000" s="172"/>
      <c r="T1000" s="172"/>
      <c r="U1000" s="172"/>
      <c r="V1000" s="172"/>
      <c r="W1000" s="172"/>
      <c r="X1000" s="172"/>
      <c r="Y1000" s="172"/>
      <c r="Z1000" s="172"/>
    </row>
  </sheetData>
  <hyperlinks>
    <hyperlink r:id="rId1" ref="I2"/>
    <hyperlink r:id="rId2" ref="I3"/>
    <hyperlink r:id="rId3" ref="I4"/>
    <hyperlink r:id="rId4" ref="I5"/>
    <hyperlink r:id="rId5" ref="I6"/>
    <hyperlink r:id="rId6" ref="I7"/>
    <hyperlink display="Futuros + Renta Mixta Conservador" location="'Futuros + Renta Mixta Conservad'!A1" ref="B15"/>
  </hyperlinks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2" width="11.0"/>
    <col customWidth="1" min="3" max="3" width="26.0"/>
  </cols>
  <sheetData>
    <row r="1">
      <c r="A1" s="188" t="s">
        <v>2025</v>
      </c>
      <c r="B1" s="189" t="s">
        <v>2605</v>
      </c>
      <c r="C1" s="1" t="s">
        <v>2026</v>
      </c>
      <c r="D1" s="190">
        <v>45808.0</v>
      </c>
      <c r="E1" s="191">
        <f>TODAY()</f>
        <v>45866</v>
      </c>
      <c r="F1" s="189" t="s">
        <v>2606</v>
      </c>
      <c r="G1" s="192" t="s">
        <v>2607</v>
      </c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</row>
    <row r="2">
      <c r="A2" s="194" t="s">
        <v>2608</v>
      </c>
      <c r="B2" s="73"/>
      <c r="C2" s="73"/>
      <c r="D2" s="73"/>
      <c r="E2" s="73"/>
      <c r="F2" s="195"/>
      <c r="G2" s="73"/>
      <c r="H2" s="196"/>
      <c r="I2" s="196"/>
      <c r="J2" s="196"/>
      <c r="K2" s="196"/>
      <c r="L2" s="196"/>
      <c r="M2" s="196"/>
      <c r="N2" s="196"/>
      <c r="O2" s="196"/>
      <c r="P2" s="196"/>
      <c r="Q2" s="196"/>
      <c r="R2" s="196"/>
      <c r="S2" s="196"/>
      <c r="T2" s="196"/>
      <c r="U2" s="196"/>
      <c r="V2" s="196"/>
      <c r="W2" s="196"/>
      <c r="X2" s="196"/>
      <c r="Y2" s="196"/>
      <c r="Z2" s="196"/>
      <c r="AA2" s="196"/>
      <c r="AB2" s="196"/>
      <c r="AC2" s="196"/>
      <c r="AD2" s="196"/>
      <c r="AE2" s="196"/>
      <c r="AF2" s="196"/>
      <c r="AG2" s="196"/>
      <c r="AH2" s="196"/>
      <c r="AI2" s="196"/>
      <c r="AJ2" s="196"/>
      <c r="AK2" s="196"/>
      <c r="AL2" s="196"/>
      <c r="AM2" s="196"/>
    </row>
    <row r="3">
      <c r="A3" s="4"/>
      <c r="B3" s="4" t="s">
        <v>1440</v>
      </c>
      <c r="C3" s="197" t="str">
        <f>IFERROR(__xludf.DUMMYFUNCTION("GOOGLEFINANCE(B3,""name"")"),"Schlumberger NV")</f>
        <v>Schlumberger NV</v>
      </c>
      <c r="D3" s="197">
        <f>IFERROR(__xludf.DUMMYFUNCTION("INDEX(GOOGLEFINANCE(B3 ,""price"",DATE(2025,5,31)),2,2)"),33.34)</f>
        <v>33.34</v>
      </c>
      <c r="E3" s="197">
        <f>IFERROR(__xludf.DUMMYFUNCTION("GOOGLEFINANCE(B3)"),35.83)</f>
        <v>35.83</v>
      </c>
      <c r="F3" s="198">
        <f t="shared" ref="F3:F34" si="1">E3/D3-1</f>
        <v>0.07468506299</v>
      </c>
      <c r="G3" s="199">
        <f>IFERROR(__xludf.DUMMYFUNCTION("E3/(INDEX(GOOGLEFINANCE(B3 ,""price"",DATE(2024,1,1)),2,2))-1"),-0.31069642170065404)</f>
        <v>-0.3106964217</v>
      </c>
      <c r="H3" s="196"/>
      <c r="I3" s="196"/>
      <c r="J3" s="196"/>
      <c r="K3" s="196"/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96"/>
      <c r="W3" s="196"/>
      <c r="X3" s="196"/>
      <c r="Y3" s="196"/>
      <c r="Z3" s="196"/>
      <c r="AA3" s="196"/>
      <c r="AB3" s="196"/>
      <c r="AC3" s="196"/>
      <c r="AD3" s="196"/>
      <c r="AE3" s="196"/>
      <c r="AF3" s="196"/>
      <c r="AG3" s="196"/>
      <c r="AH3" s="196"/>
      <c r="AI3" s="196"/>
      <c r="AJ3" s="196"/>
      <c r="AK3" s="196"/>
      <c r="AL3" s="196"/>
      <c r="AM3" s="196"/>
    </row>
    <row r="4">
      <c r="A4" s="4"/>
      <c r="B4" s="4" t="s">
        <v>2609</v>
      </c>
      <c r="C4" s="197" t="str">
        <f>IFERROR(__xludf.DUMMYFUNCTION("GOOGLEFINANCE(B4,""name"")"),"Weibo Corp")</f>
        <v>Weibo Corp</v>
      </c>
      <c r="D4" s="197">
        <f>IFERROR(__xludf.DUMMYFUNCTION("INDEX(GOOGLEFINANCE(B4 ,""price"",DATE(2025,5,31)),2,2)"),9.18)</f>
        <v>9.18</v>
      </c>
      <c r="E4" s="197">
        <f>IFERROR(__xludf.DUMMYFUNCTION("GOOGLEFINANCE(B4)"),10.28)</f>
        <v>10.28</v>
      </c>
      <c r="F4" s="198">
        <f t="shared" si="1"/>
        <v>0.1198257081</v>
      </c>
      <c r="G4" s="199">
        <f>IFERROR(__xludf.DUMMYFUNCTION("E4/(INDEX(GOOGLEFINANCE(B4 ,""price"",DATE(2024,1,1)),2,2))-1"),-0.023741690408357052)</f>
        <v>-0.02374169041</v>
      </c>
      <c r="H4" s="196"/>
      <c r="I4" s="196"/>
      <c r="J4" s="196"/>
      <c r="K4" s="196"/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196"/>
      <c r="AM4" s="196"/>
    </row>
    <row r="5">
      <c r="A5" s="4"/>
      <c r="B5" s="4" t="s">
        <v>974</v>
      </c>
      <c r="C5" s="197" t="str">
        <f>IFERROR(__xludf.DUMMYFUNCTION("GOOGLEFINANCE(B5,""name"")"),"Altria Group Inc")</f>
        <v>Altria Group Inc</v>
      </c>
      <c r="D5" s="197">
        <f>IFERROR(__xludf.DUMMYFUNCTION("INDEX(GOOGLEFINANCE(B5 ,""price"",DATE(2025,5,31)),2,2)"),60.63)</f>
        <v>60.63</v>
      </c>
      <c r="E5" s="197">
        <f>IFERROR(__xludf.DUMMYFUNCTION("GOOGLEFINANCE(B5)"),59.38)</f>
        <v>59.38</v>
      </c>
      <c r="F5" s="198">
        <f t="shared" si="1"/>
        <v>-0.02061685634</v>
      </c>
      <c r="G5" s="199">
        <f>IFERROR(__xludf.DUMMYFUNCTION("E5/(INDEX(GOOGLEFINANCE(B5 ,""price"",DATE(2024,1,1)),2,2))-1"),0.4280904280904283)</f>
        <v>0.4280904281</v>
      </c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</row>
    <row r="6">
      <c r="A6" s="4"/>
      <c r="B6" s="4" t="s">
        <v>1021</v>
      </c>
      <c r="C6" s="197" t="str">
        <f>IFERROR(__xludf.DUMMYFUNCTION("GOOGLEFINANCE(B6,""name"")"),"Merck &amp; Co Inc")</f>
        <v>Merck &amp; Co Inc</v>
      </c>
      <c r="D6" s="197">
        <f>IFERROR(__xludf.DUMMYFUNCTION("INDEX(GOOGLEFINANCE(B6 ,""price"",DATE(2025,5,31)),2,2)"),76.25)</f>
        <v>76.25</v>
      </c>
      <c r="E6" s="197">
        <f>IFERROR(__xludf.DUMMYFUNCTION("GOOGLEFINANCE(B6)"),84.43)</f>
        <v>84.43</v>
      </c>
      <c r="F6" s="198">
        <f t="shared" si="1"/>
        <v>0.1072786885</v>
      </c>
      <c r="G6" s="199">
        <f>IFERROR(__xludf.DUMMYFUNCTION("E6/(INDEX(GOOGLEFINANCE(B6 ,""price"",DATE(2024,1,1)),2,2))-1"),-0.2544154009184033)</f>
        <v>-0.2544154009</v>
      </c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</row>
    <row r="7">
      <c r="A7" s="4"/>
      <c r="B7" s="4" t="s">
        <v>1764</v>
      </c>
      <c r="C7" s="197" t="str">
        <f>IFERROR(__xludf.DUMMYFUNCTION("GOOGLEFINANCE(B7,""name"")"),"United Airlines Holdings Inc")</f>
        <v>United Airlines Holdings Inc</v>
      </c>
      <c r="D7" s="197">
        <f>IFERROR(__xludf.DUMMYFUNCTION("INDEX(GOOGLEFINANCE(B7 ,""price"",DATE(2025,5,31)),2,2)"),81.23)</f>
        <v>81.23</v>
      </c>
      <c r="E7" s="197">
        <f>IFERROR(__xludf.DUMMYFUNCTION("GOOGLEFINANCE(B7)"),91.78)</f>
        <v>91.78</v>
      </c>
      <c r="F7" s="198">
        <f t="shared" si="1"/>
        <v>0.1298781238</v>
      </c>
      <c r="G7" s="199">
        <f>IFERROR(__xludf.DUMMYFUNCTION("E7/(INDEX(GOOGLEFINANCE(B7 ,""price"",DATE(2024,1,1)),2,2))-1"),1.2539292730844793)</f>
        <v>1.253929273</v>
      </c>
      <c r="H7" s="200"/>
      <c r="I7" s="200"/>
      <c r="J7" s="200"/>
      <c r="K7" s="200"/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Z7" s="200"/>
      <c r="AA7" s="200"/>
      <c r="AB7" s="200"/>
      <c r="AC7" s="200"/>
      <c r="AD7" s="200"/>
      <c r="AE7" s="200"/>
      <c r="AF7" s="200"/>
      <c r="AG7" s="200"/>
      <c r="AH7" s="200"/>
      <c r="AI7" s="200"/>
      <c r="AJ7" s="200"/>
      <c r="AK7" s="200"/>
      <c r="AL7" s="200"/>
      <c r="AM7" s="200"/>
    </row>
    <row r="8">
      <c r="A8" s="4"/>
      <c r="B8" s="4" t="s">
        <v>1185</v>
      </c>
      <c r="C8" s="197" t="str">
        <f>IFERROR(__xludf.DUMMYFUNCTION("GOOGLEFINANCE(B8,""name"")"),"Pfizer Inc")</f>
        <v>Pfizer Inc</v>
      </c>
      <c r="D8" s="197">
        <f>IFERROR(__xludf.DUMMYFUNCTION("INDEX(GOOGLEFINANCE(B8 ,""price"",DATE(2025,5,31)),2,2)"),23.46)</f>
        <v>23.46</v>
      </c>
      <c r="E8" s="197">
        <f>IFERROR(__xludf.DUMMYFUNCTION("GOOGLEFINANCE(B8)"),24.4)</f>
        <v>24.4</v>
      </c>
      <c r="F8" s="198">
        <f t="shared" si="1"/>
        <v>0.04006820119</v>
      </c>
      <c r="G8" s="199">
        <f>IFERROR(__xludf.DUMMYFUNCTION("E8/(INDEX(GOOGLEFINANCE(B8 ,""price"",DATE(2024,1,1)),2,2))-1"),-0.17928018836192405)</f>
        <v>-0.1792801884</v>
      </c>
      <c r="H8" s="196"/>
      <c r="I8" s="196"/>
      <c r="J8" s="196"/>
      <c r="K8" s="196"/>
      <c r="L8" s="196"/>
      <c r="M8" s="196"/>
      <c r="N8" s="196"/>
      <c r="O8" s="196"/>
      <c r="P8" s="196"/>
      <c r="Q8" s="196"/>
      <c r="R8" s="196"/>
      <c r="S8" s="196"/>
      <c r="T8" s="196"/>
      <c r="U8" s="196"/>
      <c r="V8" s="196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196"/>
      <c r="AM8" s="196"/>
    </row>
    <row r="9">
      <c r="A9" s="4"/>
      <c r="B9" s="4" t="s">
        <v>121</v>
      </c>
      <c r="C9" s="197" t="str">
        <f>IFERROR(__xludf.DUMMYFUNCTION("GOOGLEFINANCE(B9,""name"")"),"Broadcom Inc")</f>
        <v>Broadcom Inc</v>
      </c>
      <c r="D9" s="197">
        <f>IFERROR(__xludf.DUMMYFUNCTION("INDEX(GOOGLEFINANCE(B9 ,""price"",DATE(2025,5,31)),2,2)"),248.71)</f>
        <v>248.71</v>
      </c>
      <c r="E9" s="197">
        <f>IFERROR(__xludf.DUMMYFUNCTION("GOOGLEFINANCE(B9)"),292.23)</f>
        <v>292.23</v>
      </c>
      <c r="F9" s="198">
        <f t="shared" si="1"/>
        <v>0.1749829118</v>
      </c>
      <c r="G9" s="199">
        <f>IFERROR(__xludf.DUMMYFUNCTION("E9/(INDEX(GOOGLEFINANCE(B9 ,""price"",DATE(2024,1,1)),2,2))-1"),1.6923714759535655)</f>
        <v>1.692371476</v>
      </c>
      <c r="H9" s="196"/>
      <c r="I9" s="196"/>
      <c r="J9" s="196"/>
      <c r="K9" s="196"/>
      <c r="L9" s="196"/>
      <c r="M9" s="196"/>
      <c r="N9" s="196"/>
      <c r="O9" s="196"/>
      <c r="P9" s="196"/>
      <c r="Q9" s="196"/>
      <c r="R9" s="196"/>
      <c r="S9" s="196"/>
      <c r="T9" s="196"/>
      <c r="U9" s="196"/>
      <c r="V9" s="196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6"/>
      <c r="AM9" s="196"/>
    </row>
    <row r="10">
      <c r="A10" s="4"/>
      <c r="B10" s="4" t="s">
        <v>107</v>
      </c>
      <c r="C10" s="197" t="str">
        <f>IFERROR(__xludf.DUMMYFUNCTION("GOOGLEFINANCE(B10,""name"")"),"Abercrombie &amp; Fitch Co")</f>
        <v>Abercrombie &amp; Fitch Co</v>
      </c>
      <c r="D10" s="197">
        <f>IFERROR(__xludf.DUMMYFUNCTION("INDEX(GOOGLEFINANCE(B10 ,""price"",DATE(2025,5,31)),2,2)"),78.34)</f>
        <v>78.34</v>
      </c>
      <c r="E10" s="197">
        <f>IFERROR(__xludf.DUMMYFUNCTION("GOOGLEFINANCE(B10)"),95.76)</f>
        <v>95.76</v>
      </c>
      <c r="F10" s="198">
        <f t="shared" si="1"/>
        <v>0.2223640541</v>
      </c>
      <c r="G10" s="199">
        <f>IFERROR(__xludf.DUMMYFUNCTION("E10/(INDEX(GOOGLEFINANCE(B10 ,""price"",DATE(2024,1,1)),2,2))-1"),0.05277044854881274)</f>
        <v>0.05277044855</v>
      </c>
      <c r="H10" s="196"/>
      <c r="I10" s="196"/>
      <c r="J10" s="196"/>
      <c r="K10" s="196"/>
      <c r="L10" s="196"/>
      <c r="M10" s="196"/>
      <c r="N10" s="196"/>
      <c r="O10" s="196"/>
      <c r="P10" s="196"/>
      <c r="Q10" s="196"/>
      <c r="R10" s="196"/>
      <c r="S10" s="196"/>
      <c r="T10" s="196"/>
      <c r="U10" s="196"/>
      <c r="V10" s="196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196"/>
      <c r="AM10" s="196"/>
    </row>
    <row r="11">
      <c r="A11" s="4"/>
      <c r="B11" s="4" t="s">
        <v>314</v>
      </c>
      <c r="C11" s="197" t="str">
        <f>IFERROR(__xludf.DUMMYFUNCTION("GOOGLEFINANCE(B11,""name"")"),"Corporacion America Airports SA")</f>
        <v>Corporacion America Airports SA</v>
      </c>
      <c r="D11" s="197">
        <f>IFERROR(__xludf.DUMMYFUNCTION("INDEX(GOOGLEFINANCE(B11 ,""price"",DATE(2025,5,31)),2,2)"),20.54)</f>
        <v>20.54</v>
      </c>
      <c r="E11" s="197">
        <f>IFERROR(__xludf.DUMMYFUNCTION("GOOGLEFINANCE(B11)"),20.36)</f>
        <v>20.36</v>
      </c>
      <c r="F11" s="198">
        <f t="shared" si="1"/>
        <v>-0.00876338851</v>
      </c>
      <c r="G11" s="199">
        <f>IFERROR(__xludf.DUMMYFUNCTION("E11/(INDEX(GOOGLEFINANCE(B11 ,""price"",DATE(2024,1,1)),2,2))-1"),0.2845425867507887)</f>
        <v>0.2845425868</v>
      </c>
      <c r="H11" s="196"/>
      <c r="I11" s="196"/>
      <c r="J11" s="196"/>
      <c r="K11" s="196"/>
      <c r="L11" s="196"/>
      <c r="M11" s="196"/>
      <c r="N11" s="196"/>
      <c r="O11" s="196"/>
      <c r="P11" s="196"/>
      <c r="Q11" s="196"/>
      <c r="R11" s="196"/>
      <c r="S11" s="196"/>
      <c r="T11" s="196"/>
      <c r="U11" s="196"/>
      <c r="V11" s="196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196"/>
      <c r="AM11" s="196"/>
    </row>
    <row r="12">
      <c r="A12" s="4"/>
      <c r="B12" s="4" t="s">
        <v>741</v>
      </c>
      <c r="C12" s="197" t="str">
        <f>IFERROR(__xludf.DUMMYFUNCTION("GOOGLEFINANCE(B12,""name"")"),"HP Inc")</f>
        <v>HP Inc</v>
      </c>
      <c r="D12" s="197">
        <f>IFERROR(__xludf.DUMMYFUNCTION("INDEX(GOOGLEFINANCE(B12 ,""price"",DATE(2025,5,31)),2,2)"),24.91)</f>
        <v>24.91</v>
      </c>
      <c r="E12" s="197">
        <f>IFERROR(__xludf.DUMMYFUNCTION("GOOGLEFINANCE(B12)"),25.57)</f>
        <v>25.57</v>
      </c>
      <c r="F12" s="198">
        <f t="shared" si="1"/>
        <v>0.02649538338</v>
      </c>
      <c r="G12" s="199">
        <f>IFERROR(__xludf.DUMMYFUNCTION("E12/(INDEX(GOOGLEFINANCE(B12 ,""price"",DATE(2024,1,1)),2,2))-1"),-0.14280925243043907)</f>
        <v>-0.1428092524</v>
      </c>
      <c r="H12" s="196"/>
      <c r="I12" s="196"/>
      <c r="J12" s="196"/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</row>
    <row r="13">
      <c r="A13" s="4"/>
      <c r="B13" s="4" t="s">
        <v>196</v>
      </c>
      <c r="C13" s="197" t="str">
        <f>IFERROR(__xludf.DUMMYFUNCTION("GOOGLEFINANCE(B13,""name"")"),"Biogen Inc")</f>
        <v>Biogen Inc</v>
      </c>
      <c r="D13" s="197">
        <f>IFERROR(__xludf.DUMMYFUNCTION("INDEX(GOOGLEFINANCE(B13 ,""price"",DATE(2025,5,31)),2,2)"),131.14)</f>
        <v>131.14</v>
      </c>
      <c r="E13" s="197">
        <f>IFERROR(__xludf.DUMMYFUNCTION("GOOGLEFINANCE(B13)"),129.66)</f>
        <v>129.66</v>
      </c>
      <c r="F13" s="198">
        <f t="shared" si="1"/>
        <v>-0.01128564892</v>
      </c>
      <c r="G13" s="199">
        <f>IFERROR(__xludf.DUMMYFUNCTION("E13/(INDEX(GOOGLEFINANCE(B13 ,""price"",DATE(2024,1,1)),2,2))-1"),-0.5156699413544508)</f>
        <v>-0.5156699414</v>
      </c>
      <c r="H13" s="196"/>
      <c r="I13" s="196"/>
      <c r="J13" s="196"/>
      <c r="K13" s="196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196"/>
      <c r="AM13" s="196"/>
    </row>
    <row r="14">
      <c r="A14" s="4"/>
      <c r="B14" s="4" t="s">
        <v>709</v>
      </c>
      <c r="C14" s="197" t="str">
        <f>IFERROR(__xludf.DUMMYFUNCTION("GOOGLEFINANCE(B14,""name"")"),"Halliburton Co")</f>
        <v>Halliburton Co</v>
      </c>
      <c r="D14" s="197">
        <f>IFERROR(__xludf.DUMMYFUNCTION("INDEX(GOOGLEFINANCE(B14 ,""price"",DATE(2025,5,31)),2,2)"),20.01)</f>
        <v>20.01</v>
      </c>
      <c r="E14" s="197">
        <f>IFERROR(__xludf.DUMMYFUNCTION("GOOGLEFINANCE(B14)"),22.77)</f>
        <v>22.77</v>
      </c>
      <c r="F14" s="198">
        <f t="shared" si="1"/>
        <v>0.1379310345</v>
      </c>
      <c r="G14" s="199">
        <f>IFERROR(__xludf.DUMMYFUNCTION("E14/(INDEX(GOOGLEFINANCE(B14 ,""price"",DATE(2024,1,1)),2,2))-1"),-0.3696013289036545)</f>
        <v>-0.3696013289</v>
      </c>
      <c r="H14" s="196"/>
      <c r="I14" s="196"/>
      <c r="J14" s="196"/>
      <c r="K14" s="196"/>
      <c r="L14" s="196"/>
      <c r="M14" s="196"/>
      <c r="N14" s="196"/>
      <c r="O14" s="196"/>
      <c r="P14" s="196"/>
      <c r="Q14" s="196"/>
      <c r="R14" s="196"/>
      <c r="S14" s="196"/>
      <c r="T14" s="196"/>
      <c r="U14" s="196"/>
      <c r="V14" s="196"/>
      <c r="W14" s="196"/>
      <c r="X14" s="196"/>
      <c r="Y14" s="196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196"/>
      <c r="AM14" s="196"/>
    </row>
    <row r="15">
      <c r="A15" s="4"/>
      <c r="B15" s="4" t="s">
        <v>556</v>
      </c>
      <c r="C15" s="197" t="str">
        <f>IFERROR(__xludf.DUMMYFUNCTION("GOOGLEFINANCE(B15,""name"")"),"Equinor ASA")</f>
        <v>Equinor ASA</v>
      </c>
      <c r="D15" s="197">
        <f>IFERROR(__xludf.DUMMYFUNCTION("INDEX(GOOGLEFINANCE(B15 ,""price"",DATE(2025,5,31)),2,2)"),24.32)</f>
        <v>24.32</v>
      </c>
      <c r="E15" s="197">
        <f>IFERROR(__xludf.DUMMYFUNCTION("GOOGLEFINANCE(B15)"),25.97)</f>
        <v>25.97</v>
      </c>
      <c r="F15" s="198">
        <f t="shared" si="1"/>
        <v>0.06784539474</v>
      </c>
      <c r="G15" s="199">
        <f>IFERROR(__xludf.DUMMYFUNCTION("E15/(INDEX(GOOGLEFINANCE(B15 ,""price"",DATE(2024,1,1)),2,2))-1"),-0.17503176620076244)</f>
        <v>-0.1750317662</v>
      </c>
      <c r="H15" s="196"/>
      <c r="I15" s="196"/>
      <c r="J15" s="196"/>
      <c r="K15" s="196"/>
      <c r="L15" s="196"/>
      <c r="M15" s="196"/>
      <c r="N15" s="196"/>
      <c r="O15" s="196"/>
      <c r="P15" s="196"/>
      <c r="Q15" s="196"/>
      <c r="R15" s="196"/>
      <c r="S15" s="196"/>
      <c r="T15" s="196"/>
      <c r="U15" s="196"/>
      <c r="V15" s="196"/>
      <c r="W15" s="196"/>
      <c r="X15" s="196"/>
      <c r="Y15" s="196"/>
      <c r="Z15" s="196"/>
      <c r="AA15" s="196"/>
      <c r="AB15" s="196"/>
      <c r="AC15" s="196"/>
      <c r="AD15" s="196"/>
      <c r="AE15" s="196"/>
      <c r="AF15" s="196"/>
      <c r="AG15" s="196"/>
      <c r="AH15" s="196"/>
      <c r="AI15" s="196"/>
      <c r="AJ15" s="196"/>
      <c r="AK15" s="196"/>
      <c r="AL15" s="196"/>
      <c r="AM15" s="196"/>
    </row>
    <row r="16">
      <c r="A16" s="4"/>
      <c r="B16" s="4" t="s">
        <v>833</v>
      </c>
      <c r="C16" s="197" t="str">
        <f>IFERROR(__xludf.DUMMYFUNCTION("GOOGLEFINANCE(B16,""name"")"),"Kinross Gold Corp")</f>
        <v>Kinross Gold Corp</v>
      </c>
      <c r="D16" s="197">
        <f>IFERROR(__xludf.DUMMYFUNCTION("INDEX(GOOGLEFINANCE(B16 ,""price"",DATE(2025,5,31)),2,2)"),15.71)</f>
        <v>15.71</v>
      </c>
      <c r="E16" s="197">
        <f>IFERROR(__xludf.DUMMYFUNCTION("GOOGLEFINANCE(B16)"),15.55)</f>
        <v>15.55</v>
      </c>
      <c r="F16" s="198">
        <f t="shared" si="1"/>
        <v>-0.0101845958</v>
      </c>
      <c r="G16" s="199">
        <f>IFERROR(__xludf.DUMMYFUNCTION("E16/(INDEX(GOOGLEFINANCE(B16 ,""price"",DATE(2024,1,1)),2,2))-1"),1.6266891891891895)</f>
        <v>1.626689189</v>
      </c>
      <c r="H16" s="196"/>
      <c r="I16" s="196"/>
      <c r="J16" s="196"/>
      <c r="K16" s="196"/>
      <c r="L16" s="196"/>
      <c r="M16" s="196"/>
      <c r="N16" s="196"/>
      <c r="O16" s="196"/>
      <c r="P16" s="196"/>
      <c r="Q16" s="196"/>
      <c r="R16" s="196"/>
      <c r="S16" s="196"/>
      <c r="T16" s="196"/>
      <c r="U16" s="196"/>
      <c r="V16" s="196"/>
      <c r="W16" s="196"/>
      <c r="X16" s="196"/>
      <c r="Y16" s="196"/>
      <c r="Z16" s="196"/>
      <c r="AA16" s="196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6"/>
      <c r="AM16" s="196"/>
    </row>
    <row r="17">
      <c r="A17" s="4"/>
      <c r="B17" s="4" t="s">
        <v>476</v>
      </c>
      <c r="C17" s="197" t="str">
        <f>IFERROR(__xludf.DUMMYFUNCTION("GOOGLEFINANCE(B17,""name"")"),"Deckers Outdoor Corp")</f>
        <v>Deckers Outdoor Corp</v>
      </c>
      <c r="D17" s="197">
        <f>IFERROR(__xludf.DUMMYFUNCTION("INDEX(GOOGLEFINANCE(B17 ,""price"",DATE(2025,5,31)),2,2)"),105.01)</f>
        <v>105.01</v>
      </c>
      <c r="E17" s="197">
        <f>IFERROR(__xludf.DUMMYFUNCTION("GOOGLEFINANCE(B17)"),116.69)</f>
        <v>116.69</v>
      </c>
      <c r="F17" s="198">
        <f t="shared" si="1"/>
        <v>0.1112275021</v>
      </c>
      <c r="G17" s="199">
        <f>IFERROR(__xludf.DUMMYFUNCTION("E17/(INDEX(GOOGLEFINANCE(B17 ,""price"",DATE(2024,1,1)),2,2))-1"),0.03881420813673997)</f>
        <v>0.03881420814</v>
      </c>
      <c r="H17" s="196"/>
      <c r="I17" s="196"/>
      <c r="J17" s="196"/>
      <c r="K17" s="196"/>
      <c r="L17" s="196"/>
      <c r="M17" s="196"/>
      <c r="N17" s="196"/>
      <c r="O17" s="196"/>
      <c r="P17" s="196"/>
      <c r="Q17" s="196"/>
      <c r="R17" s="196"/>
      <c r="S17" s="196"/>
      <c r="T17" s="196"/>
      <c r="U17" s="196"/>
      <c r="V17" s="196"/>
      <c r="W17" s="196"/>
      <c r="X17" s="196"/>
      <c r="Y17" s="196"/>
      <c r="Z17" s="196"/>
      <c r="AA17" s="196"/>
      <c r="AB17" s="196"/>
      <c r="AC17" s="196"/>
      <c r="AD17" s="196"/>
      <c r="AE17" s="196"/>
      <c r="AF17" s="196"/>
      <c r="AG17" s="196"/>
      <c r="AH17" s="196"/>
      <c r="AI17" s="196"/>
      <c r="AJ17" s="196"/>
      <c r="AK17" s="196"/>
      <c r="AL17" s="196"/>
      <c r="AM17" s="196"/>
    </row>
    <row r="18">
      <c r="A18" s="4"/>
      <c r="B18" s="4" t="s">
        <v>1350</v>
      </c>
      <c r="C18" s="197" t="str">
        <f>IFERROR(__xludf.DUMMYFUNCTION("GOOGLEFINANCE(B18,""name"")"),"Rio Tinto plc ADR Common Stock")</f>
        <v>Rio Tinto plc ADR Common Stock</v>
      </c>
      <c r="D18" s="197">
        <f>IFERROR(__xludf.DUMMYFUNCTION("INDEX(GOOGLEFINANCE(B18 ,""price"",DATE(2025,5,31)),2,2)"),59.58)</f>
        <v>59.58</v>
      </c>
      <c r="E18" s="197">
        <f>IFERROR(__xludf.DUMMYFUNCTION("GOOGLEFINANCE(B18)"),61.75)</f>
        <v>61.75</v>
      </c>
      <c r="F18" s="198">
        <f t="shared" si="1"/>
        <v>0.03642161799</v>
      </c>
      <c r="G18" s="199">
        <f>IFERROR(__xludf.DUMMYFUNCTION("E18/(INDEX(GOOGLEFINANCE(B18 ,""price"",DATE(2024,1,1)),2,2))-1"),-0.16846215997845415)</f>
        <v>-0.16846216</v>
      </c>
      <c r="H18" s="196"/>
      <c r="I18" s="196"/>
      <c r="J18" s="196"/>
      <c r="K18" s="196"/>
      <c r="L18" s="196"/>
      <c r="M18" s="196"/>
      <c r="N18" s="196"/>
      <c r="O18" s="196"/>
      <c r="P18" s="196"/>
      <c r="Q18" s="196"/>
      <c r="R18" s="196"/>
      <c r="S18" s="196"/>
      <c r="T18" s="196"/>
      <c r="U18" s="196"/>
      <c r="V18" s="196"/>
      <c r="W18" s="196"/>
      <c r="X18" s="196"/>
      <c r="Y18" s="196"/>
      <c r="Z18" s="196"/>
      <c r="AA18" s="196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</row>
    <row r="19">
      <c r="A19" s="4"/>
      <c r="B19" s="4" t="s">
        <v>467</v>
      </c>
      <c r="C19" s="197" t="str">
        <f>IFERROR(__xludf.DUMMYFUNCTION("GOOGLEFINANCE(B19,""name"")"),"Delta Air Lines Inc")</f>
        <v>Delta Air Lines Inc</v>
      </c>
      <c r="D19" s="197">
        <f>IFERROR(__xludf.DUMMYFUNCTION("INDEX(GOOGLEFINANCE(B19 ,""price"",DATE(2025,5,31)),2,2)"),48.5)</f>
        <v>48.5</v>
      </c>
      <c r="E19" s="197">
        <f>IFERROR(__xludf.DUMMYFUNCTION("GOOGLEFINANCE(B19)"),54.89)</f>
        <v>54.89</v>
      </c>
      <c r="F19" s="198">
        <f t="shared" si="1"/>
        <v>0.1317525773</v>
      </c>
      <c r="G19" s="199">
        <f>IFERROR(__xludf.DUMMYFUNCTION("E19/(INDEX(GOOGLEFINANCE(B19 ,""price"",DATE(2024,1,1)),2,2))-1"),0.356983930778739)</f>
        <v>0.3569839308</v>
      </c>
      <c r="H19" s="196"/>
      <c r="I19" s="196"/>
      <c r="J19" s="196"/>
      <c r="K19" s="196"/>
      <c r="L19" s="196"/>
      <c r="M19" s="196"/>
      <c r="N19" s="196"/>
      <c r="O19" s="196"/>
      <c r="P19" s="196"/>
      <c r="Q19" s="196"/>
      <c r="R19" s="196"/>
      <c r="S19" s="196"/>
      <c r="T19" s="196"/>
      <c r="U19" s="196"/>
      <c r="V19" s="196"/>
      <c r="W19" s="196"/>
      <c r="X19" s="196"/>
      <c r="Y19" s="196"/>
      <c r="Z19" s="196"/>
      <c r="AA19" s="196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</row>
    <row r="20">
      <c r="A20" s="4"/>
      <c r="B20" s="4" t="s">
        <v>191</v>
      </c>
      <c r="C20" s="197" t="str">
        <f>IFERROR(__xludf.DUMMYFUNCTION("GOOGLEFINANCE(B20,""name"")"),"BHP Group Ltd")</f>
        <v>BHP Group Ltd</v>
      </c>
      <c r="D20" s="197">
        <f>IFERROR(__xludf.DUMMYFUNCTION("INDEX(GOOGLEFINANCE(B20 ,""price"",DATE(2025,5,31)),2,2)"),49.43)</f>
        <v>49.43</v>
      </c>
      <c r="E20" s="197">
        <f>IFERROR(__xludf.DUMMYFUNCTION("GOOGLEFINANCE(B20)"),52.03)</f>
        <v>52.03</v>
      </c>
      <c r="F20" s="198">
        <f t="shared" si="1"/>
        <v>0.05259963585</v>
      </c>
      <c r="G20" s="199">
        <f>IFERROR(__xludf.DUMMYFUNCTION("E20/(INDEX(GOOGLEFINANCE(B20 ,""price"",DATE(2024,1,1)),2,2))-1"),-0.2338389044323369)</f>
        <v>-0.2338389044</v>
      </c>
      <c r="H20" s="196"/>
      <c r="I20" s="196"/>
      <c r="J20" s="196"/>
      <c r="K20" s="196"/>
      <c r="L20" s="196"/>
      <c r="M20" s="196"/>
      <c r="N20" s="196"/>
      <c r="O20" s="196"/>
      <c r="P20" s="196"/>
      <c r="Q20" s="196"/>
      <c r="R20" s="196"/>
      <c r="S20" s="196"/>
      <c r="T20" s="196"/>
      <c r="U20" s="196"/>
      <c r="V20" s="196"/>
      <c r="W20" s="196"/>
      <c r="X20" s="196"/>
      <c r="Y20" s="196"/>
      <c r="Z20" s="196"/>
      <c r="AA20" s="196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</row>
    <row r="21">
      <c r="A21" s="4"/>
      <c r="B21" s="4" t="s">
        <v>1551</v>
      </c>
      <c r="C21" s="197" t="str">
        <f>IFERROR(__xludf.DUMMYFUNCTION("GOOGLEFINANCE(B21,""name"")"),"Target Corp")</f>
        <v>Target Corp</v>
      </c>
      <c r="D21" s="197">
        <f>IFERROR(__xludf.DUMMYFUNCTION("INDEX(GOOGLEFINANCE(B21 ,""price"",DATE(2025,5,31)),2,2)"),93.32)</f>
        <v>93.32</v>
      </c>
      <c r="E21" s="197">
        <f>IFERROR(__xludf.DUMMYFUNCTION("GOOGLEFINANCE(B21)"),105.57)</f>
        <v>105.57</v>
      </c>
      <c r="F21" s="198">
        <f t="shared" si="1"/>
        <v>0.1312687527</v>
      </c>
      <c r="G21" s="199">
        <f>IFERROR(__xludf.DUMMYFUNCTION("E21/(INDEX(GOOGLEFINANCE(B21 ,""price"",DATE(2024,1,1)),2,2))-1"),-0.2622641509433963)</f>
        <v>-0.2622641509</v>
      </c>
      <c r="H21" s="196"/>
      <c r="I21" s="196"/>
      <c r="J21" s="196"/>
      <c r="K21" s="196"/>
      <c r="L21" s="196"/>
      <c r="M21" s="196"/>
      <c r="N21" s="196"/>
      <c r="O21" s="196"/>
      <c r="P21" s="196"/>
      <c r="Q21" s="196"/>
      <c r="R21" s="196"/>
      <c r="S21" s="196"/>
      <c r="T21" s="196"/>
      <c r="U21" s="196"/>
      <c r="V21" s="196"/>
      <c r="W21" s="196"/>
      <c r="X21" s="196"/>
      <c r="Y21" s="196"/>
      <c r="Z21" s="196"/>
      <c r="AA21" s="196"/>
      <c r="AB21" s="196"/>
      <c r="AC21" s="196"/>
      <c r="AD21" s="196"/>
      <c r="AE21" s="196"/>
      <c r="AF21" s="196"/>
      <c r="AG21" s="196"/>
      <c r="AH21" s="196"/>
      <c r="AI21" s="196"/>
      <c r="AJ21" s="196"/>
      <c r="AK21" s="196"/>
      <c r="AL21" s="196"/>
      <c r="AM21" s="196"/>
    </row>
    <row r="22">
      <c r="A22" s="4"/>
      <c r="B22" s="4" t="s">
        <v>1065</v>
      </c>
      <c r="C22" s="197" t="str">
        <f>IFERROR(__xludf.DUMMYFUNCTION("GOOGLEFINANCE(B22,""name"")"),"Newmont Corporation")</f>
        <v>Newmont Corporation</v>
      </c>
      <c r="D22" s="197">
        <f>IFERROR(__xludf.DUMMYFUNCTION("INDEX(GOOGLEFINANCE(B22 ,""price"",DATE(2025,5,31)),2,2)"),55.58)</f>
        <v>55.58</v>
      </c>
      <c r="E22" s="197">
        <f>IFERROR(__xludf.DUMMYFUNCTION("GOOGLEFINANCE(B22)"),62.8)</f>
        <v>62.8</v>
      </c>
      <c r="F22" s="198">
        <f t="shared" si="1"/>
        <v>0.1299028427</v>
      </c>
      <c r="G22" s="199">
        <f>IFERROR(__xludf.DUMMYFUNCTION("E22/(INDEX(GOOGLEFINANCE(B22 ,""price"",DATE(2024,1,1)),2,2))-1"),0.535076998288927)</f>
        <v>0.5350769983</v>
      </c>
      <c r="H22" s="196"/>
      <c r="I22" s="196"/>
      <c r="J22" s="196"/>
      <c r="K22" s="196"/>
      <c r="L22" s="196"/>
      <c r="M22" s="196"/>
      <c r="N22" s="196"/>
      <c r="O22" s="196"/>
      <c r="P22" s="196"/>
      <c r="Q22" s="196"/>
      <c r="R22" s="196"/>
      <c r="S22" s="196"/>
      <c r="T22" s="196"/>
      <c r="U22" s="196"/>
      <c r="V22" s="196"/>
      <c r="W22" s="196"/>
      <c r="X22" s="196"/>
      <c r="Y22" s="196"/>
      <c r="Z22" s="196"/>
      <c r="AA22" s="196"/>
      <c r="AB22" s="196"/>
      <c r="AC22" s="196"/>
      <c r="AD22" s="196"/>
      <c r="AE22" s="196"/>
      <c r="AF22" s="196"/>
      <c r="AG22" s="196"/>
      <c r="AH22" s="196"/>
      <c r="AI22" s="196"/>
      <c r="AJ22" s="196"/>
      <c r="AK22" s="196"/>
      <c r="AL22" s="196"/>
      <c r="AM22" s="196"/>
    </row>
    <row r="23">
      <c r="A23" s="4"/>
      <c r="B23" s="4" t="s">
        <v>208</v>
      </c>
      <c r="C23" s="197" t="str">
        <f>IFERROR(__xludf.DUMMYFUNCTION("GOOGLEFINANCE(B23,""name"")"),"Baker Hughes Co")</f>
        <v>Baker Hughes Co</v>
      </c>
      <c r="D23" s="197">
        <f>IFERROR(__xludf.DUMMYFUNCTION("INDEX(GOOGLEFINANCE(B23 ,""price"",DATE(2025,5,31)),2,2)"),37.32)</f>
        <v>37.32</v>
      </c>
      <c r="E23" s="197">
        <f>IFERROR(__xludf.DUMMYFUNCTION("GOOGLEFINANCE(B23)"),46.56)</f>
        <v>46.56</v>
      </c>
      <c r="F23" s="198">
        <f t="shared" si="1"/>
        <v>0.2475884244</v>
      </c>
      <c r="G23" s="199">
        <f>IFERROR(__xludf.DUMMYFUNCTION("E23/(INDEX(GOOGLEFINANCE(B23 ,""price"",DATE(2024,1,1)),2,2))-1"),0.3722369584438552)</f>
        <v>0.3722369584</v>
      </c>
      <c r="H23" s="196"/>
      <c r="I23" s="196"/>
      <c r="J23" s="196"/>
      <c r="K23" s="196"/>
      <c r="L23" s="196"/>
      <c r="M23" s="196"/>
      <c r="N23" s="196"/>
      <c r="O23" s="196"/>
      <c r="P23" s="196"/>
      <c r="Q23" s="196"/>
      <c r="R23" s="196"/>
      <c r="S23" s="196"/>
      <c r="T23" s="196"/>
      <c r="U23" s="196"/>
      <c r="V23" s="196"/>
      <c r="W23" s="196"/>
      <c r="X23" s="196"/>
      <c r="Y23" s="196"/>
      <c r="Z23" s="196"/>
      <c r="AA23" s="196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6"/>
      <c r="AM23" s="196"/>
    </row>
    <row r="24">
      <c r="A24" s="4"/>
      <c r="B24" s="4" t="s">
        <v>1152</v>
      </c>
      <c r="C24" s="197" t="str">
        <f>IFERROR(__xludf.DUMMYFUNCTION("GOOGLEFINANCE(B24,""name"")"),"Pitney Bowes Inc")</f>
        <v>Pitney Bowes Inc</v>
      </c>
      <c r="D24" s="197">
        <f>IFERROR(__xludf.DUMMYFUNCTION("INDEX(GOOGLEFINANCE(B24 ,""price"",DATE(2025,5,31)),2,2)"),10.27)</f>
        <v>10.27</v>
      </c>
      <c r="E24" s="197">
        <f>IFERROR(__xludf.DUMMYFUNCTION("GOOGLEFINANCE(B24)"),12.18)</f>
        <v>12.18</v>
      </c>
      <c r="F24" s="198">
        <f t="shared" si="1"/>
        <v>0.1859785784</v>
      </c>
      <c r="G24" s="199">
        <f>IFERROR(__xludf.DUMMYFUNCTION("E24/(INDEX(GOOGLEFINANCE(B24 ,""price"",DATE(2024,1,1)),2,2))-1"),1.8000000000000003)</f>
        <v>1.8</v>
      </c>
      <c r="H24" s="196"/>
      <c r="I24" s="196"/>
      <c r="J24" s="196"/>
      <c r="K24" s="196"/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196"/>
      <c r="W24" s="196"/>
      <c r="X24" s="196"/>
      <c r="Y24" s="196"/>
      <c r="Z24" s="196"/>
      <c r="AA24" s="196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6"/>
      <c r="AM24" s="196"/>
    </row>
    <row r="25">
      <c r="A25" s="4"/>
      <c r="B25" s="4" t="s">
        <v>1925</v>
      </c>
      <c r="C25" s="197" t="str">
        <f>IFERROR(__xludf.DUMMYFUNCTION("GOOGLEFINANCE(B25,""name"")"),"Yelp Inc")</f>
        <v>Yelp Inc</v>
      </c>
      <c r="D25" s="197">
        <f>IFERROR(__xludf.DUMMYFUNCTION("INDEX(GOOGLEFINANCE(B25 ,""price"",DATE(2025,5,31)),2,2)"),37.15)</f>
        <v>37.15</v>
      </c>
      <c r="E25" s="197">
        <f>IFERROR(__xludf.DUMMYFUNCTION("GOOGLEFINANCE(B25)"),34.69)</f>
        <v>34.69</v>
      </c>
      <c r="F25" s="198">
        <f t="shared" si="1"/>
        <v>-0.06621803499</v>
      </c>
      <c r="G25" s="199">
        <f>IFERROR(__xludf.DUMMYFUNCTION("E25/(INDEX(GOOGLEFINANCE(B25 ,""price"",DATE(2024,1,1)),2,2))-1"),-0.25188699590252317)</f>
        <v>-0.2518869959</v>
      </c>
      <c r="H25" s="196"/>
      <c r="I25" s="196"/>
      <c r="J25" s="196"/>
      <c r="K25" s="196"/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96"/>
      <c r="W25" s="196"/>
      <c r="X25" s="196"/>
      <c r="Y25" s="196"/>
      <c r="Z25" s="196"/>
      <c r="AA25" s="196"/>
      <c r="AB25" s="196"/>
      <c r="AC25" s="196"/>
      <c r="AD25" s="196"/>
      <c r="AE25" s="196"/>
      <c r="AF25" s="196"/>
      <c r="AG25" s="196"/>
      <c r="AH25" s="196"/>
      <c r="AI25" s="196"/>
      <c r="AJ25" s="196"/>
      <c r="AK25" s="196"/>
      <c r="AL25" s="196"/>
      <c r="AM25" s="196"/>
    </row>
    <row r="26">
      <c r="A26" s="4"/>
      <c r="B26" s="4" t="s">
        <v>129</v>
      </c>
      <c r="C26" s="197" t="str">
        <f>IFERROR(__xludf.DUMMYFUNCTION("GOOGLEFINANCE(B26,""name"")"),"Barrick Mining Corp")</f>
        <v>Barrick Mining Corp</v>
      </c>
      <c r="D26" s="197">
        <f>IFERROR(__xludf.DUMMYFUNCTION("INDEX(GOOGLEFINANCE(B26 ,""price"",DATE(2025,5,31)),2,2)"),20.32)</f>
        <v>20.32</v>
      </c>
      <c r="E26" s="197">
        <f>IFERROR(__xludf.DUMMYFUNCTION("GOOGLEFINANCE(B26)"),21.29)</f>
        <v>21.29</v>
      </c>
      <c r="F26" s="198">
        <f t="shared" si="1"/>
        <v>0.04773622047</v>
      </c>
      <c r="G26" s="199">
        <f>IFERROR(__xludf.DUMMYFUNCTION("E26/(INDEX(GOOGLEFINANCE(B26 ,""price"",DATE(2024,1,1)),2,2))-1"),0.1907158836689038)</f>
        <v>0.1907158837</v>
      </c>
      <c r="H26" s="196"/>
      <c r="I26" s="196"/>
      <c r="J26" s="196"/>
      <c r="K26" s="196"/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196"/>
      <c r="W26" s="196"/>
      <c r="X26" s="196"/>
      <c r="Y26" s="196"/>
      <c r="Z26" s="196"/>
      <c r="AA26" s="196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</row>
    <row r="27">
      <c r="A27" s="4"/>
      <c r="B27" s="4" t="s">
        <v>1657</v>
      </c>
      <c r="C27" s="197" t="str">
        <f>IFERROR(__xludf.DUMMYFUNCTION("GOOGLEFINANCE(B27,""name"")"),"TotalEnergies SE")</f>
        <v>TotalEnergies SE</v>
      </c>
      <c r="D27" s="197">
        <f>IFERROR(__xludf.DUMMYFUNCTION("INDEX(GOOGLEFINANCE(B27 ,""price"",DATE(2025,5,31)),2,2)"),60.51)</f>
        <v>60.51</v>
      </c>
      <c r="E27" s="197">
        <f>IFERROR(__xludf.DUMMYFUNCTION("GOOGLEFINANCE(B27)"),60.79)</f>
        <v>60.79</v>
      </c>
      <c r="F27" s="198">
        <f t="shared" si="1"/>
        <v>0.004627334325</v>
      </c>
      <c r="G27" s="199">
        <f>IFERROR(__xludf.DUMMYFUNCTION("E27/(INDEX(GOOGLEFINANCE(B27 ,""price"",DATE(2024,1,1)),2,2))-1"),-0.10034038774604104)</f>
        <v>-0.1003403877</v>
      </c>
      <c r="H27" s="196"/>
      <c r="I27" s="196"/>
      <c r="J27" s="196"/>
      <c r="K27" s="196"/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196"/>
      <c r="W27" s="196"/>
      <c r="X27" s="196"/>
      <c r="Y27" s="196"/>
      <c r="Z27" s="196"/>
      <c r="AA27" s="196"/>
      <c r="AB27" s="196"/>
      <c r="AC27" s="196"/>
      <c r="AD27" s="196"/>
      <c r="AE27" s="196"/>
      <c r="AF27" s="196"/>
      <c r="AG27" s="196"/>
      <c r="AH27" s="196"/>
      <c r="AI27" s="196"/>
      <c r="AJ27" s="196"/>
      <c r="AK27" s="196"/>
      <c r="AL27" s="196"/>
      <c r="AM27" s="196"/>
    </row>
    <row r="28">
      <c r="A28" s="4"/>
      <c r="B28" s="4" t="s">
        <v>127</v>
      </c>
      <c r="C28" s="197" t="str">
        <f>IFERROR(__xludf.DUMMYFUNCTION("GOOGLEFINANCE(B28,""name"")"),"AstraZeneca PLC")</f>
        <v>AstraZeneca PLC</v>
      </c>
      <c r="D28" s="197">
        <f>IFERROR(__xludf.DUMMYFUNCTION("INDEX(GOOGLEFINANCE(B28 ,""price"",DATE(2025,5,31)),2,2)"),71.93)</f>
        <v>71.93</v>
      </c>
      <c r="E28" s="197">
        <f>IFERROR(__xludf.DUMMYFUNCTION("GOOGLEFINANCE(B28)"),71.91)</f>
        <v>71.91</v>
      </c>
      <c r="F28" s="198">
        <f t="shared" si="1"/>
        <v>-0.0002780481023</v>
      </c>
      <c r="G28" s="199">
        <f>IFERROR(__xludf.DUMMYFUNCTION("E28/(INDEX(GOOGLEFINANCE(B28 ,""price"",DATE(2024,1,1)),2,2))-1"),0.05131578947368398)</f>
        <v>0.05131578947</v>
      </c>
      <c r="H28" s="196"/>
      <c r="I28" s="196"/>
      <c r="J28" s="196"/>
      <c r="K28" s="196"/>
      <c r="L28" s="196"/>
      <c r="M28" s="196"/>
      <c r="N28" s="196"/>
      <c r="O28" s="196"/>
      <c r="P28" s="196"/>
      <c r="Q28" s="196"/>
      <c r="R28" s="196"/>
      <c r="S28" s="196"/>
      <c r="T28" s="196"/>
      <c r="U28" s="196"/>
      <c r="V28" s="196"/>
      <c r="W28" s="196"/>
      <c r="X28" s="196"/>
      <c r="Y28" s="196"/>
      <c r="Z28" s="196"/>
      <c r="AA28" s="196"/>
      <c r="AB28" s="196"/>
      <c r="AC28" s="196"/>
      <c r="AD28" s="196"/>
      <c r="AE28" s="196"/>
      <c r="AF28" s="196"/>
      <c r="AG28" s="196"/>
      <c r="AH28" s="196"/>
      <c r="AI28" s="196"/>
      <c r="AJ28" s="196"/>
      <c r="AK28" s="196"/>
      <c r="AL28" s="196"/>
      <c r="AM28" s="196"/>
    </row>
    <row r="29">
      <c r="A29" s="4"/>
      <c r="B29" s="4" t="s">
        <v>1774</v>
      </c>
      <c r="C29" s="197" t="str">
        <f>IFERROR(__xludf.DUMMYFUNCTION("GOOGLEFINANCE(B29,""name"")"),"UnitedHealth Group Inc")</f>
        <v>UnitedHealth Group Inc</v>
      </c>
      <c r="D29" s="197">
        <f>IFERROR(__xludf.DUMMYFUNCTION("INDEX(GOOGLEFINANCE(B29 ,""price"",DATE(2025,5,31)),2,2)"),304.72)</f>
        <v>304.72</v>
      </c>
      <c r="E29" s="197">
        <f>IFERROR(__xludf.DUMMYFUNCTION("GOOGLEFINANCE(B29)"),282.7)</f>
        <v>282.7</v>
      </c>
      <c r="F29" s="198">
        <f t="shared" si="1"/>
        <v>-0.07226306117</v>
      </c>
      <c r="G29" s="199">
        <f>IFERROR(__xludf.DUMMYFUNCTION("E29/(INDEX(GOOGLEFINANCE(B29 ,""price"",DATE(2024,1,1)),2,2))-1"),-0.4758408425112175)</f>
        <v>-0.4758408425</v>
      </c>
      <c r="H29" s="196"/>
      <c r="I29" s="196"/>
      <c r="J29" s="196"/>
      <c r="K29" s="196"/>
      <c r="L29" s="196"/>
      <c r="M29" s="196"/>
      <c r="N29" s="196"/>
      <c r="O29" s="196"/>
      <c r="P29" s="196"/>
      <c r="Q29" s="196"/>
      <c r="R29" s="196"/>
      <c r="S29" s="196"/>
      <c r="T29" s="196"/>
      <c r="U29" s="196"/>
      <c r="V29" s="196"/>
      <c r="W29" s="196"/>
      <c r="X29" s="196"/>
      <c r="Y29" s="196"/>
      <c r="Z29" s="196"/>
      <c r="AA29" s="196"/>
      <c r="AB29" s="196"/>
      <c r="AC29" s="196"/>
      <c r="AD29" s="196"/>
      <c r="AE29" s="196"/>
      <c r="AF29" s="196"/>
      <c r="AG29" s="196"/>
      <c r="AH29" s="196"/>
      <c r="AI29" s="196"/>
      <c r="AJ29" s="196"/>
      <c r="AK29" s="196"/>
      <c r="AL29" s="196"/>
      <c r="AM29" s="196"/>
    </row>
    <row r="30">
      <c r="A30" s="4"/>
      <c r="B30" s="4" t="s">
        <v>640</v>
      </c>
      <c r="C30" s="197" t="str">
        <f>IFERROR(__xludf.DUMMYFUNCTION("GOOGLEFINANCE(B30,""name"")"),"Gold Fields Ltd")</f>
        <v>Gold Fields Ltd</v>
      </c>
      <c r="D30" s="197">
        <f>IFERROR(__xludf.DUMMYFUNCTION("INDEX(GOOGLEFINANCE(B30 ,""price"",DATE(2025,5,31)),2,2)"),25.19)</f>
        <v>25.19</v>
      </c>
      <c r="E30" s="197">
        <f>IFERROR(__xludf.DUMMYFUNCTION("GOOGLEFINANCE(B30)"),24.34)</f>
        <v>24.34</v>
      </c>
      <c r="F30" s="198">
        <f t="shared" si="1"/>
        <v>-0.03374354903</v>
      </c>
      <c r="G30" s="199">
        <f>IFERROR(__xludf.DUMMYFUNCTION("E30/(INDEX(GOOGLEFINANCE(B30 ,""price"",DATE(2024,1,1)),2,2))-1"),0.7311522048364152)</f>
        <v>0.7311522048</v>
      </c>
      <c r="H30" s="196"/>
      <c r="I30" s="196"/>
      <c r="J30" s="196"/>
      <c r="K30" s="196"/>
      <c r="L30" s="196"/>
      <c r="M30" s="196"/>
      <c r="N30" s="196"/>
      <c r="O30" s="196"/>
      <c r="P30" s="196"/>
      <c r="Q30" s="196"/>
      <c r="R30" s="196"/>
      <c r="S30" s="196"/>
      <c r="T30" s="196"/>
      <c r="U30" s="196"/>
      <c r="V30" s="196"/>
      <c r="W30" s="196"/>
      <c r="X30" s="196"/>
      <c r="Y30" s="196"/>
      <c r="Z30" s="196"/>
      <c r="AA30" s="196"/>
      <c r="AB30" s="196"/>
      <c r="AC30" s="196"/>
      <c r="AD30" s="196"/>
      <c r="AE30" s="196"/>
      <c r="AF30" s="196"/>
      <c r="AG30" s="196"/>
      <c r="AH30" s="196"/>
      <c r="AI30" s="196"/>
      <c r="AJ30" s="196"/>
      <c r="AK30" s="196"/>
      <c r="AL30" s="196"/>
      <c r="AM30" s="196"/>
    </row>
    <row r="31">
      <c r="A31" s="4"/>
      <c r="B31" s="4" t="s">
        <v>1861</v>
      </c>
      <c r="C31" s="197" t="str">
        <f>IFERROR(__xludf.DUMMYFUNCTION("GOOGLEFINANCE(B31,""name"")"),"Verizon Communications Inc")</f>
        <v>Verizon Communications Inc</v>
      </c>
      <c r="D31" s="197">
        <f>IFERROR(__xludf.DUMMYFUNCTION("INDEX(GOOGLEFINANCE(B31 ,""price"",DATE(2025,5,31)),2,2)"),44.1)</f>
        <v>44.1</v>
      </c>
      <c r="E31" s="197">
        <f>IFERROR(__xludf.DUMMYFUNCTION("GOOGLEFINANCE(B31)"),42.44)</f>
        <v>42.44</v>
      </c>
      <c r="F31" s="198">
        <f t="shared" si="1"/>
        <v>-0.03764172336</v>
      </c>
      <c r="G31" s="199">
        <f>IFERROR(__xludf.DUMMYFUNCTION("E31/(INDEX(GOOGLEFINANCE(B31 ,""price"",DATE(2024,1,1)),2,2))-1"),0.09156378600823034)</f>
        <v>0.09156378601</v>
      </c>
      <c r="H31" s="196"/>
      <c r="I31" s="196"/>
      <c r="J31" s="196"/>
      <c r="K31" s="196"/>
      <c r="L31" s="196"/>
      <c r="M31" s="196"/>
      <c r="N31" s="196"/>
      <c r="O31" s="196"/>
      <c r="P31" s="196"/>
      <c r="Q31" s="196"/>
      <c r="R31" s="196"/>
      <c r="S31" s="196"/>
      <c r="T31" s="196"/>
      <c r="U31" s="196"/>
      <c r="V31" s="196"/>
      <c r="W31" s="196"/>
      <c r="X31" s="196"/>
      <c r="Y31" s="196"/>
      <c r="Z31" s="196"/>
      <c r="AA31" s="196"/>
      <c r="AB31" s="196"/>
      <c r="AC31" s="196"/>
      <c r="AD31" s="196"/>
      <c r="AE31" s="196"/>
      <c r="AF31" s="196"/>
      <c r="AG31" s="196"/>
      <c r="AH31" s="196"/>
      <c r="AI31" s="196"/>
      <c r="AJ31" s="196"/>
      <c r="AK31" s="196"/>
      <c r="AL31" s="196"/>
      <c r="AM31" s="196"/>
    </row>
    <row r="32">
      <c r="A32" s="4"/>
      <c r="B32" s="4" t="s">
        <v>575</v>
      </c>
      <c r="C32" s="197" t="str">
        <f>IFERROR(__xludf.DUMMYFUNCTION("GOOGLEFINANCE(B32,""name"")"),"Freeport-McMoRan Inc")</f>
        <v>Freeport-McMoRan Inc</v>
      </c>
      <c r="D32" s="197">
        <f>IFERROR(__xludf.DUMMYFUNCTION("INDEX(GOOGLEFINANCE(B32 ,""price"",DATE(2025,5,31)),2,2)"),40.15)</f>
        <v>40.15</v>
      </c>
      <c r="E32" s="197">
        <f>IFERROR(__xludf.DUMMYFUNCTION("GOOGLEFINANCE(B32)"),44.68)</f>
        <v>44.68</v>
      </c>
      <c r="F32" s="198">
        <f t="shared" si="1"/>
        <v>0.1128268991</v>
      </c>
      <c r="G32" s="199">
        <f>IFERROR(__xludf.DUMMYFUNCTION("E32/(INDEX(GOOGLEFINANCE(B32 ,""price"",DATE(2024,1,1)),2,2))-1"),0.061534806367308015)</f>
        <v>0.06153480637</v>
      </c>
      <c r="H32" s="196"/>
      <c r="I32" s="196"/>
      <c r="J32" s="196"/>
      <c r="K32" s="196"/>
      <c r="L32" s="196"/>
      <c r="M32" s="196"/>
      <c r="N32" s="196"/>
      <c r="O32" s="196"/>
      <c r="P32" s="196"/>
      <c r="Q32" s="196"/>
      <c r="R32" s="196"/>
      <c r="S32" s="196"/>
      <c r="T32" s="196"/>
      <c r="U32" s="196"/>
      <c r="V32" s="196"/>
      <c r="W32" s="196"/>
      <c r="X32" s="196"/>
      <c r="Y32" s="196"/>
      <c r="Z32" s="196"/>
      <c r="AA32" s="196"/>
      <c r="AB32" s="196"/>
      <c r="AC32" s="196"/>
      <c r="AD32" s="196"/>
      <c r="AE32" s="196"/>
      <c r="AF32" s="196"/>
      <c r="AG32" s="196"/>
      <c r="AH32" s="196"/>
      <c r="AI32" s="196"/>
      <c r="AJ32" s="196"/>
      <c r="AK32" s="196"/>
      <c r="AL32" s="196"/>
      <c r="AM32" s="196"/>
    </row>
    <row r="33">
      <c r="A33" s="4"/>
      <c r="B33" s="4" t="s">
        <v>3</v>
      </c>
      <c r="C33" s="197" t="str">
        <f>IFERROR(__xludf.DUMMYFUNCTION("GOOGLEFINANCE(B33,""name"")"),"American Airlines Group Inc")</f>
        <v>American Airlines Group Inc</v>
      </c>
      <c r="D33" s="197">
        <f>IFERROR(__xludf.DUMMYFUNCTION("INDEX(GOOGLEFINANCE(B33 ,""price"",DATE(2025,5,31)),2,2)"),11.38)</f>
        <v>11.38</v>
      </c>
      <c r="E33" s="197">
        <f>IFERROR(__xludf.DUMMYFUNCTION("GOOGLEFINANCE(B33)"),11.53)</f>
        <v>11.53</v>
      </c>
      <c r="F33" s="198">
        <f t="shared" si="1"/>
        <v>0.01318101933</v>
      </c>
      <c r="G33" s="199">
        <f>IFERROR(__xludf.DUMMYFUNCTION("E33/(INDEX(GOOGLEFINANCE(B33 ,""price"",DATE(2024,1,1)),2,2))-1"),-0.14211309523809523)</f>
        <v>-0.1421130952</v>
      </c>
      <c r="H33" s="196"/>
      <c r="I33" s="196"/>
      <c r="J33" s="196"/>
      <c r="K33" s="196"/>
      <c r="L33" s="196"/>
      <c r="M33" s="196"/>
      <c r="N33" s="196"/>
      <c r="O33" s="196"/>
      <c r="P33" s="196"/>
      <c r="Q33" s="196"/>
      <c r="R33" s="196"/>
      <c r="S33" s="196"/>
      <c r="T33" s="196"/>
      <c r="U33" s="196"/>
      <c r="V33" s="196"/>
      <c r="W33" s="196"/>
      <c r="X33" s="196"/>
      <c r="Y33" s="196"/>
      <c r="Z33" s="196"/>
      <c r="AA33" s="196"/>
      <c r="AB33" s="196"/>
      <c r="AC33" s="196"/>
      <c r="AD33" s="196"/>
      <c r="AE33" s="196"/>
      <c r="AF33" s="196"/>
      <c r="AG33" s="196"/>
      <c r="AH33" s="196"/>
      <c r="AI33" s="196"/>
      <c r="AJ33" s="196"/>
      <c r="AK33" s="196"/>
      <c r="AL33" s="196"/>
      <c r="AM33" s="196"/>
    </row>
    <row r="34">
      <c r="A34" s="4"/>
      <c r="B34" s="4" t="s">
        <v>1126</v>
      </c>
      <c r="C34" s="197" t="str">
        <f>IFERROR(__xludf.DUMMYFUNCTION("GOOGLEFINANCE(B34,""name"")"),"Occidental Petroleum Corp")</f>
        <v>Occidental Petroleum Corp</v>
      </c>
      <c r="D34" s="197">
        <f>IFERROR(__xludf.DUMMYFUNCTION("INDEX(GOOGLEFINANCE(B34 ,""price"",DATE(2025,5,31)),2,2)"),41.44)</f>
        <v>41.44</v>
      </c>
      <c r="E34" s="197">
        <f>IFERROR(__xludf.DUMMYFUNCTION("GOOGLEFINANCE(B34)"),45.2)</f>
        <v>45.2</v>
      </c>
      <c r="F34" s="198">
        <f t="shared" si="1"/>
        <v>0.09073359073</v>
      </c>
      <c r="G34" s="199">
        <f>IFERROR(__xludf.DUMMYFUNCTION("E34/(INDEX(GOOGLEFINANCE(B34 ,""price"",DATE(2024,1,1)),2,2))-1"),-0.24729392173189002)</f>
        <v>-0.2472939217</v>
      </c>
      <c r="H34" s="196"/>
      <c r="I34" s="196"/>
      <c r="J34" s="196"/>
      <c r="K34" s="196"/>
      <c r="L34" s="196"/>
      <c r="M34" s="196"/>
      <c r="N34" s="196"/>
      <c r="O34" s="196"/>
      <c r="P34" s="196"/>
      <c r="Q34" s="196"/>
      <c r="R34" s="196"/>
      <c r="S34" s="196"/>
      <c r="T34" s="196"/>
      <c r="U34" s="196"/>
      <c r="V34" s="196"/>
      <c r="W34" s="196"/>
      <c r="X34" s="196"/>
      <c r="Y34" s="196"/>
      <c r="Z34" s="196"/>
      <c r="AA34" s="196"/>
      <c r="AB34" s="196"/>
      <c r="AC34" s="196"/>
      <c r="AD34" s="196"/>
      <c r="AE34" s="196"/>
      <c r="AF34" s="196"/>
      <c r="AG34" s="196"/>
      <c r="AH34" s="196"/>
      <c r="AI34" s="196"/>
      <c r="AJ34" s="196"/>
      <c r="AK34" s="196"/>
      <c r="AL34" s="196"/>
      <c r="AM34" s="196"/>
    </row>
    <row r="35">
      <c r="A35" s="194" t="s">
        <v>2610</v>
      </c>
      <c r="B35" s="73"/>
      <c r="C35" s="73"/>
      <c r="D35" s="73"/>
      <c r="E35" s="73"/>
      <c r="F35" s="195"/>
      <c r="G35" s="73"/>
      <c r="H35" s="196"/>
      <c r="I35" s="196"/>
      <c r="J35" s="196"/>
      <c r="K35" s="196"/>
      <c r="L35" s="196"/>
      <c r="M35" s="196"/>
      <c r="N35" s="196"/>
      <c r="O35" s="196"/>
      <c r="P35" s="196"/>
      <c r="Q35" s="196"/>
      <c r="R35" s="196"/>
      <c r="S35" s="196"/>
      <c r="T35" s="196"/>
      <c r="U35" s="196"/>
      <c r="V35" s="196"/>
      <c r="W35" s="196"/>
      <c r="X35" s="196"/>
      <c r="Y35" s="196"/>
      <c r="Z35" s="196"/>
      <c r="AA35" s="196"/>
      <c r="AB35" s="196"/>
      <c r="AC35" s="196"/>
      <c r="AD35" s="196"/>
      <c r="AE35" s="196"/>
      <c r="AF35" s="196"/>
      <c r="AG35" s="196"/>
      <c r="AH35" s="196"/>
      <c r="AI35" s="196"/>
      <c r="AJ35" s="196"/>
      <c r="AK35" s="196"/>
      <c r="AL35" s="196"/>
      <c r="AM35" s="196"/>
    </row>
    <row r="36">
      <c r="A36" s="4"/>
      <c r="B36" s="4" t="s">
        <v>1215</v>
      </c>
      <c r="C36" s="197" t="str">
        <f>IFERROR(__xludf.DUMMYFUNCTION("GOOGLEFINANCE(B36,""name"")"),"Philip Morris International Inc.")</f>
        <v>Philip Morris International Inc.</v>
      </c>
      <c r="D36" s="197">
        <f>IFERROR(__xludf.DUMMYFUNCTION("INDEX(GOOGLEFINANCE(B36 ,""price"",DATE(2025,5,31)),2,2)"),182.75)</f>
        <v>182.75</v>
      </c>
      <c r="E36" s="197">
        <f>IFERROR(__xludf.DUMMYFUNCTION("GOOGLEFINANCE(B36)"),159.69)</f>
        <v>159.69</v>
      </c>
      <c r="F36" s="198">
        <f t="shared" ref="F36:F49" si="2">E36/D36-1</f>
        <v>-0.1261833105</v>
      </c>
      <c r="G36" s="199">
        <f>IFERROR(__xludf.DUMMYFUNCTION("E36/(INDEX(GOOGLEFINANCE(B36 ,""price"",DATE(2024,1,1)),2,2))-1"),0.6710966931770614)</f>
        <v>0.6710966932</v>
      </c>
      <c r="H36" s="196"/>
      <c r="I36" s="196"/>
      <c r="J36" s="196"/>
      <c r="K36" s="196"/>
      <c r="L36" s="196"/>
      <c r="M36" s="196"/>
      <c r="N36" s="196"/>
      <c r="O36" s="196"/>
      <c r="P36" s="196"/>
      <c r="Q36" s="196"/>
      <c r="R36" s="196"/>
      <c r="S36" s="196"/>
      <c r="T36" s="196"/>
      <c r="U36" s="196"/>
      <c r="V36" s="196"/>
      <c r="W36" s="196"/>
      <c r="X36" s="196"/>
      <c r="Y36" s="196"/>
      <c r="Z36" s="196"/>
      <c r="AA36" s="196"/>
      <c r="AB36" s="196"/>
      <c r="AC36" s="196"/>
      <c r="AD36" s="196"/>
      <c r="AE36" s="196"/>
      <c r="AF36" s="196"/>
      <c r="AG36" s="196"/>
      <c r="AH36" s="196"/>
      <c r="AI36" s="196"/>
      <c r="AJ36" s="196"/>
      <c r="AK36" s="196"/>
      <c r="AL36" s="196"/>
      <c r="AM36" s="196"/>
    </row>
    <row r="37">
      <c r="A37" s="4"/>
      <c r="B37" s="4" t="s">
        <v>651</v>
      </c>
      <c r="C37" s="197" t="str">
        <f>IFERROR(__xludf.DUMMYFUNCTION("GOOGLEFINANCE(B37,""name"")"),"Gilead Sciences Inc")</f>
        <v>Gilead Sciences Inc</v>
      </c>
      <c r="D37" s="197">
        <f>IFERROR(__xludf.DUMMYFUNCTION("INDEX(GOOGLEFINANCE(B37 ,""price"",DATE(2025,5,31)),2,2)"),108.91)</f>
        <v>108.91</v>
      </c>
      <c r="E37" s="197">
        <f>IFERROR(__xludf.DUMMYFUNCTION("GOOGLEFINANCE(B37)"),113.96)</f>
        <v>113.96</v>
      </c>
      <c r="F37" s="198">
        <f t="shared" si="2"/>
        <v>0.0463685612</v>
      </c>
      <c r="G37" s="199">
        <f>IFERROR(__xludf.DUMMYFUNCTION("E37/(INDEX(GOOGLEFINANCE(B37 ,""price"",DATE(2024,1,1)),2,2))-1"),0.36905333974050936)</f>
        <v>0.3690533397</v>
      </c>
      <c r="H37" s="196"/>
      <c r="I37" s="196"/>
      <c r="J37" s="196"/>
      <c r="K37" s="196"/>
      <c r="L37" s="196"/>
      <c r="M37" s="196"/>
      <c r="N37" s="196"/>
      <c r="O37" s="196"/>
      <c r="P37" s="196"/>
      <c r="Q37" s="196"/>
      <c r="R37" s="196"/>
      <c r="S37" s="196"/>
      <c r="T37" s="196"/>
      <c r="U37" s="196"/>
      <c r="V37" s="196"/>
      <c r="W37" s="196"/>
      <c r="X37" s="196"/>
      <c r="Y37" s="196"/>
      <c r="Z37" s="196"/>
      <c r="AA37" s="196"/>
      <c r="AB37" s="196"/>
      <c r="AC37" s="196"/>
      <c r="AD37" s="196"/>
      <c r="AE37" s="196"/>
      <c r="AF37" s="196"/>
      <c r="AG37" s="196"/>
      <c r="AH37" s="196"/>
      <c r="AI37" s="196"/>
      <c r="AJ37" s="196"/>
      <c r="AK37" s="196"/>
      <c r="AL37" s="196"/>
      <c r="AM37" s="196"/>
    </row>
    <row r="38">
      <c r="A38" s="4"/>
      <c r="B38" s="4" t="s">
        <v>1500</v>
      </c>
      <c r="C38" s="197" t="str">
        <f>IFERROR(__xludf.DUMMYFUNCTION("GOOGLEFINANCE(B38,""name"")"),"AT&amp;T Inc")</f>
        <v>AT&amp;T Inc</v>
      </c>
      <c r="D38" s="197">
        <f>IFERROR(__xludf.DUMMYFUNCTION("INDEX(GOOGLEFINANCE(B38 ,""price"",DATE(2025,5,31)),2,2)"),27.93)</f>
        <v>27.93</v>
      </c>
      <c r="E38" s="197">
        <f>IFERROR(__xludf.DUMMYFUNCTION("GOOGLEFINANCE(B38)"),27.7)</f>
        <v>27.7</v>
      </c>
      <c r="F38" s="198">
        <f t="shared" si="2"/>
        <v>-0.008234872897</v>
      </c>
      <c r="G38" s="199">
        <f>IFERROR(__xludf.DUMMYFUNCTION("E38/(INDEX(GOOGLEFINANCE(B38 ,""price"",DATE(2024,1,1)),2,2))-1"),0.6057971014492753)</f>
        <v>0.6057971014</v>
      </c>
      <c r="H38" s="196"/>
      <c r="I38" s="196"/>
      <c r="J38" s="196"/>
      <c r="K38" s="196"/>
      <c r="L38" s="196"/>
      <c r="M38" s="196"/>
      <c r="N38" s="196"/>
      <c r="O38" s="196"/>
      <c r="P38" s="196"/>
      <c r="Q38" s="196"/>
      <c r="R38" s="196"/>
      <c r="S38" s="196"/>
      <c r="T38" s="196"/>
      <c r="U38" s="196"/>
      <c r="V38" s="196"/>
      <c r="W38" s="196"/>
      <c r="X38" s="196"/>
      <c r="Y38" s="196"/>
      <c r="Z38" s="196"/>
      <c r="AA38" s="196"/>
      <c r="AB38" s="196"/>
      <c r="AC38" s="196"/>
      <c r="AD38" s="196"/>
      <c r="AE38" s="196"/>
      <c r="AF38" s="196"/>
      <c r="AG38" s="196"/>
      <c r="AH38" s="196"/>
      <c r="AI38" s="196"/>
      <c r="AJ38" s="196"/>
      <c r="AK38" s="196"/>
      <c r="AL38" s="196"/>
      <c r="AM38" s="196"/>
    </row>
    <row r="39">
      <c r="A39" s="4"/>
      <c r="B39" s="4" t="s">
        <v>1325</v>
      </c>
      <c r="C39" s="197" t="str">
        <f>IFERROR(__xludf.DUMMYFUNCTION("GOOGLEFINANCE(B39,""name"")"),"Roblox Corp")</f>
        <v>Roblox Corp</v>
      </c>
      <c r="D39" s="197">
        <f>IFERROR(__xludf.DUMMYFUNCTION("INDEX(GOOGLEFINANCE(B39 ,""price"",DATE(2025,5,31)),2,2)"),89.95)</f>
        <v>89.95</v>
      </c>
      <c r="E39" s="197">
        <f>IFERROR(__xludf.DUMMYFUNCTION("GOOGLEFINANCE(B39)"),119.47)</f>
        <v>119.47</v>
      </c>
      <c r="F39" s="198">
        <f t="shared" si="2"/>
        <v>0.3281823235</v>
      </c>
      <c r="G39" s="199">
        <f>IFERROR(__xludf.DUMMYFUNCTION("E39/(INDEX(GOOGLEFINANCE(B39 ,""price"",DATE(2024,1,1)),2,2))-1"),1.7790183763665968)</f>
        <v>1.779018376</v>
      </c>
      <c r="H39" s="196"/>
      <c r="I39" s="196"/>
      <c r="J39" s="196"/>
      <c r="K39" s="196"/>
      <c r="L39" s="196"/>
      <c r="M39" s="196"/>
      <c r="N39" s="196"/>
      <c r="O39" s="196"/>
      <c r="P39" s="196"/>
      <c r="Q39" s="196"/>
      <c r="R39" s="196"/>
      <c r="S39" s="196"/>
      <c r="T39" s="196"/>
      <c r="U39" s="196"/>
      <c r="V39" s="196"/>
      <c r="W39" s="196"/>
      <c r="X39" s="196"/>
      <c r="Y39" s="196"/>
      <c r="Z39" s="196"/>
      <c r="AA39" s="196"/>
      <c r="AB39" s="196"/>
      <c r="AC39" s="196"/>
      <c r="AD39" s="196"/>
      <c r="AE39" s="196"/>
      <c r="AF39" s="196"/>
      <c r="AG39" s="196"/>
      <c r="AH39" s="196"/>
      <c r="AI39" s="196"/>
      <c r="AJ39" s="196"/>
      <c r="AK39" s="196"/>
      <c r="AL39" s="196"/>
      <c r="AM39" s="196"/>
    </row>
    <row r="40">
      <c r="A40" s="4"/>
      <c r="B40" s="4" t="s">
        <v>1212</v>
      </c>
      <c r="C40" s="197" t="str">
        <f>IFERROR(__xludf.DUMMYFUNCTION("GOOGLEFINANCE(B40,""name"")"),"Palantir Technologies Inc")</f>
        <v>Palantir Technologies Inc</v>
      </c>
      <c r="D40" s="197">
        <f>IFERROR(__xludf.DUMMYFUNCTION("INDEX(GOOGLEFINANCE(B40 ,""price"",DATE(2025,5,31)),2,2)"),132.04)</f>
        <v>132.04</v>
      </c>
      <c r="E40" s="197">
        <f>IFERROR(__xludf.DUMMYFUNCTION("GOOGLEFINANCE(B40)"),159.84)</f>
        <v>159.84</v>
      </c>
      <c r="F40" s="198">
        <f t="shared" si="2"/>
        <v>0.2105422599</v>
      </c>
      <c r="G40" s="199">
        <f>IFERROR(__xludf.DUMMYFUNCTION("E40/(INDEX(GOOGLEFINANCE(B40 ,""price"",DATE(2024,1,1)),2,2))-1"),8.64053075995175)</f>
        <v>8.64053076</v>
      </c>
      <c r="H40" s="196"/>
      <c r="I40" s="196"/>
      <c r="J40" s="196"/>
      <c r="K40" s="196"/>
      <c r="L40" s="196"/>
      <c r="M40" s="196"/>
      <c r="N40" s="196"/>
      <c r="O40" s="196"/>
      <c r="P40" s="196"/>
      <c r="Q40" s="196"/>
      <c r="R40" s="196"/>
      <c r="S40" s="196"/>
      <c r="T40" s="196"/>
      <c r="U40" s="196"/>
      <c r="V40" s="196"/>
      <c r="W40" s="196"/>
      <c r="X40" s="196"/>
      <c r="Y40" s="196"/>
      <c r="Z40" s="196"/>
      <c r="AA40" s="196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6"/>
      <c r="AM40" s="196"/>
    </row>
    <row r="41">
      <c r="A41" s="4"/>
      <c r="B41" s="4" t="s">
        <v>833</v>
      </c>
      <c r="C41" s="197" t="str">
        <f>IFERROR(__xludf.DUMMYFUNCTION("GOOGLEFINANCE(B41,""name"")"),"Kinross Gold Corp")</f>
        <v>Kinross Gold Corp</v>
      </c>
      <c r="D41" s="197">
        <f>IFERROR(__xludf.DUMMYFUNCTION("INDEX(GOOGLEFINANCE(B41 ,""price"",DATE(2025,5,31)),2,2)"),15.71)</f>
        <v>15.71</v>
      </c>
      <c r="E41" s="197">
        <f>IFERROR(__xludf.DUMMYFUNCTION("GOOGLEFINANCE(B41)"),15.55)</f>
        <v>15.55</v>
      </c>
      <c r="F41" s="198">
        <f t="shared" si="2"/>
        <v>-0.0101845958</v>
      </c>
      <c r="G41" s="199">
        <f>IFERROR(__xludf.DUMMYFUNCTION("E41/(INDEX(GOOGLEFINANCE(B41 ,""price"",DATE(2024,1,1)),2,2))-1"),1.6266891891891895)</f>
        <v>1.626689189</v>
      </c>
      <c r="H41" s="196"/>
      <c r="I41" s="196"/>
      <c r="J41" s="196"/>
      <c r="K41" s="196"/>
      <c r="L41" s="196"/>
      <c r="M41" s="196"/>
      <c r="N41" s="196"/>
      <c r="O41" s="196"/>
      <c r="P41" s="196"/>
      <c r="Q41" s="196"/>
      <c r="R41" s="196"/>
      <c r="S41" s="196"/>
      <c r="T41" s="196"/>
      <c r="U41" s="196"/>
      <c r="V41" s="196"/>
      <c r="W41" s="196"/>
      <c r="X41" s="196"/>
      <c r="Y41" s="196"/>
      <c r="Z41" s="196"/>
      <c r="AA41" s="196"/>
      <c r="AB41" s="196"/>
      <c r="AC41" s="196"/>
      <c r="AD41" s="196"/>
      <c r="AE41" s="196"/>
      <c r="AF41" s="196"/>
      <c r="AG41" s="196"/>
      <c r="AH41" s="196"/>
      <c r="AI41" s="196"/>
      <c r="AJ41" s="196"/>
      <c r="AK41" s="196"/>
      <c r="AL41" s="196"/>
      <c r="AM41" s="196"/>
    </row>
    <row r="42">
      <c r="A42" s="4"/>
      <c r="B42" s="4" t="s">
        <v>1416</v>
      </c>
      <c r="C42" s="197" t="str">
        <f>IFERROR(__xludf.DUMMYFUNCTION("GOOGLEFINANCE(B42,""name"")"),"Sea Ltd")</f>
        <v>Sea Ltd</v>
      </c>
      <c r="D42" s="197">
        <f>IFERROR(__xludf.DUMMYFUNCTION("INDEX(GOOGLEFINANCE(B42 ,""price"",DATE(2025,5,31)),2,2)"),165.1)</f>
        <v>165.1</v>
      </c>
      <c r="E42" s="197">
        <f>IFERROR(__xludf.DUMMYFUNCTION("GOOGLEFINANCE(B42)"),160.1)</f>
        <v>160.1</v>
      </c>
      <c r="F42" s="198">
        <f t="shared" si="2"/>
        <v>-0.03028467595</v>
      </c>
      <c r="G42" s="199">
        <f>IFERROR(__xludf.DUMMYFUNCTION("E42/(INDEX(GOOGLEFINANCE(B42 ,""price"",DATE(2024,1,1)),2,2))-1"),3.1638491547464236)</f>
        <v>3.163849155</v>
      </c>
      <c r="H42" s="196"/>
      <c r="I42" s="196"/>
      <c r="J42" s="196"/>
      <c r="K42" s="196"/>
      <c r="L42" s="196"/>
      <c r="M42" s="196"/>
      <c r="N42" s="196"/>
      <c r="O42" s="196"/>
      <c r="P42" s="196"/>
      <c r="Q42" s="196"/>
      <c r="R42" s="196"/>
      <c r="S42" s="196"/>
      <c r="T42" s="196"/>
      <c r="U42" s="196"/>
      <c r="V42" s="196"/>
      <c r="W42" s="196"/>
      <c r="X42" s="196"/>
      <c r="Y42" s="196"/>
      <c r="Z42" s="196"/>
      <c r="AA42" s="196"/>
      <c r="AB42" s="196"/>
      <c r="AC42" s="196"/>
      <c r="AD42" s="196"/>
      <c r="AE42" s="196"/>
      <c r="AF42" s="196"/>
      <c r="AG42" s="196"/>
      <c r="AH42" s="196"/>
      <c r="AI42" s="196"/>
      <c r="AJ42" s="196"/>
      <c r="AK42" s="196"/>
      <c r="AL42" s="196"/>
      <c r="AM42" s="196"/>
    </row>
    <row r="43">
      <c r="A43" s="4"/>
      <c r="B43" s="4" t="s">
        <v>753</v>
      </c>
      <c r="C43" s="197" t="str">
        <f>IFERROR(__xludf.DUMMYFUNCTION("GOOGLEFINANCE(B43,""name"")"),"Howmet Aerospace Inc")</f>
        <v>Howmet Aerospace Inc</v>
      </c>
      <c r="D43" s="197">
        <f>IFERROR(__xludf.DUMMYFUNCTION("INDEX(GOOGLEFINANCE(B43 ,""price"",DATE(2025,5,31)),2,2)"),172.65)</f>
        <v>172.65</v>
      </c>
      <c r="E43" s="197">
        <f>IFERROR(__xludf.DUMMYFUNCTION("GOOGLEFINANCE(B43)"),190.07)</f>
        <v>190.07</v>
      </c>
      <c r="F43" s="198">
        <f t="shared" si="2"/>
        <v>0.1008977701</v>
      </c>
      <c r="G43" s="199">
        <f>IFERROR(__xludf.DUMMYFUNCTION("E43/(INDEX(GOOGLEFINANCE(B43 ,""price"",DATE(2024,1,1)),2,2))-1"),2.53750232644705)</f>
        <v>2.537502326</v>
      </c>
      <c r="H43" s="196"/>
      <c r="I43" s="196"/>
      <c r="J43" s="196"/>
      <c r="K43" s="196"/>
      <c r="L43" s="196"/>
      <c r="M43" s="196"/>
      <c r="N43" s="196"/>
      <c r="O43" s="196"/>
      <c r="P43" s="196"/>
      <c r="Q43" s="196"/>
      <c r="R43" s="196"/>
      <c r="S43" s="196"/>
      <c r="T43" s="196"/>
      <c r="U43" s="196"/>
      <c r="V43" s="196"/>
      <c r="W43" s="196"/>
      <c r="X43" s="196"/>
      <c r="Y43" s="196"/>
      <c r="Z43" s="196"/>
      <c r="AA43" s="196"/>
      <c r="AB43" s="196"/>
      <c r="AC43" s="196"/>
      <c r="AD43" s="196"/>
      <c r="AE43" s="196"/>
      <c r="AF43" s="196"/>
      <c r="AG43" s="196"/>
      <c r="AH43" s="196"/>
      <c r="AI43" s="196"/>
      <c r="AJ43" s="196"/>
      <c r="AK43" s="196"/>
      <c r="AL43" s="196"/>
      <c r="AM43" s="196"/>
    </row>
    <row r="44">
      <c r="A44" s="4"/>
      <c r="B44" s="4" t="s">
        <v>1814</v>
      </c>
      <c r="C44" s="197" t="str">
        <f>IFERROR(__xludf.DUMMYFUNCTION("GOOGLEFINANCE(B44,""name"")"),"VeriSign, Inc")</f>
        <v>VeriSign, Inc</v>
      </c>
      <c r="D44" s="197">
        <f>IFERROR(__xludf.DUMMYFUNCTION("INDEX(GOOGLEFINANCE(B44 ,""price"",DATE(2025,5,31)),2,2)"),275.56)</f>
        <v>275.56</v>
      </c>
      <c r="E44" s="197">
        <f>IFERROR(__xludf.DUMMYFUNCTION("GOOGLEFINANCE(B44)"),309.65)</f>
        <v>309.65</v>
      </c>
      <c r="F44" s="198">
        <f t="shared" si="2"/>
        <v>0.1237117143</v>
      </c>
      <c r="G44" s="199">
        <f>IFERROR(__xludf.DUMMYFUNCTION("E44/(INDEX(GOOGLEFINANCE(B44 ,""price"",DATE(2024,1,1)),2,2))-1"),0.5362671164913673)</f>
        <v>0.5362671165</v>
      </c>
      <c r="H44" s="196"/>
      <c r="I44" s="196"/>
      <c r="J44" s="196"/>
      <c r="K44" s="196"/>
      <c r="L44" s="196"/>
      <c r="M44" s="196"/>
      <c r="N44" s="196"/>
      <c r="O44" s="196"/>
      <c r="P44" s="196"/>
      <c r="Q44" s="196"/>
      <c r="R44" s="196"/>
      <c r="S44" s="196"/>
      <c r="T44" s="196"/>
      <c r="U44" s="196"/>
      <c r="V44" s="196"/>
      <c r="W44" s="196"/>
      <c r="X44" s="196"/>
      <c r="Y44" s="196"/>
      <c r="Z44" s="196"/>
      <c r="AA44" s="196"/>
      <c r="AB44" s="196"/>
      <c r="AC44" s="196"/>
      <c r="AD44" s="196"/>
      <c r="AE44" s="196"/>
      <c r="AF44" s="196"/>
      <c r="AG44" s="196"/>
      <c r="AH44" s="196"/>
      <c r="AI44" s="196"/>
      <c r="AJ44" s="196"/>
      <c r="AK44" s="196"/>
      <c r="AL44" s="196"/>
      <c r="AM44" s="196"/>
    </row>
    <row r="45">
      <c r="A45" s="4"/>
      <c r="B45" s="4" t="s">
        <v>1067</v>
      </c>
      <c r="C45" s="197" t="str">
        <f>IFERROR(__xludf.DUMMYFUNCTION("GOOGLEFINANCE(B45,""name"")"),"Netflix Inc")</f>
        <v>Netflix Inc</v>
      </c>
      <c r="D45" s="197">
        <f>IFERROR(__xludf.DUMMYFUNCTION("INDEX(GOOGLEFINANCE(B45 ,""price"",DATE(2025,5,31)),2,2)"),1218.98)</f>
        <v>1218.98</v>
      </c>
      <c r="E45" s="197">
        <f>IFERROR(__xludf.DUMMYFUNCTION("GOOGLEFINANCE(B45)"),1193.05)</f>
        <v>1193.05</v>
      </c>
      <c r="F45" s="198">
        <f t="shared" si="2"/>
        <v>-0.02127188305</v>
      </c>
      <c r="G45" s="199">
        <f>IFERROR(__xludf.DUMMYFUNCTION("E45/(INDEX(GOOGLEFINANCE(B45 ,""price"",DATE(2024,1,1)),2,2))-1"),1.5465314834578443)</f>
        <v>1.546531483</v>
      </c>
      <c r="H45" s="196"/>
      <c r="I45" s="196"/>
      <c r="J45" s="196"/>
      <c r="K45" s="196"/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196"/>
      <c r="W45" s="196"/>
      <c r="X45" s="196"/>
      <c r="Y45" s="196"/>
      <c r="Z45" s="196"/>
      <c r="AA45" s="196"/>
      <c r="AB45" s="196"/>
      <c r="AC45" s="196"/>
      <c r="AD45" s="196"/>
      <c r="AE45" s="196"/>
      <c r="AF45" s="196"/>
      <c r="AG45" s="196"/>
      <c r="AH45" s="196"/>
      <c r="AI45" s="196"/>
      <c r="AJ45" s="196"/>
      <c r="AK45" s="196"/>
      <c r="AL45" s="196"/>
      <c r="AM45" s="196"/>
    </row>
    <row r="46">
      <c r="A46" s="4"/>
      <c r="B46" s="4" t="s">
        <v>46</v>
      </c>
      <c r="C46" s="197" t="str">
        <f>IFERROR(__xludf.DUMMYFUNCTION("GOOGLEFINANCE(B46,""name"")"),"Agnico Eagle Mines Ltd")</f>
        <v>Agnico Eagle Mines Ltd</v>
      </c>
      <c r="D46" s="197">
        <f>IFERROR(__xludf.DUMMYFUNCTION("INDEX(GOOGLEFINANCE(B46 ,""price"",DATE(2025,5,31)),2,2)"),124.28)</f>
        <v>124.28</v>
      </c>
      <c r="E46" s="197">
        <f>IFERROR(__xludf.DUMMYFUNCTION("GOOGLEFINANCE(B46)"),122.75)</f>
        <v>122.75</v>
      </c>
      <c r="F46" s="198">
        <f t="shared" si="2"/>
        <v>-0.01231091085</v>
      </c>
      <c r="G46" s="199">
        <f>IFERROR(__xludf.DUMMYFUNCTION("E46/(INDEX(GOOGLEFINANCE(B46 ,""price"",DATE(2024,1,1)),2,2))-1"),1.2710453283996301)</f>
        <v>1.271045328</v>
      </c>
      <c r="H46" s="196"/>
      <c r="I46" s="196"/>
      <c r="J46" s="196"/>
      <c r="K46" s="196"/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196"/>
      <c r="W46" s="196"/>
      <c r="X46" s="196"/>
      <c r="Y46" s="196"/>
      <c r="Z46" s="196"/>
      <c r="AA46" s="196"/>
      <c r="AB46" s="196"/>
      <c r="AC46" s="196"/>
      <c r="AD46" s="196"/>
      <c r="AE46" s="196"/>
      <c r="AF46" s="196"/>
      <c r="AG46" s="196"/>
      <c r="AH46" s="196"/>
      <c r="AI46" s="196"/>
      <c r="AJ46" s="196"/>
      <c r="AK46" s="196"/>
      <c r="AL46" s="196"/>
      <c r="AM46" s="196"/>
    </row>
    <row r="47">
      <c r="A47" s="4"/>
      <c r="B47" s="4" t="s">
        <v>1687</v>
      </c>
      <c r="C47" s="197" t="str">
        <f>IFERROR(__xludf.DUMMYFUNCTION("GOOGLEFINANCE(B47,""name"")"),"Twilio Inc")</f>
        <v>Twilio Inc</v>
      </c>
      <c r="D47" s="197">
        <f>IFERROR(__xludf.DUMMYFUNCTION("INDEX(GOOGLEFINANCE(B47 ,""price"",DATE(2025,5,31)),2,2)"),119.6)</f>
        <v>119.6</v>
      </c>
      <c r="E47" s="197">
        <f>IFERROR(__xludf.DUMMYFUNCTION("GOOGLEFINANCE(B47)"),131.53)</f>
        <v>131.53</v>
      </c>
      <c r="F47" s="198">
        <f t="shared" si="2"/>
        <v>0.09974916388</v>
      </c>
      <c r="G47" s="199">
        <f>IFERROR(__xludf.DUMMYFUNCTION("E47/(INDEX(GOOGLEFINANCE(B47 ,""price"",DATE(2024,1,1)),2,2))-1"),0.8491494446787573)</f>
        <v>0.8491494447</v>
      </c>
      <c r="H47" s="196"/>
      <c r="I47" s="196"/>
      <c r="J47" s="196"/>
      <c r="K47" s="196"/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96"/>
      <c r="W47" s="196"/>
      <c r="X47" s="196"/>
      <c r="Y47" s="196"/>
      <c r="Z47" s="196"/>
      <c r="AA47" s="196"/>
      <c r="AB47" s="196"/>
      <c r="AC47" s="196"/>
      <c r="AD47" s="196"/>
      <c r="AE47" s="196"/>
      <c r="AF47" s="196"/>
      <c r="AG47" s="196"/>
      <c r="AH47" s="196"/>
      <c r="AI47" s="196"/>
      <c r="AJ47" s="196"/>
      <c r="AK47" s="196"/>
      <c r="AL47" s="196"/>
      <c r="AM47" s="196"/>
    </row>
    <row r="48">
      <c r="A48" s="4"/>
      <c r="B48" s="4" t="s">
        <v>1473</v>
      </c>
      <c r="C48" s="197" t="str">
        <f>IFERROR(__xludf.DUMMYFUNCTION("GOOGLEFINANCE(B48,""name"")"),"Spotify Technology SA")</f>
        <v>Spotify Technology SA</v>
      </c>
      <c r="D48" s="197">
        <f>IFERROR(__xludf.DUMMYFUNCTION("INDEX(GOOGLEFINANCE(B48 ,""price"",DATE(2025,5,31)),2,2)"),672.0)</f>
        <v>672</v>
      </c>
      <c r="E48" s="197">
        <f>IFERROR(__xludf.DUMMYFUNCTION("GOOGLEFINANCE(B48)"),702.2)</f>
        <v>702.2</v>
      </c>
      <c r="F48" s="198">
        <f t="shared" si="2"/>
        <v>0.04494047619</v>
      </c>
      <c r="G48" s="199">
        <f>IFERROR(__xludf.DUMMYFUNCTION("E48/(INDEX(GOOGLEFINANCE(B48 ,""price"",DATE(2024,1,1)),2,2))-1"),2.719279661016949)</f>
        <v>2.719279661</v>
      </c>
      <c r="H48" s="196"/>
      <c r="I48" s="196"/>
      <c r="J48" s="196"/>
      <c r="K48" s="196"/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96"/>
      <c r="W48" s="196"/>
      <c r="X48" s="196"/>
      <c r="Y48" s="196"/>
      <c r="Z48" s="196"/>
      <c r="AA48" s="196"/>
      <c r="AB48" s="196"/>
      <c r="AC48" s="196"/>
      <c r="AD48" s="196"/>
      <c r="AE48" s="196"/>
      <c r="AF48" s="196"/>
      <c r="AG48" s="196"/>
      <c r="AH48" s="196"/>
      <c r="AI48" s="196"/>
      <c r="AJ48" s="196"/>
      <c r="AK48" s="196"/>
      <c r="AL48" s="196"/>
      <c r="AM48" s="196"/>
    </row>
    <row r="49">
      <c r="A49" s="4"/>
      <c r="B49" s="4" t="s">
        <v>1467</v>
      </c>
      <c r="C49" s="197" t="str">
        <f>IFERROR(__xludf.DUMMYFUNCTION("GOOGLEFINANCE(B49,""name"")"),"Sony Group Corp")</f>
        <v>Sony Group Corp</v>
      </c>
      <c r="D49" s="197">
        <f>IFERROR(__xludf.DUMMYFUNCTION("INDEX(GOOGLEFINANCE(B49 ,""price"",DATE(2025,5,31)),2,2)"),26.88)</f>
        <v>26.88</v>
      </c>
      <c r="E49" s="197">
        <f>IFERROR(__xludf.DUMMYFUNCTION("GOOGLEFINANCE(B49)"),24.38)</f>
        <v>24.38</v>
      </c>
      <c r="F49" s="198">
        <f t="shared" si="2"/>
        <v>-0.09300595238</v>
      </c>
      <c r="G49" s="199">
        <f>IFERROR(__xludf.DUMMYFUNCTION("E49/(INDEX(GOOGLEFINANCE(B49 ,""price"",DATE(2024,1,1)),2,2))-1"),0.3065380493033225)</f>
        <v>0.3065380493</v>
      </c>
      <c r="H49" s="196"/>
      <c r="I49" s="196"/>
      <c r="J49" s="196"/>
      <c r="K49" s="196"/>
      <c r="L49" s="196"/>
      <c r="M49" s="196"/>
      <c r="N49" s="196"/>
      <c r="O49" s="196"/>
      <c r="P49" s="196"/>
      <c r="Q49" s="196"/>
      <c r="R49" s="196"/>
      <c r="S49" s="196"/>
      <c r="T49" s="196"/>
      <c r="U49" s="196"/>
      <c r="V49" s="196"/>
      <c r="W49" s="196"/>
      <c r="X49" s="196"/>
      <c r="Y49" s="196"/>
      <c r="Z49" s="196"/>
      <c r="AA49" s="196"/>
      <c r="AB49" s="196"/>
      <c r="AC49" s="196"/>
      <c r="AD49" s="196"/>
      <c r="AE49" s="196"/>
      <c r="AF49" s="196"/>
      <c r="AG49" s="196"/>
      <c r="AH49" s="196"/>
      <c r="AI49" s="196"/>
      <c r="AJ49" s="196"/>
      <c r="AK49" s="196"/>
      <c r="AL49" s="196"/>
      <c r="AM49" s="196"/>
    </row>
    <row r="50">
      <c r="A50" s="194" t="s">
        <v>2611</v>
      </c>
      <c r="B50" s="73"/>
      <c r="C50" s="73"/>
      <c r="D50" s="73"/>
      <c r="E50" s="73"/>
      <c r="F50" s="195"/>
      <c r="G50" s="73"/>
      <c r="H50" s="196"/>
      <c r="I50" s="196"/>
      <c r="J50" s="196"/>
      <c r="K50" s="196"/>
      <c r="L50" s="196"/>
      <c r="M50" s="196"/>
      <c r="N50" s="196"/>
      <c r="O50" s="196"/>
      <c r="P50" s="196"/>
      <c r="Q50" s="196"/>
      <c r="R50" s="196"/>
      <c r="S50" s="196"/>
      <c r="T50" s="196"/>
      <c r="U50" s="196"/>
      <c r="V50" s="196"/>
      <c r="W50" s="196"/>
      <c r="X50" s="196"/>
      <c r="Y50" s="196"/>
      <c r="Z50" s="196"/>
      <c r="AA50" s="196"/>
      <c r="AB50" s="196"/>
      <c r="AC50" s="196"/>
      <c r="AD50" s="196"/>
      <c r="AE50" s="196"/>
      <c r="AF50" s="196"/>
      <c r="AG50" s="196"/>
      <c r="AH50" s="196"/>
      <c r="AI50" s="196"/>
      <c r="AJ50" s="196"/>
      <c r="AK50" s="196"/>
      <c r="AL50" s="196"/>
      <c r="AM50" s="196"/>
    </row>
    <row r="51">
      <c r="B51" s="1" t="s">
        <v>836</v>
      </c>
      <c r="C51" s="197" t="str">
        <f>IFERROR(__xludf.DUMMYFUNCTION("GOOGLEFINANCE(B51,""name"")"),"Coca-Cola Co")</f>
        <v>Coca-Cola Co</v>
      </c>
      <c r="D51" s="197">
        <f>IFERROR(__xludf.DUMMYFUNCTION("INDEX(GOOGLEFINANCE(B51 ,""price"",DATE(2025,7,1)),2,2)"),71.67)</f>
        <v>71.67</v>
      </c>
      <c r="E51" s="197">
        <f>IFERROR(__xludf.DUMMYFUNCTION("GOOGLEFINANCE(B51)"),68.61)</f>
        <v>68.61</v>
      </c>
      <c r="F51" s="198">
        <f t="shared" ref="F51:F67" si="3">E51/D51-1</f>
        <v>-0.04269568857</v>
      </c>
      <c r="G51" s="199">
        <f>IFERROR(__xludf.DUMMYFUNCTION("E51/(INDEX(GOOGLEFINANCE(B51 ,""price"",DATE(2024,1,1)),2,2))-1"),0.14694082246740225)</f>
        <v>0.1469408225</v>
      </c>
      <c r="H51" s="196"/>
      <c r="I51" s="196"/>
      <c r="J51" s="196"/>
      <c r="K51" s="201"/>
      <c r="L51" s="196"/>
      <c r="M51" s="196"/>
      <c r="N51" s="196"/>
      <c r="O51" s="196"/>
      <c r="P51" s="196"/>
      <c r="Q51" s="196"/>
      <c r="R51" s="196"/>
      <c r="S51" s="196"/>
      <c r="T51" s="196"/>
      <c r="U51" s="196"/>
      <c r="V51" s="196"/>
      <c r="W51" s="196"/>
      <c r="X51" s="196"/>
      <c r="Y51" s="196"/>
      <c r="Z51" s="196"/>
      <c r="AA51" s="196"/>
      <c r="AB51" s="196"/>
      <c r="AC51" s="196"/>
      <c r="AD51" s="196"/>
      <c r="AE51" s="196"/>
      <c r="AF51" s="196"/>
      <c r="AG51" s="196"/>
      <c r="AH51" s="196"/>
      <c r="AI51" s="196"/>
      <c r="AJ51" s="196"/>
      <c r="AK51" s="196"/>
      <c r="AL51" s="196"/>
      <c r="AM51" s="196"/>
    </row>
    <row r="52">
      <c r="B52" s="1" t="s">
        <v>970</v>
      </c>
      <c r="C52" s="197" t="str">
        <f>IFERROR(__xludf.DUMMYFUNCTION("GOOGLEFINANCE(B52,""name"")"),"Marsh &amp; McLennan Companies Inc")</f>
        <v>Marsh &amp; McLennan Companies Inc</v>
      </c>
      <c r="D52" s="197">
        <f>IFERROR(__xludf.DUMMYFUNCTION("INDEX(GOOGLEFINANCE(B52 ,""price"",DATE(2025,7,1)),2,2)"),217.83)</f>
        <v>217.83</v>
      </c>
      <c r="E52" s="197">
        <f>IFERROR(__xludf.DUMMYFUNCTION("GOOGLEFINANCE(B52)"),208.33)</f>
        <v>208.33</v>
      </c>
      <c r="F52" s="198">
        <f t="shared" si="3"/>
        <v>-0.043611991</v>
      </c>
      <c r="G52" s="199">
        <f>IFERROR(__xludf.DUMMYFUNCTION("E52/(INDEX(GOOGLEFINANCE(B52 ,""price"",DATE(2024,1,1)),2,2))-1"),0.09549350581059057)</f>
        <v>0.09549350581</v>
      </c>
      <c r="H52" s="196"/>
      <c r="I52" s="196"/>
      <c r="J52" s="196"/>
      <c r="K52" s="196"/>
      <c r="L52" s="196"/>
      <c r="M52" s="196"/>
      <c r="N52" s="196"/>
      <c r="O52" s="196"/>
      <c r="P52" s="196"/>
      <c r="Q52" s="196"/>
      <c r="R52" s="196"/>
      <c r="S52" s="196"/>
      <c r="T52" s="196"/>
      <c r="U52" s="196"/>
      <c r="V52" s="196"/>
      <c r="W52" s="196"/>
      <c r="X52" s="196"/>
      <c r="Y52" s="196"/>
      <c r="Z52" s="196"/>
      <c r="AA52" s="196"/>
      <c r="AB52" s="196"/>
      <c r="AC52" s="196"/>
      <c r="AD52" s="196"/>
      <c r="AE52" s="196"/>
      <c r="AF52" s="196"/>
      <c r="AG52" s="196"/>
      <c r="AH52" s="196"/>
      <c r="AI52" s="196"/>
      <c r="AJ52" s="196"/>
      <c r="AK52" s="196"/>
      <c r="AL52" s="196"/>
      <c r="AM52" s="196"/>
    </row>
    <row r="53">
      <c r="A53" s="4"/>
      <c r="B53" s="4" t="s">
        <v>2612</v>
      </c>
      <c r="C53" s="1" t="s">
        <v>2613</v>
      </c>
      <c r="D53" s="197">
        <f>IFERROR(__xludf.DUMMYFUNCTION("INDEX(GOOGLEFINANCE(B53 ,""price"",DATE(2025,7,1)),2,2)"),489.61)</f>
        <v>489.61</v>
      </c>
      <c r="E53" s="197">
        <f>IFERROR(__xludf.DUMMYFUNCTION("GOOGLEFINANCE(B53)"),484.32)</f>
        <v>484.32</v>
      </c>
      <c r="F53" s="198">
        <f t="shared" si="3"/>
        <v>-0.01080451788</v>
      </c>
      <c r="G53" s="199">
        <f>IFERROR(__xludf.DUMMYFUNCTION("E53/(INDEX(GOOGLEFINANCE(B53 ,""price"",DATE(2024,1,1)),2,2))-1"),0.3362026154610165)</f>
        <v>0.3362026155</v>
      </c>
      <c r="H53" s="196"/>
      <c r="I53" s="196"/>
      <c r="J53" s="196"/>
      <c r="K53" s="196"/>
      <c r="L53" s="196"/>
      <c r="M53" s="196"/>
      <c r="N53" s="196"/>
      <c r="O53" s="196"/>
      <c r="P53" s="196"/>
      <c r="Q53" s="196"/>
      <c r="R53" s="196"/>
      <c r="S53" s="196"/>
      <c r="T53" s="196"/>
      <c r="U53" s="196"/>
      <c r="V53" s="196"/>
      <c r="W53" s="196"/>
      <c r="X53" s="196"/>
      <c r="Y53" s="196"/>
      <c r="Z53" s="196"/>
      <c r="AA53" s="196"/>
      <c r="AB53" s="196"/>
      <c r="AC53" s="196"/>
      <c r="AD53" s="196"/>
      <c r="AE53" s="196"/>
      <c r="AF53" s="196"/>
      <c r="AG53" s="196"/>
      <c r="AH53" s="196"/>
      <c r="AI53" s="196"/>
      <c r="AJ53" s="196"/>
      <c r="AK53" s="196"/>
      <c r="AL53" s="196"/>
      <c r="AM53" s="196"/>
    </row>
    <row r="54">
      <c r="B54" s="1" t="s">
        <v>823</v>
      </c>
      <c r="C54" s="197" t="str">
        <f>IFERROR(__xludf.DUMMYFUNCTION("GOOGLEFINANCE(B54,""name"")"),"Johnson &amp; Johnson")</f>
        <v>Johnson &amp; Johnson</v>
      </c>
      <c r="D54" s="197">
        <f>IFERROR(__xludf.DUMMYFUNCTION("INDEX(GOOGLEFINANCE(B54 ,""price"",DATE(2025,7,1)),2,2)"),155.92)</f>
        <v>155.92</v>
      </c>
      <c r="E54" s="197">
        <f>IFERROR(__xludf.DUMMYFUNCTION("GOOGLEFINANCE(B54)"),166.21)</f>
        <v>166.21</v>
      </c>
      <c r="F54" s="198">
        <f t="shared" si="3"/>
        <v>0.06599538225</v>
      </c>
      <c r="G54" s="199">
        <f>IFERROR(__xludf.DUMMYFUNCTION("E54/(INDEX(GOOGLEFINANCE(B54 ,""price"",DATE(2024,1,1)),2,2))-1"),0.039007313871350924)</f>
        <v>0.03900731387</v>
      </c>
      <c r="H54" s="196"/>
      <c r="I54" s="196"/>
      <c r="J54" s="196"/>
      <c r="K54" s="196"/>
      <c r="L54" s="196"/>
      <c r="M54" s="196"/>
      <c r="N54" s="196"/>
      <c r="O54" s="196"/>
      <c r="P54" s="196"/>
      <c r="Q54" s="196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</row>
    <row r="55">
      <c r="B55" s="1" t="s">
        <v>1188</v>
      </c>
      <c r="C55" s="197" t="str">
        <f>IFERROR(__xludf.DUMMYFUNCTION("GOOGLEFINANCE(B55,""name"")"),"Procter &amp; Gamble Co")</f>
        <v>Procter &amp; Gamble Co</v>
      </c>
      <c r="D55" s="197">
        <f>IFERROR(__xludf.DUMMYFUNCTION("INDEX(GOOGLEFINANCE(B55 ,""price"",DATE(2025,7,1)),2,2)"),161.22)</f>
        <v>161.22</v>
      </c>
      <c r="E55" s="197">
        <f>IFERROR(__xludf.DUMMYFUNCTION("GOOGLEFINANCE(B55)"),156.89)</f>
        <v>156.89</v>
      </c>
      <c r="F55" s="198">
        <f t="shared" si="3"/>
        <v>-0.02685770996</v>
      </c>
      <c r="G55" s="199">
        <f>IFERROR(__xludf.DUMMYFUNCTION("E55/(INDEX(GOOGLEFINANCE(B55 ,""price"",DATE(2024,1,1)),2,2))-1"),0.054793599569718854)</f>
        <v>0.05479359957</v>
      </c>
      <c r="H55" s="196"/>
      <c r="I55" s="196"/>
      <c r="J55" s="196"/>
      <c r="K55" s="196"/>
      <c r="L55" s="196"/>
      <c r="M55" s="196"/>
      <c r="N55" s="196"/>
      <c r="O55" s="196"/>
      <c r="P55" s="196"/>
      <c r="Q55" s="196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</row>
    <row r="56">
      <c r="B56" s="1" t="s">
        <v>1772</v>
      </c>
      <c r="C56" s="197" t="str">
        <f>IFERROR(__xludf.DUMMYFUNCTION("GOOGLEFINANCE(B56,""name"")"),"Unilever PLC")</f>
        <v>Unilever PLC</v>
      </c>
      <c r="D56" s="197">
        <f>IFERROR(__xludf.DUMMYFUNCTION("INDEX(GOOGLEFINANCE(B56 ,""price"",DATE(2025,7,1)),2,2)"),61.48)</f>
        <v>61.48</v>
      </c>
      <c r="E56" s="197">
        <f>IFERROR(__xludf.DUMMYFUNCTION("GOOGLEFINANCE(B56)"),59.66)</f>
        <v>59.66</v>
      </c>
      <c r="F56" s="198">
        <f t="shared" si="3"/>
        <v>-0.02960312297</v>
      </c>
      <c r="G56" s="199">
        <f>IFERROR(__xludf.DUMMYFUNCTION("E56/(INDEX(GOOGLEFINANCE(B56 ,""price"",DATE(2024,1,1)),2,2))-1"),0.23035677459269932)</f>
        <v>0.2303567746</v>
      </c>
      <c r="H56" s="196"/>
      <c r="I56" s="196"/>
      <c r="J56" s="196"/>
      <c r="K56" s="196"/>
      <c r="L56" s="196"/>
      <c r="M56" s="196"/>
      <c r="N56" s="196"/>
      <c r="O56" s="196"/>
      <c r="P56" s="196"/>
      <c r="Q56" s="196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</row>
    <row r="57">
      <c r="B57" s="1" t="s">
        <v>1559</v>
      </c>
      <c r="C57" s="197" t="str">
        <f>IFERROR(__xludf.DUMMYFUNCTION("GOOGLEFINANCE(B57,""name"")"),"TJX Companies Inc")</f>
        <v>TJX Companies Inc</v>
      </c>
      <c r="D57" s="197">
        <f>IFERROR(__xludf.DUMMYFUNCTION("INDEX(GOOGLEFINANCE(B57 ,""price"",DATE(2025,7,1)),2,2)"),125.16)</f>
        <v>125.16</v>
      </c>
      <c r="E57" s="197">
        <f>IFERROR(__xludf.DUMMYFUNCTION("GOOGLEFINANCE(B57)"),126.34)</f>
        <v>126.34</v>
      </c>
      <c r="F57" s="198">
        <f t="shared" si="3"/>
        <v>0.009427932247</v>
      </c>
      <c r="G57" s="199">
        <f>IFERROR(__xludf.DUMMYFUNCTION("E57/(INDEX(GOOGLEFINANCE(B57 ,""price"",DATE(2024,1,1)),2,2))-1"),0.35441680960548894)</f>
        <v>0.3544168096</v>
      </c>
      <c r="H57" s="196"/>
      <c r="I57" s="196"/>
      <c r="J57" s="196"/>
      <c r="K57" s="196"/>
      <c r="L57" s="196"/>
      <c r="M57" s="196"/>
      <c r="N57" s="196"/>
      <c r="O57" s="196"/>
      <c r="P57" s="196"/>
      <c r="Q57" s="196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</row>
    <row r="58">
      <c r="B58" s="1" t="s">
        <v>1179</v>
      </c>
      <c r="C58" s="197" t="str">
        <f>IFERROR(__xludf.DUMMYFUNCTION("GOOGLEFINANCE(B58,""name"")"),"PepsiCo Inc")</f>
        <v>PepsiCo Inc</v>
      </c>
      <c r="D58" s="197">
        <f>IFERROR(__xludf.DUMMYFUNCTION("INDEX(GOOGLEFINANCE(B58 ,""price"",DATE(2025,7,1)),2,2)"),135.26)</f>
        <v>135.26</v>
      </c>
      <c r="E58" s="197">
        <f>IFERROR(__xludf.DUMMYFUNCTION("GOOGLEFINANCE(B58)"),141.87)</f>
        <v>141.87</v>
      </c>
      <c r="F58" s="198">
        <f t="shared" si="3"/>
        <v>0.04886884519</v>
      </c>
      <c r="G58" s="199">
        <f>IFERROR(__xludf.DUMMYFUNCTION("E58/(INDEX(GOOGLEFINANCE(B58 ,""price"",DATE(2024,1,1)),2,2))-1"),-0.17951535480886005)</f>
        <v>-0.1795153548</v>
      </c>
      <c r="H58" s="196"/>
      <c r="I58" s="196"/>
      <c r="J58" s="196"/>
      <c r="K58" s="196"/>
      <c r="L58" s="196"/>
      <c r="M58" s="196"/>
      <c r="N58" s="196"/>
      <c r="O58" s="196"/>
      <c r="P58" s="196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</row>
    <row r="59">
      <c r="B59" s="1" t="s">
        <v>922</v>
      </c>
      <c r="C59" s="197" t="str">
        <f>IFERROR(__xludf.DUMMYFUNCTION("GOOGLEFINANCE(B59,""name"")"),"McDonald's Corp")</f>
        <v>McDonald's Corp</v>
      </c>
      <c r="D59" s="197">
        <f>IFERROR(__xludf.DUMMYFUNCTION("INDEX(GOOGLEFINANCE(B59 ,""price"",DATE(2025,7,1)),2,2)"),297.49)</f>
        <v>297.49</v>
      </c>
      <c r="E59" s="197">
        <f>IFERROR(__xludf.DUMMYFUNCTION("GOOGLEFINANCE(B59)"),295.05)</f>
        <v>295.05</v>
      </c>
      <c r="F59" s="198">
        <f t="shared" si="3"/>
        <v>-0.008201956368</v>
      </c>
      <c r="G59" s="199">
        <f>IFERROR(__xludf.DUMMYFUNCTION("E59/(INDEX(GOOGLEFINANCE(B59 ,""price"",DATE(2024,1,1)),2,2))-1"),-0.006699434419606853)</f>
        <v>-0.00669943442</v>
      </c>
      <c r="H59" s="196"/>
      <c r="I59" s="196"/>
      <c r="J59" s="196"/>
      <c r="K59" s="196"/>
      <c r="L59" s="196"/>
      <c r="M59" s="196"/>
      <c r="N59" s="196"/>
      <c r="O59" s="196"/>
      <c r="P59" s="196"/>
      <c r="Q59" s="196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</row>
    <row r="60">
      <c r="B60" s="1" t="s">
        <v>364</v>
      </c>
      <c r="C60" s="197" t="str">
        <f>IFERROR(__xludf.DUMMYFUNCTION("GOOGLEFINANCE(B60,""name"")"),"Colgate-Palmolive Co")</f>
        <v>Colgate-Palmolive Co</v>
      </c>
      <c r="D60" s="197">
        <f>IFERROR(__xludf.DUMMYFUNCTION("INDEX(GOOGLEFINANCE(B60 ,""price"",DATE(2025,7,1)),2,2)"),92.04)</f>
        <v>92.04</v>
      </c>
      <c r="E60" s="197">
        <f>IFERROR(__xludf.DUMMYFUNCTION("GOOGLEFINANCE(B60)"),87.14)</f>
        <v>87.14</v>
      </c>
      <c r="F60" s="198">
        <f t="shared" si="3"/>
        <v>-0.05323772273</v>
      </c>
      <c r="G60" s="199">
        <f>IFERROR(__xludf.DUMMYFUNCTION("E60/(INDEX(GOOGLEFINANCE(B60 ,""price"",DATE(2024,1,1)),2,2))-1"),0.07953419226957381)</f>
        <v>0.07953419227</v>
      </c>
      <c r="H60" s="196"/>
      <c r="I60" s="196"/>
      <c r="J60" s="196"/>
      <c r="K60" s="196"/>
      <c r="L60" s="196"/>
      <c r="M60" s="196"/>
      <c r="N60" s="196"/>
      <c r="O60" s="196"/>
      <c r="P60" s="196"/>
      <c r="Q60" s="196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</row>
    <row r="61">
      <c r="B61" s="1" t="s">
        <v>1097</v>
      </c>
      <c r="C61" s="197" t="str">
        <f>IFERROR(__xludf.DUMMYFUNCTION("GOOGLEFINANCE(B61,""name"")"),"Novartis AG")</f>
        <v>Novartis AG</v>
      </c>
      <c r="D61" s="197">
        <f>IFERROR(__xludf.DUMMYFUNCTION("INDEX(GOOGLEFINANCE(B61 ,""price"",DATE(2025,7,1)),2,2)"),123.1)</f>
        <v>123.1</v>
      </c>
      <c r="E61" s="197">
        <f>IFERROR(__xludf.DUMMYFUNCTION("GOOGLEFINANCE(B61)"),116.3)</f>
        <v>116.3</v>
      </c>
      <c r="F61" s="198">
        <f t="shared" si="3"/>
        <v>-0.05523964257</v>
      </c>
      <c r="G61" s="199">
        <f>IFERROR(__xludf.DUMMYFUNCTION("E61/(INDEX(GOOGLEFINANCE(B61 ,""price"",DATE(2024,1,1)),2,2))-1"),0.1514851485148514)</f>
        <v>0.1514851485</v>
      </c>
      <c r="H61" s="196"/>
      <c r="I61" s="196"/>
      <c r="J61" s="196"/>
      <c r="K61" s="196"/>
      <c r="L61" s="196"/>
      <c r="M61" s="196"/>
      <c r="N61" s="196"/>
      <c r="O61" s="196"/>
      <c r="P61" s="196"/>
      <c r="Q61" s="196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</row>
    <row r="62">
      <c r="B62" s="1" t="s">
        <v>33</v>
      </c>
      <c r="C62" s="197" t="str">
        <f>IFERROR(__xludf.DUMMYFUNCTION("GOOGLEFINANCE(B62,""name"")"),"Automatic Data Processing Inc")</f>
        <v>Automatic Data Processing Inc</v>
      </c>
      <c r="D62" s="197">
        <f>IFERROR(__xludf.DUMMYFUNCTION("INDEX(GOOGLEFINANCE(B62 ,""price"",DATE(2025,7,1)),2,2)"),310.13)</f>
        <v>310.13</v>
      </c>
      <c r="E62" s="197">
        <f>IFERROR(__xludf.DUMMYFUNCTION("GOOGLEFINANCE(B62)"),308.11)</f>
        <v>308.11</v>
      </c>
      <c r="F62" s="198">
        <f t="shared" si="3"/>
        <v>-0.006513397607</v>
      </c>
      <c r="G62" s="199">
        <f>IFERROR(__xludf.DUMMYFUNCTION("E62/(INDEX(GOOGLEFINANCE(B62 ,""price"",DATE(2024,1,1)),2,2))-1"),0.319981149858624)</f>
        <v>0.3199811499</v>
      </c>
      <c r="H62" s="196"/>
      <c r="I62" s="196"/>
      <c r="J62" s="196"/>
      <c r="K62" s="196"/>
      <c r="L62" s="196"/>
      <c r="M62" s="196"/>
      <c r="N62" s="196"/>
      <c r="O62" s="196"/>
      <c r="P62" s="196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</row>
    <row r="63">
      <c r="B63" s="1" t="s">
        <v>834</v>
      </c>
      <c r="C63" s="197" t="str">
        <f>IFERROR(__xludf.DUMMYFUNCTION("GOOGLEFINANCE(B63,""name"")"),"Kimberly-Clark Corp")</f>
        <v>Kimberly-Clark Corp</v>
      </c>
      <c r="D63" s="197">
        <f>IFERROR(__xludf.DUMMYFUNCTION("INDEX(GOOGLEFINANCE(B63 ,""price"",DATE(2025,7,1)),2,2)"),131.61)</f>
        <v>131.61</v>
      </c>
      <c r="E63" s="197">
        <f>IFERROR(__xludf.DUMMYFUNCTION("GOOGLEFINANCE(B63)"),126.64)</f>
        <v>126.64</v>
      </c>
      <c r="F63" s="198">
        <f t="shared" si="3"/>
        <v>-0.03776308791</v>
      </c>
      <c r="G63" s="199">
        <f>IFERROR(__xludf.DUMMYFUNCTION("E63/(INDEX(GOOGLEFINANCE(B63 ,""price"",DATE(2024,1,1)),2,2))-1"),0.03497875122589078)</f>
        <v>0.03497875123</v>
      </c>
      <c r="H63" s="196"/>
      <c r="I63" s="196"/>
      <c r="J63" s="196"/>
      <c r="K63" s="196"/>
      <c r="L63" s="196"/>
      <c r="M63" s="196"/>
      <c r="N63" s="196"/>
      <c r="O63" s="196"/>
      <c r="P63" s="196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</row>
    <row r="64">
      <c r="B64" s="1" t="s">
        <v>925</v>
      </c>
      <c r="C64" s="197" t="str">
        <f>IFERROR(__xludf.DUMMYFUNCTION("GOOGLEFINANCE(B64,""name"")"),"MONDELEZ INTERNATIONAL INC Common Stock")</f>
        <v>MONDELEZ INTERNATIONAL INC Common Stock</v>
      </c>
      <c r="D64" s="197">
        <f>IFERROR(__xludf.DUMMYFUNCTION("INDEX(GOOGLEFINANCE(B64 ,""price"",DATE(2025,7,1)),2,2)"),68.96)</f>
        <v>68.96</v>
      </c>
      <c r="E64" s="197">
        <f>IFERROR(__xludf.DUMMYFUNCTION("GOOGLEFINANCE(B64)"),69.79)</f>
        <v>69.79</v>
      </c>
      <c r="F64" s="198">
        <f t="shared" si="3"/>
        <v>0.01203596288</v>
      </c>
      <c r="G64" s="199">
        <f>IFERROR(__xludf.DUMMYFUNCTION("E64/(INDEX(GOOGLEFINANCE(B64 ,""price"",DATE(2024,1,1)),2,2))-1"),-0.05484832069339107)</f>
        <v>-0.05484832069</v>
      </c>
      <c r="H64" s="196"/>
      <c r="I64" s="196"/>
      <c r="J64" s="196"/>
      <c r="K64" s="196"/>
      <c r="L64" s="196"/>
      <c r="M64" s="196"/>
      <c r="N64" s="196"/>
      <c r="O64" s="196"/>
      <c r="P64" s="196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</row>
    <row r="65">
      <c r="B65" s="1" t="s">
        <v>1471</v>
      </c>
      <c r="C65" s="197" t="str">
        <f>IFERROR(__xludf.DUMMYFUNCTION("GOOGLEFINANCE(B65,""name"")"),"S&amp;P Global Inc")</f>
        <v>S&amp;P Global Inc</v>
      </c>
      <c r="D65" s="197">
        <f>IFERROR(__xludf.DUMMYFUNCTION("INDEX(GOOGLEFINANCE(B65 ,""price"",DATE(2025,7,1)),2,2)"),529.32)</f>
        <v>529.32</v>
      </c>
      <c r="E65" s="197">
        <f>IFERROR(__xludf.DUMMYFUNCTION("GOOGLEFINANCE(B65)"),533.08)</f>
        <v>533.08</v>
      </c>
      <c r="F65" s="198">
        <f t="shared" si="3"/>
        <v>0.007103453487</v>
      </c>
      <c r="G65" s="199">
        <f>IFERROR(__xludf.DUMMYFUNCTION("E65/(INDEX(GOOGLEFINANCE(B65 ,""price"",DATE(2024,1,1)),2,2))-1"),0.22156786360824055)</f>
        <v>0.2215678636</v>
      </c>
      <c r="H65" s="196"/>
      <c r="I65" s="196"/>
      <c r="J65" s="196"/>
      <c r="K65" s="196"/>
      <c r="L65" s="196"/>
      <c r="M65" s="196"/>
      <c r="N65" s="196"/>
      <c r="O65" s="196"/>
      <c r="P65" s="196"/>
      <c r="Q65" s="196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</row>
    <row r="66">
      <c r="B66" s="1" t="s">
        <v>927</v>
      </c>
      <c r="C66" s="197" t="str">
        <f>IFERROR(__xludf.DUMMYFUNCTION("GOOGLEFINANCE(B66,""name"")"),"Medtronic PLC")</f>
        <v>Medtronic PLC</v>
      </c>
      <c r="D66" s="197">
        <f>IFERROR(__xludf.DUMMYFUNCTION("INDEX(GOOGLEFINANCE(B66 ,""price"",DATE(2025,7,1)),2,2)"),88.75)</f>
        <v>88.75</v>
      </c>
      <c r="E66" s="197">
        <f>IFERROR(__xludf.DUMMYFUNCTION("GOOGLEFINANCE(B66)"),92.55)</f>
        <v>92.55</v>
      </c>
      <c r="F66" s="198">
        <f t="shared" si="3"/>
        <v>0.04281690141</v>
      </c>
      <c r="G66" s="199">
        <f>IFERROR(__xludf.DUMMYFUNCTION("E66/(INDEX(GOOGLEFINANCE(B66 ,""price"",DATE(2024,1,1)),2,2))-1"),0.11721390632544648)</f>
        <v>0.1172139063</v>
      </c>
      <c r="H66" s="196"/>
      <c r="I66" s="196"/>
      <c r="J66" s="196"/>
      <c r="K66" s="196"/>
      <c r="L66" s="196"/>
      <c r="M66" s="196"/>
      <c r="N66" s="196"/>
      <c r="O66" s="196"/>
      <c r="P66" s="196"/>
      <c r="Q66" s="196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</row>
    <row r="67">
      <c r="B67" s="1" t="s">
        <v>974</v>
      </c>
      <c r="C67" s="197" t="str">
        <f>IFERROR(__xludf.DUMMYFUNCTION("GOOGLEFINANCE(B67,""name"")"),"Altria Group Inc")</f>
        <v>Altria Group Inc</v>
      </c>
      <c r="D67" s="197">
        <f>IFERROR(__xludf.DUMMYFUNCTION("INDEX(GOOGLEFINANCE(B67 ,""price"",DATE(2025,7,1)),2,2)"),58.14)</f>
        <v>58.14</v>
      </c>
      <c r="E67" s="197">
        <f>IFERROR(__xludf.DUMMYFUNCTION("GOOGLEFINANCE(B67)"),59.38)</f>
        <v>59.38</v>
      </c>
      <c r="F67" s="198">
        <f t="shared" si="3"/>
        <v>0.02132782938</v>
      </c>
      <c r="G67" s="199">
        <f>IFERROR(__xludf.DUMMYFUNCTION("E67/(INDEX(GOOGLEFINANCE(B67 ,""price"",DATE(2024,1,1)),2,2))-1"),0.4280904280904283)</f>
        <v>0.4280904281</v>
      </c>
      <c r="H67" s="196"/>
      <c r="I67" s="196"/>
      <c r="J67" s="196"/>
      <c r="K67" s="196"/>
      <c r="L67" s="196"/>
      <c r="M67" s="196"/>
      <c r="N67" s="196"/>
      <c r="O67" s="196"/>
      <c r="P67" s="196"/>
      <c r="Q67" s="196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</row>
    <row r="68">
      <c r="A68" s="75" t="s">
        <v>2614</v>
      </c>
      <c r="B68" s="73"/>
      <c r="C68" s="73"/>
      <c r="D68" s="73"/>
      <c r="E68" s="73"/>
      <c r="F68" s="73"/>
      <c r="G68" s="73"/>
      <c r="H68" s="202"/>
      <c r="I68" s="202"/>
      <c r="J68" s="202"/>
      <c r="K68" s="202"/>
      <c r="L68" s="202"/>
      <c r="M68" s="202"/>
      <c r="N68" s="202"/>
      <c r="O68" s="202"/>
      <c r="P68" s="202"/>
      <c r="Q68" s="202"/>
      <c r="R68" s="202"/>
      <c r="S68" s="202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</row>
    <row r="69">
      <c r="B69" s="4" t="s">
        <v>1774</v>
      </c>
      <c r="C69" s="197" t="str">
        <f>IFERROR(__xludf.DUMMYFUNCTION("GOOGLEFINANCE(B69,""name"")"),"UnitedHealth Group Inc")</f>
        <v>UnitedHealth Group Inc</v>
      </c>
      <c r="D69" s="197">
        <f>IFERROR(__xludf.DUMMYFUNCTION("INDEX(GOOGLEFINANCE(B69 ,""price"",DATE(2025,6,1)),2,2)"),304.72)</f>
        <v>304.72</v>
      </c>
      <c r="E69" s="197">
        <f>IFERROR(__xludf.DUMMYFUNCTION("GOOGLEFINANCE(B69)"),282.7)</f>
        <v>282.7</v>
      </c>
      <c r="F69" s="198">
        <f t="shared" ref="F69:F85" si="4">E69/D69-1</f>
        <v>-0.07226306117</v>
      </c>
      <c r="G69" s="199">
        <f>IFERROR(__xludf.DUMMYFUNCTION("E69/(INDEX(GOOGLEFINANCE(B69 ,""price"",DATE(2024,1,1)),2,2))-1"),-0.4758408425112175)</f>
        <v>-0.4758408425</v>
      </c>
      <c r="H69" s="196"/>
      <c r="I69" s="196"/>
      <c r="J69" s="196"/>
      <c r="K69" s="196"/>
      <c r="L69" s="196"/>
      <c r="M69" s="196"/>
      <c r="N69" s="196"/>
      <c r="O69" s="196"/>
      <c r="P69" s="196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</row>
    <row r="70">
      <c r="B70" s="4" t="s">
        <v>527</v>
      </c>
      <c r="C70" s="197" t="str">
        <f>IFERROR(__xludf.DUMMYFUNCTION("GOOGLEFINANCE(B70,""name"")"),"Electronic Arts Inc")</f>
        <v>Electronic Arts Inc</v>
      </c>
      <c r="D70" s="197">
        <f>IFERROR(__xludf.DUMMYFUNCTION("INDEX(GOOGLEFINANCE(B70 ,""price"",DATE(2025,6,1)),2,2)"),145.88)</f>
        <v>145.88</v>
      </c>
      <c r="E70" s="197">
        <f>IFERROR(__xludf.DUMMYFUNCTION("GOOGLEFINANCE(B70)"),151.74)</f>
        <v>151.74</v>
      </c>
      <c r="F70" s="198">
        <f t="shared" si="4"/>
        <v>0.04017000274</v>
      </c>
      <c r="G70" s="199">
        <f>IFERROR(__xludf.DUMMYFUNCTION("E70/(INDEX(GOOGLEFINANCE(B70 ,""price"",DATE(2024,1,1)),2,2))-1"),0.11754308440123729)</f>
        <v>0.1175430844</v>
      </c>
      <c r="H70" s="196"/>
      <c r="I70" s="196"/>
      <c r="J70" s="196"/>
      <c r="K70" s="196"/>
      <c r="L70" s="196"/>
      <c r="M70" s="196"/>
      <c r="N70" s="196"/>
      <c r="O70" s="196"/>
      <c r="P70" s="196"/>
      <c r="Q70" s="196"/>
      <c r="R70" s="196"/>
      <c r="S70" s="196"/>
      <c r="T70" s="196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</row>
    <row r="71">
      <c r="B71" s="4" t="s">
        <v>658</v>
      </c>
      <c r="C71" s="197" t="str">
        <f>IFERROR(__xludf.DUMMYFUNCTION("GOOGLEFINANCE(B71,""name"")"),"Globant SA")</f>
        <v>Globant SA</v>
      </c>
      <c r="D71" s="197">
        <f>IFERROR(__xludf.DUMMYFUNCTION("INDEX(GOOGLEFINANCE(B71 ,""price"",DATE(2025,6,1)),2,2)"),94.63)</f>
        <v>94.63</v>
      </c>
      <c r="E71" s="197">
        <f>IFERROR(__xludf.DUMMYFUNCTION("GOOGLEFINANCE(B71)"),93.28)</f>
        <v>93.28</v>
      </c>
      <c r="F71" s="198">
        <f t="shared" si="4"/>
        <v>-0.01426608898</v>
      </c>
      <c r="G71" s="199">
        <f>IFERROR(__xludf.DUMMYFUNCTION("E71/(INDEX(GOOGLEFINANCE(B71 ,""price"",DATE(2024,1,1)),2,2))-1"),-0.5950158468284635)</f>
        <v>-0.5950158468</v>
      </c>
      <c r="H71" s="196"/>
      <c r="I71" s="196"/>
      <c r="J71" s="196"/>
      <c r="K71" s="196"/>
      <c r="L71" s="196"/>
      <c r="M71" s="196"/>
      <c r="N71" s="196"/>
      <c r="O71" s="196"/>
      <c r="P71" s="196"/>
      <c r="Q71" s="196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</row>
    <row r="72">
      <c r="B72" s="4" t="s">
        <v>26</v>
      </c>
      <c r="C72" s="197" t="str">
        <f>IFERROR(__xludf.DUMMYFUNCTION("GOOGLEFINANCE(B72,""name"")"),"Adobe Inc")</f>
        <v>Adobe Inc</v>
      </c>
      <c r="D72" s="197">
        <f>IFERROR(__xludf.DUMMYFUNCTION("INDEX(GOOGLEFINANCE(B72 ,""price"",DATE(2025,6,1)),2,2)"),403.4)</f>
        <v>403.4</v>
      </c>
      <c r="E72" s="197">
        <f>IFERROR(__xludf.DUMMYFUNCTION("GOOGLEFINANCE(B72)"),370.42)</f>
        <v>370.42</v>
      </c>
      <c r="F72" s="198">
        <f t="shared" si="4"/>
        <v>-0.0817550818</v>
      </c>
      <c r="G72" s="199">
        <f>IFERROR(__xludf.DUMMYFUNCTION("E72/(INDEX(GOOGLEFINANCE(B72 ,""price"",DATE(2024,1,1)),2,2))-1"),-0.3614218973572155)</f>
        <v>-0.3614218974</v>
      </c>
      <c r="H72" s="196"/>
      <c r="I72" s="196"/>
      <c r="J72" s="196"/>
      <c r="K72" s="196"/>
      <c r="L72" s="196"/>
      <c r="M72" s="196"/>
      <c r="N72" s="196"/>
      <c r="O72" s="196"/>
      <c r="P72" s="196"/>
      <c r="Q72" s="196"/>
      <c r="R72" s="196"/>
      <c r="S72" s="196"/>
      <c r="T72" s="196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</row>
    <row r="73">
      <c r="B73" s="4" t="s">
        <v>1551</v>
      </c>
      <c r="C73" s="197" t="str">
        <f>IFERROR(__xludf.DUMMYFUNCTION("GOOGLEFINANCE(B73,""name"")"),"Target Corp")</f>
        <v>Target Corp</v>
      </c>
      <c r="D73" s="197">
        <f>IFERROR(__xludf.DUMMYFUNCTION("INDEX(GOOGLEFINANCE(B73 ,""price"",DATE(2025,6,1)),2,2)"),93.32)</f>
        <v>93.32</v>
      </c>
      <c r="E73" s="197">
        <f>IFERROR(__xludf.DUMMYFUNCTION("GOOGLEFINANCE(B73)"),105.57)</f>
        <v>105.57</v>
      </c>
      <c r="F73" s="198">
        <f t="shared" si="4"/>
        <v>0.1312687527</v>
      </c>
      <c r="G73" s="199">
        <f>IFERROR(__xludf.DUMMYFUNCTION("E73/(INDEX(GOOGLEFINANCE(B73 ,""price"",DATE(2024,1,1)),2,2))-1"),-0.2622641509433963)</f>
        <v>-0.2622641509</v>
      </c>
      <c r="H73" s="196"/>
      <c r="I73" s="196"/>
      <c r="J73" s="196"/>
      <c r="K73" s="196"/>
      <c r="L73" s="196"/>
      <c r="M73" s="196"/>
      <c r="N73" s="196"/>
      <c r="O73" s="196"/>
      <c r="P73" s="196"/>
      <c r="Q73" s="196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</row>
    <row r="74">
      <c r="B74" s="4" t="s">
        <v>573</v>
      </c>
      <c r="C74" s="197" t="str">
        <f>IFERROR(__xludf.DUMMYFUNCTION("GOOGLEFINANCE(B74,""name"")"),"Ford Motor Co")</f>
        <v>Ford Motor Co</v>
      </c>
      <c r="D74" s="197">
        <f>IFERROR(__xludf.DUMMYFUNCTION("INDEX(GOOGLEFINANCE(B74 ,""price"",DATE(2025,6,1)),2,2)"),9.98)</f>
        <v>9.98</v>
      </c>
      <c r="E74" s="197">
        <f>IFERROR(__xludf.DUMMYFUNCTION("GOOGLEFINANCE(B74)"),11.41)</f>
        <v>11.41</v>
      </c>
      <c r="F74" s="198">
        <f t="shared" si="4"/>
        <v>0.1432865731</v>
      </c>
      <c r="G74" s="199">
        <f>IFERROR(__xludf.DUMMYFUNCTION("E74/(INDEX(GOOGLEFINANCE(B74 ,""price"",DATE(2024,1,1)),2,2))-1"),-0.061677631578947345)</f>
        <v>-0.06167763158</v>
      </c>
      <c r="H74" s="196"/>
      <c r="I74" s="196"/>
      <c r="J74" s="196"/>
      <c r="K74" s="196"/>
      <c r="L74" s="196"/>
      <c r="M74" s="196"/>
      <c r="N74" s="196"/>
      <c r="O74" s="196"/>
      <c r="P74" s="196"/>
      <c r="Q74" s="196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</row>
    <row r="75">
      <c r="B75" s="4" t="s">
        <v>578</v>
      </c>
      <c r="C75" s="197" t="str">
        <f>IFERROR(__xludf.DUMMYFUNCTION("GOOGLEFINANCE(B75,""name"")"),"FedEx Corp")</f>
        <v>FedEx Corp</v>
      </c>
      <c r="D75" s="197">
        <f>IFERROR(__xludf.DUMMYFUNCTION("INDEX(GOOGLEFINANCE(B75 ,""price"",DATE(2025,6,1)),2,2)"),217.89)</f>
        <v>217.89</v>
      </c>
      <c r="E75" s="197">
        <f>IFERROR(__xludf.DUMMYFUNCTION("GOOGLEFINANCE(B75)"),240.54)</f>
        <v>240.54</v>
      </c>
      <c r="F75" s="198">
        <f t="shared" si="4"/>
        <v>0.1039515352</v>
      </c>
      <c r="G75" s="199">
        <f>IFERROR(__xludf.DUMMYFUNCTION("E75/(INDEX(GOOGLEFINANCE(B75 ,""price"",DATE(2024,1,1)),2,2))-1"),-0.04638439581351106)</f>
        <v>-0.04638439581</v>
      </c>
      <c r="H75" s="196"/>
      <c r="I75" s="196"/>
      <c r="J75" s="196"/>
      <c r="K75" s="196"/>
      <c r="L75" s="196"/>
      <c r="M75" s="196"/>
      <c r="N75" s="196"/>
      <c r="O75" s="196"/>
      <c r="P75" s="196"/>
      <c r="Q75" s="196"/>
      <c r="R75" s="196"/>
      <c r="S75" s="196"/>
      <c r="T75" s="196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</row>
    <row r="76">
      <c r="B76" s="4" t="s">
        <v>1162</v>
      </c>
      <c r="C76" s="197" t="str">
        <f>IFERROR(__xludf.DUMMYFUNCTION("GOOGLEFINANCE(B76,""name"")"),"PDD Holdings Inc - ADR")</f>
        <v>PDD Holdings Inc - ADR</v>
      </c>
      <c r="D76" s="197">
        <f>IFERROR(__xludf.DUMMYFUNCTION("INDEX(GOOGLEFINANCE(B76 ,""price"",DATE(2025,6,1)),2,2)"),96.44)</f>
        <v>96.44</v>
      </c>
      <c r="E76" s="197">
        <f>IFERROR(__xludf.DUMMYFUNCTION("GOOGLEFINANCE(B76)"),119.11)</f>
        <v>119.11</v>
      </c>
      <c r="F76" s="198">
        <f t="shared" si="4"/>
        <v>0.2350684363</v>
      </c>
      <c r="G76" s="199">
        <f>IFERROR(__xludf.DUMMYFUNCTION("E76/(INDEX(GOOGLEFINANCE(B76 ,""price"",DATE(2024,1,1)),2,2))-1"),-0.1821614940950288)</f>
        <v>-0.1821614941</v>
      </c>
      <c r="H76" s="196"/>
      <c r="I76" s="196"/>
      <c r="J76" s="196"/>
      <c r="K76" s="196"/>
      <c r="L76" s="196"/>
      <c r="M76" s="196"/>
      <c r="N76" s="196"/>
      <c r="O76" s="196"/>
      <c r="P76" s="196"/>
      <c r="Q76" s="196"/>
      <c r="R76" s="196"/>
      <c r="S76" s="196"/>
      <c r="T76" s="196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</row>
    <row r="77">
      <c r="B77" s="4" t="s">
        <v>12</v>
      </c>
      <c r="C77" s="197" t="str">
        <f>IFERROR(__xludf.DUMMYFUNCTION("GOOGLEFINANCE(B77,""name"")"),"AbbVie Inc")</f>
        <v>AbbVie Inc</v>
      </c>
      <c r="D77" s="197">
        <f>IFERROR(__xludf.DUMMYFUNCTION("INDEX(GOOGLEFINANCE(B77 ,""price"",DATE(2025,6,1)),2,2)"),186.99)</f>
        <v>186.99</v>
      </c>
      <c r="E77" s="197">
        <f>IFERROR(__xludf.DUMMYFUNCTION("GOOGLEFINANCE(B77)"),188.77)</f>
        <v>188.77</v>
      </c>
      <c r="F77" s="198">
        <f t="shared" si="4"/>
        <v>0.009519225627</v>
      </c>
      <c r="G77" s="199">
        <f>IFERROR(__xludf.DUMMYFUNCTION("E77/(INDEX(GOOGLEFINANCE(B77 ,""price"",DATE(2024,1,1)),2,2))-1"),0.18114128394443751)</f>
        <v>0.1811412839</v>
      </c>
      <c r="H77" s="196"/>
      <c r="I77" s="196"/>
      <c r="J77" s="196"/>
      <c r="K77" s="196"/>
      <c r="L77" s="196"/>
      <c r="M77" s="196"/>
      <c r="N77" s="196"/>
      <c r="O77" s="196"/>
      <c r="P77" s="196"/>
      <c r="Q77" s="196"/>
      <c r="R77" s="196"/>
      <c r="S77" s="196"/>
      <c r="T77" s="196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</row>
    <row r="78">
      <c r="B78" s="4" t="s">
        <v>1816</v>
      </c>
      <c r="C78" s="197" t="str">
        <f>IFERROR(__xludf.DUMMYFUNCTION("GOOGLEFINANCE(B78,""name"")"),"Vertex Pharmaceuticals Inc")</f>
        <v>Vertex Pharmaceuticals Inc</v>
      </c>
      <c r="D78" s="197">
        <f>IFERROR(__xludf.DUMMYFUNCTION("INDEX(GOOGLEFINANCE(B78 ,""price"",DATE(2025,6,1)),2,2)"),445.43)</f>
        <v>445.43</v>
      </c>
      <c r="E78" s="197">
        <f>IFERROR(__xludf.DUMMYFUNCTION("GOOGLEFINANCE(B78)"),465.36)</f>
        <v>465.36</v>
      </c>
      <c r="F78" s="198">
        <f t="shared" si="4"/>
        <v>0.04474328177</v>
      </c>
      <c r="G78" s="199">
        <f>IFERROR(__xludf.DUMMYFUNCTION("E78/(INDEX(GOOGLEFINANCE(B78 ,""price"",DATE(2024,1,1)),2,2))-1"),0.13251076878148504)</f>
        <v>0.1325107688</v>
      </c>
      <c r="H78" s="196"/>
      <c r="I78" s="196"/>
      <c r="J78" s="196"/>
      <c r="K78" s="196"/>
      <c r="L78" s="196"/>
      <c r="M78" s="196"/>
      <c r="N78" s="196"/>
      <c r="O78" s="196"/>
      <c r="P78" s="196"/>
      <c r="Q78" s="196"/>
      <c r="R78" s="196"/>
      <c r="S78" s="196"/>
      <c r="T78" s="196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</row>
    <row r="79">
      <c r="B79" s="4" t="s">
        <v>476</v>
      </c>
      <c r="C79" s="197" t="str">
        <f>IFERROR(__xludf.DUMMYFUNCTION("GOOGLEFINANCE(B79,""name"")"),"Deckers Outdoor Corp")</f>
        <v>Deckers Outdoor Corp</v>
      </c>
      <c r="D79" s="197">
        <f>IFERROR(__xludf.DUMMYFUNCTION("INDEX(GOOGLEFINANCE(B79 ,""price"",DATE(2025,6,1)),2,2)"),105.01)</f>
        <v>105.01</v>
      </c>
      <c r="E79" s="197">
        <f>IFERROR(__xludf.DUMMYFUNCTION("GOOGLEFINANCE(B79)"),116.69)</f>
        <v>116.69</v>
      </c>
      <c r="F79" s="198">
        <f t="shared" si="4"/>
        <v>0.1112275021</v>
      </c>
      <c r="G79" s="199">
        <f>IFERROR(__xludf.DUMMYFUNCTION("E79/(INDEX(GOOGLEFINANCE(B79 ,""price"",DATE(2024,1,1)),2,2))-1"),0.03881420813673997)</f>
        <v>0.03881420814</v>
      </c>
      <c r="H79" s="196"/>
      <c r="I79" s="196"/>
      <c r="J79" s="196"/>
      <c r="K79" s="196"/>
      <c r="L79" s="196"/>
      <c r="M79" s="196"/>
      <c r="N79" s="196"/>
      <c r="O79" s="196"/>
      <c r="P79" s="196"/>
      <c r="Q79" s="196"/>
      <c r="R79" s="196"/>
      <c r="S79" s="196"/>
      <c r="T79" s="196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</row>
    <row r="80">
      <c r="B80" s="4" t="s">
        <v>1604</v>
      </c>
      <c r="C80" s="197" t="str">
        <f>IFERROR(__xludf.DUMMYFUNCTION("GOOGLEFINANCE(B80,""name"")"),"T-Mobile Us Inc")</f>
        <v>T-Mobile Us Inc</v>
      </c>
      <c r="D80" s="197">
        <f>IFERROR(__xludf.DUMMYFUNCTION("INDEX(GOOGLEFINANCE(B80 ,""price"",DATE(2025,6,1)),2,2)"),243.06)</f>
        <v>243.06</v>
      </c>
      <c r="E80" s="197">
        <f>IFERROR(__xludf.DUMMYFUNCTION("GOOGLEFINANCE(B80)"),239.71)</f>
        <v>239.71</v>
      </c>
      <c r="F80" s="198">
        <f t="shared" si="4"/>
        <v>-0.01378260512</v>
      </c>
      <c r="G80" s="199">
        <f>IFERROR(__xludf.DUMMYFUNCTION("E80/(INDEX(GOOGLEFINANCE(B80 ,""price"",DATE(2024,1,1)),2,2))-1"),0.4805138657278736)</f>
        <v>0.4805138657</v>
      </c>
      <c r="H80" s="196"/>
      <c r="I80" s="196"/>
      <c r="J80" s="196"/>
      <c r="K80" s="196"/>
      <c r="L80" s="196"/>
      <c r="M80" s="196"/>
      <c r="N80" s="196"/>
      <c r="O80" s="196"/>
      <c r="P80" s="196"/>
      <c r="Q80" s="196"/>
      <c r="R80" s="196"/>
      <c r="S80" s="196"/>
      <c r="T80" s="196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</row>
    <row r="81">
      <c r="B81" s="4" t="s">
        <v>741</v>
      </c>
      <c r="C81" s="197" t="str">
        <f>IFERROR(__xludf.DUMMYFUNCTION("GOOGLEFINANCE(B81,""name"")"),"HP Inc")</f>
        <v>HP Inc</v>
      </c>
      <c r="D81" s="197">
        <f>IFERROR(__xludf.DUMMYFUNCTION("INDEX(GOOGLEFINANCE(B81 ,""price"",DATE(2025,6,1)),2,2)"),24.91)</f>
        <v>24.91</v>
      </c>
      <c r="E81" s="197">
        <f>IFERROR(__xludf.DUMMYFUNCTION("GOOGLEFINANCE(B81)"),25.57)</f>
        <v>25.57</v>
      </c>
      <c r="F81" s="198">
        <f t="shared" si="4"/>
        <v>0.02649538338</v>
      </c>
      <c r="G81" s="199">
        <f>IFERROR(__xludf.DUMMYFUNCTION("E81/(INDEX(GOOGLEFINANCE(B81 ,""price"",DATE(2024,1,1)),2,2))-1"),-0.14280925243043907)</f>
        <v>-0.1428092524</v>
      </c>
      <c r="H81" s="196"/>
      <c r="I81" s="196"/>
      <c r="J81" s="196"/>
      <c r="K81" s="196"/>
      <c r="L81" s="196"/>
      <c r="M81" s="196"/>
      <c r="N81" s="196"/>
      <c r="O81" s="196"/>
      <c r="P81" s="196"/>
      <c r="Q81" s="196"/>
      <c r="R81" s="196"/>
      <c r="S81" s="196"/>
      <c r="T81" s="196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</row>
    <row r="82">
      <c r="B82" s="4" t="s">
        <v>1021</v>
      </c>
      <c r="C82" s="197" t="str">
        <f>IFERROR(__xludf.DUMMYFUNCTION("GOOGLEFINANCE(B82,""name"")"),"Merck &amp; Co Inc")</f>
        <v>Merck &amp; Co Inc</v>
      </c>
      <c r="D82" s="197">
        <f>IFERROR(__xludf.DUMMYFUNCTION("INDEX(GOOGLEFINANCE(B82 ,""price"",DATE(2025,6,1)),2,2)"),76.25)</f>
        <v>76.25</v>
      </c>
      <c r="E82" s="197">
        <f>IFERROR(__xludf.DUMMYFUNCTION("GOOGLEFINANCE(B82)"),84.43)</f>
        <v>84.43</v>
      </c>
      <c r="F82" s="198">
        <f t="shared" si="4"/>
        <v>0.1072786885</v>
      </c>
      <c r="G82" s="199">
        <f>IFERROR(__xludf.DUMMYFUNCTION("E82/(INDEX(GOOGLEFINANCE(B82 ,""price"",DATE(2024,1,1)),2,2))-1"),-0.2544154009184033)</f>
        <v>-0.2544154009</v>
      </c>
      <c r="H82" s="196"/>
      <c r="I82" s="196"/>
      <c r="J82" s="196"/>
      <c r="K82" s="196"/>
      <c r="L82" s="196"/>
      <c r="M82" s="196"/>
      <c r="N82" s="196"/>
      <c r="O82" s="196"/>
      <c r="P82" s="196"/>
      <c r="Q82" s="196"/>
      <c r="R82" s="196"/>
      <c r="S82" s="196"/>
      <c r="T82" s="196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</row>
    <row r="83">
      <c r="B83" s="4" t="s">
        <v>456</v>
      </c>
      <c r="C83" s="197" t="str">
        <f>IFERROR(__xludf.DUMMYFUNCTION("GOOGLEFINANCE(B83,""name"")"),"Chevron Corp")</f>
        <v>Chevron Corp</v>
      </c>
      <c r="D83" s="197">
        <f>IFERROR(__xludf.DUMMYFUNCTION("INDEX(GOOGLEFINANCE(B83 ,""price"",DATE(2025,6,1)),2,2)"),137.84)</f>
        <v>137.84</v>
      </c>
      <c r="E83" s="197">
        <f>IFERROR(__xludf.DUMMYFUNCTION("GOOGLEFINANCE(B83)"),155.28)</f>
        <v>155.28</v>
      </c>
      <c r="F83" s="198">
        <f t="shared" si="4"/>
        <v>0.1265235055</v>
      </c>
      <c r="G83" s="199">
        <f>IFERROR(__xludf.DUMMYFUNCTION("E83/(INDEX(GOOGLEFINANCE(B83 ,""price"",DATE(2024,1,1)),2,2))-1"),0.03880117741503897)</f>
        <v>0.03880117742</v>
      </c>
      <c r="H83" s="196"/>
      <c r="I83" s="196"/>
      <c r="J83" s="196"/>
      <c r="K83" s="196"/>
      <c r="L83" s="196"/>
      <c r="M83" s="196"/>
      <c r="N83" s="196"/>
      <c r="O83" s="196"/>
      <c r="P83" s="196"/>
      <c r="Q83" s="196"/>
      <c r="R83" s="196"/>
      <c r="S83" s="196"/>
      <c r="T83" s="196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</row>
    <row r="84">
      <c r="B84" s="4" t="s">
        <v>127</v>
      </c>
      <c r="C84" s="197" t="str">
        <f>IFERROR(__xludf.DUMMYFUNCTION("GOOGLEFINANCE(B84,""name"")"),"AstraZeneca PLC")</f>
        <v>AstraZeneca PLC</v>
      </c>
      <c r="D84" s="197">
        <f>IFERROR(__xludf.DUMMYFUNCTION("INDEX(GOOGLEFINANCE(B84 ,""price"",DATE(2025,6,1)),2,2)"),71.93)</f>
        <v>71.93</v>
      </c>
      <c r="E84" s="197">
        <f>IFERROR(__xludf.DUMMYFUNCTION("GOOGLEFINANCE(B84)"),71.91)</f>
        <v>71.91</v>
      </c>
      <c r="F84" s="198">
        <f t="shared" si="4"/>
        <v>-0.0002780481023</v>
      </c>
      <c r="G84" s="199">
        <f>IFERROR(__xludf.DUMMYFUNCTION("E84/(INDEX(GOOGLEFINANCE(B84 ,""price"",DATE(2024,1,1)),2,2))-1"),0.05131578947368398)</f>
        <v>0.05131578947</v>
      </c>
      <c r="H84" s="196"/>
      <c r="I84" s="196"/>
      <c r="J84" s="196"/>
      <c r="K84" s="196"/>
      <c r="L84" s="196"/>
      <c r="M84" s="196"/>
      <c r="N84" s="196"/>
      <c r="O84" s="196"/>
      <c r="P84" s="196"/>
      <c r="Q84" s="196"/>
      <c r="R84" s="196"/>
      <c r="S84" s="196"/>
      <c r="T84" s="196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</row>
    <row r="85">
      <c r="B85" s="4" t="s">
        <v>887</v>
      </c>
      <c r="C85" s="197" t="str">
        <f>IFERROR(__xludf.DUMMYFUNCTION("GOOGLEFINANCE(B85,""name"")"),"Lockheed Martin Corp")</f>
        <v>Lockheed Martin Corp</v>
      </c>
      <c r="D85" s="197">
        <f>IFERROR(__xludf.DUMMYFUNCTION("INDEX(GOOGLEFINANCE(B85 ,""price"",DATE(2025,6,1)),2,2)"),478.82)</f>
        <v>478.82</v>
      </c>
      <c r="E85" s="197">
        <f>IFERROR(__xludf.DUMMYFUNCTION("GOOGLEFINANCE(B85)"),427.65)</f>
        <v>427.65</v>
      </c>
      <c r="F85" s="198">
        <f t="shared" si="4"/>
        <v>-0.1068668811</v>
      </c>
      <c r="G85" s="199">
        <f>IFERROR(__xludf.DUMMYFUNCTION("E85/(INDEX(GOOGLEFINANCE(B85 ,""price"",DATE(2024,1,1)),2,2))-1"),-0.062417784793475484)</f>
        <v>-0.06241778479</v>
      </c>
      <c r="H85" s="196"/>
      <c r="I85" s="196"/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</row>
    <row r="86">
      <c r="F86" s="203"/>
      <c r="H86" s="196"/>
      <c r="I86" s="196"/>
      <c r="J86" s="196"/>
      <c r="K86" s="196"/>
      <c r="L86" s="196"/>
      <c r="M86" s="196"/>
      <c r="N86" s="196"/>
      <c r="O86" s="196"/>
      <c r="P86" s="196"/>
      <c r="Q86" s="196"/>
      <c r="R86" s="196"/>
      <c r="S86" s="196"/>
      <c r="T86" s="196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</row>
    <row r="87">
      <c r="F87" s="203"/>
      <c r="H87" s="196"/>
      <c r="I87" s="196"/>
      <c r="J87" s="196"/>
      <c r="K87" s="196"/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</row>
    <row r="88">
      <c r="F88" s="203"/>
      <c r="H88" s="196"/>
      <c r="I88" s="196"/>
      <c r="J88" s="196"/>
      <c r="K88" s="196"/>
      <c r="L88" s="196"/>
      <c r="M88" s="196"/>
      <c r="N88" s="196"/>
      <c r="O88" s="196"/>
      <c r="P88" s="196"/>
      <c r="Q88" s="196"/>
      <c r="R88" s="196"/>
      <c r="S88" s="196"/>
      <c r="T88" s="196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</row>
    <row r="89">
      <c r="F89" s="203"/>
      <c r="H89" s="196"/>
      <c r="I89" s="196"/>
      <c r="J89" s="196"/>
      <c r="K89" s="196"/>
      <c r="L89" s="196"/>
      <c r="M89" s="196"/>
      <c r="N89" s="196"/>
      <c r="O89" s="196"/>
      <c r="P89" s="196"/>
      <c r="Q89" s="196"/>
      <c r="R89" s="196"/>
      <c r="S89" s="196"/>
      <c r="T89" s="196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</row>
    <row r="90">
      <c r="F90" s="203"/>
      <c r="H90" s="196"/>
      <c r="I90" s="196"/>
      <c r="J90" s="196"/>
      <c r="K90" s="196"/>
      <c r="L90" s="196"/>
      <c r="M90" s="196"/>
      <c r="N90" s="196"/>
      <c r="O90" s="196"/>
      <c r="P90" s="196"/>
      <c r="Q90" s="196"/>
      <c r="R90" s="196"/>
      <c r="S90" s="196"/>
      <c r="T90" s="196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</row>
    <row r="91">
      <c r="F91" s="203"/>
      <c r="H91" s="196"/>
      <c r="I91" s="196"/>
      <c r="J91" s="196"/>
      <c r="K91" s="196"/>
      <c r="L91" s="196"/>
      <c r="M91" s="196"/>
      <c r="N91" s="196"/>
      <c r="O91" s="196"/>
      <c r="P91" s="196"/>
      <c r="Q91" s="196"/>
      <c r="R91" s="196"/>
      <c r="S91" s="196"/>
      <c r="T91" s="196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</row>
    <row r="92">
      <c r="F92" s="203"/>
      <c r="H92" s="196"/>
      <c r="I92" s="196"/>
      <c r="J92" s="196"/>
      <c r="K92" s="196"/>
      <c r="L92" s="196"/>
      <c r="M92" s="196"/>
      <c r="N92" s="196"/>
      <c r="O92" s="196"/>
      <c r="P92" s="196"/>
      <c r="Q92" s="196"/>
      <c r="R92" s="196"/>
      <c r="S92" s="196"/>
      <c r="T92" s="196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</row>
    <row r="93">
      <c r="F93" s="203"/>
      <c r="H93" s="196"/>
      <c r="I93" s="196"/>
      <c r="J93" s="196"/>
      <c r="K93" s="196"/>
      <c r="L93" s="196"/>
      <c r="M93" s="196"/>
      <c r="N93" s="196"/>
      <c r="O93" s="196"/>
      <c r="P93" s="196"/>
      <c r="Q93" s="196"/>
      <c r="R93" s="196"/>
      <c r="S93" s="196"/>
      <c r="T93" s="196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</row>
    <row r="94">
      <c r="F94" s="203"/>
      <c r="H94" s="196"/>
      <c r="I94" s="196"/>
      <c r="J94" s="196"/>
      <c r="K94" s="196"/>
      <c r="L94" s="196"/>
      <c r="M94" s="196"/>
      <c r="N94" s="196"/>
      <c r="O94" s="196"/>
      <c r="P94" s="196"/>
      <c r="Q94" s="196"/>
      <c r="R94" s="196"/>
      <c r="S94" s="196"/>
      <c r="T94" s="196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</row>
    <row r="95">
      <c r="F95" s="203"/>
      <c r="H95" s="196"/>
      <c r="I95" s="196"/>
      <c r="J95" s="196"/>
      <c r="K95" s="196"/>
      <c r="L95" s="196"/>
      <c r="M95" s="196"/>
      <c r="N95" s="196"/>
      <c r="O95" s="196"/>
      <c r="P95" s="196"/>
      <c r="Q95" s="196"/>
      <c r="R95" s="196"/>
      <c r="S95" s="196"/>
      <c r="T95" s="196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</row>
    <row r="96">
      <c r="F96" s="203"/>
      <c r="H96" s="196"/>
      <c r="I96" s="196"/>
      <c r="J96" s="196"/>
      <c r="K96" s="196"/>
      <c r="L96" s="196"/>
      <c r="M96" s="196"/>
      <c r="N96" s="196"/>
      <c r="O96" s="196"/>
      <c r="P96" s="196"/>
      <c r="Q96" s="196"/>
      <c r="R96" s="196"/>
      <c r="S96" s="196"/>
      <c r="T96" s="196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</row>
    <row r="97">
      <c r="F97" s="203"/>
      <c r="H97" s="196"/>
      <c r="I97" s="196"/>
      <c r="J97" s="196"/>
      <c r="K97" s="196"/>
      <c r="L97" s="196"/>
      <c r="M97" s="196"/>
      <c r="N97" s="196"/>
      <c r="O97" s="196"/>
      <c r="P97" s="196"/>
      <c r="Q97" s="196"/>
      <c r="R97" s="196"/>
      <c r="S97" s="196"/>
      <c r="T97" s="196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</row>
    <row r="98">
      <c r="F98" s="203"/>
      <c r="H98" s="196"/>
      <c r="I98" s="196"/>
      <c r="J98" s="196"/>
      <c r="K98" s="196"/>
      <c r="L98" s="196"/>
      <c r="M98" s="196"/>
      <c r="N98" s="196"/>
      <c r="O98" s="196"/>
      <c r="P98" s="196"/>
      <c r="Q98" s="196"/>
      <c r="R98" s="196"/>
      <c r="S98" s="196"/>
      <c r="T98" s="196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</row>
    <row r="99">
      <c r="F99" s="203"/>
      <c r="H99" s="196"/>
      <c r="I99" s="196"/>
      <c r="J99" s="196"/>
      <c r="K99" s="196"/>
      <c r="L99" s="196"/>
      <c r="M99" s="196"/>
      <c r="N99" s="196"/>
      <c r="O99" s="196"/>
      <c r="P99" s="196"/>
      <c r="Q99" s="196"/>
      <c r="R99" s="196"/>
      <c r="S99" s="196"/>
      <c r="T99" s="196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</row>
    <row r="100">
      <c r="F100" s="203"/>
      <c r="H100" s="196"/>
      <c r="I100" s="196"/>
      <c r="J100" s="196"/>
      <c r="K100" s="196"/>
      <c r="L100" s="196"/>
      <c r="M100" s="196"/>
      <c r="N100" s="196"/>
      <c r="O100" s="196"/>
      <c r="P100" s="196"/>
      <c r="Q100" s="196"/>
      <c r="R100" s="196"/>
      <c r="S100" s="196"/>
      <c r="T100" s="196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</row>
    <row r="101">
      <c r="F101" s="203"/>
      <c r="H101" s="196"/>
      <c r="I101" s="196"/>
      <c r="J101" s="196"/>
      <c r="K101" s="196"/>
      <c r="L101" s="196"/>
      <c r="M101" s="196"/>
      <c r="N101" s="196"/>
      <c r="O101" s="196"/>
      <c r="P101" s="196"/>
      <c r="Q101" s="196"/>
      <c r="R101" s="196"/>
      <c r="S101" s="196"/>
      <c r="T101" s="196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</row>
    <row r="102">
      <c r="F102" s="203"/>
      <c r="H102" s="196"/>
      <c r="I102" s="196"/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</row>
    <row r="103">
      <c r="F103" s="203"/>
      <c r="H103" s="196"/>
      <c r="I103" s="196"/>
      <c r="J103" s="196"/>
      <c r="K103" s="196"/>
      <c r="L103" s="196"/>
      <c r="M103" s="196"/>
      <c r="N103" s="196"/>
      <c r="O103" s="196"/>
      <c r="P103" s="196"/>
      <c r="Q103" s="196"/>
      <c r="R103" s="196"/>
      <c r="S103" s="196"/>
      <c r="T103" s="196"/>
      <c r="U103" s="196"/>
      <c r="V103" s="196"/>
      <c r="W103" s="196"/>
      <c r="X103" s="196"/>
      <c r="Y103" s="196"/>
      <c r="Z103" s="196"/>
      <c r="AA103" s="196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6"/>
      <c r="AM103" s="196"/>
    </row>
    <row r="104">
      <c r="F104" s="203"/>
      <c r="H104" s="196"/>
      <c r="I104" s="196"/>
      <c r="J104" s="196"/>
      <c r="K104" s="196"/>
      <c r="L104" s="196"/>
      <c r="M104" s="196"/>
      <c r="N104" s="196"/>
      <c r="O104" s="196"/>
      <c r="P104" s="196"/>
      <c r="Q104" s="196"/>
      <c r="R104" s="196"/>
      <c r="S104" s="196"/>
      <c r="T104" s="196"/>
      <c r="U104" s="196"/>
      <c r="V104" s="196"/>
      <c r="W104" s="196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6"/>
      <c r="AM104" s="196"/>
    </row>
    <row r="105">
      <c r="F105" s="203"/>
      <c r="H105" s="196"/>
      <c r="I105" s="196"/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6"/>
      <c r="X105" s="196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6"/>
      <c r="AM105" s="196"/>
    </row>
    <row r="106">
      <c r="F106" s="203"/>
      <c r="H106" s="196"/>
      <c r="I106" s="196"/>
      <c r="J106" s="196"/>
      <c r="K106" s="196"/>
      <c r="L106" s="196"/>
      <c r="M106" s="196"/>
      <c r="N106" s="196"/>
      <c r="O106" s="196"/>
      <c r="P106" s="196"/>
      <c r="Q106" s="196"/>
      <c r="R106" s="196"/>
      <c r="S106" s="196"/>
      <c r="T106" s="196"/>
      <c r="U106" s="196"/>
      <c r="V106" s="196"/>
      <c r="W106" s="196"/>
      <c r="X106" s="196"/>
      <c r="Y106" s="196"/>
      <c r="Z106" s="196"/>
      <c r="AA106" s="196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6"/>
      <c r="AM106" s="196"/>
    </row>
    <row r="107">
      <c r="F107" s="203"/>
      <c r="H107" s="196"/>
      <c r="I107" s="196"/>
      <c r="J107" s="196"/>
      <c r="K107" s="196"/>
      <c r="L107" s="196"/>
      <c r="M107" s="196"/>
      <c r="N107" s="196"/>
      <c r="O107" s="196"/>
      <c r="P107" s="196"/>
      <c r="Q107" s="196"/>
      <c r="R107" s="196"/>
      <c r="S107" s="196"/>
      <c r="T107" s="196"/>
      <c r="U107" s="196"/>
      <c r="V107" s="196"/>
      <c r="W107" s="196"/>
      <c r="X107" s="196"/>
      <c r="Y107" s="196"/>
      <c r="Z107" s="196"/>
      <c r="AA107" s="196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6"/>
      <c r="AM107" s="196"/>
    </row>
    <row r="108">
      <c r="F108" s="203"/>
      <c r="H108" s="196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6"/>
      <c r="Z108" s="196"/>
      <c r="AA108" s="196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6"/>
      <c r="AM108" s="196"/>
    </row>
    <row r="109">
      <c r="F109" s="203"/>
      <c r="H109" s="196"/>
      <c r="I109" s="196"/>
      <c r="J109" s="196"/>
      <c r="K109" s="196"/>
      <c r="L109" s="196"/>
      <c r="M109" s="196"/>
      <c r="N109" s="196"/>
      <c r="O109" s="196"/>
      <c r="P109" s="196"/>
      <c r="Q109" s="196"/>
      <c r="R109" s="196"/>
      <c r="S109" s="196"/>
      <c r="T109" s="196"/>
      <c r="U109" s="196"/>
      <c r="V109" s="196"/>
      <c r="W109" s="196"/>
      <c r="X109" s="196"/>
      <c r="Y109" s="196"/>
      <c r="Z109" s="196"/>
      <c r="AA109" s="196"/>
      <c r="AB109" s="196"/>
      <c r="AC109" s="196"/>
      <c r="AD109" s="196"/>
      <c r="AE109" s="196"/>
      <c r="AF109" s="196"/>
      <c r="AG109" s="196"/>
      <c r="AH109" s="196"/>
      <c r="AI109" s="196"/>
      <c r="AJ109" s="196"/>
      <c r="AK109" s="196"/>
      <c r="AL109" s="196"/>
      <c r="AM109" s="196"/>
    </row>
    <row r="110">
      <c r="F110" s="203"/>
      <c r="H110" s="196"/>
      <c r="I110" s="196"/>
      <c r="J110" s="196"/>
      <c r="K110" s="196"/>
      <c r="L110" s="196"/>
      <c r="M110" s="196"/>
      <c r="N110" s="196"/>
      <c r="O110" s="196"/>
      <c r="P110" s="196"/>
      <c r="Q110" s="196"/>
      <c r="R110" s="196"/>
      <c r="S110" s="196"/>
      <c r="T110" s="196"/>
      <c r="U110" s="196"/>
      <c r="V110" s="196"/>
      <c r="W110" s="196"/>
      <c r="X110" s="196"/>
      <c r="Y110" s="196"/>
      <c r="Z110" s="196"/>
      <c r="AA110" s="196"/>
      <c r="AB110" s="196"/>
      <c r="AC110" s="196"/>
      <c r="AD110" s="196"/>
      <c r="AE110" s="196"/>
      <c r="AF110" s="196"/>
      <c r="AG110" s="196"/>
      <c r="AH110" s="196"/>
      <c r="AI110" s="196"/>
      <c r="AJ110" s="196"/>
      <c r="AK110" s="196"/>
      <c r="AL110" s="196"/>
      <c r="AM110" s="196"/>
    </row>
    <row r="111">
      <c r="F111" s="203"/>
      <c r="H111" s="196"/>
      <c r="I111" s="196"/>
      <c r="J111" s="196"/>
      <c r="K111" s="196"/>
      <c r="L111" s="196"/>
      <c r="M111" s="196"/>
      <c r="N111" s="196"/>
      <c r="O111" s="196"/>
      <c r="P111" s="196"/>
      <c r="Q111" s="196"/>
      <c r="R111" s="196"/>
      <c r="S111" s="196"/>
      <c r="T111" s="196"/>
      <c r="U111" s="196"/>
      <c r="V111" s="196"/>
      <c r="W111" s="196"/>
      <c r="X111" s="196"/>
      <c r="Y111" s="196"/>
      <c r="Z111" s="196"/>
      <c r="AA111" s="196"/>
      <c r="AB111" s="196"/>
      <c r="AC111" s="196"/>
      <c r="AD111" s="196"/>
      <c r="AE111" s="196"/>
      <c r="AF111" s="196"/>
      <c r="AG111" s="196"/>
      <c r="AH111" s="196"/>
      <c r="AI111" s="196"/>
      <c r="AJ111" s="196"/>
      <c r="AK111" s="196"/>
      <c r="AL111" s="196"/>
      <c r="AM111" s="196"/>
    </row>
    <row r="112">
      <c r="F112" s="203"/>
      <c r="H112" s="196"/>
      <c r="I112" s="196"/>
      <c r="J112" s="196"/>
      <c r="K112" s="196"/>
      <c r="L112" s="196"/>
      <c r="M112" s="196"/>
      <c r="N112" s="196"/>
      <c r="O112" s="196"/>
      <c r="P112" s="196"/>
      <c r="Q112" s="196"/>
      <c r="R112" s="196"/>
      <c r="S112" s="196"/>
      <c r="T112" s="196"/>
      <c r="U112" s="196"/>
      <c r="V112" s="196"/>
      <c r="W112" s="196"/>
      <c r="X112" s="196"/>
      <c r="Y112" s="196"/>
      <c r="Z112" s="196"/>
      <c r="AA112" s="196"/>
      <c r="AB112" s="196"/>
      <c r="AC112" s="196"/>
      <c r="AD112" s="196"/>
      <c r="AE112" s="196"/>
      <c r="AF112" s="196"/>
      <c r="AG112" s="196"/>
      <c r="AH112" s="196"/>
      <c r="AI112" s="196"/>
      <c r="AJ112" s="196"/>
      <c r="AK112" s="196"/>
      <c r="AL112" s="196"/>
      <c r="AM112" s="196"/>
    </row>
    <row r="113">
      <c r="F113" s="203"/>
      <c r="H113" s="196"/>
      <c r="I113" s="196"/>
      <c r="J113" s="196"/>
      <c r="K113" s="196"/>
      <c r="L113" s="196"/>
      <c r="M113" s="196"/>
      <c r="N113" s="196"/>
      <c r="O113" s="196"/>
      <c r="P113" s="196"/>
      <c r="Q113" s="196"/>
      <c r="R113" s="196"/>
      <c r="S113" s="196"/>
      <c r="T113" s="196"/>
      <c r="U113" s="196"/>
      <c r="V113" s="196"/>
      <c r="W113" s="196"/>
      <c r="X113" s="196"/>
      <c r="Y113" s="196"/>
      <c r="Z113" s="196"/>
      <c r="AA113" s="196"/>
      <c r="AB113" s="196"/>
      <c r="AC113" s="196"/>
      <c r="AD113" s="196"/>
      <c r="AE113" s="196"/>
      <c r="AF113" s="196"/>
      <c r="AG113" s="196"/>
      <c r="AH113" s="196"/>
      <c r="AI113" s="196"/>
      <c r="AJ113" s="196"/>
      <c r="AK113" s="196"/>
      <c r="AL113" s="196"/>
      <c r="AM113" s="196"/>
    </row>
    <row r="114">
      <c r="F114" s="203"/>
      <c r="H114" s="196"/>
      <c r="I114" s="196"/>
      <c r="J114" s="196"/>
      <c r="K114" s="196"/>
      <c r="L114" s="196"/>
      <c r="M114" s="196"/>
      <c r="N114" s="196"/>
      <c r="O114" s="196"/>
      <c r="P114" s="196"/>
      <c r="Q114" s="196"/>
      <c r="R114" s="196"/>
      <c r="S114" s="196"/>
      <c r="T114" s="196"/>
      <c r="U114" s="196"/>
      <c r="V114" s="196"/>
      <c r="W114" s="196"/>
      <c r="X114" s="196"/>
      <c r="Y114" s="196"/>
      <c r="Z114" s="196"/>
      <c r="AA114" s="196"/>
      <c r="AB114" s="196"/>
      <c r="AC114" s="196"/>
      <c r="AD114" s="196"/>
      <c r="AE114" s="196"/>
      <c r="AF114" s="196"/>
      <c r="AG114" s="196"/>
      <c r="AH114" s="196"/>
      <c r="AI114" s="196"/>
      <c r="AJ114" s="196"/>
      <c r="AK114" s="196"/>
      <c r="AL114" s="196"/>
      <c r="AM114" s="196"/>
    </row>
    <row r="115">
      <c r="F115" s="203"/>
      <c r="H115" s="196"/>
      <c r="I115" s="196"/>
      <c r="J115" s="196"/>
      <c r="K115" s="196"/>
      <c r="L115" s="196"/>
      <c r="M115" s="196"/>
      <c r="N115" s="196"/>
      <c r="O115" s="196"/>
      <c r="P115" s="196"/>
      <c r="Q115" s="196"/>
      <c r="R115" s="196"/>
      <c r="S115" s="196"/>
      <c r="T115" s="196"/>
      <c r="U115" s="196"/>
      <c r="V115" s="196"/>
      <c r="W115" s="196"/>
      <c r="X115" s="196"/>
      <c r="Y115" s="196"/>
      <c r="Z115" s="196"/>
      <c r="AA115" s="196"/>
      <c r="AB115" s="196"/>
      <c r="AC115" s="196"/>
      <c r="AD115" s="196"/>
      <c r="AE115" s="196"/>
      <c r="AF115" s="196"/>
      <c r="AG115" s="196"/>
      <c r="AH115" s="196"/>
      <c r="AI115" s="196"/>
      <c r="AJ115" s="196"/>
      <c r="AK115" s="196"/>
      <c r="AL115" s="196"/>
      <c r="AM115" s="196"/>
    </row>
    <row r="116">
      <c r="F116" s="203"/>
      <c r="H116" s="196"/>
      <c r="I116" s="196"/>
      <c r="J116" s="196"/>
      <c r="K116" s="196"/>
      <c r="L116" s="196"/>
      <c r="M116" s="196"/>
      <c r="N116" s="196"/>
      <c r="O116" s="196"/>
      <c r="P116" s="196"/>
      <c r="Q116" s="196"/>
      <c r="R116" s="196"/>
      <c r="S116" s="196"/>
      <c r="T116" s="196"/>
      <c r="U116" s="196"/>
      <c r="V116" s="196"/>
      <c r="W116" s="196"/>
      <c r="X116" s="196"/>
      <c r="Y116" s="196"/>
      <c r="Z116" s="196"/>
      <c r="AA116" s="196"/>
      <c r="AB116" s="196"/>
      <c r="AC116" s="196"/>
      <c r="AD116" s="196"/>
      <c r="AE116" s="196"/>
      <c r="AF116" s="196"/>
      <c r="AG116" s="196"/>
      <c r="AH116" s="196"/>
      <c r="AI116" s="196"/>
      <c r="AJ116" s="196"/>
      <c r="AK116" s="196"/>
      <c r="AL116" s="196"/>
      <c r="AM116" s="196"/>
    </row>
    <row r="117">
      <c r="F117" s="203"/>
      <c r="H117" s="196"/>
      <c r="I117" s="196"/>
      <c r="J117" s="196"/>
      <c r="K117" s="196"/>
      <c r="L117" s="196"/>
      <c r="M117" s="196"/>
      <c r="N117" s="196"/>
      <c r="O117" s="196"/>
      <c r="P117" s="196"/>
      <c r="Q117" s="196"/>
      <c r="R117" s="196"/>
      <c r="S117" s="196"/>
      <c r="T117" s="196"/>
      <c r="U117" s="196"/>
      <c r="V117" s="196"/>
      <c r="W117" s="196"/>
      <c r="X117" s="196"/>
      <c r="Y117" s="196"/>
      <c r="Z117" s="196"/>
      <c r="AA117" s="196"/>
      <c r="AB117" s="196"/>
      <c r="AC117" s="196"/>
      <c r="AD117" s="196"/>
      <c r="AE117" s="196"/>
      <c r="AF117" s="196"/>
      <c r="AG117" s="196"/>
      <c r="AH117" s="196"/>
      <c r="AI117" s="196"/>
      <c r="AJ117" s="196"/>
      <c r="AK117" s="196"/>
      <c r="AL117" s="196"/>
      <c r="AM117" s="196"/>
    </row>
    <row r="118">
      <c r="F118" s="203"/>
      <c r="H118" s="196"/>
      <c r="I118" s="196"/>
      <c r="J118" s="196"/>
      <c r="K118" s="196"/>
      <c r="L118" s="196"/>
      <c r="M118" s="196"/>
      <c r="N118" s="196"/>
      <c r="O118" s="196"/>
      <c r="P118" s="196"/>
      <c r="Q118" s="196"/>
      <c r="R118" s="196"/>
      <c r="S118" s="196"/>
      <c r="T118" s="196"/>
      <c r="U118" s="196"/>
      <c r="V118" s="196"/>
      <c r="W118" s="196"/>
      <c r="X118" s="196"/>
      <c r="Y118" s="196"/>
      <c r="Z118" s="196"/>
      <c r="AA118" s="196"/>
      <c r="AB118" s="196"/>
      <c r="AC118" s="196"/>
      <c r="AD118" s="196"/>
      <c r="AE118" s="196"/>
      <c r="AF118" s="196"/>
      <c r="AG118" s="196"/>
      <c r="AH118" s="196"/>
      <c r="AI118" s="196"/>
      <c r="AJ118" s="196"/>
      <c r="AK118" s="196"/>
      <c r="AL118" s="196"/>
      <c r="AM118" s="196"/>
    </row>
    <row r="119">
      <c r="F119" s="203"/>
      <c r="H119" s="196"/>
      <c r="I119" s="196"/>
      <c r="J119" s="196"/>
      <c r="K119" s="196"/>
      <c r="L119" s="196"/>
      <c r="M119" s="196"/>
      <c r="N119" s="196"/>
      <c r="O119" s="196"/>
      <c r="P119" s="196"/>
      <c r="Q119" s="196"/>
      <c r="R119" s="196"/>
      <c r="S119" s="196"/>
      <c r="T119" s="196"/>
      <c r="U119" s="196"/>
      <c r="V119" s="196"/>
      <c r="W119" s="196"/>
      <c r="X119" s="196"/>
      <c r="Y119" s="196"/>
      <c r="Z119" s="196"/>
      <c r="AA119" s="196"/>
      <c r="AB119" s="196"/>
      <c r="AC119" s="196"/>
      <c r="AD119" s="196"/>
      <c r="AE119" s="196"/>
      <c r="AF119" s="196"/>
      <c r="AG119" s="196"/>
      <c r="AH119" s="196"/>
      <c r="AI119" s="196"/>
      <c r="AJ119" s="196"/>
      <c r="AK119" s="196"/>
      <c r="AL119" s="196"/>
      <c r="AM119" s="196"/>
    </row>
    <row r="120">
      <c r="F120" s="203"/>
      <c r="H120" s="196"/>
      <c r="I120" s="196"/>
      <c r="J120" s="196"/>
      <c r="K120" s="196"/>
      <c r="L120" s="196"/>
      <c r="M120" s="196"/>
      <c r="N120" s="196"/>
      <c r="O120" s="196"/>
      <c r="P120" s="196"/>
      <c r="Q120" s="196"/>
      <c r="R120" s="196"/>
      <c r="S120" s="196"/>
      <c r="T120" s="196"/>
      <c r="U120" s="196"/>
      <c r="V120" s="196"/>
      <c r="W120" s="196"/>
      <c r="X120" s="196"/>
      <c r="Y120" s="196"/>
      <c r="Z120" s="196"/>
      <c r="AA120" s="196"/>
      <c r="AB120" s="196"/>
      <c r="AC120" s="196"/>
      <c r="AD120" s="196"/>
      <c r="AE120" s="196"/>
      <c r="AF120" s="196"/>
      <c r="AG120" s="196"/>
      <c r="AH120" s="196"/>
      <c r="AI120" s="196"/>
      <c r="AJ120" s="196"/>
      <c r="AK120" s="196"/>
      <c r="AL120" s="196"/>
      <c r="AM120" s="196"/>
    </row>
    <row r="121">
      <c r="F121" s="203"/>
      <c r="H121" s="196"/>
      <c r="I121" s="196"/>
      <c r="J121" s="196"/>
      <c r="K121" s="196"/>
      <c r="L121" s="196"/>
      <c r="M121" s="196"/>
      <c r="N121" s="196"/>
      <c r="O121" s="196"/>
      <c r="P121" s="196"/>
      <c r="Q121" s="196"/>
      <c r="R121" s="196"/>
      <c r="S121" s="196"/>
      <c r="T121" s="196"/>
      <c r="U121" s="196"/>
      <c r="V121" s="196"/>
      <c r="W121" s="196"/>
      <c r="X121" s="196"/>
      <c r="Y121" s="196"/>
      <c r="Z121" s="196"/>
      <c r="AA121" s="196"/>
      <c r="AB121" s="196"/>
      <c r="AC121" s="196"/>
      <c r="AD121" s="196"/>
      <c r="AE121" s="196"/>
      <c r="AF121" s="196"/>
      <c r="AG121" s="196"/>
      <c r="AH121" s="196"/>
      <c r="AI121" s="196"/>
      <c r="AJ121" s="196"/>
      <c r="AK121" s="196"/>
      <c r="AL121" s="196"/>
      <c r="AM121" s="196"/>
    </row>
    <row r="122">
      <c r="F122" s="203"/>
      <c r="H122" s="196"/>
      <c r="I122" s="196"/>
      <c r="J122" s="196"/>
      <c r="K122" s="196"/>
      <c r="L122" s="196"/>
      <c r="M122" s="196"/>
      <c r="N122" s="196"/>
      <c r="O122" s="196"/>
      <c r="P122" s="196"/>
      <c r="Q122" s="196"/>
      <c r="R122" s="196"/>
      <c r="S122" s="196"/>
      <c r="T122" s="196"/>
      <c r="U122" s="196"/>
      <c r="V122" s="196"/>
      <c r="W122" s="196"/>
      <c r="X122" s="196"/>
      <c r="Y122" s="196"/>
      <c r="Z122" s="196"/>
      <c r="AA122" s="196"/>
      <c r="AB122" s="196"/>
      <c r="AC122" s="196"/>
      <c r="AD122" s="196"/>
      <c r="AE122" s="196"/>
      <c r="AF122" s="196"/>
      <c r="AG122" s="196"/>
      <c r="AH122" s="196"/>
      <c r="AI122" s="196"/>
      <c r="AJ122" s="196"/>
      <c r="AK122" s="196"/>
      <c r="AL122" s="196"/>
      <c r="AM122" s="196"/>
    </row>
    <row r="123">
      <c r="F123" s="203"/>
      <c r="H123" s="196"/>
      <c r="I123" s="196"/>
      <c r="J123" s="196"/>
      <c r="K123" s="196"/>
      <c r="L123" s="196"/>
      <c r="M123" s="196"/>
      <c r="N123" s="196"/>
      <c r="O123" s="196"/>
      <c r="P123" s="196"/>
      <c r="Q123" s="196"/>
      <c r="R123" s="196"/>
      <c r="S123" s="196"/>
      <c r="T123" s="196"/>
      <c r="U123" s="196"/>
      <c r="V123" s="196"/>
      <c r="W123" s="196"/>
      <c r="X123" s="196"/>
      <c r="Y123" s="196"/>
      <c r="Z123" s="196"/>
      <c r="AA123" s="196"/>
      <c r="AB123" s="196"/>
      <c r="AC123" s="196"/>
      <c r="AD123" s="196"/>
      <c r="AE123" s="196"/>
      <c r="AF123" s="196"/>
      <c r="AG123" s="196"/>
      <c r="AH123" s="196"/>
      <c r="AI123" s="196"/>
      <c r="AJ123" s="196"/>
      <c r="AK123" s="196"/>
      <c r="AL123" s="196"/>
      <c r="AM123" s="196"/>
    </row>
    <row r="124">
      <c r="F124" s="203"/>
      <c r="H124" s="196"/>
      <c r="I124" s="196"/>
      <c r="J124" s="196"/>
      <c r="K124" s="196"/>
      <c r="L124" s="196"/>
      <c r="M124" s="196"/>
      <c r="N124" s="196"/>
      <c r="O124" s="196"/>
      <c r="P124" s="196"/>
      <c r="Q124" s="196"/>
      <c r="R124" s="196"/>
      <c r="S124" s="196"/>
      <c r="T124" s="196"/>
      <c r="U124" s="196"/>
      <c r="V124" s="196"/>
      <c r="W124" s="196"/>
      <c r="X124" s="196"/>
      <c r="Y124" s="196"/>
      <c r="Z124" s="196"/>
      <c r="AA124" s="196"/>
      <c r="AB124" s="196"/>
      <c r="AC124" s="196"/>
      <c r="AD124" s="196"/>
      <c r="AE124" s="196"/>
      <c r="AF124" s="196"/>
      <c r="AG124" s="196"/>
      <c r="AH124" s="196"/>
      <c r="AI124" s="196"/>
      <c r="AJ124" s="196"/>
      <c r="AK124" s="196"/>
      <c r="AL124" s="196"/>
      <c r="AM124" s="196"/>
    </row>
    <row r="125">
      <c r="F125" s="203"/>
      <c r="H125" s="196"/>
      <c r="I125" s="196"/>
      <c r="J125" s="196"/>
      <c r="K125" s="196"/>
      <c r="L125" s="196"/>
      <c r="M125" s="196"/>
      <c r="N125" s="196"/>
      <c r="O125" s="196"/>
      <c r="P125" s="196"/>
      <c r="Q125" s="196"/>
      <c r="R125" s="196"/>
      <c r="S125" s="196"/>
      <c r="T125" s="196"/>
      <c r="U125" s="196"/>
      <c r="V125" s="196"/>
      <c r="W125" s="196"/>
      <c r="X125" s="196"/>
      <c r="Y125" s="196"/>
      <c r="Z125" s="196"/>
      <c r="AA125" s="196"/>
      <c r="AB125" s="196"/>
      <c r="AC125" s="196"/>
      <c r="AD125" s="196"/>
      <c r="AE125" s="196"/>
      <c r="AF125" s="196"/>
      <c r="AG125" s="196"/>
      <c r="AH125" s="196"/>
      <c r="AI125" s="196"/>
      <c r="AJ125" s="196"/>
      <c r="AK125" s="196"/>
      <c r="AL125" s="196"/>
      <c r="AM125" s="196"/>
    </row>
    <row r="126">
      <c r="F126" s="203"/>
      <c r="H126" s="196"/>
      <c r="I126" s="196"/>
      <c r="J126" s="196"/>
      <c r="K126" s="196"/>
      <c r="L126" s="196"/>
      <c r="M126" s="196"/>
      <c r="N126" s="196"/>
      <c r="O126" s="196"/>
      <c r="P126" s="196"/>
      <c r="Q126" s="196"/>
      <c r="R126" s="196"/>
      <c r="S126" s="196"/>
      <c r="T126" s="196"/>
      <c r="U126" s="196"/>
      <c r="V126" s="196"/>
      <c r="W126" s="196"/>
      <c r="X126" s="196"/>
      <c r="Y126" s="196"/>
      <c r="Z126" s="196"/>
      <c r="AA126" s="196"/>
      <c r="AB126" s="196"/>
      <c r="AC126" s="196"/>
      <c r="AD126" s="196"/>
      <c r="AE126" s="196"/>
      <c r="AF126" s="196"/>
      <c r="AG126" s="196"/>
      <c r="AH126" s="196"/>
      <c r="AI126" s="196"/>
      <c r="AJ126" s="196"/>
      <c r="AK126" s="196"/>
      <c r="AL126" s="196"/>
      <c r="AM126" s="196"/>
    </row>
    <row r="127">
      <c r="F127" s="203"/>
      <c r="H127" s="196"/>
      <c r="I127" s="196"/>
      <c r="J127" s="196"/>
      <c r="K127" s="196"/>
      <c r="L127" s="196"/>
      <c r="M127" s="196"/>
      <c r="N127" s="196"/>
      <c r="O127" s="196"/>
      <c r="P127" s="196"/>
      <c r="Q127" s="196"/>
      <c r="R127" s="196"/>
      <c r="S127" s="196"/>
      <c r="T127" s="196"/>
      <c r="U127" s="196"/>
      <c r="V127" s="196"/>
      <c r="W127" s="196"/>
      <c r="X127" s="196"/>
      <c r="Y127" s="196"/>
      <c r="Z127" s="196"/>
      <c r="AA127" s="196"/>
      <c r="AB127" s="196"/>
      <c r="AC127" s="196"/>
      <c r="AD127" s="196"/>
      <c r="AE127" s="196"/>
      <c r="AF127" s="196"/>
      <c r="AG127" s="196"/>
      <c r="AH127" s="196"/>
      <c r="AI127" s="196"/>
      <c r="AJ127" s="196"/>
      <c r="AK127" s="196"/>
      <c r="AL127" s="196"/>
      <c r="AM127" s="196"/>
    </row>
    <row r="128">
      <c r="F128" s="203"/>
      <c r="H128" s="196"/>
      <c r="I128" s="196"/>
      <c r="J128" s="196"/>
      <c r="K128" s="196"/>
      <c r="L128" s="196"/>
      <c r="M128" s="196"/>
      <c r="N128" s="196"/>
      <c r="O128" s="196"/>
      <c r="P128" s="196"/>
      <c r="Q128" s="196"/>
      <c r="R128" s="196"/>
      <c r="S128" s="196"/>
      <c r="T128" s="196"/>
      <c r="U128" s="196"/>
      <c r="V128" s="196"/>
      <c r="W128" s="196"/>
      <c r="X128" s="196"/>
      <c r="Y128" s="196"/>
      <c r="Z128" s="196"/>
      <c r="AA128" s="196"/>
      <c r="AB128" s="196"/>
      <c r="AC128" s="196"/>
      <c r="AD128" s="196"/>
      <c r="AE128" s="196"/>
      <c r="AF128" s="196"/>
      <c r="AG128" s="196"/>
      <c r="AH128" s="196"/>
      <c r="AI128" s="196"/>
      <c r="AJ128" s="196"/>
      <c r="AK128" s="196"/>
      <c r="AL128" s="196"/>
      <c r="AM128" s="196"/>
    </row>
    <row r="129">
      <c r="F129" s="203"/>
      <c r="H129" s="196"/>
      <c r="I129" s="196"/>
      <c r="J129" s="196"/>
      <c r="K129" s="196"/>
      <c r="L129" s="196"/>
      <c r="M129" s="196"/>
      <c r="N129" s="196"/>
      <c r="O129" s="196"/>
      <c r="P129" s="196"/>
      <c r="Q129" s="196"/>
      <c r="R129" s="196"/>
      <c r="S129" s="196"/>
      <c r="T129" s="196"/>
      <c r="U129" s="196"/>
      <c r="V129" s="196"/>
      <c r="W129" s="196"/>
      <c r="X129" s="196"/>
      <c r="Y129" s="196"/>
      <c r="Z129" s="196"/>
      <c r="AA129" s="196"/>
      <c r="AB129" s="196"/>
      <c r="AC129" s="196"/>
      <c r="AD129" s="196"/>
      <c r="AE129" s="196"/>
      <c r="AF129" s="196"/>
      <c r="AG129" s="196"/>
      <c r="AH129" s="196"/>
      <c r="AI129" s="196"/>
      <c r="AJ129" s="196"/>
      <c r="AK129" s="196"/>
      <c r="AL129" s="196"/>
      <c r="AM129" s="196"/>
    </row>
    <row r="130">
      <c r="F130" s="203"/>
      <c r="H130" s="196"/>
      <c r="I130" s="196"/>
      <c r="J130" s="196"/>
      <c r="K130" s="196"/>
      <c r="L130" s="196"/>
      <c r="M130" s="196"/>
      <c r="N130" s="196"/>
      <c r="O130" s="196"/>
      <c r="P130" s="196"/>
      <c r="Q130" s="196"/>
      <c r="R130" s="196"/>
      <c r="S130" s="196"/>
      <c r="T130" s="196"/>
      <c r="U130" s="196"/>
      <c r="V130" s="196"/>
      <c r="W130" s="196"/>
      <c r="X130" s="196"/>
      <c r="Y130" s="196"/>
      <c r="Z130" s="196"/>
      <c r="AA130" s="196"/>
      <c r="AB130" s="196"/>
      <c r="AC130" s="196"/>
      <c r="AD130" s="196"/>
      <c r="AE130" s="196"/>
      <c r="AF130" s="196"/>
      <c r="AG130" s="196"/>
      <c r="AH130" s="196"/>
      <c r="AI130" s="196"/>
      <c r="AJ130" s="196"/>
      <c r="AK130" s="196"/>
      <c r="AL130" s="196"/>
      <c r="AM130" s="196"/>
    </row>
    <row r="131">
      <c r="F131" s="203"/>
      <c r="H131" s="196"/>
      <c r="I131" s="196"/>
      <c r="J131" s="196"/>
      <c r="K131" s="196"/>
      <c r="L131" s="196"/>
      <c r="M131" s="196"/>
      <c r="N131" s="196"/>
      <c r="O131" s="196"/>
      <c r="P131" s="196"/>
      <c r="Q131" s="196"/>
      <c r="R131" s="196"/>
      <c r="S131" s="196"/>
      <c r="T131" s="196"/>
      <c r="U131" s="196"/>
      <c r="V131" s="196"/>
      <c r="W131" s="196"/>
      <c r="X131" s="196"/>
      <c r="Y131" s="196"/>
      <c r="Z131" s="196"/>
      <c r="AA131" s="196"/>
      <c r="AB131" s="196"/>
      <c r="AC131" s="196"/>
      <c r="AD131" s="196"/>
      <c r="AE131" s="196"/>
      <c r="AF131" s="196"/>
      <c r="AG131" s="196"/>
      <c r="AH131" s="196"/>
      <c r="AI131" s="196"/>
      <c r="AJ131" s="196"/>
      <c r="AK131" s="196"/>
      <c r="AL131" s="196"/>
      <c r="AM131" s="196"/>
    </row>
    <row r="132">
      <c r="F132" s="203"/>
      <c r="H132" s="196"/>
      <c r="I132" s="196"/>
      <c r="J132" s="196"/>
      <c r="K132" s="196"/>
      <c r="L132" s="196"/>
      <c r="M132" s="196"/>
      <c r="N132" s="196"/>
      <c r="O132" s="196"/>
      <c r="P132" s="196"/>
      <c r="Q132" s="196"/>
      <c r="R132" s="196"/>
      <c r="S132" s="196"/>
      <c r="T132" s="196"/>
      <c r="U132" s="196"/>
      <c r="V132" s="196"/>
      <c r="W132" s="196"/>
      <c r="X132" s="196"/>
      <c r="Y132" s="196"/>
      <c r="Z132" s="196"/>
      <c r="AA132" s="196"/>
      <c r="AB132" s="196"/>
      <c r="AC132" s="196"/>
      <c r="AD132" s="196"/>
      <c r="AE132" s="196"/>
      <c r="AF132" s="196"/>
      <c r="AG132" s="196"/>
      <c r="AH132" s="196"/>
      <c r="AI132" s="196"/>
      <c r="AJ132" s="196"/>
      <c r="AK132" s="196"/>
      <c r="AL132" s="196"/>
      <c r="AM132" s="196"/>
    </row>
    <row r="133">
      <c r="F133" s="203"/>
      <c r="H133" s="196"/>
      <c r="I133" s="196"/>
      <c r="J133" s="196"/>
      <c r="K133" s="196"/>
      <c r="L133" s="196"/>
      <c r="M133" s="196"/>
      <c r="N133" s="196"/>
      <c r="O133" s="196"/>
      <c r="P133" s="196"/>
      <c r="Q133" s="196"/>
      <c r="R133" s="196"/>
      <c r="S133" s="196"/>
      <c r="T133" s="196"/>
      <c r="U133" s="196"/>
      <c r="V133" s="196"/>
      <c r="W133" s="196"/>
      <c r="X133" s="196"/>
      <c r="Y133" s="196"/>
      <c r="Z133" s="196"/>
      <c r="AA133" s="196"/>
      <c r="AB133" s="196"/>
      <c r="AC133" s="196"/>
      <c r="AD133" s="196"/>
      <c r="AE133" s="196"/>
      <c r="AF133" s="196"/>
      <c r="AG133" s="196"/>
      <c r="AH133" s="196"/>
      <c r="AI133" s="196"/>
      <c r="AJ133" s="196"/>
      <c r="AK133" s="196"/>
      <c r="AL133" s="196"/>
      <c r="AM133" s="196"/>
    </row>
    <row r="134">
      <c r="F134" s="203"/>
      <c r="H134" s="196"/>
      <c r="I134" s="196"/>
      <c r="J134" s="196"/>
      <c r="K134" s="196"/>
      <c r="L134" s="196"/>
      <c r="M134" s="196"/>
      <c r="N134" s="196"/>
      <c r="O134" s="196"/>
      <c r="P134" s="196"/>
      <c r="Q134" s="196"/>
      <c r="R134" s="196"/>
      <c r="S134" s="196"/>
      <c r="T134" s="196"/>
      <c r="U134" s="196"/>
      <c r="V134" s="196"/>
      <c r="W134" s="196"/>
      <c r="X134" s="196"/>
      <c r="Y134" s="196"/>
      <c r="Z134" s="196"/>
      <c r="AA134" s="196"/>
      <c r="AB134" s="196"/>
      <c r="AC134" s="196"/>
      <c r="AD134" s="196"/>
      <c r="AE134" s="196"/>
      <c r="AF134" s="196"/>
      <c r="AG134" s="196"/>
      <c r="AH134" s="196"/>
      <c r="AI134" s="196"/>
      <c r="AJ134" s="196"/>
      <c r="AK134" s="196"/>
      <c r="AL134" s="196"/>
      <c r="AM134" s="196"/>
    </row>
    <row r="135">
      <c r="F135" s="203"/>
      <c r="H135" s="196"/>
      <c r="I135" s="196"/>
      <c r="J135" s="196"/>
      <c r="K135" s="196"/>
      <c r="L135" s="196"/>
      <c r="M135" s="196"/>
      <c r="N135" s="196"/>
      <c r="O135" s="196"/>
      <c r="P135" s="196"/>
      <c r="Q135" s="196"/>
      <c r="R135" s="196"/>
      <c r="S135" s="196"/>
      <c r="T135" s="196"/>
      <c r="U135" s="196"/>
      <c r="V135" s="196"/>
      <c r="W135" s="196"/>
      <c r="X135" s="196"/>
      <c r="Y135" s="196"/>
      <c r="Z135" s="196"/>
      <c r="AA135" s="196"/>
      <c r="AB135" s="196"/>
      <c r="AC135" s="196"/>
      <c r="AD135" s="196"/>
      <c r="AE135" s="196"/>
      <c r="AF135" s="196"/>
      <c r="AG135" s="196"/>
      <c r="AH135" s="196"/>
      <c r="AI135" s="196"/>
      <c r="AJ135" s="196"/>
      <c r="AK135" s="196"/>
      <c r="AL135" s="196"/>
      <c r="AM135" s="196"/>
    </row>
    <row r="136">
      <c r="F136" s="203"/>
      <c r="H136" s="196"/>
      <c r="I136" s="196"/>
      <c r="J136" s="196"/>
      <c r="K136" s="196"/>
      <c r="L136" s="196"/>
      <c r="M136" s="196"/>
      <c r="N136" s="196"/>
      <c r="O136" s="196"/>
      <c r="P136" s="196"/>
      <c r="Q136" s="196"/>
      <c r="R136" s="196"/>
      <c r="S136" s="196"/>
      <c r="T136" s="196"/>
      <c r="U136" s="196"/>
      <c r="V136" s="196"/>
      <c r="W136" s="196"/>
      <c r="X136" s="196"/>
      <c r="Y136" s="196"/>
      <c r="Z136" s="196"/>
      <c r="AA136" s="196"/>
      <c r="AB136" s="196"/>
      <c r="AC136" s="196"/>
      <c r="AD136" s="196"/>
      <c r="AE136" s="196"/>
      <c r="AF136" s="196"/>
      <c r="AG136" s="196"/>
      <c r="AH136" s="196"/>
      <c r="AI136" s="196"/>
      <c r="AJ136" s="196"/>
      <c r="AK136" s="196"/>
      <c r="AL136" s="196"/>
      <c r="AM136" s="196"/>
    </row>
    <row r="137">
      <c r="F137" s="203"/>
      <c r="H137" s="196"/>
      <c r="I137" s="196"/>
      <c r="J137" s="196"/>
      <c r="K137" s="196"/>
      <c r="L137" s="196"/>
      <c r="M137" s="196"/>
      <c r="N137" s="196"/>
      <c r="O137" s="196"/>
      <c r="P137" s="196"/>
      <c r="Q137" s="196"/>
      <c r="R137" s="196"/>
      <c r="S137" s="196"/>
      <c r="T137" s="196"/>
      <c r="U137" s="196"/>
      <c r="V137" s="196"/>
      <c r="W137" s="196"/>
      <c r="X137" s="196"/>
      <c r="Y137" s="196"/>
      <c r="Z137" s="196"/>
      <c r="AA137" s="196"/>
      <c r="AB137" s="196"/>
      <c r="AC137" s="196"/>
      <c r="AD137" s="196"/>
      <c r="AE137" s="196"/>
      <c r="AF137" s="196"/>
      <c r="AG137" s="196"/>
      <c r="AH137" s="196"/>
      <c r="AI137" s="196"/>
      <c r="AJ137" s="196"/>
      <c r="AK137" s="196"/>
      <c r="AL137" s="196"/>
      <c r="AM137" s="196"/>
    </row>
    <row r="138">
      <c r="F138" s="203"/>
      <c r="H138" s="196"/>
      <c r="I138" s="196"/>
      <c r="J138" s="196"/>
      <c r="K138" s="196"/>
      <c r="L138" s="196"/>
      <c r="M138" s="196"/>
      <c r="N138" s="196"/>
      <c r="O138" s="196"/>
      <c r="P138" s="196"/>
      <c r="Q138" s="196"/>
      <c r="R138" s="196"/>
      <c r="S138" s="196"/>
      <c r="T138" s="196"/>
      <c r="U138" s="196"/>
      <c r="V138" s="196"/>
      <c r="W138" s="196"/>
      <c r="X138" s="196"/>
      <c r="Y138" s="196"/>
      <c r="Z138" s="196"/>
      <c r="AA138" s="196"/>
      <c r="AB138" s="196"/>
      <c r="AC138" s="196"/>
      <c r="AD138" s="196"/>
      <c r="AE138" s="196"/>
      <c r="AF138" s="196"/>
      <c r="AG138" s="196"/>
      <c r="AH138" s="196"/>
      <c r="AI138" s="196"/>
      <c r="AJ138" s="196"/>
      <c r="AK138" s="196"/>
      <c r="AL138" s="196"/>
      <c r="AM138" s="196"/>
    </row>
    <row r="139">
      <c r="F139" s="203"/>
      <c r="H139" s="196"/>
      <c r="I139" s="196"/>
      <c r="J139" s="196"/>
      <c r="K139" s="196"/>
      <c r="L139" s="196"/>
      <c r="M139" s="196"/>
      <c r="N139" s="196"/>
      <c r="O139" s="196"/>
      <c r="P139" s="196"/>
      <c r="Q139" s="196"/>
      <c r="R139" s="196"/>
      <c r="S139" s="196"/>
      <c r="T139" s="196"/>
      <c r="U139" s="196"/>
      <c r="V139" s="196"/>
      <c r="W139" s="196"/>
      <c r="X139" s="196"/>
      <c r="Y139" s="196"/>
      <c r="Z139" s="196"/>
      <c r="AA139" s="196"/>
      <c r="AB139" s="196"/>
      <c r="AC139" s="196"/>
      <c r="AD139" s="196"/>
      <c r="AE139" s="196"/>
      <c r="AF139" s="196"/>
      <c r="AG139" s="196"/>
      <c r="AH139" s="196"/>
      <c r="AI139" s="196"/>
      <c r="AJ139" s="196"/>
      <c r="AK139" s="196"/>
      <c r="AL139" s="196"/>
      <c r="AM139" s="196"/>
    </row>
    <row r="140">
      <c r="F140" s="203"/>
      <c r="H140" s="196"/>
      <c r="I140" s="196"/>
      <c r="J140" s="196"/>
      <c r="K140" s="196"/>
      <c r="L140" s="196"/>
      <c r="M140" s="196"/>
      <c r="N140" s="196"/>
      <c r="O140" s="196"/>
      <c r="P140" s="196"/>
      <c r="Q140" s="196"/>
      <c r="R140" s="196"/>
      <c r="S140" s="196"/>
      <c r="T140" s="196"/>
      <c r="U140" s="196"/>
      <c r="V140" s="196"/>
      <c r="W140" s="196"/>
      <c r="X140" s="196"/>
      <c r="Y140" s="196"/>
      <c r="Z140" s="196"/>
      <c r="AA140" s="196"/>
      <c r="AB140" s="196"/>
      <c r="AC140" s="196"/>
      <c r="AD140" s="196"/>
      <c r="AE140" s="196"/>
      <c r="AF140" s="196"/>
      <c r="AG140" s="196"/>
      <c r="AH140" s="196"/>
      <c r="AI140" s="196"/>
      <c r="AJ140" s="196"/>
      <c r="AK140" s="196"/>
      <c r="AL140" s="196"/>
      <c r="AM140" s="196"/>
    </row>
    <row r="141">
      <c r="F141" s="203"/>
      <c r="H141" s="196"/>
      <c r="I141" s="196"/>
      <c r="J141" s="196"/>
      <c r="K141" s="196"/>
      <c r="L141" s="196"/>
      <c r="M141" s="196"/>
      <c r="N141" s="196"/>
      <c r="O141" s="196"/>
      <c r="P141" s="196"/>
      <c r="Q141" s="196"/>
      <c r="R141" s="196"/>
      <c r="S141" s="196"/>
      <c r="T141" s="196"/>
      <c r="U141" s="196"/>
      <c r="V141" s="196"/>
      <c r="W141" s="196"/>
      <c r="X141" s="196"/>
      <c r="Y141" s="196"/>
      <c r="Z141" s="196"/>
      <c r="AA141" s="196"/>
      <c r="AB141" s="196"/>
      <c r="AC141" s="196"/>
      <c r="AD141" s="196"/>
      <c r="AE141" s="196"/>
      <c r="AF141" s="196"/>
      <c r="AG141" s="196"/>
      <c r="AH141" s="196"/>
      <c r="AI141" s="196"/>
      <c r="AJ141" s="196"/>
      <c r="AK141" s="196"/>
      <c r="AL141" s="196"/>
      <c r="AM141" s="196"/>
    </row>
    <row r="142">
      <c r="F142" s="203"/>
      <c r="H142" s="196"/>
      <c r="I142" s="196"/>
      <c r="J142" s="196"/>
      <c r="K142" s="196"/>
      <c r="L142" s="196"/>
      <c r="M142" s="196"/>
      <c r="N142" s="196"/>
      <c r="O142" s="196"/>
      <c r="P142" s="196"/>
      <c r="Q142" s="196"/>
      <c r="R142" s="196"/>
      <c r="S142" s="196"/>
      <c r="T142" s="196"/>
      <c r="U142" s="196"/>
      <c r="V142" s="196"/>
      <c r="W142" s="196"/>
      <c r="X142" s="196"/>
      <c r="Y142" s="196"/>
      <c r="Z142" s="196"/>
      <c r="AA142" s="196"/>
      <c r="AB142" s="196"/>
      <c r="AC142" s="196"/>
      <c r="AD142" s="196"/>
      <c r="AE142" s="196"/>
      <c r="AF142" s="196"/>
      <c r="AG142" s="196"/>
      <c r="AH142" s="196"/>
      <c r="AI142" s="196"/>
      <c r="AJ142" s="196"/>
      <c r="AK142" s="196"/>
      <c r="AL142" s="196"/>
      <c r="AM142" s="196"/>
    </row>
    <row r="143">
      <c r="F143" s="203"/>
      <c r="H143" s="196"/>
      <c r="I143" s="196"/>
      <c r="J143" s="196"/>
      <c r="K143" s="196"/>
      <c r="L143" s="196"/>
      <c r="M143" s="196"/>
      <c r="N143" s="196"/>
      <c r="O143" s="196"/>
      <c r="P143" s="196"/>
      <c r="Q143" s="196"/>
      <c r="R143" s="196"/>
      <c r="S143" s="196"/>
      <c r="T143" s="196"/>
      <c r="U143" s="196"/>
      <c r="V143" s="196"/>
      <c r="W143" s="196"/>
      <c r="X143" s="196"/>
      <c r="Y143" s="196"/>
      <c r="Z143" s="196"/>
      <c r="AA143" s="196"/>
      <c r="AB143" s="196"/>
      <c r="AC143" s="196"/>
      <c r="AD143" s="196"/>
      <c r="AE143" s="196"/>
      <c r="AF143" s="196"/>
      <c r="AG143" s="196"/>
      <c r="AH143" s="196"/>
      <c r="AI143" s="196"/>
      <c r="AJ143" s="196"/>
      <c r="AK143" s="196"/>
      <c r="AL143" s="196"/>
      <c r="AM143" s="196"/>
    </row>
    <row r="144">
      <c r="F144" s="203"/>
      <c r="H144" s="196"/>
      <c r="I144" s="196"/>
      <c r="J144" s="196"/>
      <c r="K144" s="196"/>
      <c r="L144" s="196"/>
      <c r="M144" s="196"/>
      <c r="N144" s="196"/>
      <c r="O144" s="196"/>
      <c r="P144" s="196"/>
      <c r="Q144" s="196"/>
      <c r="R144" s="196"/>
      <c r="S144" s="196"/>
      <c r="T144" s="196"/>
      <c r="U144" s="196"/>
      <c r="V144" s="196"/>
      <c r="W144" s="196"/>
      <c r="X144" s="196"/>
      <c r="Y144" s="196"/>
      <c r="Z144" s="196"/>
      <c r="AA144" s="196"/>
      <c r="AB144" s="196"/>
      <c r="AC144" s="196"/>
      <c r="AD144" s="196"/>
      <c r="AE144" s="196"/>
      <c r="AF144" s="196"/>
      <c r="AG144" s="196"/>
      <c r="AH144" s="196"/>
      <c r="AI144" s="196"/>
      <c r="AJ144" s="196"/>
      <c r="AK144" s="196"/>
      <c r="AL144" s="196"/>
      <c r="AM144" s="196"/>
    </row>
    <row r="145">
      <c r="F145" s="203"/>
      <c r="H145" s="196"/>
      <c r="I145" s="196"/>
      <c r="J145" s="196"/>
      <c r="K145" s="196"/>
      <c r="L145" s="196"/>
      <c r="M145" s="196"/>
      <c r="N145" s="196"/>
      <c r="O145" s="196"/>
      <c r="P145" s="196"/>
      <c r="Q145" s="196"/>
      <c r="R145" s="196"/>
      <c r="S145" s="196"/>
      <c r="T145" s="196"/>
      <c r="U145" s="196"/>
      <c r="V145" s="196"/>
      <c r="W145" s="196"/>
      <c r="X145" s="196"/>
      <c r="Y145" s="196"/>
      <c r="Z145" s="196"/>
      <c r="AA145" s="196"/>
      <c r="AB145" s="196"/>
      <c r="AC145" s="196"/>
      <c r="AD145" s="196"/>
      <c r="AE145" s="196"/>
      <c r="AF145" s="196"/>
      <c r="AG145" s="196"/>
      <c r="AH145" s="196"/>
      <c r="AI145" s="196"/>
      <c r="AJ145" s="196"/>
      <c r="AK145" s="196"/>
      <c r="AL145" s="196"/>
      <c r="AM145" s="196"/>
    </row>
    <row r="146">
      <c r="F146" s="203"/>
      <c r="H146" s="196"/>
      <c r="I146" s="196"/>
      <c r="J146" s="196"/>
      <c r="K146" s="196"/>
      <c r="L146" s="196"/>
      <c r="M146" s="196"/>
      <c r="N146" s="196"/>
      <c r="O146" s="196"/>
      <c r="P146" s="196"/>
      <c r="Q146" s="196"/>
      <c r="R146" s="196"/>
      <c r="S146" s="196"/>
      <c r="T146" s="196"/>
      <c r="U146" s="196"/>
      <c r="V146" s="196"/>
      <c r="W146" s="196"/>
      <c r="X146" s="196"/>
      <c r="Y146" s="196"/>
      <c r="Z146" s="196"/>
      <c r="AA146" s="196"/>
      <c r="AB146" s="196"/>
      <c r="AC146" s="196"/>
      <c r="AD146" s="196"/>
      <c r="AE146" s="196"/>
      <c r="AF146" s="196"/>
      <c r="AG146" s="196"/>
      <c r="AH146" s="196"/>
      <c r="AI146" s="196"/>
      <c r="AJ146" s="196"/>
      <c r="AK146" s="196"/>
      <c r="AL146" s="196"/>
      <c r="AM146" s="196"/>
    </row>
    <row r="147">
      <c r="F147" s="203"/>
      <c r="H147" s="196"/>
      <c r="I147" s="196"/>
      <c r="J147" s="196"/>
      <c r="K147" s="196"/>
      <c r="L147" s="196"/>
      <c r="M147" s="196"/>
      <c r="N147" s="196"/>
      <c r="O147" s="196"/>
      <c r="P147" s="196"/>
      <c r="Q147" s="196"/>
      <c r="R147" s="196"/>
      <c r="S147" s="196"/>
      <c r="T147" s="196"/>
      <c r="U147" s="196"/>
      <c r="V147" s="196"/>
      <c r="W147" s="196"/>
      <c r="X147" s="196"/>
      <c r="Y147" s="196"/>
      <c r="Z147" s="196"/>
      <c r="AA147" s="196"/>
      <c r="AB147" s="196"/>
      <c r="AC147" s="196"/>
      <c r="AD147" s="196"/>
      <c r="AE147" s="196"/>
      <c r="AF147" s="196"/>
      <c r="AG147" s="196"/>
      <c r="AH147" s="196"/>
      <c r="AI147" s="196"/>
      <c r="AJ147" s="196"/>
      <c r="AK147" s="196"/>
      <c r="AL147" s="196"/>
      <c r="AM147" s="196"/>
    </row>
    <row r="148">
      <c r="F148" s="203"/>
      <c r="H148" s="196"/>
      <c r="I148" s="196"/>
      <c r="J148" s="196"/>
      <c r="K148" s="196"/>
      <c r="L148" s="196"/>
      <c r="M148" s="196"/>
      <c r="N148" s="196"/>
      <c r="O148" s="196"/>
      <c r="P148" s="196"/>
      <c r="Q148" s="196"/>
      <c r="R148" s="196"/>
      <c r="S148" s="196"/>
      <c r="T148" s="196"/>
      <c r="U148" s="196"/>
      <c r="V148" s="196"/>
      <c r="W148" s="196"/>
      <c r="X148" s="196"/>
      <c r="Y148" s="196"/>
      <c r="Z148" s="196"/>
      <c r="AA148" s="196"/>
      <c r="AB148" s="196"/>
      <c r="AC148" s="196"/>
      <c r="AD148" s="196"/>
      <c r="AE148" s="196"/>
      <c r="AF148" s="196"/>
      <c r="AG148" s="196"/>
      <c r="AH148" s="196"/>
      <c r="AI148" s="196"/>
      <c r="AJ148" s="196"/>
      <c r="AK148" s="196"/>
      <c r="AL148" s="196"/>
      <c r="AM148" s="196"/>
    </row>
    <row r="149">
      <c r="F149" s="203"/>
      <c r="H149" s="196"/>
      <c r="I149" s="196"/>
      <c r="J149" s="196"/>
      <c r="K149" s="196"/>
      <c r="L149" s="196"/>
      <c r="M149" s="196"/>
      <c r="N149" s="196"/>
      <c r="O149" s="196"/>
      <c r="P149" s="196"/>
      <c r="Q149" s="196"/>
      <c r="R149" s="196"/>
      <c r="S149" s="196"/>
      <c r="T149" s="196"/>
      <c r="U149" s="196"/>
      <c r="V149" s="196"/>
      <c r="W149" s="196"/>
      <c r="X149" s="196"/>
      <c r="Y149" s="196"/>
      <c r="Z149" s="196"/>
      <c r="AA149" s="196"/>
      <c r="AB149" s="196"/>
      <c r="AC149" s="196"/>
      <c r="AD149" s="196"/>
      <c r="AE149" s="196"/>
      <c r="AF149" s="196"/>
      <c r="AG149" s="196"/>
      <c r="AH149" s="196"/>
      <c r="AI149" s="196"/>
      <c r="AJ149" s="196"/>
      <c r="AK149" s="196"/>
      <c r="AL149" s="196"/>
      <c r="AM149" s="196"/>
    </row>
    <row r="150">
      <c r="F150" s="203"/>
      <c r="H150" s="196"/>
      <c r="I150" s="196"/>
      <c r="J150" s="196"/>
      <c r="K150" s="196"/>
      <c r="L150" s="196"/>
      <c r="M150" s="196"/>
      <c r="N150" s="196"/>
      <c r="O150" s="196"/>
      <c r="P150" s="196"/>
      <c r="Q150" s="196"/>
      <c r="R150" s="196"/>
      <c r="S150" s="196"/>
      <c r="T150" s="196"/>
      <c r="U150" s="196"/>
      <c r="V150" s="196"/>
      <c r="W150" s="196"/>
      <c r="X150" s="196"/>
      <c r="Y150" s="196"/>
      <c r="Z150" s="196"/>
      <c r="AA150" s="196"/>
      <c r="AB150" s="196"/>
      <c r="AC150" s="196"/>
      <c r="AD150" s="196"/>
      <c r="AE150" s="196"/>
      <c r="AF150" s="196"/>
      <c r="AG150" s="196"/>
      <c r="AH150" s="196"/>
      <c r="AI150" s="196"/>
      <c r="AJ150" s="196"/>
      <c r="AK150" s="196"/>
      <c r="AL150" s="196"/>
      <c r="AM150" s="196"/>
    </row>
    <row r="151">
      <c r="F151" s="203"/>
      <c r="H151" s="196"/>
      <c r="I151" s="196"/>
      <c r="J151" s="196"/>
      <c r="K151" s="196"/>
      <c r="L151" s="196"/>
      <c r="M151" s="196"/>
      <c r="N151" s="196"/>
      <c r="O151" s="196"/>
      <c r="P151" s="196"/>
      <c r="Q151" s="196"/>
      <c r="R151" s="196"/>
      <c r="S151" s="196"/>
      <c r="T151" s="196"/>
      <c r="U151" s="196"/>
      <c r="V151" s="196"/>
      <c r="W151" s="196"/>
      <c r="X151" s="196"/>
      <c r="Y151" s="196"/>
      <c r="Z151" s="196"/>
      <c r="AA151" s="196"/>
      <c r="AB151" s="196"/>
      <c r="AC151" s="196"/>
      <c r="AD151" s="196"/>
      <c r="AE151" s="196"/>
      <c r="AF151" s="196"/>
      <c r="AG151" s="196"/>
      <c r="AH151" s="196"/>
      <c r="AI151" s="196"/>
      <c r="AJ151" s="196"/>
      <c r="AK151" s="196"/>
      <c r="AL151" s="196"/>
      <c r="AM151" s="196"/>
    </row>
    <row r="152">
      <c r="F152" s="203"/>
      <c r="H152" s="196"/>
      <c r="I152" s="196"/>
      <c r="J152" s="196"/>
      <c r="K152" s="196"/>
      <c r="L152" s="196"/>
      <c r="M152" s="196"/>
      <c r="N152" s="196"/>
      <c r="O152" s="196"/>
      <c r="P152" s="196"/>
      <c r="Q152" s="196"/>
      <c r="R152" s="196"/>
      <c r="S152" s="196"/>
      <c r="T152" s="196"/>
      <c r="U152" s="196"/>
      <c r="V152" s="196"/>
      <c r="W152" s="196"/>
      <c r="X152" s="196"/>
      <c r="Y152" s="196"/>
      <c r="Z152" s="196"/>
      <c r="AA152" s="196"/>
      <c r="AB152" s="196"/>
      <c r="AC152" s="196"/>
      <c r="AD152" s="196"/>
      <c r="AE152" s="196"/>
      <c r="AF152" s="196"/>
      <c r="AG152" s="196"/>
      <c r="AH152" s="196"/>
      <c r="AI152" s="196"/>
      <c r="AJ152" s="196"/>
      <c r="AK152" s="196"/>
      <c r="AL152" s="196"/>
      <c r="AM152" s="196"/>
    </row>
    <row r="153">
      <c r="F153" s="203"/>
      <c r="H153" s="196"/>
      <c r="I153" s="196"/>
      <c r="J153" s="196"/>
      <c r="K153" s="196"/>
      <c r="L153" s="196"/>
      <c r="M153" s="196"/>
      <c r="N153" s="196"/>
      <c r="O153" s="196"/>
      <c r="P153" s="196"/>
      <c r="Q153" s="196"/>
      <c r="R153" s="196"/>
      <c r="S153" s="196"/>
      <c r="T153" s="196"/>
      <c r="U153" s="196"/>
      <c r="V153" s="196"/>
      <c r="W153" s="196"/>
      <c r="X153" s="196"/>
      <c r="Y153" s="196"/>
      <c r="Z153" s="196"/>
      <c r="AA153" s="196"/>
      <c r="AB153" s="196"/>
      <c r="AC153" s="196"/>
      <c r="AD153" s="196"/>
      <c r="AE153" s="196"/>
      <c r="AF153" s="196"/>
      <c r="AG153" s="196"/>
      <c r="AH153" s="196"/>
      <c r="AI153" s="196"/>
      <c r="AJ153" s="196"/>
      <c r="AK153" s="196"/>
      <c r="AL153" s="196"/>
      <c r="AM153" s="196"/>
    </row>
    <row r="154">
      <c r="F154" s="203"/>
      <c r="H154" s="196"/>
      <c r="I154" s="196"/>
      <c r="J154" s="196"/>
      <c r="K154" s="196"/>
      <c r="L154" s="196"/>
      <c r="M154" s="196"/>
      <c r="N154" s="196"/>
      <c r="O154" s="196"/>
      <c r="P154" s="196"/>
      <c r="Q154" s="196"/>
      <c r="R154" s="196"/>
      <c r="S154" s="196"/>
      <c r="T154" s="196"/>
      <c r="U154" s="196"/>
      <c r="V154" s="196"/>
      <c r="W154" s="196"/>
      <c r="X154" s="196"/>
      <c r="Y154" s="196"/>
      <c r="Z154" s="196"/>
      <c r="AA154" s="196"/>
      <c r="AB154" s="196"/>
      <c r="AC154" s="196"/>
      <c r="AD154" s="196"/>
      <c r="AE154" s="196"/>
      <c r="AF154" s="196"/>
      <c r="AG154" s="196"/>
      <c r="AH154" s="196"/>
      <c r="AI154" s="196"/>
      <c r="AJ154" s="196"/>
      <c r="AK154" s="196"/>
      <c r="AL154" s="196"/>
      <c r="AM154" s="196"/>
    </row>
    <row r="155">
      <c r="F155" s="203"/>
      <c r="H155" s="196"/>
      <c r="I155" s="196"/>
      <c r="J155" s="196"/>
      <c r="K155" s="196"/>
      <c r="L155" s="196"/>
      <c r="M155" s="196"/>
      <c r="N155" s="196"/>
      <c r="O155" s="196"/>
      <c r="P155" s="196"/>
      <c r="Q155" s="196"/>
      <c r="R155" s="196"/>
      <c r="S155" s="196"/>
      <c r="T155" s="196"/>
      <c r="U155" s="196"/>
      <c r="V155" s="196"/>
      <c r="W155" s="196"/>
      <c r="X155" s="196"/>
      <c r="Y155" s="196"/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</row>
    <row r="156">
      <c r="F156" s="203"/>
      <c r="H156" s="196"/>
      <c r="I156" s="196"/>
      <c r="J156" s="196"/>
      <c r="K156" s="196"/>
      <c r="L156" s="196"/>
      <c r="M156" s="196"/>
      <c r="N156" s="196"/>
      <c r="O156" s="196"/>
      <c r="P156" s="196"/>
      <c r="Q156" s="196"/>
      <c r="R156" s="196"/>
      <c r="S156" s="196"/>
      <c r="T156" s="196"/>
      <c r="U156" s="196"/>
      <c r="V156" s="196"/>
      <c r="W156" s="196"/>
      <c r="X156" s="196"/>
      <c r="Y156" s="196"/>
      <c r="Z156" s="196"/>
      <c r="AA156" s="196"/>
      <c r="AB156" s="196"/>
      <c r="AC156" s="196"/>
      <c r="AD156" s="196"/>
      <c r="AE156" s="196"/>
      <c r="AF156" s="196"/>
      <c r="AG156" s="196"/>
      <c r="AH156" s="196"/>
      <c r="AI156" s="196"/>
      <c r="AJ156" s="196"/>
      <c r="AK156" s="196"/>
      <c r="AL156" s="196"/>
      <c r="AM156" s="196"/>
    </row>
    <row r="157">
      <c r="F157" s="203"/>
      <c r="H157" s="196"/>
      <c r="I157" s="196"/>
      <c r="J157" s="196"/>
      <c r="K157" s="196"/>
      <c r="L157" s="196"/>
      <c r="M157" s="196"/>
      <c r="N157" s="196"/>
      <c r="O157" s="196"/>
      <c r="P157" s="196"/>
      <c r="Q157" s="196"/>
      <c r="R157" s="196"/>
      <c r="S157" s="196"/>
      <c r="T157" s="196"/>
      <c r="U157" s="196"/>
      <c r="V157" s="196"/>
      <c r="W157" s="196"/>
      <c r="X157" s="196"/>
      <c r="Y157" s="196"/>
      <c r="Z157" s="196"/>
      <c r="AA157" s="196"/>
      <c r="AB157" s="196"/>
      <c r="AC157" s="196"/>
      <c r="AD157" s="196"/>
      <c r="AE157" s="196"/>
      <c r="AF157" s="196"/>
      <c r="AG157" s="196"/>
      <c r="AH157" s="196"/>
      <c r="AI157" s="196"/>
      <c r="AJ157" s="196"/>
      <c r="AK157" s="196"/>
      <c r="AL157" s="196"/>
      <c r="AM157" s="196"/>
    </row>
    <row r="158">
      <c r="F158" s="203"/>
      <c r="H158" s="196"/>
      <c r="I158" s="196"/>
      <c r="J158" s="196"/>
      <c r="K158" s="196"/>
      <c r="L158" s="196"/>
      <c r="M158" s="196"/>
      <c r="N158" s="196"/>
      <c r="O158" s="196"/>
      <c r="P158" s="196"/>
      <c r="Q158" s="196"/>
      <c r="R158" s="196"/>
      <c r="S158" s="196"/>
      <c r="T158" s="196"/>
      <c r="U158" s="196"/>
      <c r="V158" s="196"/>
      <c r="W158" s="196"/>
      <c r="X158" s="196"/>
      <c r="Y158" s="196"/>
      <c r="Z158" s="196"/>
      <c r="AA158" s="196"/>
      <c r="AB158" s="196"/>
      <c r="AC158" s="196"/>
      <c r="AD158" s="196"/>
      <c r="AE158" s="196"/>
      <c r="AF158" s="196"/>
      <c r="AG158" s="196"/>
      <c r="AH158" s="196"/>
      <c r="AI158" s="196"/>
      <c r="AJ158" s="196"/>
      <c r="AK158" s="196"/>
      <c r="AL158" s="196"/>
      <c r="AM158" s="196"/>
    </row>
    <row r="159">
      <c r="F159" s="203"/>
      <c r="H159" s="196"/>
      <c r="I159" s="196"/>
      <c r="J159" s="196"/>
      <c r="K159" s="196"/>
      <c r="L159" s="196"/>
      <c r="M159" s="196"/>
      <c r="N159" s="196"/>
      <c r="O159" s="196"/>
      <c r="P159" s="196"/>
      <c r="Q159" s="196"/>
      <c r="R159" s="196"/>
      <c r="S159" s="196"/>
      <c r="T159" s="196"/>
      <c r="U159" s="196"/>
      <c r="V159" s="196"/>
      <c r="W159" s="196"/>
      <c r="X159" s="196"/>
      <c r="Y159" s="196"/>
      <c r="Z159" s="196"/>
      <c r="AA159" s="196"/>
      <c r="AB159" s="196"/>
      <c r="AC159" s="196"/>
      <c r="AD159" s="196"/>
      <c r="AE159" s="196"/>
      <c r="AF159" s="196"/>
      <c r="AG159" s="196"/>
      <c r="AH159" s="196"/>
      <c r="AI159" s="196"/>
      <c r="AJ159" s="196"/>
      <c r="AK159" s="196"/>
      <c r="AL159" s="196"/>
      <c r="AM159" s="196"/>
    </row>
    <row r="160">
      <c r="F160" s="203"/>
      <c r="H160" s="196"/>
      <c r="I160" s="196"/>
      <c r="J160" s="196"/>
      <c r="K160" s="196"/>
      <c r="L160" s="196"/>
      <c r="M160" s="196"/>
      <c r="N160" s="196"/>
      <c r="O160" s="196"/>
      <c r="P160" s="196"/>
      <c r="Q160" s="196"/>
      <c r="R160" s="196"/>
      <c r="S160" s="196"/>
      <c r="T160" s="196"/>
      <c r="U160" s="196"/>
      <c r="V160" s="196"/>
      <c r="W160" s="196"/>
      <c r="X160" s="196"/>
      <c r="Y160" s="196"/>
      <c r="Z160" s="196"/>
      <c r="AA160" s="196"/>
      <c r="AB160" s="196"/>
      <c r="AC160" s="196"/>
      <c r="AD160" s="196"/>
      <c r="AE160" s="196"/>
      <c r="AF160" s="196"/>
      <c r="AG160" s="196"/>
      <c r="AH160" s="196"/>
      <c r="AI160" s="196"/>
      <c r="AJ160" s="196"/>
      <c r="AK160" s="196"/>
      <c r="AL160" s="196"/>
      <c r="AM160" s="196"/>
    </row>
    <row r="161">
      <c r="F161" s="203"/>
      <c r="H161" s="196"/>
      <c r="I161" s="196"/>
      <c r="J161" s="196"/>
      <c r="K161" s="196"/>
      <c r="L161" s="196"/>
      <c r="M161" s="196"/>
      <c r="N161" s="196"/>
      <c r="O161" s="196"/>
      <c r="P161" s="196"/>
      <c r="Q161" s="196"/>
      <c r="R161" s="196"/>
      <c r="S161" s="196"/>
      <c r="T161" s="196"/>
      <c r="U161" s="196"/>
      <c r="V161" s="196"/>
      <c r="W161" s="196"/>
      <c r="X161" s="196"/>
      <c r="Y161" s="196"/>
      <c r="Z161" s="196"/>
      <c r="AA161" s="196"/>
      <c r="AB161" s="196"/>
      <c r="AC161" s="196"/>
      <c r="AD161" s="196"/>
      <c r="AE161" s="196"/>
      <c r="AF161" s="196"/>
      <c r="AG161" s="196"/>
      <c r="AH161" s="196"/>
      <c r="AI161" s="196"/>
      <c r="AJ161" s="196"/>
      <c r="AK161" s="196"/>
      <c r="AL161" s="196"/>
      <c r="AM161" s="196"/>
    </row>
    <row r="162">
      <c r="F162" s="203"/>
      <c r="H162" s="196"/>
      <c r="I162" s="196"/>
      <c r="J162" s="196"/>
      <c r="K162" s="196"/>
      <c r="L162" s="196"/>
      <c r="M162" s="196"/>
      <c r="N162" s="196"/>
      <c r="O162" s="196"/>
      <c r="P162" s="196"/>
      <c r="Q162" s="196"/>
      <c r="R162" s="196"/>
      <c r="S162" s="196"/>
      <c r="T162" s="196"/>
      <c r="U162" s="196"/>
      <c r="V162" s="196"/>
      <c r="W162" s="196"/>
      <c r="X162" s="196"/>
      <c r="Y162" s="196"/>
      <c r="Z162" s="196"/>
      <c r="AA162" s="196"/>
      <c r="AB162" s="196"/>
      <c r="AC162" s="196"/>
      <c r="AD162" s="196"/>
      <c r="AE162" s="196"/>
      <c r="AF162" s="196"/>
      <c r="AG162" s="196"/>
      <c r="AH162" s="196"/>
      <c r="AI162" s="196"/>
      <c r="AJ162" s="196"/>
      <c r="AK162" s="196"/>
      <c r="AL162" s="196"/>
      <c r="AM162" s="196"/>
    </row>
    <row r="163">
      <c r="F163" s="203"/>
      <c r="H163" s="196"/>
      <c r="I163" s="196"/>
      <c r="J163" s="196"/>
      <c r="K163" s="196"/>
      <c r="L163" s="196"/>
      <c r="M163" s="196"/>
      <c r="N163" s="196"/>
      <c r="O163" s="196"/>
      <c r="P163" s="196"/>
      <c r="Q163" s="196"/>
      <c r="R163" s="196"/>
      <c r="S163" s="196"/>
      <c r="T163" s="196"/>
      <c r="U163" s="196"/>
      <c r="V163" s="196"/>
      <c r="W163" s="196"/>
      <c r="X163" s="196"/>
      <c r="Y163" s="196"/>
      <c r="Z163" s="196"/>
      <c r="AA163" s="196"/>
      <c r="AB163" s="196"/>
      <c r="AC163" s="196"/>
      <c r="AD163" s="196"/>
      <c r="AE163" s="196"/>
      <c r="AF163" s="196"/>
      <c r="AG163" s="196"/>
      <c r="AH163" s="196"/>
      <c r="AI163" s="196"/>
      <c r="AJ163" s="196"/>
      <c r="AK163" s="196"/>
      <c r="AL163" s="196"/>
      <c r="AM163" s="196"/>
    </row>
    <row r="164">
      <c r="F164" s="203"/>
      <c r="H164" s="196"/>
      <c r="I164" s="196"/>
      <c r="J164" s="196"/>
      <c r="K164" s="196"/>
      <c r="L164" s="196"/>
      <c r="M164" s="196"/>
      <c r="N164" s="196"/>
      <c r="O164" s="196"/>
      <c r="P164" s="196"/>
      <c r="Q164" s="196"/>
      <c r="R164" s="196"/>
      <c r="S164" s="196"/>
      <c r="T164" s="196"/>
      <c r="U164" s="196"/>
      <c r="V164" s="196"/>
      <c r="W164" s="196"/>
      <c r="X164" s="196"/>
      <c r="Y164" s="196"/>
      <c r="Z164" s="196"/>
      <c r="AA164" s="196"/>
      <c r="AB164" s="196"/>
      <c r="AC164" s="196"/>
      <c r="AD164" s="196"/>
      <c r="AE164" s="196"/>
      <c r="AF164" s="196"/>
      <c r="AG164" s="196"/>
      <c r="AH164" s="196"/>
      <c r="AI164" s="196"/>
      <c r="AJ164" s="196"/>
      <c r="AK164" s="196"/>
      <c r="AL164" s="196"/>
      <c r="AM164" s="196"/>
    </row>
    <row r="165">
      <c r="F165" s="203"/>
      <c r="H165" s="196"/>
      <c r="I165" s="196"/>
      <c r="J165" s="196"/>
      <c r="K165" s="196"/>
      <c r="L165" s="196"/>
      <c r="M165" s="196"/>
      <c r="N165" s="196"/>
      <c r="O165" s="196"/>
      <c r="P165" s="196"/>
      <c r="Q165" s="196"/>
      <c r="R165" s="196"/>
      <c r="S165" s="196"/>
      <c r="T165" s="196"/>
      <c r="U165" s="196"/>
      <c r="V165" s="196"/>
      <c r="W165" s="196"/>
      <c r="X165" s="196"/>
      <c r="Y165" s="196"/>
      <c r="Z165" s="196"/>
      <c r="AA165" s="196"/>
      <c r="AB165" s="196"/>
      <c r="AC165" s="196"/>
      <c r="AD165" s="196"/>
      <c r="AE165" s="196"/>
      <c r="AF165" s="196"/>
      <c r="AG165" s="196"/>
      <c r="AH165" s="196"/>
      <c r="AI165" s="196"/>
      <c r="AJ165" s="196"/>
      <c r="AK165" s="196"/>
      <c r="AL165" s="196"/>
      <c r="AM165" s="196"/>
    </row>
    <row r="166">
      <c r="F166" s="203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  <c r="R166" s="196"/>
      <c r="S166" s="196"/>
      <c r="T166" s="196"/>
      <c r="U166" s="196"/>
      <c r="V166" s="196"/>
      <c r="W166" s="196"/>
      <c r="X166" s="196"/>
      <c r="Y166" s="196"/>
      <c r="Z166" s="196"/>
      <c r="AA166" s="196"/>
      <c r="AB166" s="196"/>
      <c r="AC166" s="196"/>
      <c r="AD166" s="196"/>
      <c r="AE166" s="196"/>
      <c r="AF166" s="196"/>
      <c r="AG166" s="196"/>
      <c r="AH166" s="196"/>
      <c r="AI166" s="196"/>
      <c r="AJ166" s="196"/>
      <c r="AK166" s="196"/>
      <c r="AL166" s="196"/>
      <c r="AM166" s="196"/>
    </row>
    <row r="167">
      <c r="F167" s="203"/>
      <c r="H167" s="196"/>
      <c r="I167" s="196"/>
      <c r="J167" s="196"/>
      <c r="K167" s="196"/>
      <c r="L167" s="196"/>
      <c r="M167" s="196"/>
      <c r="N167" s="196"/>
      <c r="O167" s="196"/>
      <c r="P167" s="196"/>
      <c r="Q167" s="196"/>
      <c r="R167" s="196"/>
      <c r="S167" s="196"/>
      <c r="T167" s="196"/>
      <c r="U167" s="196"/>
      <c r="V167" s="196"/>
      <c r="W167" s="196"/>
      <c r="X167" s="196"/>
      <c r="Y167" s="196"/>
      <c r="Z167" s="196"/>
      <c r="AA167" s="196"/>
      <c r="AB167" s="196"/>
      <c r="AC167" s="196"/>
      <c r="AD167" s="196"/>
      <c r="AE167" s="196"/>
      <c r="AF167" s="196"/>
      <c r="AG167" s="196"/>
      <c r="AH167" s="196"/>
      <c r="AI167" s="196"/>
      <c r="AJ167" s="196"/>
      <c r="AK167" s="196"/>
      <c r="AL167" s="196"/>
      <c r="AM167" s="196"/>
    </row>
    <row r="168">
      <c r="F168" s="203"/>
      <c r="H168" s="196"/>
      <c r="I168" s="196"/>
      <c r="J168" s="196"/>
      <c r="K168" s="196"/>
      <c r="L168" s="196"/>
      <c r="M168" s="196"/>
      <c r="N168" s="196"/>
      <c r="O168" s="196"/>
      <c r="P168" s="196"/>
      <c r="Q168" s="196"/>
      <c r="R168" s="196"/>
      <c r="S168" s="196"/>
      <c r="T168" s="196"/>
      <c r="U168" s="196"/>
      <c r="V168" s="196"/>
      <c r="W168" s="196"/>
      <c r="X168" s="196"/>
      <c r="Y168" s="196"/>
      <c r="Z168" s="196"/>
      <c r="AA168" s="196"/>
      <c r="AB168" s="196"/>
      <c r="AC168" s="196"/>
      <c r="AD168" s="196"/>
      <c r="AE168" s="196"/>
      <c r="AF168" s="196"/>
      <c r="AG168" s="196"/>
      <c r="AH168" s="196"/>
      <c r="AI168" s="196"/>
      <c r="AJ168" s="196"/>
      <c r="AK168" s="196"/>
      <c r="AL168" s="196"/>
      <c r="AM168" s="196"/>
    </row>
    <row r="169">
      <c r="F169" s="203"/>
      <c r="H169" s="196"/>
      <c r="I169" s="196"/>
      <c r="J169" s="196"/>
      <c r="K169" s="196"/>
      <c r="L169" s="196"/>
      <c r="M169" s="196"/>
      <c r="N169" s="196"/>
      <c r="O169" s="196"/>
      <c r="P169" s="196"/>
      <c r="Q169" s="196"/>
      <c r="R169" s="196"/>
      <c r="S169" s="196"/>
      <c r="T169" s="196"/>
      <c r="U169" s="196"/>
      <c r="V169" s="196"/>
      <c r="W169" s="196"/>
      <c r="X169" s="196"/>
      <c r="Y169" s="196"/>
      <c r="Z169" s="196"/>
      <c r="AA169" s="196"/>
      <c r="AB169" s="196"/>
      <c r="AC169" s="196"/>
      <c r="AD169" s="196"/>
      <c r="AE169" s="196"/>
      <c r="AF169" s="196"/>
      <c r="AG169" s="196"/>
      <c r="AH169" s="196"/>
      <c r="AI169" s="196"/>
      <c r="AJ169" s="196"/>
      <c r="AK169" s="196"/>
      <c r="AL169" s="196"/>
      <c r="AM169" s="196"/>
    </row>
    <row r="170">
      <c r="F170" s="203"/>
      <c r="H170" s="196"/>
      <c r="I170" s="196"/>
      <c r="J170" s="196"/>
      <c r="K170" s="196"/>
      <c r="L170" s="196"/>
      <c r="M170" s="196"/>
      <c r="N170" s="196"/>
      <c r="O170" s="196"/>
      <c r="P170" s="196"/>
      <c r="Q170" s="196"/>
      <c r="R170" s="196"/>
      <c r="S170" s="196"/>
      <c r="T170" s="196"/>
      <c r="U170" s="196"/>
      <c r="V170" s="196"/>
      <c r="W170" s="196"/>
      <c r="X170" s="196"/>
      <c r="Y170" s="196"/>
      <c r="Z170" s="196"/>
      <c r="AA170" s="196"/>
      <c r="AB170" s="196"/>
      <c r="AC170" s="196"/>
      <c r="AD170" s="196"/>
      <c r="AE170" s="196"/>
      <c r="AF170" s="196"/>
      <c r="AG170" s="196"/>
      <c r="AH170" s="196"/>
      <c r="AI170" s="196"/>
      <c r="AJ170" s="196"/>
      <c r="AK170" s="196"/>
      <c r="AL170" s="196"/>
      <c r="AM170" s="196"/>
    </row>
    <row r="171">
      <c r="F171" s="203"/>
      <c r="H171" s="196"/>
      <c r="I171" s="196"/>
      <c r="J171" s="196"/>
      <c r="K171" s="196"/>
      <c r="L171" s="196"/>
      <c r="M171" s="196"/>
      <c r="N171" s="196"/>
      <c r="O171" s="196"/>
      <c r="P171" s="196"/>
      <c r="Q171" s="196"/>
      <c r="R171" s="196"/>
      <c r="S171" s="196"/>
      <c r="T171" s="196"/>
      <c r="U171" s="196"/>
      <c r="V171" s="196"/>
      <c r="W171" s="196"/>
      <c r="X171" s="196"/>
      <c r="Y171" s="196"/>
      <c r="Z171" s="196"/>
      <c r="AA171" s="196"/>
      <c r="AB171" s="196"/>
      <c r="AC171" s="196"/>
      <c r="AD171" s="196"/>
      <c r="AE171" s="196"/>
      <c r="AF171" s="196"/>
      <c r="AG171" s="196"/>
      <c r="AH171" s="196"/>
      <c r="AI171" s="196"/>
      <c r="AJ171" s="196"/>
      <c r="AK171" s="196"/>
      <c r="AL171" s="196"/>
      <c r="AM171" s="196"/>
    </row>
    <row r="172">
      <c r="F172" s="203"/>
      <c r="H172" s="196"/>
      <c r="I172" s="196"/>
      <c r="J172" s="196"/>
      <c r="K172" s="196"/>
      <c r="L172" s="196"/>
      <c r="M172" s="196"/>
      <c r="N172" s="196"/>
      <c r="O172" s="196"/>
      <c r="P172" s="196"/>
      <c r="Q172" s="196"/>
      <c r="R172" s="196"/>
      <c r="S172" s="196"/>
      <c r="T172" s="196"/>
      <c r="U172" s="196"/>
      <c r="V172" s="196"/>
      <c r="W172" s="196"/>
      <c r="X172" s="196"/>
      <c r="Y172" s="196"/>
      <c r="Z172" s="196"/>
      <c r="AA172" s="196"/>
      <c r="AB172" s="196"/>
      <c r="AC172" s="196"/>
      <c r="AD172" s="196"/>
      <c r="AE172" s="196"/>
      <c r="AF172" s="196"/>
      <c r="AG172" s="196"/>
      <c r="AH172" s="196"/>
      <c r="AI172" s="196"/>
      <c r="AJ172" s="196"/>
      <c r="AK172" s="196"/>
      <c r="AL172" s="196"/>
      <c r="AM172" s="196"/>
    </row>
    <row r="173">
      <c r="F173" s="203"/>
      <c r="H173" s="196"/>
      <c r="I173" s="196"/>
      <c r="J173" s="196"/>
      <c r="K173" s="196"/>
      <c r="L173" s="196"/>
      <c r="M173" s="196"/>
      <c r="N173" s="196"/>
      <c r="O173" s="196"/>
      <c r="P173" s="196"/>
      <c r="Q173" s="196"/>
      <c r="R173" s="196"/>
      <c r="S173" s="196"/>
      <c r="T173" s="196"/>
      <c r="U173" s="196"/>
      <c r="V173" s="196"/>
      <c r="W173" s="196"/>
      <c r="X173" s="196"/>
      <c r="Y173" s="196"/>
      <c r="Z173" s="196"/>
      <c r="AA173" s="196"/>
      <c r="AB173" s="196"/>
      <c r="AC173" s="196"/>
      <c r="AD173" s="196"/>
      <c r="AE173" s="196"/>
      <c r="AF173" s="196"/>
      <c r="AG173" s="196"/>
      <c r="AH173" s="196"/>
      <c r="AI173" s="196"/>
      <c r="AJ173" s="196"/>
      <c r="AK173" s="196"/>
      <c r="AL173" s="196"/>
      <c r="AM173" s="196"/>
    </row>
    <row r="174">
      <c r="F174" s="203"/>
      <c r="H174" s="196"/>
      <c r="I174" s="196"/>
      <c r="J174" s="196"/>
      <c r="K174" s="196"/>
      <c r="L174" s="196"/>
      <c r="M174" s="196"/>
      <c r="N174" s="196"/>
      <c r="O174" s="196"/>
      <c r="P174" s="196"/>
      <c r="Q174" s="196"/>
      <c r="R174" s="196"/>
      <c r="S174" s="196"/>
      <c r="T174" s="196"/>
      <c r="U174" s="196"/>
      <c r="V174" s="196"/>
      <c r="W174" s="196"/>
      <c r="X174" s="196"/>
      <c r="Y174" s="196"/>
      <c r="Z174" s="196"/>
      <c r="AA174" s="196"/>
      <c r="AB174" s="196"/>
      <c r="AC174" s="196"/>
      <c r="AD174" s="196"/>
      <c r="AE174" s="196"/>
      <c r="AF174" s="196"/>
      <c r="AG174" s="196"/>
      <c r="AH174" s="196"/>
      <c r="AI174" s="196"/>
      <c r="AJ174" s="196"/>
      <c r="AK174" s="196"/>
      <c r="AL174" s="196"/>
      <c r="AM174" s="196"/>
    </row>
    <row r="175">
      <c r="F175" s="203"/>
      <c r="H175" s="196"/>
      <c r="I175" s="196"/>
      <c r="J175" s="196"/>
      <c r="K175" s="196"/>
      <c r="L175" s="196"/>
      <c r="M175" s="196"/>
      <c r="N175" s="196"/>
      <c r="O175" s="196"/>
      <c r="P175" s="196"/>
      <c r="Q175" s="196"/>
      <c r="R175" s="196"/>
      <c r="S175" s="196"/>
      <c r="T175" s="196"/>
      <c r="U175" s="196"/>
      <c r="V175" s="196"/>
      <c r="W175" s="196"/>
      <c r="X175" s="196"/>
      <c r="Y175" s="196"/>
      <c r="Z175" s="196"/>
      <c r="AA175" s="196"/>
      <c r="AB175" s="196"/>
      <c r="AC175" s="196"/>
      <c r="AD175" s="196"/>
      <c r="AE175" s="196"/>
      <c r="AF175" s="196"/>
      <c r="AG175" s="196"/>
      <c r="AH175" s="196"/>
      <c r="AI175" s="196"/>
      <c r="AJ175" s="196"/>
      <c r="AK175" s="196"/>
      <c r="AL175" s="196"/>
      <c r="AM175" s="196"/>
    </row>
    <row r="176">
      <c r="F176" s="203"/>
      <c r="H176" s="196"/>
      <c r="I176" s="196"/>
      <c r="J176" s="196"/>
      <c r="K176" s="196"/>
      <c r="L176" s="196"/>
      <c r="M176" s="196"/>
      <c r="N176" s="196"/>
      <c r="O176" s="196"/>
      <c r="P176" s="196"/>
      <c r="Q176" s="196"/>
      <c r="R176" s="196"/>
      <c r="S176" s="196"/>
      <c r="T176" s="196"/>
      <c r="U176" s="196"/>
      <c r="V176" s="196"/>
      <c r="W176" s="196"/>
      <c r="X176" s="196"/>
      <c r="Y176" s="196"/>
      <c r="Z176" s="196"/>
      <c r="AA176" s="196"/>
      <c r="AB176" s="196"/>
      <c r="AC176" s="196"/>
      <c r="AD176" s="196"/>
      <c r="AE176" s="196"/>
      <c r="AF176" s="196"/>
      <c r="AG176" s="196"/>
      <c r="AH176" s="196"/>
      <c r="AI176" s="196"/>
      <c r="AJ176" s="196"/>
      <c r="AK176" s="196"/>
      <c r="AL176" s="196"/>
      <c r="AM176" s="196"/>
    </row>
    <row r="177">
      <c r="F177" s="203"/>
      <c r="H177" s="196"/>
      <c r="I177" s="196"/>
      <c r="J177" s="196"/>
      <c r="K177" s="196"/>
      <c r="L177" s="196"/>
      <c r="M177" s="196"/>
      <c r="N177" s="196"/>
      <c r="O177" s="196"/>
      <c r="P177" s="196"/>
      <c r="Q177" s="196"/>
      <c r="R177" s="196"/>
      <c r="S177" s="196"/>
      <c r="T177" s="196"/>
      <c r="U177" s="196"/>
      <c r="V177" s="196"/>
      <c r="W177" s="196"/>
      <c r="X177" s="196"/>
      <c r="Y177" s="196"/>
      <c r="Z177" s="196"/>
      <c r="AA177" s="196"/>
      <c r="AB177" s="196"/>
      <c r="AC177" s="196"/>
      <c r="AD177" s="196"/>
      <c r="AE177" s="196"/>
      <c r="AF177" s="196"/>
      <c r="AG177" s="196"/>
      <c r="AH177" s="196"/>
      <c r="AI177" s="196"/>
      <c r="AJ177" s="196"/>
      <c r="AK177" s="196"/>
      <c r="AL177" s="196"/>
      <c r="AM177" s="196"/>
    </row>
    <row r="178">
      <c r="F178" s="203"/>
      <c r="H178" s="196"/>
      <c r="I178" s="196"/>
      <c r="J178" s="196"/>
      <c r="K178" s="196"/>
      <c r="L178" s="196"/>
      <c r="M178" s="196"/>
      <c r="N178" s="196"/>
      <c r="O178" s="196"/>
      <c r="P178" s="196"/>
      <c r="Q178" s="196"/>
      <c r="R178" s="196"/>
      <c r="S178" s="196"/>
      <c r="T178" s="196"/>
      <c r="U178" s="196"/>
      <c r="V178" s="196"/>
      <c r="W178" s="196"/>
      <c r="X178" s="196"/>
      <c r="Y178" s="196"/>
      <c r="Z178" s="196"/>
      <c r="AA178" s="196"/>
      <c r="AB178" s="196"/>
      <c r="AC178" s="196"/>
      <c r="AD178" s="196"/>
      <c r="AE178" s="196"/>
      <c r="AF178" s="196"/>
      <c r="AG178" s="196"/>
      <c r="AH178" s="196"/>
      <c r="AI178" s="196"/>
      <c r="AJ178" s="196"/>
      <c r="AK178" s="196"/>
      <c r="AL178" s="196"/>
      <c r="AM178" s="196"/>
    </row>
    <row r="179">
      <c r="F179" s="203"/>
      <c r="H179" s="196"/>
      <c r="I179" s="196"/>
      <c r="J179" s="196"/>
      <c r="K179" s="196"/>
      <c r="L179" s="196"/>
      <c r="M179" s="196"/>
      <c r="N179" s="196"/>
      <c r="O179" s="196"/>
      <c r="P179" s="196"/>
      <c r="Q179" s="196"/>
      <c r="R179" s="196"/>
      <c r="S179" s="196"/>
      <c r="T179" s="196"/>
      <c r="U179" s="196"/>
      <c r="V179" s="196"/>
      <c r="W179" s="196"/>
      <c r="X179" s="196"/>
      <c r="Y179" s="196"/>
      <c r="Z179" s="196"/>
      <c r="AA179" s="196"/>
      <c r="AB179" s="196"/>
      <c r="AC179" s="196"/>
      <c r="AD179" s="196"/>
      <c r="AE179" s="196"/>
      <c r="AF179" s="196"/>
      <c r="AG179" s="196"/>
      <c r="AH179" s="196"/>
      <c r="AI179" s="196"/>
      <c r="AJ179" s="196"/>
      <c r="AK179" s="196"/>
      <c r="AL179" s="196"/>
      <c r="AM179" s="196"/>
    </row>
    <row r="180">
      <c r="F180" s="203"/>
      <c r="H180" s="196"/>
      <c r="I180" s="196"/>
      <c r="J180" s="196"/>
      <c r="K180" s="196"/>
      <c r="L180" s="196"/>
      <c r="M180" s="196"/>
      <c r="N180" s="196"/>
      <c r="O180" s="196"/>
      <c r="P180" s="196"/>
      <c r="Q180" s="196"/>
      <c r="R180" s="196"/>
      <c r="S180" s="196"/>
      <c r="T180" s="196"/>
      <c r="U180" s="196"/>
      <c r="V180" s="196"/>
      <c r="W180" s="196"/>
      <c r="X180" s="196"/>
      <c r="Y180" s="196"/>
      <c r="Z180" s="196"/>
      <c r="AA180" s="196"/>
      <c r="AB180" s="196"/>
      <c r="AC180" s="196"/>
      <c r="AD180" s="196"/>
      <c r="AE180" s="196"/>
      <c r="AF180" s="196"/>
      <c r="AG180" s="196"/>
      <c r="AH180" s="196"/>
      <c r="AI180" s="196"/>
      <c r="AJ180" s="196"/>
      <c r="AK180" s="196"/>
      <c r="AL180" s="196"/>
      <c r="AM180" s="196"/>
    </row>
    <row r="181">
      <c r="F181" s="203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  <c r="R181" s="196"/>
      <c r="S181" s="196"/>
      <c r="T181" s="196"/>
      <c r="U181" s="196"/>
      <c r="V181" s="196"/>
      <c r="W181" s="196"/>
      <c r="X181" s="196"/>
      <c r="Y181" s="196"/>
      <c r="Z181" s="196"/>
      <c r="AA181" s="196"/>
      <c r="AB181" s="196"/>
      <c r="AC181" s="196"/>
      <c r="AD181" s="196"/>
      <c r="AE181" s="196"/>
      <c r="AF181" s="196"/>
      <c r="AG181" s="196"/>
      <c r="AH181" s="196"/>
      <c r="AI181" s="196"/>
      <c r="AJ181" s="196"/>
      <c r="AK181" s="196"/>
      <c r="AL181" s="196"/>
      <c r="AM181" s="196"/>
    </row>
    <row r="182">
      <c r="F182" s="203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  <c r="R182" s="196"/>
      <c r="S182" s="196"/>
      <c r="T182" s="196"/>
      <c r="U182" s="196"/>
      <c r="V182" s="196"/>
      <c r="W182" s="196"/>
      <c r="X182" s="196"/>
      <c r="Y182" s="196"/>
      <c r="Z182" s="196"/>
      <c r="AA182" s="196"/>
      <c r="AB182" s="196"/>
      <c r="AC182" s="196"/>
      <c r="AD182" s="196"/>
      <c r="AE182" s="196"/>
      <c r="AF182" s="196"/>
      <c r="AG182" s="196"/>
      <c r="AH182" s="196"/>
      <c r="AI182" s="196"/>
      <c r="AJ182" s="196"/>
      <c r="AK182" s="196"/>
      <c r="AL182" s="196"/>
      <c r="AM182" s="196"/>
    </row>
    <row r="183">
      <c r="F183" s="203"/>
      <c r="H183" s="196"/>
      <c r="I183" s="196"/>
      <c r="J183" s="196"/>
      <c r="K183" s="196"/>
      <c r="L183" s="196"/>
      <c r="M183" s="196"/>
      <c r="N183" s="196"/>
      <c r="O183" s="196"/>
      <c r="P183" s="196"/>
      <c r="Q183" s="196"/>
      <c r="R183" s="196"/>
      <c r="S183" s="196"/>
      <c r="T183" s="196"/>
      <c r="U183" s="196"/>
      <c r="V183" s="196"/>
      <c r="W183" s="196"/>
      <c r="X183" s="196"/>
      <c r="Y183" s="196"/>
      <c r="Z183" s="196"/>
      <c r="AA183" s="196"/>
      <c r="AB183" s="196"/>
      <c r="AC183" s="196"/>
      <c r="AD183" s="196"/>
      <c r="AE183" s="196"/>
      <c r="AF183" s="196"/>
      <c r="AG183" s="196"/>
      <c r="AH183" s="196"/>
      <c r="AI183" s="196"/>
      <c r="AJ183" s="196"/>
      <c r="AK183" s="196"/>
      <c r="AL183" s="196"/>
      <c r="AM183" s="196"/>
    </row>
    <row r="184">
      <c r="F184" s="203"/>
      <c r="H184" s="196"/>
      <c r="I184" s="196"/>
      <c r="J184" s="196"/>
      <c r="K184" s="196"/>
      <c r="L184" s="196"/>
      <c r="M184" s="196"/>
      <c r="N184" s="196"/>
      <c r="O184" s="196"/>
      <c r="P184" s="196"/>
      <c r="Q184" s="196"/>
      <c r="R184" s="196"/>
      <c r="S184" s="196"/>
      <c r="T184" s="196"/>
      <c r="U184" s="196"/>
      <c r="V184" s="196"/>
      <c r="W184" s="196"/>
      <c r="X184" s="196"/>
      <c r="Y184" s="196"/>
      <c r="Z184" s="196"/>
      <c r="AA184" s="196"/>
      <c r="AB184" s="196"/>
      <c r="AC184" s="196"/>
      <c r="AD184" s="196"/>
      <c r="AE184" s="196"/>
      <c r="AF184" s="196"/>
      <c r="AG184" s="196"/>
      <c r="AH184" s="196"/>
      <c r="AI184" s="196"/>
      <c r="AJ184" s="196"/>
      <c r="AK184" s="196"/>
      <c r="AL184" s="196"/>
      <c r="AM184" s="196"/>
    </row>
    <row r="185">
      <c r="F185" s="203"/>
      <c r="H185" s="196"/>
      <c r="I185" s="196"/>
      <c r="J185" s="196"/>
      <c r="K185" s="196"/>
      <c r="L185" s="196"/>
      <c r="M185" s="196"/>
      <c r="N185" s="196"/>
      <c r="O185" s="196"/>
      <c r="P185" s="196"/>
      <c r="Q185" s="196"/>
      <c r="R185" s="196"/>
      <c r="S185" s="196"/>
      <c r="T185" s="196"/>
      <c r="U185" s="196"/>
      <c r="V185" s="196"/>
      <c r="W185" s="196"/>
      <c r="X185" s="196"/>
      <c r="Y185" s="196"/>
      <c r="Z185" s="196"/>
      <c r="AA185" s="196"/>
      <c r="AB185" s="196"/>
      <c r="AC185" s="196"/>
      <c r="AD185" s="196"/>
      <c r="AE185" s="196"/>
      <c r="AF185" s="196"/>
      <c r="AG185" s="196"/>
      <c r="AH185" s="196"/>
      <c r="AI185" s="196"/>
      <c r="AJ185" s="196"/>
      <c r="AK185" s="196"/>
      <c r="AL185" s="196"/>
      <c r="AM185" s="196"/>
    </row>
    <row r="186">
      <c r="F186" s="203"/>
      <c r="H186" s="196"/>
      <c r="I186" s="196"/>
      <c r="J186" s="196"/>
      <c r="K186" s="196"/>
      <c r="L186" s="196"/>
      <c r="M186" s="196"/>
      <c r="N186" s="196"/>
      <c r="O186" s="196"/>
      <c r="P186" s="196"/>
      <c r="Q186" s="196"/>
      <c r="R186" s="196"/>
      <c r="S186" s="196"/>
      <c r="T186" s="196"/>
      <c r="U186" s="196"/>
      <c r="V186" s="196"/>
      <c r="W186" s="196"/>
      <c r="X186" s="196"/>
      <c r="Y186" s="196"/>
      <c r="Z186" s="196"/>
      <c r="AA186" s="196"/>
      <c r="AB186" s="196"/>
      <c r="AC186" s="196"/>
      <c r="AD186" s="196"/>
      <c r="AE186" s="196"/>
      <c r="AF186" s="196"/>
      <c r="AG186" s="196"/>
      <c r="AH186" s="196"/>
      <c r="AI186" s="196"/>
      <c r="AJ186" s="196"/>
      <c r="AK186" s="196"/>
      <c r="AL186" s="196"/>
      <c r="AM186" s="196"/>
    </row>
    <row r="187">
      <c r="F187" s="203"/>
      <c r="H187" s="196"/>
      <c r="I187" s="196"/>
      <c r="J187" s="196"/>
      <c r="K187" s="196"/>
      <c r="L187" s="196"/>
      <c r="M187" s="196"/>
      <c r="N187" s="196"/>
      <c r="O187" s="196"/>
      <c r="P187" s="196"/>
      <c r="Q187" s="196"/>
      <c r="R187" s="196"/>
      <c r="S187" s="196"/>
      <c r="T187" s="196"/>
      <c r="U187" s="196"/>
      <c r="V187" s="196"/>
      <c r="W187" s="196"/>
      <c r="X187" s="196"/>
      <c r="Y187" s="196"/>
      <c r="Z187" s="196"/>
      <c r="AA187" s="196"/>
      <c r="AB187" s="196"/>
      <c r="AC187" s="196"/>
      <c r="AD187" s="196"/>
      <c r="AE187" s="196"/>
      <c r="AF187" s="196"/>
      <c r="AG187" s="196"/>
      <c r="AH187" s="196"/>
      <c r="AI187" s="196"/>
      <c r="AJ187" s="196"/>
      <c r="AK187" s="196"/>
      <c r="AL187" s="196"/>
      <c r="AM187" s="196"/>
    </row>
    <row r="188">
      <c r="F188" s="203"/>
      <c r="H188" s="196"/>
      <c r="I188" s="196"/>
      <c r="J188" s="196"/>
      <c r="K188" s="196"/>
      <c r="L188" s="196"/>
      <c r="M188" s="196"/>
      <c r="N188" s="196"/>
      <c r="O188" s="196"/>
      <c r="P188" s="196"/>
      <c r="Q188" s="196"/>
      <c r="R188" s="196"/>
      <c r="S188" s="196"/>
      <c r="T188" s="196"/>
      <c r="U188" s="196"/>
      <c r="V188" s="196"/>
      <c r="W188" s="196"/>
      <c r="X188" s="196"/>
      <c r="Y188" s="196"/>
      <c r="Z188" s="196"/>
      <c r="AA188" s="196"/>
      <c r="AB188" s="196"/>
      <c r="AC188" s="196"/>
      <c r="AD188" s="196"/>
      <c r="AE188" s="196"/>
      <c r="AF188" s="196"/>
      <c r="AG188" s="196"/>
      <c r="AH188" s="196"/>
      <c r="AI188" s="196"/>
      <c r="AJ188" s="196"/>
      <c r="AK188" s="196"/>
      <c r="AL188" s="196"/>
      <c r="AM188" s="196"/>
    </row>
    <row r="189">
      <c r="F189" s="203"/>
      <c r="H189" s="196"/>
      <c r="I189" s="196"/>
      <c r="J189" s="196"/>
      <c r="K189" s="196"/>
      <c r="L189" s="196"/>
      <c r="M189" s="196"/>
      <c r="N189" s="196"/>
      <c r="O189" s="196"/>
      <c r="P189" s="196"/>
      <c r="Q189" s="196"/>
      <c r="R189" s="196"/>
      <c r="S189" s="196"/>
      <c r="T189" s="196"/>
      <c r="U189" s="196"/>
      <c r="V189" s="196"/>
      <c r="W189" s="196"/>
      <c r="X189" s="196"/>
      <c r="Y189" s="196"/>
      <c r="Z189" s="196"/>
      <c r="AA189" s="196"/>
      <c r="AB189" s="196"/>
      <c r="AC189" s="196"/>
      <c r="AD189" s="196"/>
      <c r="AE189" s="196"/>
      <c r="AF189" s="196"/>
      <c r="AG189" s="196"/>
      <c r="AH189" s="196"/>
      <c r="AI189" s="196"/>
      <c r="AJ189" s="196"/>
      <c r="AK189" s="196"/>
      <c r="AL189" s="196"/>
      <c r="AM189" s="196"/>
    </row>
    <row r="190">
      <c r="F190" s="203"/>
      <c r="H190" s="196"/>
      <c r="I190" s="196"/>
      <c r="J190" s="196"/>
      <c r="K190" s="196"/>
      <c r="L190" s="196"/>
      <c r="M190" s="196"/>
      <c r="N190" s="196"/>
      <c r="O190" s="196"/>
      <c r="P190" s="196"/>
      <c r="Q190" s="196"/>
      <c r="R190" s="196"/>
      <c r="S190" s="196"/>
      <c r="T190" s="196"/>
      <c r="U190" s="196"/>
      <c r="V190" s="196"/>
      <c r="W190" s="196"/>
      <c r="X190" s="196"/>
      <c r="Y190" s="196"/>
      <c r="Z190" s="196"/>
      <c r="AA190" s="196"/>
      <c r="AB190" s="196"/>
      <c r="AC190" s="196"/>
      <c r="AD190" s="196"/>
      <c r="AE190" s="196"/>
      <c r="AF190" s="196"/>
      <c r="AG190" s="196"/>
      <c r="AH190" s="196"/>
      <c r="AI190" s="196"/>
      <c r="AJ190" s="196"/>
      <c r="AK190" s="196"/>
      <c r="AL190" s="196"/>
      <c r="AM190" s="196"/>
    </row>
    <row r="191">
      <c r="F191" s="203"/>
      <c r="H191" s="196"/>
      <c r="I191" s="196"/>
      <c r="J191" s="196"/>
      <c r="K191" s="196"/>
      <c r="L191" s="196"/>
      <c r="M191" s="196"/>
      <c r="N191" s="196"/>
      <c r="O191" s="196"/>
      <c r="P191" s="196"/>
      <c r="Q191" s="196"/>
      <c r="R191" s="196"/>
      <c r="S191" s="196"/>
      <c r="T191" s="196"/>
      <c r="U191" s="196"/>
      <c r="V191" s="196"/>
      <c r="W191" s="196"/>
      <c r="X191" s="196"/>
      <c r="Y191" s="196"/>
      <c r="Z191" s="196"/>
      <c r="AA191" s="196"/>
      <c r="AB191" s="196"/>
      <c r="AC191" s="196"/>
      <c r="AD191" s="196"/>
      <c r="AE191" s="196"/>
      <c r="AF191" s="196"/>
      <c r="AG191" s="196"/>
      <c r="AH191" s="196"/>
      <c r="AI191" s="196"/>
      <c r="AJ191" s="196"/>
      <c r="AK191" s="196"/>
      <c r="AL191" s="196"/>
      <c r="AM191" s="196"/>
    </row>
    <row r="192">
      <c r="F192" s="203"/>
      <c r="H192" s="196"/>
      <c r="I192" s="196"/>
      <c r="J192" s="196"/>
      <c r="K192" s="196"/>
      <c r="L192" s="196"/>
      <c r="M192" s="196"/>
      <c r="N192" s="196"/>
      <c r="O192" s="196"/>
      <c r="P192" s="196"/>
      <c r="Q192" s="196"/>
      <c r="R192" s="196"/>
      <c r="S192" s="196"/>
      <c r="T192" s="196"/>
      <c r="U192" s="196"/>
      <c r="V192" s="196"/>
      <c r="W192" s="196"/>
      <c r="X192" s="196"/>
      <c r="Y192" s="196"/>
      <c r="Z192" s="196"/>
      <c r="AA192" s="196"/>
      <c r="AB192" s="196"/>
      <c r="AC192" s="196"/>
      <c r="AD192" s="196"/>
      <c r="AE192" s="196"/>
      <c r="AF192" s="196"/>
      <c r="AG192" s="196"/>
      <c r="AH192" s="196"/>
      <c r="AI192" s="196"/>
      <c r="AJ192" s="196"/>
      <c r="AK192" s="196"/>
      <c r="AL192" s="196"/>
      <c r="AM192" s="196"/>
    </row>
    <row r="193">
      <c r="F193" s="203"/>
      <c r="H193" s="196"/>
      <c r="I193" s="196"/>
      <c r="J193" s="196"/>
      <c r="K193" s="196"/>
      <c r="L193" s="196"/>
      <c r="M193" s="196"/>
      <c r="N193" s="196"/>
      <c r="O193" s="196"/>
      <c r="P193" s="196"/>
      <c r="Q193" s="196"/>
      <c r="R193" s="196"/>
      <c r="S193" s="196"/>
      <c r="T193" s="196"/>
      <c r="U193" s="196"/>
      <c r="V193" s="196"/>
      <c r="W193" s="196"/>
      <c r="X193" s="196"/>
      <c r="Y193" s="196"/>
      <c r="Z193" s="196"/>
      <c r="AA193" s="196"/>
      <c r="AB193" s="196"/>
      <c r="AC193" s="196"/>
      <c r="AD193" s="196"/>
      <c r="AE193" s="196"/>
      <c r="AF193" s="196"/>
      <c r="AG193" s="196"/>
      <c r="AH193" s="196"/>
      <c r="AI193" s="196"/>
      <c r="AJ193" s="196"/>
      <c r="AK193" s="196"/>
      <c r="AL193" s="196"/>
      <c r="AM193" s="196"/>
    </row>
    <row r="194">
      <c r="F194" s="203"/>
      <c r="H194" s="196"/>
      <c r="I194" s="196"/>
      <c r="J194" s="196"/>
      <c r="K194" s="196"/>
      <c r="L194" s="196"/>
      <c r="M194" s="196"/>
      <c r="N194" s="196"/>
      <c r="O194" s="196"/>
      <c r="P194" s="196"/>
      <c r="Q194" s="196"/>
      <c r="R194" s="196"/>
      <c r="S194" s="196"/>
      <c r="T194" s="196"/>
      <c r="U194" s="196"/>
      <c r="V194" s="196"/>
      <c r="W194" s="196"/>
      <c r="X194" s="196"/>
      <c r="Y194" s="196"/>
      <c r="Z194" s="196"/>
      <c r="AA194" s="196"/>
      <c r="AB194" s="196"/>
      <c r="AC194" s="196"/>
      <c r="AD194" s="196"/>
      <c r="AE194" s="196"/>
      <c r="AF194" s="196"/>
      <c r="AG194" s="196"/>
      <c r="AH194" s="196"/>
      <c r="AI194" s="196"/>
      <c r="AJ194" s="196"/>
      <c r="AK194" s="196"/>
      <c r="AL194" s="196"/>
      <c r="AM194" s="196"/>
    </row>
    <row r="195">
      <c r="F195" s="203"/>
      <c r="H195" s="196"/>
      <c r="I195" s="196"/>
      <c r="J195" s="196"/>
      <c r="K195" s="196"/>
      <c r="L195" s="196"/>
      <c r="M195" s="196"/>
      <c r="N195" s="196"/>
      <c r="O195" s="196"/>
      <c r="P195" s="196"/>
      <c r="Q195" s="196"/>
      <c r="R195" s="196"/>
      <c r="S195" s="196"/>
      <c r="T195" s="196"/>
      <c r="U195" s="196"/>
      <c r="V195" s="196"/>
      <c r="W195" s="196"/>
      <c r="X195" s="196"/>
      <c r="Y195" s="196"/>
      <c r="Z195" s="196"/>
      <c r="AA195" s="196"/>
      <c r="AB195" s="196"/>
      <c r="AC195" s="196"/>
      <c r="AD195" s="196"/>
      <c r="AE195" s="196"/>
      <c r="AF195" s="196"/>
      <c r="AG195" s="196"/>
      <c r="AH195" s="196"/>
      <c r="AI195" s="196"/>
      <c r="AJ195" s="196"/>
      <c r="AK195" s="196"/>
      <c r="AL195" s="196"/>
      <c r="AM195" s="196"/>
    </row>
    <row r="196">
      <c r="F196" s="203"/>
      <c r="H196" s="196"/>
      <c r="I196" s="196"/>
      <c r="J196" s="196"/>
      <c r="K196" s="196"/>
      <c r="L196" s="196"/>
      <c r="M196" s="196"/>
      <c r="N196" s="196"/>
      <c r="O196" s="196"/>
      <c r="P196" s="196"/>
      <c r="Q196" s="196"/>
      <c r="R196" s="196"/>
      <c r="S196" s="196"/>
      <c r="T196" s="196"/>
      <c r="U196" s="196"/>
      <c r="V196" s="196"/>
      <c r="W196" s="196"/>
      <c r="X196" s="196"/>
      <c r="Y196" s="196"/>
      <c r="Z196" s="196"/>
      <c r="AA196" s="196"/>
      <c r="AB196" s="196"/>
      <c r="AC196" s="196"/>
      <c r="AD196" s="196"/>
      <c r="AE196" s="196"/>
      <c r="AF196" s="196"/>
      <c r="AG196" s="196"/>
      <c r="AH196" s="196"/>
      <c r="AI196" s="196"/>
      <c r="AJ196" s="196"/>
      <c r="AK196" s="196"/>
      <c r="AL196" s="196"/>
      <c r="AM196" s="196"/>
    </row>
    <row r="197">
      <c r="F197" s="203"/>
      <c r="H197" s="196"/>
      <c r="I197" s="196"/>
      <c r="J197" s="196"/>
      <c r="K197" s="196"/>
      <c r="L197" s="196"/>
      <c r="M197" s="196"/>
      <c r="N197" s="196"/>
      <c r="O197" s="196"/>
      <c r="P197" s="196"/>
      <c r="Q197" s="196"/>
      <c r="R197" s="196"/>
      <c r="S197" s="196"/>
      <c r="T197" s="196"/>
      <c r="U197" s="196"/>
      <c r="V197" s="196"/>
      <c r="W197" s="196"/>
      <c r="X197" s="196"/>
      <c r="Y197" s="196"/>
      <c r="Z197" s="196"/>
      <c r="AA197" s="196"/>
      <c r="AB197" s="196"/>
      <c r="AC197" s="196"/>
      <c r="AD197" s="196"/>
      <c r="AE197" s="196"/>
      <c r="AF197" s="196"/>
      <c r="AG197" s="196"/>
      <c r="AH197" s="196"/>
      <c r="AI197" s="196"/>
      <c r="AJ197" s="196"/>
      <c r="AK197" s="196"/>
      <c r="AL197" s="196"/>
      <c r="AM197" s="196"/>
    </row>
    <row r="198">
      <c r="F198" s="203"/>
      <c r="H198" s="196"/>
      <c r="I198" s="196"/>
      <c r="J198" s="196"/>
      <c r="K198" s="196"/>
      <c r="L198" s="196"/>
      <c r="M198" s="196"/>
      <c r="N198" s="196"/>
      <c r="O198" s="196"/>
      <c r="P198" s="196"/>
      <c r="Q198" s="196"/>
      <c r="R198" s="196"/>
      <c r="S198" s="196"/>
      <c r="T198" s="196"/>
      <c r="U198" s="196"/>
      <c r="V198" s="196"/>
      <c r="W198" s="196"/>
      <c r="X198" s="196"/>
      <c r="Y198" s="196"/>
      <c r="Z198" s="196"/>
      <c r="AA198" s="196"/>
      <c r="AB198" s="196"/>
      <c r="AC198" s="196"/>
      <c r="AD198" s="196"/>
      <c r="AE198" s="196"/>
      <c r="AF198" s="196"/>
      <c r="AG198" s="196"/>
      <c r="AH198" s="196"/>
      <c r="AI198" s="196"/>
      <c r="AJ198" s="196"/>
      <c r="AK198" s="196"/>
      <c r="AL198" s="196"/>
      <c r="AM198" s="196"/>
    </row>
    <row r="199">
      <c r="F199" s="203"/>
      <c r="H199" s="196"/>
      <c r="I199" s="196"/>
      <c r="J199" s="196"/>
      <c r="K199" s="196"/>
      <c r="L199" s="196"/>
      <c r="M199" s="196"/>
      <c r="N199" s="196"/>
      <c r="O199" s="196"/>
      <c r="P199" s="196"/>
      <c r="Q199" s="196"/>
      <c r="R199" s="196"/>
      <c r="S199" s="196"/>
      <c r="T199" s="196"/>
      <c r="U199" s="196"/>
      <c r="V199" s="196"/>
      <c r="W199" s="196"/>
      <c r="X199" s="196"/>
      <c r="Y199" s="196"/>
      <c r="Z199" s="196"/>
      <c r="AA199" s="196"/>
      <c r="AB199" s="196"/>
      <c r="AC199" s="196"/>
      <c r="AD199" s="196"/>
      <c r="AE199" s="196"/>
      <c r="AF199" s="196"/>
      <c r="AG199" s="196"/>
      <c r="AH199" s="196"/>
      <c r="AI199" s="196"/>
      <c r="AJ199" s="196"/>
      <c r="AK199" s="196"/>
      <c r="AL199" s="196"/>
      <c r="AM199" s="196"/>
    </row>
    <row r="200">
      <c r="F200" s="203"/>
      <c r="H200" s="196"/>
      <c r="I200" s="196"/>
      <c r="J200" s="196"/>
      <c r="K200" s="196"/>
      <c r="L200" s="196"/>
      <c r="M200" s="196"/>
      <c r="N200" s="196"/>
      <c r="O200" s="196"/>
      <c r="P200" s="196"/>
      <c r="Q200" s="196"/>
      <c r="R200" s="196"/>
      <c r="S200" s="196"/>
      <c r="T200" s="196"/>
      <c r="U200" s="196"/>
      <c r="V200" s="196"/>
      <c r="W200" s="196"/>
      <c r="X200" s="196"/>
      <c r="Y200" s="196"/>
      <c r="Z200" s="196"/>
      <c r="AA200" s="196"/>
      <c r="AB200" s="196"/>
      <c r="AC200" s="196"/>
      <c r="AD200" s="196"/>
      <c r="AE200" s="196"/>
      <c r="AF200" s="196"/>
      <c r="AG200" s="196"/>
      <c r="AH200" s="196"/>
      <c r="AI200" s="196"/>
      <c r="AJ200" s="196"/>
      <c r="AK200" s="196"/>
      <c r="AL200" s="196"/>
      <c r="AM200" s="196"/>
    </row>
    <row r="201">
      <c r="F201" s="203"/>
      <c r="H201" s="196"/>
      <c r="I201" s="196"/>
      <c r="J201" s="196"/>
      <c r="K201" s="196"/>
      <c r="L201" s="196"/>
      <c r="M201" s="196"/>
      <c r="N201" s="196"/>
      <c r="O201" s="196"/>
      <c r="P201" s="196"/>
      <c r="Q201" s="196"/>
      <c r="R201" s="196"/>
      <c r="S201" s="196"/>
      <c r="T201" s="196"/>
      <c r="U201" s="196"/>
      <c r="V201" s="196"/>
      <c r="W201" s="196"/>
      <c r="X201" s="196"/>
      <c r="Y201" s="196"/>
      <c r="Z201" s="196"/>
      <c r="AA201" s="196"/>
      <c r="AB201" s="196"/>
      <c r="AC201" s="196"/>
      <c r="AD201" s="196"/>
      <c r="AE201" s="196"/>
      <c r="AF201" s="196"/>
      <c r="AG201" s="196"/>
      <c r="AH201" s="196"/>
      <c r="AI201" s="196"/>
      <c r="AJ201" s="196"/>
      <c r="AK201" s="196"/>
      <c r="AL201" s="196"/>
      <c r="AM201" s="196"/>
    </row>
    <row r="202">
      <c r="F202" s="203"/>
      <c r="H202" s="196"/>
      <c r="I202" s="196"/>
      <c r="J202" s="196"/>
      <c r="K202" s="196"/>
      <c r="L202" s="196"/>
      <c r="M202" s="196"/>
      <c r="N202" s="196"/>
      <c r="O202" s="196"/>
      <c r="P202" s="196"/>
      <c r="Q202" s="196"/>
      <c r="R202" s="196"/>
      <c r="S202" s="196"/>
      <c r="T202" s="196"/>
      <c r="U202" s="196"/>
      <c r="V202" s="196"/>
      <c r="W202" s="196"/>
      <c r="X202" s="196"/>
      <c r="Y202" s="196"/>
      <c r="Z202" s="196"/>
      <c r="AA202" s="196"/>
      <c r="AB202" s="196"/>
      <c r="AC202" s="196"/>
      <c r="AD202" s="196"/>
      <c r="AE202" s="196"/>
      <c r="AF202" s="196"/>
      <c r="AG202" s="196"/>
      <c r="AH202" s="196"/>
      <c r="AI202" s="196"/>
      <c r="AJ202" s="196"/>
      <c r="AK202" s="196"/>
      <c r="AL202" s="196"/>
      <c r="AM202" s="196"/>
    </row>
    <row r="203">
      <c r="F203" s="203"/>
      <c r="H203" s="196"/>
      <c r="I203" s="196"/>
      <c r="J203" s="196"/>
      <c r="K203" s="196"/>
      <c r="L203" s="196"/>
      <c r="M203" s="196"/>
      <c r="N203" s="196"/>
      <c r="O203" s="196"/>
      <c r="P203" s="196"/>
      <c r="Q203" s="196"/>
      <c r="R203" s="196"/>
      <c r="S203" s="196"/>
      <c r="T203" s="196"/>
      <c r="U203" s="196"/>
      <c r="V203" s="196"/>
      <c r="W203" s="196"/>
      <c r="X203" s="196"/>
      <c r="Y203" s="196"/>
      <c r="Z203" s="196"/>
      <c r="AA203" s="196"/>
      <c r="AB203" s="196"/>
      <c r="AC203" s="196"/>
      <c r="AD203" s="196"/>
      <c r="AE203" s="196"/>
      <c r="AF203" s="196"/>
      <c r="AG203" s="196"/>
      <c r="AH203" s="196"/>
      <c r="AI203" s="196"/>
      <c r="AJ203" s="196"/>
      <c r="AK203" s="196"/>
      <c r="AL203" s="196"/>
      <c r="AM203" s="196"/>
    </row>
    <row r="204">
      <c r="F204" s="203"/>
      <c r="H204" s="196"/>
      <c r="I204" s="196"/>
      <c r="J204" s="196"/>
      <c r="K204" s="196"/>
      <c r="L204" s="196"/>
      <c r="M204" s="196"/>
      <c r="N204" s="196"/>
      <c r="O204" s="196"/>
      <c r="P204" s="196"/>
      <c r="Q204" s="196"/>
      <c r="R204" s="196"/>
      <c r="S204" s="196"/>
      <c r="T204" s="196"/>
      <c r="U204" s="196"/>
      <c r="V204" s="196"/>
      <c r="W204" s="196"/>
      <c r="X204" s="196"/>
      <c r="Y204" s="196"/>
      <c r="Z204" s="196"/>
      <c r="AA204" s="196"/>
      <c r="AB204" s="196"/>
      <c r="AC204" s="196"/>
      <c r="AD204" s="196"/>
      <c r="AE204" s="196"/>
      <c r="AF204" s="196"/>
      <c r="AG204" s="196"/>
      <c r="AH204" s="196"/>
      <c r="AI204" s="196"/>
      <c r="AJ204" s="196"/>
      <c r="AK204" s="196"/>
      <c r="AL204" s="196"/>
      <c r="AM204" s="196"/>
    </row>
    <row r="205">
      <c r="F205" s="203"/>
      <c r="H205" s="196"/>
      <c r="I205" s="196"/>
      <c r="J205" s="196"/>
      <c r="K205" s="196"/>
      <c r="L205" s="196"/>
      <c r="M205" s="196"/>
      <c r="N205" s="196"/>
      <c r="O205" s="196"/>
      <c r="P205" s="196"/>
      <c r="Q205" s="196"/>
      <c r="R205" s="196"/>
      <c r="S205" s="196"/>
      <c r="T205" s="196"/>
      <c r="U205" s="196"/>
      <c r="V205" s="196"/>
      <c r="W205" s="196"/>
      <c r="X205" s="196"/>
      <c r="Y205" s="196"/>
      <c r="Z205" s="196"/>
      <c r="AA205" s="196"/>
      <c r="AB205" s="196"/>
      <c r="AC205" s="196"/>
      <c r="AD205" s="196"/>
      <c r="AE205" s="196"/>
      <c r="AF205" s="196"/>
      <c r="AG205" s="196"/>
      <c r="AH205" s="196"/>
      <c r="AI205" s="196"/>
      <c r="AJ205" s="196"/>
      <c r="AK205" s="196"/>
      <c r="AL205" s="196"/>
      <c r="AM205" s="196"/>
    </row>
    <row r="206">
      <c r="F206" s="203"/>
      <c r="H206" s="196"/>
      <c r="I206" s="196"/>
      <c r="J206" s="196"/>
      <c r="K206" s="196"/>
      <c r="L206" s="196"/>
      <c r="M206" s="196"/>
      <c r="N206" s="196"/>
      <c r="O206" s="196"/>
      <c r="P206" s="196"/>
      <c r="Q206" s="196"/>
      <c r="R206" s="196"/>
      <c r="S206" s="196"/>
      <c r="T206" s="196"/>
      <c r="U206" s="196"/>
      <c r="V206" s="196"/>
      <c r="W206" s="196"/>
      <c r="X206" s="196"/>
      <c r="Y206" s="196"/>
      <c r="Z206" s="196"/>
      <c r="AA206" s="196"/>
      <c r="AB206" s="196"/>
      <c r="AC206" s="196"/>
      <c r="AD206" s="196"/>
      <c r="AE206" s="196"/>
      <c r="AF206" s="196"/>
      <c r="AG206" s="196"/>
      <c r="AH206" s="196"/>
      <c r="AI206" s="196"/>
      <c r="AJ206" s="196"/>
      <c r="AK206" s="196"/>
      <c r="AL206" s="196"/>
      <c r="AM206" s="196"/>
    </row>
    <row r="207">
      <c r="F207" s="203"/>
      <c r="H207" s="196"/>
      <c r="I207" s="196"/>
      <c r="J207" s="196"/>
      <c r="K207" s="196"/>
      <c r="L207" s="196"/>
      <c r="M207" s="196"/>
      <c r="N207" s="196"/>
      <c r="O207" s="196"/>
      <c r="P207" s="196"/>
      <c r="Q207" s="196"/>
      <c r="R207" s="196"/>
      <c r="S207" s="196"/>
      <c r="T207" s="196"/>
      <c r="U207" s="196"/>
      <c r="V207" s="196"/>
      <c r="W207" s="196"/>
      <c r="X207" s="196"/>
      <c r="Y207" s="196"/>
      <c r="Z207" s="196"/>
      <c r="AA207" s="196"/>
      <c r="AB207" s="196"/>
      <c r="AC207" s="196"/>
      <c r="AD207" s="196"/>
      <c r="AE207" s="196"/>
      <c r="AF207" s="196"/>
      <c r="AG207" s="196"/>
      <c r="AH207" s="196"/>
      <c r="AI207" s="196"/>
      <c r="AJ207" s="196"/>
      <c r="AK207" s="196"/>
      <c r="AL207" s="196"/>
      <c r="AM207" s="196"/>
    </row>
    <row r="208">
      <c r="F208" s="203"/>
      <c r="H208" s="196"/>
      <c r="I208" s="196"/>
      <c r="J208" s="196"/>
      <c r="K208" s="196"/>
      <c r="L208" s="196"/>
      <c r="M208" s="196"/>
      <c r="N208" s="196"/>
      <c r="O208" s="196"/>
      <c r="P208" s="196"/>
      <c r="Q208" s="196"/>
      <c r="R208" s="196"/>
      <c r="S208" s="196"/>
      <c r="T208" s="196"/>
      <c r="U208" s="196"/>
      <c r="V208" s="196"/>
      <c r="W208" s="196"/>
      <c r="X208" s="196"/>
      <c r="Y208" s="196"/>
      <c r="Z208" s="196"/>
      <c r="AA208" s="196"/>
      <c r="AB208" s="196"/>
      <c r="AC208" s="196"/>
      <c r="AD208" s="196"/>
      <c r="AE208" s="196"/>
      <c r="AF208" s="196"/>
      <c r="AG208" s="196"/>
      <c r="AH208" s="196"/>
      <c r="AI208" s="196"/>
      <c r="AJ208" s="196"/>
      <c r="AK208" s="196"/>
      <c r="AL208" s="196"/>
      <c r="AM208" s="196"/>
    </row>
    <row r="209">
      <c r="F209" s="203"/>
      <c r="H209" s="196"/>
      <c r="I209" s="196"/>
      <c r="J209" s="196"/>
      <c r="K209" s="196"/>
      <c r="L209" s="196"/>
      <c r="M209" s="196"/>
      <c r="N209" s="196"/>
      <c r="O209" s="196"/>
      <c r="P209" s="196"/>
      <c r="Q209" s="196"/>
      <c r="R209" s="196"/>
      <c r="S209" s="196"/>
      <c r="T209" s="196"/>
      <c r="U209" s="196"/>
      <c r="V209" s="196"/>
      <c r="W209" s="196"/>
      <c r="X209" s="196"/>
      <c r="Y209" s="196"/>
      <c r="Z209" s="196"/>
      <c r="AA209" s="196"/>
      <c r="AB209" s="196"/>
      <c r="AC209" s="196"/>
      <c r="AD209" s="196"/>
      <c r="AE209" s="196"/>
      <c r="AF209" s="196"/>
      <c r="AG209" s="196"/>
      <c r="AH209" s="196"/>
      <c r="AI209" s="196"/>
      <c r="AJ209" s="196"/>
      <c r="AK209" s="196"/>
      <c r="AL209" s="196"/>
      <c r="AM209" s="196"/>
    </row>
    <row r="210">
      <c r="F210" s="203"/>
      <c r="H210" s="196"/>
      <c r="I210" s="196"/>
      <c r="J210" s="196"/>
      <c r="K210" s="196"/>
      <c r="L210" s="196"/>
      <c r="M210" s="196"/>
      <c r="N210" s="196"/>
      <c r="O210" s="196"/>
      <c r="P210" s="196"/>
      <c r="Q210" s="196"/>
      <c r="R210" s="196"/>
      <c r="S210" s="196"/>
      <c r="T210" s="196"/>
      <c r="U210" s="196"/>
      <c r="V210" s="196"/>
      <c r="W210" s="196"/>
      <c r="X210" s="196"/>
      <c r="Y210" s="196"/>
      <c r="Z210" s="196"/>
      <c r="AA210" s="196"/>
      <c r="AB210" s="196"/>
      <c r="AC210" s="196"/>
      <c r="AD210" s="196"/>
      <c r="AE210" s="196"/>
      <c r="AF210" s="196"/>
      <c r="AG210" s="196"/>
      <c r="AH210" s="196"/>
      <c r="AI210" s="196"/>
      <c r="AJ210" s="196"/>
      <c r="AK210" s="196"/>
      <c r="AL210" s="196"/>
      <c r="AM210" s="196"/>
    </row>
    <row r="211">
      <c r="F211" s="203"/>
      <c r="H211" s="196"/>
      <c r="I211" s="196"/>
      <c r="J211" s="196"/>
      <c r="K211" s="196"/>
      <c r="L211" s="196"/>
      <c r="M211" s="196"/>
      <c r="N211" s="196"/>
      <c r="O211" s="196"/>
      <c r="P211" s="196"/>
      <c r="Q211" s="196"/>
      <c r="R211" s="196"/>
      <c r="S211" s="196"/>
      <c r="T211" s="196"/>
      <c r="U211" s="196"/>
      <c r="V211" s="196"/>
      <c r="W211" s="196"/>
      <c r="X211" s="196"/>
      <c r="Y211" s="196"/>
      <c r="Z211" s="196"/>
      <c r="AA211" s="196"/>
      <c r="AB211" s="196"/>
      <c r="AC211" s="196"/>
      <c r="AD211" s="196"/>
      <c r="AE211" s="196"/>
      <c r="AF211" s="196"/>
      <c r="AG211" s="196"/>
      <c r="AH211" s="196"/>
      <c r="AI211" s="196"/>
      <c r="AJ211" s="196"/>
      <c r="AK211" s="196"/>
      <c r="AL211" s="196"/>
      <c r="AM211" s="196"/>
    </row>
    <row r="212">
      <c r="F212" s="203"/>
      <c r="H212" s="196"/>
      <c r="I212" s="196"/>
      <c r="J212" s="196"/>
      <c r="K212" s="196"/>
      <c r="L212" s="196"/>
      <c r="M212" s="196"/>
      <c r="N212" s="196"/>
      <c r="O212" s="196"/>
      <c r="P212" s="196"/>
      <c r="Q212" s="196"/>
      <c r="R212" s="196"/>
      <c r="S212" s="196"/>
      <c r="T212" s="196"/>
      <c r="U212" s="196"/>
      <c r="V212" s="196"/>
      <c r="W212" s="196"/>
      <c r="X212" s="196"/>
      <c r="Y212" s="196"/>
      <c r="Z212" s="196"/>
      <c r="AA212" s="196"/>
      <c r="AB212" s="196"/>
      <c r="AC212" s="196"/>
      <c r="AD212" s="196"/>
      <c r="AE212" s="196"/>
      <c r="AF212" s="196"/>
      <c r="AG212" s="196"/>
      <c r="AH212" s="196"/>
      <c r="AI212" s="196"/>
      <c r="AJ212" s="196"/>
      <c r="AK212" s="196"/>
      <c r="AL212" s="196"/>
      <c r="AM212" s="196"/>
    </row>
    <row r="213">
      <c r="F213" s="203"/>
      <c r="H213" s="196"/>
      <c r="I213" s="196"/>
      <c r="J213" s="196"/>
      <c r="K213" s="196"/>
      <c r="L213" s="196"/>
      <c r="M213" s="196"/>
      <c r="N213" s="196"/>
      <c r="O213" s="196"/>
      <c r="P213" s="196"/>
      <c r="Q213" s="196"/>
      <c r="R213" s="196"/>
      <c r="S213" s="196"/>
      <c r="T213" s="196"/>
      <c r="U213" s="196"/>
      <c r="V213" s="196"/>
      <c r="W213" s="196"/>
      <c r="X213" s="196"/>
      <c r="Y213" s="196"/>
      <c r="Z213" s="196"/>
      <c r="AA213" s="196"/>
      <c r="AB213" s="196"/>
      <c r="AC213" s="196"/>
      <c r="AD213" s="196"/>
      <c r="AE213" s="196"/>
      <c r="AF213" s="196"/>
      <c r="AG213" s="196"/>
      <c r="AH213" s="196"/>
      <c r="AI213" s="196"/>
      <c r="AJ213" s="196"/>
      <c r="AK213" s="196"/>
      <c r="AL213" s="196"/>
      <c r="AM213" s="196"/>
    </row>
    <row r="214">
      <c r="F214" s="203"/>
      <c r="H214" s="196"/>
      <c r="I214" s="196"/>
      <c r="J214" s="196"/>
      <c r="K214" s="196"/>
      <c r="L214" s="196"/>
      <c r="M214" s="196"/>
      <c r="N214" s="196"/>
      <c r="O214" s="196"/>
      <c r="P214" s="196"/>
      <c r="Q214" s="196"/>
      <c r="R214" s="196"/>
      <c r="S214" s="196"/>
      <c r="T214" s="196"/>
      <c r="U214" s="196"/>
      <c r="V214" s="196"/>
      <c r="W214" s="196"/>
      <c r="X214" s="196"/>
      <c r="Y214" s="196"/>
      <c r="Z214" s="196"/>
      <c r="AA214" s="196"/>
      <c r="AB214" s="196"/>
      <c r="AC214" s="196"/>
      <c r="AD214" s="196"/>
      <c r="AE214" s="196"/>
      <c r="AF214" s="196"/>
      <c r="AG214" s="196"/>
      <c r="AH214" s="196"/>
      <c r="AI214" s="196"/>
      <c r="AJ214" s="196"/>
      <c r="AK214" s="196"/>
      <c r="AL214" s="196"/>
      <c r="AM214" s="196"/>
    </row>
    <row r="215">
      <c r="F215" s="203"/>
      <c r="H215" s="196"/>
      <c r="I215" s="196"/>
      <c r="J215" s="196"/>
      <c r="K215" s="196"/>
      <c r="L215" s="196"/>
      <c r="M215" s="196"/>
      <c r="N215" s="196"/>
      <c r="O215" s="196"/>
      <c r="P215" s="196"/>
      <c r="Q215" s="196"/>
      <c r="R215" s="196"/>
      <c r="S215" s="196"/>
      <c r="T215" s="196"/>
      <c r="U215" s="196"/>
      <c r="V215" s="196"/>
      <c r="W215" s="196"/>
      <c r="X215" s="196"/>
      <c r="Y215" s="196"/>
      <c r="Z215" s="196"/>
      <c r="AA215" s="196"/>
      <c r="AB215" s="196"/>
      <c r="AC215" s="196"/>
      <c r="AD215" s="196"/>
      <c r="AE215" s="196"/>
      <c r="AF215" s="196"/>
      <c r="AG215" s="196"/>
      <c r="AH215" s="196"/>
      <c r="AI215" s="196"/>
      <c r="AJ215" s="196"/>
      <c r="AK215" s="196"/>
      <c r="AL215" s="196"/>
      <c r="AM215" s="196"/>
    </row>
    <row r="216">
      <c r="F216" s="203"/>
      <c r="H216" s="196"/>
      <c r="I216" s="196"/>
      <c r="J216" s="196"/>
      <c r="K216" s="196"/>
      <c r="L216" s="196"/>
      <c r="M216" s="196"/>
      <c r="N216" s="196"/>
      <c r="O216" s="196"/>
      <c r="P216" s="196"/>
      <c r="Q216" s="196"/>
      <c r="R216" s="196"/>
      <c r="S216" s="196"/>
      <c r="T216" s="196"/>
      <c r="U216" s="196"/>
      <c r="V216" s="196"/>
      <c r="W216" s="196"/>
      <c r="X216" s="196"/>
      <c r="Y216" s="196"/>
      <c r="Z216" s="196"/>
      <c r="AA216" s="196"/>
      <c r="AB216" s="196"/>
      <c r="AC216" s="196"/>
      <c r="AD216" s="196"/>
      <c r="AE216" s="196"/>
      <c r="AF216" s="196"/>
      <c r="AG216" s="196"/>
      <c r="AH216" s="196"/>
      <c r="AI216" s="196"/>
      <c r="AJ216" s="196"/>
      <c r="AK216" s="196"/>
      <c r="AL216" s="196"/>
      <c r="AM216" s="196"/>
    </row>
    <row r="217">
      <c r="F217" s="203"/>
      <c r="H217" s="196"/>
      <c r="I217" s="196"/>
      <c r="J217" s="196"/>
      <c r="K217" s="196"/>
      <c r="L217" s="196"/>
      <c r="M217" s="196"/>
      <c r="N217" s="196"/>
      <c r="O217" s="196"/>
      <c r="P217" s="196"/>
      <c r="Q217" s="196"/>
      <c r="R217" s="196"/>
      <c r="S217" s="196"/>
      <c r="T217" s="196"/>
      <c r="U217" s="196"/>
      <c r="V217" s="196"/>
      <c r="W217" s="196"/>
      <c r="X217" s="196"/>
      <c r="Y217" s="196"/>
      <c r="Z217" s="196"/>
      <c r="AA217" s="196"/>
      <c r="AB217" s="196"/>
      <c r="AC217" s="196"/>
      <c r="AD217" s="196"/>
      <c r="AE217" s="196"/>
      <c r="AF217" s="196"/>
      <c r="AG217" s="196"/>
      <c r="AH217" s="196"/>
      <c r="AI217" s="196"/>
      <c r="AJ217" s="196"/>
      <c r="AK217" s="196"/>
      <c r="AL217" s="196"/>
      <c r="AM217" s="196"/>
    </row>
    <row r="218">
      <c r="F218" s="203"/>
      <c r="H218" s="196"/>
      <c r="I218" s="196"/>
      <c r="J218" s="196"/>
      <c r="K218" s="196"/>
      <c r="L218" s="196"/>
      <c r="M218" s="196"/>
      <c r="N218" s="196"/>
      <c r="O218" s="196"/>
      <c r="P218" s="196"/>
      <c r="Q218" s="196"/>
      <c r="R218" s="196"/>
      <c r="S218" s="196"/>
      <c r="T218" s="196"/>
      <c r="U218" s="196"/>
      <c r="V218" s="196"/>
      <c r="W218" s="196"/>
      <c r="X218" s="196"/>
      <c r="Y218" s="196"/>
      <c r="Z218" s="196"/>
      <c r="AA218" s="196"/>
      <c r="AB218" s="196"/>
      <c r="AC218" s="196"/>
      <c r="AD218" s="196"/>
      <c r="AE218" s="196"/>
      <c r="AF218" s="196"/>
      <c r="AG218" s="196"/>
      <c r="AH218" s="196"/>
      <c r="AI218" s="196"/>
      <c r="AJ218" s="196"/>
      <c r="AK218" s="196"/>
      <c r="AL218" s="196"/>
      <c r="AM218" s="196"/>
    </row>
    <row r="219">
      <c r="F219" s="203"/>
      <c r="H219" s="196"/>
      <c r="I219" s="196"/>
      <c r="J219" s="196"/>
      <c r="K219" s="196"/>
      <c r="L219" s="196"/>
      <c r="M219" s="196"/>
      <c r="N219" s="196"/>
      <c r="O219" s="196"/>
      <c r="P219" s="196"/>
      <c r="Q219" s="196"/>
      <c r="R219" s="196"/>
      <c r="S219" s="196"/>
      <c r="T219" s="196"/>
      <c r="U219" s="196"/>
      <c r="V219" s="196"/>
      <c r="W219" s="196"/>
      <c r="X219" s="196"/>
      <c r="Y219" s="196"/>
      <c r="Z219" s="196"/>
      <c r="AA219" s="196"/>
      <c r="AB219" s="196"/>
      <c r="AC219" s="196"/>
      <c r="AD219" s="196"/>
      <c r="AE219" s="196"/>
      <c r="AF219" s="196"/>
      <c r="AG219" s="196"/>
      <c r="AH219" s="196"/>
      <c r="AI219" s="196"/>
      <c r="AJ219" s="196"/>
      <c r="AK219" s="196"/>
      <c r="AL219" s="196"/>
      <c r="AM219" s="196"/>
    </row>
    <row r="220">
      <c r="F220" s="203"/>
      <c r="H220" s="196"/>
      <c r="I220" s="196"/>
      <c r="J220" s="196"/>
      <c r="K220" s="196"/>
      <c r="L220" s="196"/>
      <c r="M220" s="196"/>
      <c r="N220" s="196"/>
      <c r="O220" s="196"/>
      <c r="P220" s="196"/>
      <c r="Q220" s="196"/>
      <c r="R220" s="196"/>
      <c r="S220" s="196"/>
      <c r="T220" s="196"/>
      <c r="U220" s="196"/>
      <c r="V220" s="196"/>
      <c r="W220" s="196"/>
      <c r="X220" s="196"/>
      <c r="Y220" s="196"/>
      <c r="Z220" s="196"/>
      <c r="AA220" s="196"/>
      <c r="AB220" s="196"/>
      <c r="AC220" s="196"/>
      <c r="AD220" s="196"/>
      <c r="AE220" s="196"/>
      <c r="AF220" s="196"/>
      <c r="AG220" s="196"/>
      <c r="AH220" s="196"/>
      <c r="AI220" s="196"/>
      <c r="AJ220" s="196"/>
      <c r="AK220" s="196"/>
      <c r="AL220" s="196"/>
      <c r="AM220" s="196"/>
    </row>
    <row r="221">
      <c r="F221" s="203"/>
      <c r="H221" s="196"/>
      <c r="I221" s="196"/>
      <c r="J221" s="196"/>
      <c r="K221" s="196"/>
      <c r="L221" s="196"/>
      <c r="M221" s="196"/>
      <c r="N221" s="196"/>
      <c r="O221" s="196"/>
      <c r="P221" s="196"/>
      <c r="Q221" s="196"/>
      <c r="R221" s="196"/>
      <c r="S221" s="196"/>
      <c r="T221" s="196"/>
      <c r="U221" s="196"/>
      <c r="V221" s="196"/>
      <c r="W221" s="196"/>
      <c r="X221" s="196"/>
      <c r="Y221" s="196"/>
      <c r="Z221" s="196"/>
      <c r="AA221" s="196"/>
      <c r="AB221" s="196"/>
      <c r="AC221" s="196"/>
      <c r="AD221" s="196"/>
      <c r="AE221" s="196"/>
      <c r="AF221" s="196"/>
      <c r="AG221" s="196"/>
      <c r="AH221" s="196"/>
      <c r="AI221" s="196"/>
      <c r="AJ221" s="196"/>
      <c r="AK221" s="196"/>
      <c r="AL221" s="196"/>
      <c r="AM221" s="196"/>
    </row>
    <row r="222">
      <c r="F222" s="203"/>
      <c r="H222" s="196"/>
      <c r="I222" s="196"/>
      <c r="J222" s="196"/>
      <c r="K222" s="196"/>
      <c r="L222" s="196"/>
      <c r="M222" s="196"/>
      <c r="N222" s="196"/>
      <c r="O222" s="196"/>
      <c r="P222" s="196"/>
      <c r="Q222" s="196"/>
      <c r="R222" s="196"/>
      <c r="S222" s="196"/>
      <c r="T222" s="196"/>
      <c r="U222" s="196"/>
      <c r="V222" s="196"/>
      <c r="W222" s="196"/>
      <c r="X222" s="196"/>
      <c r="Y222" s="196"/>
      <c r="Z222" s="196"/>
      <c r="AA222" s="196"/>
      <c r="AB222" s="196"/>
      <c r="AC222" s="196"/>
      <c r="AD222" s="196"/>
      <c r="AE222" s="196"/>
      <c r="AF222" s="196"/>
      <c r="AG222" s="196"/>
      <c r="AH222" s="196"/>
      <c r="AI222" s="196"/>
      <c r="AJ222" s="196"/>
      <c r="AK222" s="196"/>
      <c r="AL222" s="196"/>
      <c r="AM222" s="196"/>
    </row>
    <row r="223">
      <c r="F223" s="203"/>
      <c r="H223" s="196"/>
      <c r="I223" s="196"/>
      <c r="J223" s="196"/>
      <c r="K223" s="196"/>
      <c r="L223" s="196"/>
      <c r="M223" s="196"/>
      <c r="N223" s="196"/>
      <c r="O223" s="196"/>
      <c r="P223" s="196"/>
      <c r="Q223" s="196"/>
      <c r="R223" s="196"/>
      <c r="S223" s="196"/>
      <c r="T223" s="196"/>
      <c r="U223" s="196"/>
      <c r="V223" s="196"/>
      <c r="W223" s="196"/>
      <c r="X223" s="196"/>
      <c r="Y223" s="196"/>
      <c r="Z223" s="196"/>
      <c r="AA223" s="196"/>
      <c r="AB223" s="196"/>
      <c r="AC223" s="196"/>
      <c r="AD223" s="196"/>
      <c r="AE223" s="196"/>
      <c r="AF223" s="196"/>
      <c r="AG223" s="196"/>
      <c r="AH223" s="196"/>
      <c r="AI223" s="196"/>
      <c r="AJ223" s="196"/>
      <c r="AK223" s="196"/>
      <c r="AL223" s="196"/>
      <c r="AM223" s="196"/>
    </row>
    <row r="224">
      <c r="F224" s="203"/>
      <c r="H224" s="196"/>
      <c r="I224" s="196"/>
      <c r="J224" s="196"/>
      <c r="K224" s="196"/>
      <c r="L224" s="196"/>
      <c r="M224" s="196"/>
      <c r="N224" s="196"/>
      <c r="O224" s="196"/>
      <c r="P224" s="196"/>
      <c r="Q224" s="196"/>
      <c r="R224" s="196"/>
      <c r="S224" s="196"/>
      <c r="T224" s="196"/>
      <c r="U224" s="196"/>
      <c r="V224" s="196"/>
      <c r="W224" s="196"/>
      <c r="X224" s="196"/>
      <c r="Y224" s="196"/>
      <c r="Z224" s="196"/>
      <c r="AA224" s="196"/>
      <c r="AB224" s="196"/>
      <c r="AC224" s="196"/>
      <c r="AD224" s="196"/>
      <c r="AE224" s="196"/>
      <c r="AF224" s="196"/>
      <c r="AG224" s="196"/>
      <c r="AH224" s="196"/>
      <c r="AI224" s="196"/>
      <c r="AJ224" s="196"/>
      <c r="AK224" s="196"/>
      <c r="AL224" s="196"/>
      <c r="AM224" s="196"/>
    </row>
    <row r="225">
      <c r="F225" s="203"/>
      <c r="H225" s="196"/>
      <c r="I225" s="196"/>
      <c r="J225" s="196"/>
      <c r="K225" s="196"/>
      <c r="L225" s="196"/>
      <c r="M225" s="196"/>
      <c r="N225" s="196"/>
      <c r="O225" s="196"/>
      <c r="P225" s="196"/>
      <c r="Q225" s="196"/>
      <c r="R225" s="196"/>
      <c r="S225" s="196"/>
      <c r="T225" s="196"/>
      <c r="U225" s="196"/>
      <c r="V225" s="196"/>
      <c r="W225" s="196"/>
      <c r="X225" s="196"/>
      <c r="Y225" s="196"/>
      <c r="Z225" s="196"/>
      <c r="AA225" s="196"/>
      <c r="AB225" s="196"/>
      <c r="AC225" s="196"/>
      <c r="AD225" s="196"/>
      <c r="AE225" s="196"/>
      <c r="AF225" s="196"/>
      <c r="AG225" s="196"/>
      <c r="AH225" s="196"/>
      <c r="AI225" s="196"/>
      <c r="AJ225" s="196"/>
      <c r="AK225" s="196"/>
      <c r="AL225" s="196"/>
      <c r="AM225" s="196"/>
    </row>
    <row r="226">
      <c r="F226" s="203"/>
      <c r="H226" s="196"/>
      <c r="I226" s="196"/>
      <c r="J226" s="196"/>
      <c r="K226" s="196"/>
      <c r="L226" s="196"/>
      <c r="M226" s="196"/>
      <c r="N226" s="196"/>
      <c r="O226" s="196"/>
      <c r="P226" s="196"/>
      <c r="Q226" s="196"/>
      <c r="R226" s="196"/>
      <c r="S226" s="196"/>
      <c r="T226" s="196"/>
      <c r="U226" s="196"/>
      <c r="V226" s="196"/>
      <c r="W226" s="196"/>
      <c r="X226" s="196"/>
      <c r="Y226" s="196"/>
      <c r="Z226" s="196"/>
      <c r="AA226" s="196"/>
      <c r="AB226" s="196"/>
      <c r="AC226" s="196"/>
      <c r="AD226" s="196"/>
      <c r="AE226" s="196"/>
      <c r="AF226" s="196"/>
      <c r="AG226" s="196"/>
      <c r="AH226" s="196"/>
      <c r="AI226" s="196"/>
      <c r="AJ226" s="196"/>
      <c r="AK226" s="196"/>
      <c r="AL226" s="196"/>
      <c r="AM226" s="196"/>
    </row>
    <row r="227">
      <c r="F227" s="203"/>
      <c r="H227" s="196"/>
      <c r="I227" s="196"/>
      <c r="J227" s="196"/>
      <c r="K227" s="196"/>
      <c r="L227" s="196"/>
      <c r="M227" s="196"/>
      <c r="N227" s="196"/>
      <c r="O227" s="196"/>
      <c r="P227" s="196"/>
      <c r="Q227" s="196"/>
      <c r="R227" s="196"/>
      <c r="S227" s="196"/>
      <c r="T227" s="196"/>
      <c r="U227" s="196"/>
      <c r="V227" s="196"/>
      <c r="W227" s="196"/>
      <c r="X227" s="196"/>
      <c r="Y227" s="196"/>
      <c r="Z227" s="196"/>
      <c r="AA227" s="196"/>
      <c r="AB227" s="196"/>
      <c r="AC227" s="196"/>
      <c r="AD227" s="196"/>
      <c r="AE227" s="196"/>
      <c r="AF227" s="196"/>
      <c r="AG227" s="196"/>
      <c r="AH227" s="196"/>
      <c r="AI227" s="196"/>
      <c r="AJ227" s="196"/>
      <c r="AK227" s="196"/>
      <c r="AL227" s="196"/>
      <c r="AM227" s="196"/>
    </row>
    <row r="228">
      <c r="F228" s="203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  <c r="R228" s="196"/>
      <c r="S228" s="196"/>
      <c r="T228" s="196"/>
      <c r="U228" s="196"/>
      <c r="V228" s="196"/>
      <c r="W228" s="196"/>
      <c r="X228" s="196"/>
      <c r="Y228" s="196"/>
      <c r="Z228" s="196"/>
      <c r="AA228" s="196"/>
      <c r="AB228" s="196"/>
      <c r="AC228" s="196"/>
      <c r="AD228" s="196"/>
      <c r="AE228" s="196"/>
      <c r="AF228" s="196"/>
      <c r="AG228" s="196"/>
      <c r="AH228" s="196"/>
      <c r="AI228" s="196"/>
      <c r="AJ228" s="196"/>
      <c r="AK228" s="196"/>
      <c r="AL228" s="196"/>
      <c r="AM228" s="196"/>
    </row>
    <row r="229">
      <c r="F229" s="203"/>
      <c r="H229" s="196"/>
      <c r="I229" s="196"/>
      <c r="J229" s="196"/>
      <c r="K229" s="196"/>
      <c r="L229" s="196"/>
      <c r="M229" s="196"/>
      <c r="N229" s="196"/>
      <c r="O229" s="196"/>
      <c r="P229" s="196"/>
      <c r="Q229" s="196"/>
      <c r="R229" s="196"/>
      <c r="S229" s="196"/>
      <c r="T229" s="196"/>
      <c r="U229" s="196"/>
      <c r="V229" s="196"/>
      <c r="W229" s="196"/>
      <c r="X229" s="196"/>
      <c r="Y229" s="196"/>
      <c r="Z229" s="196"/>
      <c r="AA229" s="196"/>
      <c r="AB229" s="196"/>
      <c r="AC229" s="196"/>
      <c r="AD229" s="196"/>
      <c r="AE229" s="196"/>
      <c r="AF229" s="196"/>
      <c r="AG229" s="196"/>
      <c r="AH229" s="196"/>
      <c r="AI229" s="196"/>
      <c r="AJ229" s="196"/>
      <c r="AK229" s="196"/>
      <c r="AL229" s="196"/>
      <c r="AM229" s="196"/>
    </row>
    <row r="230">
      <c r="F230" s="203"/>
      <c r="H230" s="196"/>
      <c r="I230" s="196"/>
      <c r="J230" s="196"/>
      <c r="K230" s="196"/>
      <c r="L230" s="196"/>
      <c r="M230" s="196"/>
      <c r="N230" s="196"/>
      <c r="O230" s="196"/>
      <c r="P230" s="196"/>
      <c r="Q230" s="196"/>
      <c r="R230" s="196"/>
      <c r="S230" s="196"/>
      <c r="T230" s="196"/>
      <c r="U230" s="196"/>
      <c r="V230" s="196"/>
      <c r="W230" s="196"/>
      <c r="X230" s="196"/>
      <c r="Y230" s="196"/>
      <c r="Z230" s="196"/>
      <c r="AA230" s="196"/>
      <c r="AB230" s="196"/>
      <c r="AC230" s="196"/>
      <c r="AD230" s="196"/>
      <c r="AE230" s="196"/>
      <c r="AF230" s="196"/>
      <c r="AG230" s="196"/>
      <c r="AH230" s="196"/>
      <c r="AI230" s="196"/>
      <c r="AJ230" s="196"/>
      <c r="AK230" s="196"/>
      <c r="AL230" s="196"/>
      <c r="AM230" s="196"/>
    </row>
    <row r="231">
      <c r="F231" s="203"/>
      <c r="H231" s="196"/>
      <c r="I231" s="196"/>
      <c r="J231" s="196"/>
      <c r="K231" s="196"/>
      <c r="L231" s="196"/>
      <c r="M231" s="196"/>
      <c r="N231" s="196"/>
      <c r="O231" s="196"/>
      <c r="P231" s="196"/>
      <c r="Q231" s="196"/>
      <c r="R231" s="196"/>
      <c r="S231" s="196"/>
      <c r="T231" s="196"/>
      <c r="U231" s="196"/>
      <c r="V231" s="196"/>
      <c r="W231" s="196"/>
      <c r="X231" s="196"/>
      <c r="Y231" s="196"/>
      <c r="Z231" s="196"/>
      <c r="AA231" s="196"/>
      <c r="AB231" s="196"/>
      <c r="AC231" s="196"/>
      <c r="AD231" s="196"/>
      <c r="AE231" s="196"/>
      <c r="AF231" s="196"/>
      <c r="AG231" s="196"/>
      <c r="AH231" s="196"/>
      <c r="AI231" s="196"/>
      <c r="AJ231" s="196"/>
      <c r="AK231" s="196"/>
      <c r="AL231" s="196"/>
      <c r="AM231" s="196"/>
    </row>
    <row r="232">
      <c r="F232" s="203"/>
      <c r="H232" s="196"/>
      <c r="I232" s="196"/>
      <c r="J232" s="196"/>
      <c r="K232" s="196"/>
      <c r="L232" s="196"/>
      <c r="M232" s="196"/>
      <c r="N232" s="196"/>
      <c r="O232" s="196"/>
      <c r="P232" s="196"/>
      <c r="Q232" s="196"/>
      <c r="R232" s="196"/>
      <c r="S232" s="196"/>
      <c r="T232" s="196"/>
      <c r="U232" s="196"/>
      <c r="V232" s="196"/>
      <c r="W232" s="196"/>
      <c r="X232" s="196"/>
      <c r="Y232" s="196"/>
      <c r="Z232" s="196"/>
      <c r="AA232" s="196"/>
      <c r="AB232" s="196"/>
      <c r="AC232" s="196"/>
      <c r="AD232" s="196"/>
      <c r="AE232" s="196"/>
      <c r="AF232" s="196"/>
      <c r="AG232" s="196"/>
      <c r="AH232" s="196"/>
      <c r="AI232" s="196"/>
      <c r="AJ232" s="196"/>
      <c r="AK232" s="196"/>
      <c r="AL232" s="196"/>
      <c r="AM232" s="196"/>
    </row>
    <row r="233">
      <c r="F233" s="203"/>
      <c r="H233" s="196"/>
      <c r="I233" s="196"/>
      <c r="J233" s="196"/>
      <c r="K233" s="196"/>
      <c r="L233" s="196"/>
      <c r="M233" s="196"/>
      <c r="N233" s="196"/>
      <c r="O233" s="196"/>
      <c r="P233" s="196"/>
      <c r="Q233" s="196"/>
      <c r="R233" s="196"/>
      <c r="S233" s="196"/>
      <c r="T233" s="196"/>
      <c r="U233" s="196"/>
      <c r="V233" s="196"/>
      <c r="W233" s="196"/>
      <c r="X233" s="196"/>
      <c r="Y233" s="196"/>
      <c r="Z233" s="196"/>
      <c r="AA233" s="196"/>
      <c r="AB233" s="196"/>
      <c r="AC233" s="196"/>
      <c r="AD233" s="196"/>
      <c r="AE233" s="196"/>
      <c r="AF233" s="196"/>
      <c r="AG233" s="196"/>
      <c r="AH233" s="196"/>
      <c r="AI233" s="196"/>
      <c r="AJ233" s="196"/>
      <c r="AK233" s="196"/>
      <c r="AL233" s="196"/>
      <c r="AM233" s="196"/>
    </row>
    <row r="234">
      <c r="F234" s="203"/>
      <c r="H234" s="196"/>
      <c r="I234" s="196"/>
      <c r="J234" s="196"/>
      <c r="K234" s="196"/>
      <c r="L234" s="196"/>
      <c r="M234" s="196"/>
      <c r="N234" s="196"/>
      <c r="O234" s="196"/>
      <c r="P234" s="196"/>
      <c r="Q234" s="196"/>
      <c r="R234" s="196"/>
      <c r="S234" s="196"/>
      <c r="T234" s="196"/>
      <c r="U234" s="196"/>
      <c r="V234" s="196"/>
      <c r="W234" s="196"/>
      <c r="X234" s="196"/>
      <c r="Y234" s="196"/>
      <c r="Z234" s="196"/>
      <c r="AA234" s="196"/>
      <c r="AB234" s="196"/>
      <c r="AC234" s="196"/>
      <c r="AD234" s="196"/>
      <c r="AE234" s="196"/>
      <c r="AF234" s="196"/>
      <c r="AG234" s="196"/>
      <c r="AH234" s="196"/>
      <c r="AI234" s="196"/>
      <c r="AJ234" s="196"/>
      <c r="AK234" s="196"/>
      <c r="AL234" s="196"/>
      <c r="AM234" s="196"/>
    </row>
    <row r="235">
      <c r="F235" s="203"/>
      <c r="H235" s="196"/>
      <c r="I235" s="196"/>
      <c r="J235" s="196"/>
      <c r="K235" s="196"/>
      <c r="L235" s="196"/>
      <c r="M235" s="196"/>
      <c r="N235" s="196"/>
      <c r="O235" s="196"/>
      <c r="P235" s="196"/>
      <c r="Q235" s="196"/>
      <c r="R235" s="196"/>
      <c r="S235" s="196"/>
      <c r="T235" s="196"/>
      <c r="U235" s="196"/>
      <c r="V235" s="196"/>
      <c r="W235" s="196"/>
      <c r="X235" s="196"/>
      <c r="Y235" s="196"/>
      <c r="Z235" s="196"/>
      <c r="AA235" s="196"/>
      <c r="AB235" s="196"/>
      <c r="AC235" s="196"/>
      <c r="AD235" s="196"/>
      <c r="AE235" s="196"/>
      <c r="AF235" s="196"/>
      <c r="AG235" s="196"/>
      <c r="AH235" s="196"/>
      <c r="AI235" s="196"/>
      <c r="AJ235" s="196"/>
      <c r="AK235" s="196"/>
      <c r="AL235" s="196"/>
      <c r="AM235" s="196"/>
    </row>
    <row r="236">
      <c r="F236" s="203"/>
      <c r="H236" s="196"/>
      <c r="I236" s="196"/>
      <c r="J236" s="196"/>
      <c r="K236" s="196"/>
      <c r="L236" s="196"/>
      <c r="M236" s="196"/>
      <c r="N236" s="196"/>
      <c r="O236" s="196"/>
      <c r="P236" s="196"/>
      <c r="Q236" s="196"/>
      <c r="R236" s="196"/>
      <c r="S236" s="196"/>
      <c r="T236" s="196"/>
      <c r="U236" s="196"/>
      <c r="V236" s="196"/>
      <c r="W236" s="196"/>
      <c r="X236" s="196"/>
      <c r="Y236" s="196"/>
      <c r="Z236" s="196"/>
      <c r="AA236" s="196"/>
      <c r="AB236" s="196"/>
      <c r="AC236" s="196"/>
      <c r="AD236" s="196"/>
      <c r="AE236" s="196"/>
      <c r="AF236" s="196"/>
      <c r="AG236" s="196"/>
      <c r="AH236" s="196"/>
      <c r="AI236" s="196"/>
      <c r="AJ236" s="196"/>
      <c r="AK236" s="196"/>
      <c r="AL236" s="196"/>
      <c r="AM236" s="196"/>
    </row>
    <row r="237">
      <c r="F237" s="203"/>
      <c r="H237" s="196"/>
      <c r="I237" s="196"/>
      <c r="J237" s="196"/>
      <c r="K237" s="196"/>
      <c r="L237" s="196"/>
      <c r="M237" s="196"/>
      <c r="N237" s="196"/>
      <c r="O237" s="196"/>
      <c r="P237" s="196"/>
      <c r="Q237" s="196"/>
      <c r="R237" s="196"/>
      <c r="S237" s="196"/>
      <c r="T237" s="196"/>
      <c r="U237" s="196"/>
      <c r="V237" s="196"/>
      <c r="W237" s="196"/>
      <c r="X237" s="196"/>
      <c r="Y237" s="196"/>
      <c r="Z237" s="196"/>
      <c r="AA237" s="196"/>
      <c r="AB237" s="196"/>
      <c r="AC237" s="196"/>
      <c r="AD237" s="196"/>
      <c r="AE237" s="196"/>
      <c r="AF237" s="196"/>
      <c r="AG237" s="196"/>
      <c r="AH237" s="196"/>
      <c r="AI237" s="196"/>
      <c r="AJ237" s="196"/>
      <c r="AK237" s="196"/>
      <c r="AL237" s="196"/>
      <c r="AM237" s="196"/>
    </row>
    <row r="238">
      <c r="F238" s="203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  <c r="R238" s="196"/>
      <c r="S238" s="196"/>
      <c r="T238" s="196"/>
      <c r="U238" s="196"/>
      <c r="V238" s="196"/>
      <c r="W238" s="196"/>
      <c r="X238" s="196"/>
      <c r="Y238" s="196"/>
      <c r="Z238" s="196"/>
      <c r="AA238" s="196"/>
      <c r="AB238" s="196"/>
      <c r="AC238" s="196"/>
      <c r="AD238" s="196"/>
      <c r="AE238" s="196"/>
      <c r="AF238" s="196"/>
      <c r="AG238" s="196"/>
      <c r="AH238" s="196"/>
      <c r="AI238" s="196"/>
      <c r="AJ238" s="196"/>
      <c r="AK238" s="196"/>
      <c r="AL238" s="196"/>
      <c r="AM238" s="196"/>
    </row>
    <row r="239">
      <c r="F239" s="203"/>
      <c r="H239" s="196"/>
      <c r="I239" s="196"/>
      <c r="J239" s="196"/>
      <c r="K239" s="196"/>
      <c r="L239" s="196"/>
      <c r="M239" s="196"/>
      <c r="N239" s="196"/>
      <c r="O239" s="196"/>
      <c r="P239" s="196"/>
      <c r="Q239" s="196"/>
      <c r="R239" s="196"/>
      <c r="S239" s="196"/>
      <c r="T239" s="196"/>
      <c r="U239" s="196"/>
      <c r="V239" s="196"/>
      <c r="W239" s="196"/>
      <c r="X239" s="196"/>
      <c r="Y239" s="196"/>
      <c r="Z239" s="196"/>
      <c r="AA239" s="196"/>
      <c r="AB239" s="196"/>
      <c r="AC239" s="196"/>
      <c r="AD239" s="196"/>
      <c r="AE239" s="196"/>
      <c r="AF239" s="196"/>
      <c r="AG239" s="196"/>
      <c r="AH239" s="196"/>
      <c r="AI239" s="196"/>
      <c r="AJ239" s="196"/>
      <c r="AK239" s="196"/>
      <c r="AL239" s="196"/>
      <c r="AM239" s="196"/>
    </row>
    <row r="240">
      <c r="F240" s="203"/>
      <c r="H240" s="196"/>
      <c r="I240" s="196"/>
      <c r="J240" s="196"/>
      <c r="K240" s="196"/>
      <c r="L240" s="196"/>
      <c r="M240" s="196"/>
      <c r="N240" s="196"/>
      <c r="O240" s="196"/>
      <c r="P240" s="196"/>
      <c r="Q240" s="196"/>
      <c r="R240" s="196"/>
      <c r="S240" s="196"/>
      <c r="T240" s="196"/>
      <c r="U240" s="196"/>
      <c r="V240" s="196"/>
      <c r="W240" s="196"/>
      <c r="X240" s="196"/>
      <c r="Y240" s="196"/>
      <c r="Z240" s="196"/>
      <c r="AA240" s="196"/>
      <c r="AB240" s="196"/>
      <c r="AC240" s="196"/>
      <c r="AD240" s="196"/>
      <c r="AE240" s="196"/>
      <c r="AF240" s="196"/>
      <c r="AG240" s="196"/>
      <c r="AH240" s="196"/>
      <c r="AI240" s="196"/>
      <c r="AJ240" s="196"/>
      <c r="AK240" s="196"/>
      <c r="AL240" s="196"/>
      <c r="AM240" s="196"/>
    </row>
    <row r="241">
      <c r="F241" s="203"/>
      <c r="H241" s="196"/>
      <c r="I241" s="196"/>
      <c r="J241" s="196"/>
      <c r="K241" s="196"/>
      <c r="L241" s="196"/>
      <c r="M241" s="196"/>
      <c r="N241" s="196"/>
      <c r="O241" s="196"/>
      <c r="P241" s="196"/>
      <c r="Q241" s="196"/>
      <c r="R241" s="196"/>
      <c r="S241" s="196"/>
      <c r="T241" s="196"/>
      <c r="U241" s="196"/>
      <c r="V241" s="196"/>
      <c r="W241" s="196"/>
      <c r="X241" s="196"/>
      <c r="Y241" s="196"/>
      <c r="Z241" s="196"/>
      <c r="AA241" s="196"/>
      <c r="AB241" s="196"/>
      <c r="AC241" s="196"/>
      <c r="AD241" s="196"/>
      <c r="AE241" s="196"/>
      <c r="AF241" s="196"/>
      <c r="AG241" s="196"/>
      <c r="AH241" s="196"/>
      <c r="AI241" s="196"/>
      <c r="AJ241" s="196"/>
      <c r="AK241" s="196"/>
      <c r="AL241" s="196"/>
      <c r="AM241" s="196"/>
    </row>
    <row r="242">
      <c r="F242" s="203"/>
      <c r="H242" s="196"/>
      <c r="I242" s="196"/>
      <c r="J242" s="196"/>
      <c r="K242" s="196"/>
      <c r="L242" s="196"/>
      <c r="M242" s="196"/>
      <c r="N242" s="196"/>
      <c r="O242" s="196"/>
      <c r="P242" s="196"/>
      <c r="Q242" s="196"/>
      <c r="R242" s="196"/>
      <c r="S242" s="196"/>
      <c r="T242" s="196"/>
      <c r="U242" s="196"/>
      <c r="V242" s="196"/>
      <c r="W242" s="196"/>
      <c r="X242" s="196"/>
      <c r="Y242" s="196"/>
      <c r="Z242" s="196"/>
      <c r="AA242" s="196"/>
      <c r="AB242" s="196"/>
      <c r="AC242" s="196"/>
      <c r="AD242" s="196"/>
      <c r="AE242" s="196"/>
      <c r="AF242" s="196"/>
      <c r="AG242" s="196"/>
      <c r="AH242" s="196"/>
      <c r="AI242" s="196"/>
      <c r="AJ242" s="196"/>
      <c r="AK242" s="196"/>
      <c r="AL242" s="196"/>
      <c r="AM242" s="196"/>
    </row>
    <row r="243">
      <c r="F243" s="203"/>
      <c r="H243" s="196"/>
      <c r="I243" s="196"/>
      <c r="J243" s="196"/>
      <c r="K243" s="196"/>
      <c r="L243" s="196"/>
      <c r="M243" s="196"/>
      <c r="N243" s="196"/>
      <c r="O243" s="196"/>
      <c r="P243" s="196"/>
      <c r="Q243" s="196"/>
      <c r="R243" s="196"/>
      <c r="S243" s="196"/>
      <c r="T243" s="196"/>
      <c r="U243" s="196"/>
      <c r="V243" s="196"/>
      <c r="W243" s="196"/>
      <c r="X243" s="196"/>
      <c r="Y243" s="196"/>
      <c r="Z243" s="196"/>
      <c r="AA243" s="196"/>
      <c r="AB243" s="196"/>
      <c r="AC243" s="196"/>
      <c r="AD243" s="196"/>
      <c r="AE243" s="196"/>
      <c r="AF243" s="196"/>
      <c r="AG243" s="196"/>
      <c r="AH243" s="196"/>
      <c r="AI243" s="196"/>
      <c r="AJ243" s="196"/>
      <c r="AK243" s="196"/>
      <c r="AL243" s="196"/>
      <c r="AM243" s="196"/>
    </row>
    <row r="244">
      <c r="F244" s="203"/>
      <c r="H244" s="196"/>
      <c r="I244" s="196"/>
      <c r="J244" s="196"/>
      <c r="K244" s="196"/>
      <c r="L244" s="196"/>
      <c r="M244" s="196"/>
      <c r="N244" s="196"/>
      <c r="O244" s="196"/>
      <c r="P244" s="196"/>
      <c r="Q244" s="196"/>
      <c r="R244" s="196"/>
      <c r="S244" s="196"/>
      <c r="T244" s="196"/>
      <c r="U244" s="196"/>
      <c r="V244" s="196"/>
      <c r="W244" s="196"/>
      <c r="X244" s="196"/>
      <c r="Y244" s="196"/>
      <c r="Z244" s="196"/>
      <c r="AA244" s="196"/>
      <c r="AB244" s="196"/>
      <c r="AC244" s="196"/>
      <c r="AD244" s="196"/>
      <c r="AE244" s="196"/>
      <c r="AF244" s="196"/>
      <c r="AG244" s="196"/>
      <c r="AH244" s="196"/>
      <c r="AI244" s="196"/>
      <c r="AJ244" s="196"/>
      <c r="AK244" s="196"/>
      <c r="AL244" s="196"/>
      <c r="AM244" s="196"/>
    </row>
    <row r="245">
      <c r="F245" s="203"/>
      <c r="H245" s="196"/>
      <c r="I245" s="196"/>
      <c r="J245" s="196"/>
      <c r="K245" s="196"/>
      <c r="L245" s="196"/>
      <c r="M245" s="196"/>
      <c r="N245" s="196"/>
      <c r="O245" s="196"/>
      <c r="P245" s="196"/>
      <c r="Q245" s="196"/>
      <c r="R245" s="196"/>
      <c r="S245" s="196"/>
      <c r="T245" s="196"/>
      <c r="U245" s="196"/>
      <c r="V245" s="196"/>
      <c r="W245" s="196"/>
      <c r="X245" s="196"/>
      <c r="Y245" s="196"/>
      <c r="Z245" s="196"/>
      <c r="AA245" s="196"/>
      <c r="AB245" s="196"/>
      <c r="AC245" s="196"/>
      <c r="AD245" s="196"/>
      <c r="AE245" s="196"/>
      <c r="AF245" s="196"/>
      <c r="AG245" s="196"/>
      <c r="AH245" s="196"/>
      <c r="AI245" s="196"/>
      <c r="AJ245" s="196"/>
      <c r="AK245" s="196"/>
      <c r="AL245" s="196"/>
      <c r="AM245" s="196"/>
    </row>
    <row r="246">
      <c r="F246" s="203"/>
      <c r="H246" s="196"/>
      <c r="I246" s="196"/>
      <c r="J246" s="196"/>
      <c r="K246" s="196"/>
      <c r="L246" s="196"/>
      <c r="M246" s="196"/>
      <c r="N246" s="196"/>
      <c r="O246" s="196"/>
      <c r="P246" s="196"/>
      <c r="Q246" s="196"/>
      <c r="R246" s="196"/>
      <c r="S246" s="196"/>
      <c r="T246" s="196"/>
      <c r="U246" s="196"/>
      <c r="V246" s="196"/>
      <c r="W246" s="196"/>
      <c r="X246" s="196"/>
      <c r="Y246" s="196"/>
      <c r="Z246" s="196"/>
      <c r="AA246" s="196"/>
      <c r="AB246" s="196"/>
      <c r="AC246" s="196"/>
      <c r="AD246" s="196"/>
      <c r="AE246" s="196"/>
      <c r="AF246" s="196"/>
      <c r="AG246" s="196"/>
      <c r="AH246" s="196"/>
      <c r="AI246" s="196"/>
      <c r="AJ246" s="196"/>
      <c r="AK246" s="196"/>
      <c r="AL246" s="196"/>
      <c r="AM246" s="196"/>
    </row>
    <row r="247">
      <c r="F247" s="203"/>
      <c r="H247" s="196"/>
      <c r="I247" s="196"/>
      <c r="J247" s="196"/>
      <c r="K247" s="196"/>
      <c r="L247" s="196"/>
      <c r="M247" s="196"/>
      <c r="N247" s="196"/>
      <c r="O247" s="196"/>
      <c r="P247" s="196"/>
      <c r="Q247" s="196"/>
      <c r="R247" s="196"/>
      <c r="S247" s="196"/>
      <c r="T247" s="196"/>
      <c r="U247" s="196"/>
      <c r="V247" s="196"/>
      <c r="W247" s="196"/>
      <c r="X247" s="196"/>
      <c r="Y247" s="196"/>
      <c r="Z247" s="196"/>
      <c r="AA247" s="196"/>
      <c r="AB247" s="196"/>
      <c r="AC247" s="196"/>
      <c r="AD247" s="196"/>
      <c r="AE247" s="196"/>
      <c r="AF247" s="196"/>
      <c r="AG247" s="196"/>
      <c r="AH247" s="196"/>
      <c r="AI247" s="196"/>
      <c r="AJ247" s="196"/>
      <c r="AK247" s="196"/>
      <c r="AL247" s="196"/>
      <c r="AM247" s="196"/>
    </row>
    <row r="248">
      <c r="F248" s="203"/>
      <c r="H248" s="196"/>
      <c r="I248" s="196"/>
      <c r="J248" s="196"/>
      <c r="K248" s="196"/>
      <c r="L248" s="196"/>
      <c r="M248" s="196"/>
      <c r="N248" s="196"/>
      <c r="O248" s="196"/>
      <c r="P248" s="196"/>
      <c r="Q248" s="196"/>
      <c r="R248" s="196"/>
      <c r="S248" s="196"/>
      <c r="T248" s="196"/>
      <c r="U248" s="196"/>
      <c r="V248" s="196"/>
      <c r="W248" s="196"/>
      <c r="X248" s="196"/>
      <c r="Y248" s="196"/>
      <c r="Z248" s="196"/>
      <c r="AA248" s="196"/>
      <c r="AB248" s="196"/>
      <c r="AC248" s="196"/>
      <c r="AD248" s="196"/>
      <c r="AE248" s="196"/>
      <c r="AF248" s="196"/>
      <c r="AG248" s="196"/>
      <c r="AH248" s="196"/>
      <c r="AI248" s="196"/>
      <c r="AJ248" s="196"/>
      <c r="AK248" s="196"/>
      <c r="AL248" s="196"/>
      <c r="AM248" s="196"/>
    </row>
    <row r="249">
      <c r="F249" s="203"/>
      <c r="H249" s="196"/>
      <c r="I249" s="196"/>
      <c r="J249" s="196"/>
      <c r="K249" s="196"/>
      <c r="L249" s="196"/>
      <c r="M249" s="196"/>
      <c r="N249" s="196"/>
      <c r="O249" s="196"/>
      <c r="P249" s="196"/>
      <c r="Q249" s="196"/>
      <c r="R249" s="196"/>
      <c r="S249" s="196"/>
      <c r="T249" s="196"/>
      <c r="U249" s="196"/>
      <c r="V249" s="196"/>
      <c r="W249" s="196"/>
      <c r="X249" s="196"/>
      <c r="Y249" s="196"/>
      <c r="Z249" s="196"/>
      <c r="AA249" s="196"/>
      <c r="AB249" s="196"/>
      <c r="AC249" s="196"/>
      <c r="AD249" s="196"/>
      <c r="AE249" s="196"/>
      <c r="AF249" s="196"/>
      <c r="AG249" s="196"/>
      <c r="AH249" s="196"/>
      <c r="AI249" s="196"/>
      <c r="AJ249" s="196"/>
      <c r="AK249" s="196"/>
      <c r="AL249" s="196"/>
      <c r="AM249" s="196"/>
    </row>
    <row r="250">
      <c r="F250" s="203"/>
      <c r="H250" s="196"/>
      <c r="I250" s="196"/>
      <c r="J250" s="196"/>
      <c r="K250" s="196"/>
      <c r="L250" s="196"/>
      <c r="M250" s="196"/>
      <c r="N250" s="196"/>
      <c r="O250" s="196"/>
      <c r="P250" s="196"/>
      <c r="Q250" s="196"/>
      <c r="R250" s="196"/>
      <c r="S250" s="196"/>
      <c r="T250" s="196"/>
      <c r="U250" s="196"/>
      <c r="V250" s="196"/>
      <c r="W250" s="196"/>
      <c r="X250" s="196"/>
      <c r="Y250" s="196"/>
      <c r="Z250" s="196"/>
      <c r="AA250" s="196"/>
      <c r="AB250" s="196"/>
      <c r="AC250" s="196"/>
      <c r="AD250" s="196"/>
      <c r="AE250" s="196"/>
      <c r="AF250" s="196"/>
      <c r="AG250" s="196"/>
      <c r="AH250" s="196"/>
      <c r="AI250" s="196"/>
      <c r="AJ250" s="196"/>
      <c r="AK250" s="196"/>
      <c r="AL250" s="196"/>
      <c r="AM250" s="196"/>
    </row>
    <row r="251">
      <c r="F251" s="203"/>
      <c r="H251" s="196"/>
      <c r="I251" s="196"/>
      <c r="J251" s="196"/>
      <c r="K251" s="196"/>
      <c r="L251" s="196"/>
      <c r="M251" s="196"/>
      <c r="N251" s="196"/>
      <c r="O251" s="196"/>
      <c r="P251" s="196"/>
      <c r="Q251" s="196"/>
      <c r="R251" s="196"/>
      <c r="S251" s="196"/>
      <c r="T251" s="196"/>
      <c r="U251" s="196"/>
      <c r="V251" s="196"/>
      <c r="W251" s="196"/>
      <c r="X251" s="196"/>
      <c r="Y251" s="196"/>
      <c r="Z251" s="196"/>
      <c r="AA251" s="196"/>
      <c r="AB251" s="196"/>
      <c r="AC251" s="196"/>
      <c r="AD251" s="196"/>
      <c r="AE251" s="196"/>
      <c r="AF251" s="196"/>
      <c r="AG251" s="196"/>
      <c r="AH251" s="196"/>
      <c r="AI251" s="196"/>
      <c r="AJ251" s="196"/>
      <c r="AK251" s="196"/>
      <c r="AL251" s="196"/>
      <c r="AM251" s="196"/>
    </row>
    <row r="252">
      <c r="F252" s="203"/>
      <c r="H252" s="196"/>
      <c r="I252" s="196"/>
      <c r="J252" s="196"/>
      <c r="K252" s="196"/>
      <c r="L252" s="196"/>
      <c r="M252" s="196"/>
      <c r="N252" s="196"/>
      <c r="O252" s="196"/>
      <c r="P252" s="196"/>
      <c r="Q252" s="196"/>
      <c r="R252" s="196"/>
      <c r="S252" s="196"/>
      <c r="T252" s="196"/>
      <c r="U252" s="196"/>
      <c r="V252" s="196"/>
      <c r="W252" s="196"/>
      <c r="X252" s="196"/>
      <c r="Y252" s="196"/>
      <c r="Z252" s="196"/>
      <c r="AA252" s="196"/>
      <c r="AB252" s="196"/>
      <c r="AC252" s="196"/>
      <c r="AD252" s="196"/>
      <c r="AE252" s="196"/>
      <c r="AF252" s="196"/>
      <c r="AG252" s="196"/>
      <c r="AH252" s="196"/>
      <c r="AI252" s="196"/>
      <c r="AJ252" s="196"/>
      <c r="AK252" s="196"/>
      <c r="AL252" s="196"/>
      <c r="AM252" s="196"/>
    </row>
    <row r="253">
      <c r="F253" s="203"/>
      <c r="H253" s="196"/>
      <c r="I253" s="196"/>
      <c r="J253" s="196"/>
      <c r="K253" s="196"/>
      <c r="L253" s="196"/>
      <c r="M253" s="196"/>
      <c r="N253" s="196"/>
      <c r="O253" s="196"/>
      <c r="P253" s="196"/>
      <c r="Q253" s="196"/>
      <c r="R253" s="196"/>
      <c r="S253" s="196"/>
      <c r="T253" s="196"/>
      <c r="U253" s="196"/>
      <c r="V253" s="196"/>
      <c r="W253" s="196"/>
      <c r="X253" s="196"/>
      <c r="Y253" s="196"/>
      <c r="Z253" s="196"/>
      <c r="AA253" s="196"/>
      <c r="AB253" s="196"/>
      <c r="AC253" s="196"/>
      <c r="AD253" s="196"/>
      <c r="AE253" s="196"/>
      <c r="AF253" s="196"/>
      <c r="AG253" s="196"/>
      <c r="AH253" s="196"/>
      <c r="AI253" s="196"/>
      <c r="AJ253" s="196"/>
      <c r="AK253" s="196"/>
      <c r="AL253" s="196"/>
      <c r="AM253" s="196"/>
    </row>
    <row r="254">
      <c r="F254" s="203"/>
      <c r="H254" s="196"/>
      <c r="I254" s="196"/>
      <c r="J254" s="196"/>
      <c r="K254" s="196"/>
      <c r="L254" s="196"/>
      <c r="M254" s="196"/>
      <c r="N254" s="196"/>
      <c r="O254" s="196"/>
      <c r="P254" s="196"/>
      <c r="Q254" s="196"/>
      <c r="R254" s="196"/>
      <c r="S254" s="196"/>
      <c r="T254" s="196"/>
      <c r="U254" s="196"/>
      <c r="V254" s="196"/>
      <c r="W254" s="196"/>
      <c r="X254" s="196"/>
      <c r="Y254" s="196"/>
      <c r="Z254" s="196"/>
      <c r="AA254" s="196"/>
      <c r="AB254" s="196"/>
      <c r="AC254" s="196"/>
      <c r="AD254" s="196"/>
      <c r="AE254" s="196"/>
      <c r="AF254" s="196"/>
      <c r="AG254" s="196"/>
      <c r="AH254" s="196"/>
      <c r="AI254" s="196"/>
      <c r="AJ254" s="196"/>
      <c r="AK254" s="196"/>
      <c r="AL254" s="196"/>
      <c r="AM254" s="196"/>
    </row>
    <row r="255">
      <c r="F255" s="203"/>
      <c r="H255" s="196"/>
      <c r="I255" s="196"/>
      <c r="J255" s="196"/>
      <c r="K255" s="196"/>
      <c r="L255" s="196"/>
      <c r="M255" s="196"/>
      <c r="N255" s="196"/>
      <c r="O255" s="196"/>
      <c r="P255" s="196"/>
      <c r="Q255" s="196"/>
      <c r="R255" s="196"/>
      <c r="S255" s="196"/>
      <c r="T255" s="196"/>
      <c r="U255" s="196"/>
      <c r="V255" s="196"/>
      <c r="W255" s="196"/>
      <c r="X255" s="196"/>
      <c r="Y255" s="196"/>
      <c r="Z255" s="196"/>
      <c r="AA255" s="196"/>
      <c r="AB255" s="196"/>
      <c r="AC255" s="196"/>
      <c r="AD255" s="196"/>
      <c r="AE255" s="196"/>
      <c r="AF255" s="196"/>
      <c r="AG255" s="196"/>
      <c r="AH255" s="196"/>
      <c r="AI255" s="196"/>
      <c r="AJ255" s="196"/>
      <c r="AK255" s="196"/>
      <c r="AL255" s="196"/>
      <c r="AM255" s="196"/>
    </row>
    <row r="256">
      <c r="F256" s="203"/>
      <c r="H256" s="196"/>
      <c r="I256" s="196"/>
      <c r="J256" s="196"/>
      <c r="K256" s="196"/>
      <c r="L256" s="196"/>
      <c r="M256" s="196"/>
      <c r="N256" s="196"/>
      <c r="O256" s="196"/>
      <c r="P256" s="196"/>
      <c r="Q256" s="196"/>
      <c r="R256" s="196"/>
      <c r="S256" s="196"/>
      <c r="T256" s="196"/>
      <c r="U256" s="196"/>
      <c r="V256" s="196"/>
      <c r="W256" s="196"/>
      <c r="X256" s="196"/>
      <c r="Y256" s="196"/>
      <c r="Z256" s="196"/>
      <c r="AA256" s="196"/>
      <c r="AB256" s="196"/>
      <c r="AC256" s="196"/>
      <c r="AD256" s="196"/>
      <c r="AE256" s="196"/>
      <c r="AF256" s="196"/>
      <c r="AG256" s="196"/>
      <c r="AH256" s="196"/>
      <c r="AI256" s="196"/>
      <c r="AJ256" s="196"/>
      <c r="AK256" s="196"/>
      <c r="AL256" s="196"/>
      <c r="AM256" s="196"/>
    </row>
    <row r="257">
      <c r="F257" s="203"/>
      <c r="H257" s="196"/>
      <c r="I257" s="196"/>
      <c r="J257" s="196"/>
      <c r="K257" s="196"/>
      <c r="L257" s="196"/>
      <c r="M257" s="196"/>
      <c r="N257" s="196"/>
      <c r="O257" s="196"/>
      <c r="P257" s="196"/>
      <c r="Q257" s="196"/>
      <c r="R257" s="196"/>
      <c r="S257" s="196"/>
      <c r="T257" s="196"/>
      <c r="U257" s="196"/>
      <c r="V257" s="196"/>
      <c r="W257" s="196"/>
      <c r="X257" s="196"/>
      <c r="Y257" s="196"/>
      <c r="Z257" s="196"/>
      <c r="AA257" s="196"/>
      <c r="AB257" s="196"/>
      <c r="AC257" s="196"/>
      <c r="AD257" s="196"/>
      <c r="AE257" s="196"/>
      <c r="AF257" s="196"/>
      <c r="AG257" s="196"/>
      <c r="AH257" s="196"/>
      <c r="AI257" s="196"/>
      <c r="AJ257" s="196"/>
      <c r="AK257" s="196"/>
      <c r="AL257" s="196"/>
      <c r="AM257" s="196"/>
    </row>
    <row r="258">
      <c r="F258" s="203"/>
      <c r="H258" s="196"/>
      <c r="I258" s="196"/>
      <c r="J258" s="196"/>
      <c r="K258" s="196"/>
      <c r="L258" s="196"/>
      <c r="M258" s="196"/>
      <c r="N258" s="196"/>
      <c r="O258" s="196"/>
      <c r="P258" s="196"/>
      <c r="Q258" s="196"/>
      <c r="R258" s="196"/>
      <c r="S258" s="196"/>
      <c r="T258" s="196"/>
      <c r="U258" s="196"/>
      <c r="V258" s="196"/>
      <c r="W258" s="196"/>
      <c r="X258" s="196"/>
      <c r="Y258" s="196"/>
      <c r="Z258" s="196"/>
      <c r="AA258" s="196"/>
      <c r="AB258" s="196"/>
      <c r="AC258" s="196"/>
      <c r="AD258" s="196"/>
      <c r="AE258" s="196"/>
      <c r="AF258" s="196"/>
      <c r="AG258" s="196"/>
      <c r="AH258" s="196"/>
      <c r="AI258" s="196"/>
      <c r="AJ258" s="196"/>
      <c r="AK258" s="196"/>
      <c r="AL258" s="196"/>
      <c r="AM258" s="196"/>
    </row>
    <row r="259">
      <c r="F259" s="203"/>
      <c r="H259" s="196"/>
      <c r="I259" s="196"/>
      <c r="J259" s="196"/>
      <c r="K259" s="196"/>
      <c r="L259" s="196"/>
      <c r="M259" s="196"/>
      <c r="N259" s="196"/>
      <c r="O259" s="196"/>
      <c r="P259" s="196"/>
      <c r="Q259" s="196"/>
      <c r="R259" s="196"/>
      <c r="S259" s="196"/>
      <c r="T259" s="196"/>
      <c r="U259" s="196"/>
      <c r="V259" s="196"/>
      <c r="W259" s="196"/>
      <c r="X259" s="196"/>
      <c r="Y259" s="196"/>
      <c r="Z259" s="196"/>
      <c r="AA259" s="196"/>
      <c r="AB259" s="196"/>
      <c r="AC259" s="196"/>
      <c r="AD259" s="196"/>
      <c r="AE259" s="196"/>
      <c r="AF259" s="196"/>
      <c r="AG259" s="196"/>
      <c r="AH259" s="196"/>
      <c r="AI259" s="196"/>
      <c r="AJ259" s="196"/>
      <c r="AK259" s="196"/>
      <c r="AL259" s="196"/>
      <c r="AM259" s="196"/>
    </row>
    <row r="260">
      <c r="F260" s="203"/>
      <c r="H260" s="196"/>
      <c r="I260" s="196"/>
      <c r="J260" s="196"/>
      <c r="K260" s="196"/>
      <c r="L260" s="196"/>
      <c r="M260" s="196"/>
      <c r="N260" s="196"/>
      <c r="O260" s="196"/>
      <c r="P260" s="196"/>
      <c r="Q260" s="196"/>
      <c r="R260" s="196"/>
      <c r="S260" s="196"/>
      <c r="T260" s="196"/>
      <c r="U260" s="196"/>
      <c r="V260" s="196"/>
      <c r="W260" s="196"/>
      <c r="X260" s="196"/>
      <c r="Y260" s="196"/>
      <c r="Z260" s="196"/>
      <c r="AA260" s="196"/>
      <c r="AB260" s="196"/>
      <c r="AC260" s="196"/>
      <c r="AD260" s="196"/>
      <c r="AE260" s="196"/>
      <c r="AF260" s="196"/>
      <c r="AG260" s="196"/>
      <c r="AH260" s="196"/>
      <c r="AI260" s="196"/>
      <c r="AJ260" s="196"/>
      <c r="AK260" s="196"/>
      <c r="AL260" s="196"/>
      <c r="AM260" s="196"/>
    </row>
    <row r="261">
      <c r="F261" s="203"/>
      <c r="H261" s="196"/>
      <c r="I261" s="196"/>
      <c r="J261" s="196"/>
      <c r="K261" s="196"/>
      <c r="L261" s="196"/>
      <c r="M261" s="196"/>
      <c r="N261" s="196"/>
      <c r="O261" s="196"/>
      <c r="P261" s="196"/>
      <c r="Q261" s="196"/>
      <c r="R261" s="196"/>
      <c r="S261" s="196"/>
      <c r="T261" s="196"/>
      <c r="U261" s="196"/>
      <c r="V261" s="196"/>
      <c r="W261" s="196"/>
      <c r="X261" s="196"/>
      <c r="Y261" s="196"/>
      <c r="Z261" s="196"/>
      <c r="AA261" s="196"/>
      <c r="AB261" s="196"/>
      <c r="AC261" s="196"/>
      <c r="AD261" s="196"/>
      <c r="AE261" s="196"/>
      <c r="AF261" s="196"/>
      <c r="AG261" s="196"/>
      <c r="AH261" s="196"/>
      <c r="AI261" s="196"/>
      <c r="AJ261" s="196"/>
      <c r="AK261" s="196"/>
      <c r="AL261" s="196"/>
      <c r="AM261" s="196"/>
    </row>
    <row r="262">
      <c r="F262" s="203"/>
      <c r="H262" s="196"/>
      <c r="I262" s="196"/>
      <c r="J262" s="196"/>
      <c r="K262" s="196"/>
      <c r="L262" s="196"/>
      <c r="M262" s="196"/>
      <c r="N262" s="196"/>
      <c r="O262" s="196"/>
      <c r="P262" s="196"/>
      <c r="Q262" s="196"/>
      <c r="R262" s="196"/>
      <c r="S262" s="196"/>
      <c r="T262" s="196"/>
      <c r="U262" s="196"/>
      <c r="V262" s="196"/>
      <c r="W262" s="196"/>
      <c r="X262" s="196"/>
      <c r="Y262" s="196"/>
      <c r="Z262" s="196"/>
      <c r="AA262" s="196"/>
      <c r="AB262" s="196"/>
      <c r="AC262" s="196"/>
      <c r="AD262" s="196"/>
      <c r="AE262" s="196"/>
      <c r="AF262" s="196"/>
      <c r="AG262" s="196"/>
      <c r="AH262" s="196"/>
      <c r="AI262" s="196"/>
      <c r="AJ262" s="196"/>
      <c r="AK262" s="196"/>
      <c r="AL262" s="196"/>
      <c r="AM262" s="196"/>
    </row>
    <row r="263">
      <c r="F263" s="203"/>
      <c r="H263" s="196"/>
      <c r="I263" s="196"/>
      <c r="J263" s="196"/>
      <c r="K263" s="196"/>
      <c r="L263" s="196"/>
      <c r="M263" s="196"/>
      <c r="N263" s="196"/>
      <c r="O263" s="196"/>
      <c r="P263" s="196"/>
      <c r="Q263" s="196"/>
      <c r="R263" s="196"/>
      <c r="S263" s="196"/>
      <c r="T263" s="196"/>
      <c r="U263" s="196"/>
      <c r="V263" s="196"/>
      <c r="W263" s="196"/>
      <c r="X263" s="196"/>
      <c r="Y263" s="196"/>
      <c r="Z263" s="196"/>
      <c r="AA263" s="196"/>
      <c r="AB263" s="196"/>
      <c r="AC263" s="196"/>
      <c r="AD263" s="196"/>
      <c r="AE263" s="196"/>
      <c r="AF263" s="196"/>
      <c r="AG263" s="196"/>
      <c r="AH263" s="196"/>
      <c r="AI263" s="196"/>
      <c r="AJ263" s="196"/>
      <c r="AK263" s="196"/>
      <c r="AL263" s="196"/>
      <c r="AM263" s="196"/>
    </row>
    <row r="264">
      <c r="F264" s="203"/>
      <c r="H264" s="196"/>
      <c r="I264" s="196"/>
      <c r="J264" s="196"/>
      <c r="K264" s="196"/>
      <c r="L264" s="196"/>
      <c r="M264" s="196"/>
      <c r="N264" s="196"/>
      <c r="O264" s="196"/>
      <c r="P264" s="196"/>
      <c r="Q264" s="196"/>
      <c r="R264" s="196"/>
      <c r="S264" s="196"/>
      <c r="T264" s="196"/>
      <c r="U264" s="196"/>
      <c r="V264" s="196"/>
      <c r="W264" s="196"/>
      <c r="X264" s="196"/>
      <c r="Y264" s="196"/>
      <c r="Z264" s="196"/>
      <c r="AA264" s="196"/>
      <c r="AB264" s="196"/>
      <c r="AC264" s="196"/>
      <c r="AD264" s="196"/>
      <c r="AE264" s="196"/>
      <c r="AF264" s="196"/>
      <c r="AG264" s="196"/>
      <c r="AH264" s="196"/>
      <c r="AI264" s="196"/>
      <c r="AJ264" s="196"/>
      <c r="AK264" s="196"/>
      <c r="AL264" s="196"/>
      <c r="AM264" s="196"/>
    </row>
    <row r="265">
      <c r="F265" s="203"/>
      <c r="H265" s="196"/>
      <c r="I265" s="196"/>
      <c r="J265" s="196"/>
      <c r="K265" s="196"/>
      <c r="L265" s="196"/>
      <c r="M265" s="196"/>
      <c r="N265" s="196"/>
      <c r="O265" s="196"/>
      <c r="P265" s="196"/>
      <c r="Q265" s="196"/>
      <c r="R265" s="196"/>
      <c r="S265" s="196"/>
      <c r="T265" s="196"/>
      <c r="U265" s="196"/>
      <c r="V265" s="196"/>
      <c r="W265" s="196"/>
      <c r="X265" s="196"/>
      <c r="Y265" s="196"/>
      <c r="Z265" s="196"/>
      <c r="AA265" s="196"/>
      <c r="AB265" s="196"/>
      <c r="AC265" s="196"/>
      <c r="AD265" s="196"/>
      <c r="AE265" s="196"/>
      <c r="AF265" s="196"/>
      <c r="AG265" s="196"/>
      <c r="AH265" s="196"/>
      <c r="AI265" s="196"/>
      <c r="AJ265" s="196"/>
      <c r="AK265" s="196"/>
      <c r="AL265" s="196"/>
      <c r="AM265" s="196"/>
    </row>
    <row r="266">
      <c r="F266" s="203"/>
      <c r="H266" s="196"/>
      <c r="I266" s="196"/>
      <c r="J266" s="196"/>
      <c r="K266" s="196"/>
      <c r="L266" s="196"/>
      <c r="M266" s="196"/>
      <c r="N266" s="196"/>
      <c r="O266" s="196"/>
      <c r="P266" s="196"/>
      <c r="Q266" s="196"/>
      <c r="R266" s="196"/>
      <c r="S266" s="196"/>
      <c r="T266" s="196"/>
      <c r="U266" s="196"/>
      <c r="V266" s="196"/>
      <c r="W266" s="196"/>
      <c r="X266" s="196"/>
      <c r="Y266" s="196"/>
      <c r="Z266" s="196"/>
      <c r="AA266" s="196"/>
      <c r="AB266" s="196"/>
      <c r="AC266" s="196"/>
      <c r="AD266" s="196"/>
      <c r="AE266" s="196"/>
      <c r="AF266" s="196"/>
      <c r="AG266" s="196"/>
      <c r="AH266" s="196"/>
      <c r="AI266" s="196"/>
      <c r="AJ266" s="196"/>
      <c r="AK266" s="196"/>
      <c r="AL266" s="196"/>
      <c r="AM266" s="196"/>
    </row>
    <row r="267">
      <c r="F267" s="203"/>
      <c r="H267" s="196"/>
      <c r="I267" s="196"/>
      <c r="J267" s="196"/>
      <c r="K267" s="196"/>
      <c r="L267" s="196"/>
      <c r="M267" s="196"/>
      <c r="N267" s="196"/>
      <c r="O267" s="196"/>
      <c r="P267" s="196"/>
      <c r="Q267" s="196"/>
      <c r="R267" s="196"/>
      <c r="S267" s="196"/>
      <c r="T267" s="196"/>
      <c r="U267" s="196"/>
      <c r="V267" s="196"/>
      <c r="W267" s="196"/>
      <c r="X267" s="196"/>
      <c r="Y267" s="196"/>
      <c r="Z267" s="196"/>
      <c r="AA267" s="196"/>
      <c r="AB267" s="196"/>
      <c r="AC267" s="196"/>
      <c r="AD267" s="196"/>
      <c r="AE267" s="196"/>
      <c r="AF267" s="196"/>
      <c r="AG267" s="196"/>
      <c r="AH267" s="196"/>
      <c r="AI267" s="196"/>
      <c r="AJ267" s="196"/>
      <c r="AK267" s="196"/>
      <c r="AL267" s="196"/>
      <c r="AM267" s="196"/>
    </row>
    <row r="268">
      <c r="F268" s="203"/>
      <c r="H268" s="196"/>
      <c r="I268" s="196"/>
      <c r="J268" s="196"/>
      <c r="K268" s="196"/>
      <c r="L268" s="196"/>
      <c r="M268" s="196"/>
      <c r="N268" s="196"/>
      <c r="O268" s="196"/>
      <c r="P268" s="196"/>
      <c r="Q268" s="196"/>
      <c r="R268" s="196"/>
      <c r="S268" s="196"/>
      <c r="T268" s="196"/>
      <c r="U268" s="196"/>
      <c r="V268" s="196"/>
      <c r="W268" s="196"/>
      <c r="X268" s="196"/>
      <c r="Y268" s="196"/>
      <c r="Z268" s="196"/>
      <c r="AA268" s="196"/>
      <c r="AB268" s="196"/>
      <c r="AC268" s="196"/>
      <c r="AD268" s="196"/>
      <c r="AE268" s="196"/>
      <c r="AF268" s="196"/>
      <c r="AG268" s="196"/>
      <c r="AH268" s="196"/>
      <c r="AI268" s="196"/>
      <c r="AJ268" s="196"/>
      <c r="AK268" s="196"/>
      <c r="AL268" s="196"/>
      <c r="AM268" s="196"/>
    </row>
    <row r="269">
      <c r="F269" s="203"/>
      <c r="H269" s="196"/>
      <c r="I269" s="196"/>
      <c r="J269" s="196"/>
      <c r="K269" s="196"/>
      <c r="L269" s="196"/>
      <c r="M269" s="196"/>
      <c r="N269" s="196"/>
      <c r="O269" s="196"/>
      <c r="P269" s="196"/>
      <c r="Q269" s="196"/>
      <c r="R269" s="196"/>
      <c r="S269" s="196"/>
      <c r="T269" s="196"/>
      <c r="U269" s="196"/>
      <c r="V269" s="196"/>
      <c r="W269" s="196"/>
      <c r="X269" s="196"/>
      <c r="Y269" s="196"/>
      <c r="Z269" s="196"/>
      <c r="AA269" s="196"/>
      <c r="AB269" s="196"/>
      <c r="AC269" s="196"/>
      <c r="AD269" s="196"/>
      <c r="AE269" s="196"/>
      <c r="AF269" s="196"/>
      <c r="AG269" s="196"/>
      <c r="AH269" s="196"/>
      <c r="AI269" s="196"/>
      <c r="AJ269" s="196"/>
      <c r="AK269" s="196"/>
      <c r="AL269" s="196"/>
      <c r="AM269" s="196"/>
    </row>
    <row r="270">
      <c r="F270" s="203"/>
      <c r="H270" s="196"/>
      <c r="I270" s="196"/>
      <c r="J270" s="196"/>
      <c r="K270" s="196"/>
      <c r="L270" s="196"/>
      <c r="M270" s="196"/>
      <c r="N270" s="196"/>
      <c r="O270" s="196"/>
      <c r="P270" s="196"/>
      <c r="Q270" s="196"/>
      <c r="R270" s="196"/>
      <c r="S270" s="196"/>
      <c r="T270" s="196"/>
      <c r="U270" s="196"/>
      <c r="V270" s="196"/>
      <c r="W270" s="196"/>
      <c r="X270" s="196"/>
      <c r="Y270" s="196"/>
      <c r="Z270" s="196"/>
      <c r="AA270" s="196"/>
      <c r="AB270" s="196"/>
      <c r="AC270" s="196"/>
      <c r="AD270" s="196"/>
      <c r="AE270" s="196"/>
      <c r="AF270" s="196"/>
      <c r="AG270" s="196"/>
      <c r="AH270" s="196"/>
      <c r="AI270" s="196"/>
      <c r="AJ270" s="196"/>
      <c r="AK270" s="196"/>
      <c r="AL270" s="196"/>
      <c r="AM270" s="196"/>
    </row>
    <row r="271">
      <c r="F271" s="203"/>
      <c r="H271" s="196"/>
      <c r="I271" s="196"/>
      <c r="J271" s="196"/>
      <c r="K271" s="196"/>
      <c r="L271" s="196"/>
      <c r="M271" s="196"/>
      <c r="N271" s="196"/>
      <c r="O271" s="196"/>
      <c r="P271" s="196"/>
      <c r="Q271" s="196"/>
      <c r="R271" s="196"/>
      <c r="S271" s="196"/>
      <c r="T271" s="196"/>
      <c r="U271" s="196"/>
      <c r="V271" s="196"/>
      <c r="W271" s="196"/>
      <c r="X271" s="196"/>
      <c r="Y271" s="196"/>
      <c r="Z271" s="196"/>
      <c r="AA271" s="196"/>
      <c r="AB271" s="196"/>
      <c r="AC271" s="196"/>
      <c r="AD271" s="196"/>
      <c r="AE271" s="196"/>
      <c r="AF271" s="196"/>
      <c r="AG271" s="196"/>
      <c r="AH271" s="196"/>
      <c r="AI271" s="196"/>
      <c r="AJ271" s="196"/>
      <c r="AK271" s="196"/>
      <c r="AL271" s="196"/>
      <c r="AM271" s="196"/>
    </row>
    <row r="272">
      <c r="F272" s="203"/>
      <c r="H272" s="196"/>
      <c r="I272" s="196"/>
      <c r="J272" s="196"/>
      <c r="K272" s="196"/>
      <c r="L272" s="196"/>
      <c r="M272" s="196"/>
      <c r="N272" s="196"/>
      <c r="O272" s="196"/>
      <c r="P272" s="196"/>
      <c r="Q272" s="196"/>
      <c r="R272" s="196"/>
      <c r="S272" s="196"/>
      <c r="T272" s="196"/>
      <c r="U272" s="196"/>
      <c r="V272" s="196"/>
      <c r="W272" s="196"/>
      <c r="X272" s="196"/>
      <c r="Y272" s="196"/>
      <c r="Z272" s="196"/>
      <c r="AA272" s="196"/>
      <c r="AB272" s="196"/>
      <c r="AC272" s="196"/>
      <c r="AD272" s="196"/>
      <c r="AE272" s="196"/>
      <c r="AF272" s="196"/>
      <c r="AG272" s="196"/>
      <c r="AH272" s="196"/>
      <c r="AI272" s="196"/>
      <c r="AJ272" s="196"/>
      <c r="AK272" s="196"/>
      <c r="AL272" s="196"/>
      <c r="AM272" s="196"/>
    </row>
    <row r="273">
      <c r="F273" s="203"/>
      <c r="H273" s="196"/>
      <c r="I273" s="196"/>
      <c r="J273" s="196"/>
      <c r="K273" s="196"/>
      <c r="L273" s="196"/>
      <c r="M273" s="196"/>
      <c r="N273" s="196"/>
      <c r="O273" s="196"/>
      <c r="P273" s="196"/>
      <c r="Q273" s="196"/>
      <c r="R273" s="196"/>
      <c r="S273" s="196"/>
      <c r="T273" s="196"/>
      <c r="U273" s="196"/>
      <c r="V273" s="196"/>
      <c r="W273" s="196"/>
      <c r="X273" s="196"/>
      <c r="Y273" s="196"/>
      <c r="Z273" s="196"/>
      <c r="AA273" s="196"/>
      <c r="AB273" s="196"/>
      <c r="AC273" s="196"/>
      <c r="AD273" s="196"/>
      <c r="AE273" s="196"/>
      <c r="AF273" s="196"/>
      <c r="AG273" s="196"/>
      <c r="AH273" s="196"/>
      <c r="AI273" s="196"/>
      <c r="AJ273" s="196"/>
      <c r="AK273" s="196"/>
      <c r="AL273" s="196"/>
      <c r="AM273" s="196"/>
    </row>
    <row r="274">
      <c r="F274" s="203"/>
      <c r="H274" s="196"/>
      <c r="I274" s="196"/>
      <c r="J274" s="196"/>
      <c r="K274" s="196"/>
      <c r="L274" s="196"/>
      <c r="M274" s="196"/>
      <c r="N274" s="196"/>
      <c r="O274" s="196"/>
      <c r="P274" s="196"/>
      <c r="Q274" s="196"/>
      <c r="R274" s="196"/>
      <c r="S274" s="196"/>
      <c r="T274" s="196"/>
      <c r="U274" s="196"/>
      <c r="V274" s="196"/>
      <c r="W274" s="196"/>
      <c r="X274" s="196"/>
      <c r="Y274" s="196"/>
      <c r="Z274" s="196"/>
      <c r="AA274" s="196"/>
      <c r="AB274" s="196"/>
      <c r="AC274" s="196"/>
      <c r="AD274" s="196"/>
      <c r="AE274" s="196"/>
      <c r="AF274" s="196"/>
      <c r="AG274" s="196"/>
      <c r="AH274" s="196"/>
      <c r="AI274" s="196"/>
      <c r="AJ274" s="196"/>
      <c r="AK274" s="196"/>
      <c r="AL274" s="196"/>
      <c r="AM274" s="196"/>
    </row>
    <row r="275">
      <c r="F275" s="203"/>
      <c r="H275" s="196"/>
      <c r="I275" s="196"/>
      <c r="J275" s="196"/>
      <c r="K275" s="196"/>
      <c r="L275" s="196"/>
      <c r="M275" s="196"/>
      <c r="N275" s="196"/>
      <c r="O275" s="196"/>
      <c r="P275" s="196"/>
      <c r="Q275" s="196"/>
      <c r="R275" s="196"/>
      <c r="S275" s="196"/>
      <c r="T275" s="196"/>
      <c r="U275" s="196"/>
      <c r="V275" s="196"/>
      <c r="W275" s="196"/>
      <c r="X275" s="196"/>
      <c r="Y275" s="196"/>
      <c r="Z275" s="196"/>
      <c r="AA275" s="196"/>
      <c r="AB275" s="196"/>
      <c r="AC275" s="196"/>
      <c r="AD275" s="196"/>
      <c r="AE275" s="196"/>
      <c r="AF275" s="196"/>
      <c r="AG275" s="196"/>
      <c r="AH275" s="196"/>
      <c r="AI275" s="196"/>
      <c r="AJ275" s="196"/>
      <c r="AK275" s="196"/>
      <c r="AL275" s="196"/>
      <c r="AM275" s="196"/>
    </row>
    <row r="276">
      <c r="F276" s="203"/>
      <c r="H276" s="196"/>
      <c r="I276" s="196"/>
      <c r="J276" s="196"/>
      <c r="K276" s="196"/>
      <c r="L276" s="196"/>
      <c r="M276" s="196"/>
      <c r="N276" s="196"/>
      <c r="O276" s="196"/>
      <c r="P276" s="196"/>
      <c r="Q276" s="196"/>
      <c r="R276" s="196"/>
      <c r="S276" s="196"/>
      <c r="T276" s="196"/>
      <c r="U276" s="196"/>
      <c r="V276" s="196"/>
      <c r="W276" s="196"/>
      <c r="X276" s="196"/>
      <c r="Y276" s="196"/>
      <c r="Z276" s="196"/>
      <c r="AA276" s="196"/>
      <c r="AB276" s="196"/>
      <c r="AC276" s="196"/>
      <c r="AD276" s="196"/>
      <c r="AE276" s="196"/>
      <c r="AF276" s="196"/>
      <c r="AG276" s="196"/>
      <c r="AH276" s="196"/>
      <c r="AI276" s="196"/>
      <c r="AJ276" s="196"/>
      <c r="AK276" s="196"/>
      <c r="AL276" s="196"/>
      <c r="AM276" s="196"/>
    </row>
    <row r="277">
      <c r="F277" s="203"/>
      <c r="H277" s="196"/>
      <c r="I277" s="196"/>
      <c r="J277" s="196"/>
      <c r="K277" s="196"/>
      <c r="L277" s="196"/>
      <c r="M277" s="196"/>
      <c r="N277" s="196"/>
      <c r="O277" s="196"/>
      <c r="P277" s="196"/>
      <c r="Q277" s="196"/>
      <c r="R277" s="196"/>
      <c r="S277" s="196"/>
      <c r="T277" s="196"/>
      <c r="U277" s="196"/>
      <c r="V277" s="196"/>
      <c r="W277" s="196"/>
      <c r="X277" s="196"/>
      <c r="Y277" s="196"/>
      <c r="Z277" s="196"/>
      <c r="AA277" s="196"/>
      <c r="AB277" s="196"/>
      <c r="AC277" s="196"/>
      <c r="AD277" s="196"/>
      <c r="AE277" s="196"/>
      <c r="AF277" s="196"/>
      <c r="AG277" s="196"/>
      <c r="AH277" s="196"/>
      <c r="AI277" s="196"/>
      <c r="AJ277" s="196"/>
      <c r="AK277" s="196"/>
      <c r="AL277" s="196"/>
      <c r="AM277" s="196"/>
    </row>
    <row r="278">
      <c r="F278" s="203"/>
      <c r="H278" s="196"/>
      <c r="I278" s="196"/>
      <c r="J278" s="196"/>
      <c r="K278" s="196"/>
      <c r="L278" s="196"/>
      <c r="M278" s="196"/>
      <c r="N278" s="196"/>
      <c r="O278" s="196"/>
      <c r="P278" s="196"/>
      <c r="Q278" s="196"/>
      <c r="R278" s="196"/>
      <c r="S278" s="196"/>
      <c r="T278" s="196"/>
      <c r="U278" s="196"/>
      <c r="V278" s="196"/>
      <c r="W278" s="196"/>
      <c r="X278" s="196"/>
      <c r="Y278" s="196"/>
      <c r="Z278" s="196"/>
      <c r="AA278" s="196"/>
      <c r="AB278" s="196"/>
      <c r="AC278" s="196"/>
      <c r="AD278" s="196"/>
      <c r="AE278" s="196"/>
      <c r="AF278" s="196"/>
      <c r="AG278" s="196"/>
      <c r="AH278" s="196"/>
      <c r="AI278" s="196"/>
      <c r="AJ278" s="196"/>
      <c r="AK278" s="196"/>
      <c r="AL278" s="196"/>
      <c r="AM278" s="196"/>
    </row>
    <row r="279">
      <c r="F279" s="203"/>
      <c r="H279" s="196"/>
      <c r="I279" s="196"/>
      <c r="J279" s="196"/>
      <c r="K279" s="196"/>
      <c r="L279" s="196"/>
      <c r="M279" s="196"/>
      <c r="N279" s="196"/>
      <c r="O279" s="196"/>
      <c r="P279" s="196"/>
      <c r="Q279" s="196"/>
      <c r="R279" s="196"/>
      <c r="S279" s="196"/>
      <c r="T279" s="196"/>
      <c r="U279" s="196"/>
      <c r="V279" s="196"/>
      <c r="W279" s="196"/>
      <c r="X279" s="196"/>
      <c r="Y279" s="196"/>
      <c r="Z279" s="196"/>
      <c r="AA279" s="196"/>
      <c r="AB279" s="196"/>
      <c r="AC279" s="196"/>
      <c r="AD279" s="196"/>
      <c r="AE279" s="196"/>
      <c r="AF279" s="196"/>
      <c r="AG279" s="196"/>
      <c r="AH279" s="196"/>
      <c r="AI279" s="196"/>
      <c r="AJ279" s="196"/>
      <c r="AK279" s="196"/>
      <c r="AL279" s="196"/>
      <c r="AM279" s="196"/>
    </row>
    <row r="280">
      <c r="F280" s="203"/>
      <c r="H280" s="196"/>
      <c r="I280" s="196"/>
      <c r="J280" s="196"/>
      <c r="K280" s="196"/>
      <c r="L280" s="196"/>
      <c r="M280" s="196"/>
      <c r="N280" s="196"/>
      <c r="O280" s="196"/>
      <c r="P280" s="196"/>
      <c r="Q280" s="196"/>
      <c r="R280" s="196"/>
      <c r="S280" s="196"/>
      <c r="T280" s="196"/>
      <c r="U280" s="196"/>
      <c r="V280" s="196"/>
      <c r="W280" s="196"/>
      <c r="X280" s="196"/>
      <c r="Y280" s="196"/>
      <c r="Z280" s="196"/>
      <c r="AA280" s="196"/>
      <c r="AB280" s="196"/>
      <c r="AC280" s="196"/>
      <c r="AD280" s="196"/>
      <c r="AE280" s="196"/>
      <c r="AF280" s="196"/>
      <c r="AG280" s="196"/>
      <c r="AH280" s="196"/>
      <c r="AI280" s="196"/>
      <c r="AJ280" s="196"/>
      <c r="AK280" s="196"/>
      <c r="AL280" s="196"/>
      <c r="AM280" s="196"/>
    </row>
    <row r="281">
      <c r="F281" s="203"/>
      <c r="H281" s="196"/>
      <c r="I281" s="196"/>
      <c r="J281" s="196"/>
      <c r="K281" s="196"/>
      <c r="L281" s="196"/>
      <c r="M281" s="196"/>
      <c r="N281" s="196"/>
      <c r="O281" s="196"/>
      <c r="P281" s="196"/>
      <c r="Q281" s="196"/>
      <c r="R281" s="196"/>
      <c r="S281" s="196"/>
      <c r="T281" s="196"/>
      <c r="U281" s="196"/>
      <c r="V281" s="196"/>
      <c r="W281" s="196"/>
      <c r="X281" s="196"/>
      <c r="Y281" s="196"/>
      <c r="Z281" s="196"/>
      <c r="AA281" s="196"/>
      <c r="AB281" s="196"/>
      <c r="AC281" s="196"/>
      <c r="AD281" s="196"/>
      <c r="AE281" s="196"/>
      <c r="AF281" s="196"/>
      <c r="AG281" s="196"/>
      <c r="AH281" s="196"/>
      <c r="AI281" s="196"/>
      <c r="AJ281" s="196"/>
      <c r="AK281" s="196"/>
      <c r="AL281" s="196"/>
      <c r="AM281" s="196"/>
    </row>
    <row r="282">
      <c r="F282" s="203"/>
      <c r="H282" s="196"/>
      <c r="I282" s="196"/>
      <c r="J282" s="196"/>
      <c r="K282" s="196"/>
      <c r="L282" s="196"/>
      <c r="M282" s="196"/>
      <c r="N282" s="196"/>
      <c r="O282" s="196"/>
      <c r="P282" s="196"/>
      <c r="Q282" s="196"/>
      <c r="R282" s="196"/>
      <c r="S282" s="196"/>
      <c r="T282" s="196"/>
      <c r="U282" s="196"/>
      <c r="V282" s="196"/>
      <c r="W282" s="196"/>
      <c r="X282" s="196"/>
      <c r="Y282" s="196"/>
      <c r="Z282" s="196"/>
      <c r="AA282" s="196"/>
      <c r="AB282" s="196"/>
      <c r="AC282" s="196"/>
      <c r="AD282" s="196"/>
      <c r="AE282" s="196"/>
      <c r="AF282" s="196"/>
      <c r="AG282" s="196"/>
      <c r="AH282" s="196"/>
      <c r="AI282" s="196"/>
      <c r="AJ282" s="196"/>
      <c r="AK282" s="196"/>
      <c r="AL282" s="196"/>
      <c r="AM282" s="196"/>
    </row>
    <row r="283">
      <c r="F283" s="203"/>
      <c r="H283" s="196"/>
      <c r="I283" s="196"/>
      <c r="J283" s="196"/>
      <c r="K283" s="196"/>
      <c r="L283" s="196"/>
      <c r="M283" s="196"/>
      <c r="N283" s="196"/>
      <c r="O283" s="196"/>
      <c r="P283" s="196"/>
      <c r="Q283" s="196"/>
      <c r="R283" s="196"/>
      <c r="S283" s="196"/>
      <c r="T283" s="196"/>
      <c r="U283" s="196"/>
      <c r="V283" s="196"/>
      <c r="W283" s="196"/>
      <c r="X283" s="196"/>
      <c r="Y283" s="196"/>
      <c r="Z283" s="196"/>
      <c r="AA283" s="196"/>
      <c r="AB283" s="196"/>
      <c r="AC283" s="196"/>
      <c r="AD283" s="196"/>
      <c r="AE283" s="196"/>
      <c r="AF283" s="196"/>
      <c r="AG283" s="196"/>
      <c r="AH283" s="196"/>
      <c r="AI283" s="196"/>
      <c r="AJ283" s="196"/>
      <c r="AK283" s="196"/>
      <c r="AL283" s="196"/>
      <c r="AM283" s="196"/>
    </row>
    <row r="284">
      <c r="F284" s="203"/>
      <c r="H284" s="196"/>
      <c r="I284" s="196"/>
      <c r="J284" s="196"/>
      <c r="K284" s="196"/>
      <c r="L284" s="196"/>
      <c r="M284" s="196"/>
      <c r="N284" s="196"/>
      <c r="O284" s="196"/>
      <c r="P284" s="196"/>
      <c r="Q284" s="196"/>
      <c r="R284" s="196"/>
      <c r="S284" s="196"/>
      <c r="T284" s="196"/>
      <c r="U284" s="196"/>
      <c r="V284" s="196"/>
      <c r="W284" s="196"/>
      <c r="X284" s="196"/>
      <c r="Y284" s="196"/>
      <c r="Z284" s="196"/>
      <c r="AA284" s="196"/>
      <c r="AB284" s="196"/>
      <c r="AC284" s="196"/>
      <c r="AD284" s="196"/>
      <c r="AE284" s="196"/>
      <c r="AF284" s="196"/>
      <c r="AG284" s="196"/>
      <c r="AH284" s="196"/>
      <c r="AI284" s="196"/>
      <c r="AJ284" s="196"/>
      <c r="AK284" s="196"/>
      <c r="AL284" s="196"/>
      <c r="AM284" s="196"/>
    </row>
    <row r="285">
      <c r="F285" s="203"/>
      <c r="H285" s="196"/>
      <c r="I285" s="196"/>
      <c r="J285" s="196"/>
      <c r="K285" s="196"/>
      <c r="L285" s="196"/>
      <c r="M285" s="196"/>
      <c r="N285" s="196"/>
      <c r="O285" s="196"/>
      <c r="P285" s="196"/>
      <c r="Q285" s="196"/>
      <c r="R285" s="196"/>
      <c r="S285" s="196"/>
      <c r="T285" s="196"/>
      <c r="U285" s="196"/>
      <c r="V285" s="196"/>
      <c r="W285" s="196"/>
      <c r="X285" s="196"/>
      <c r="Y285" s="196"/>
      <c r="Z285" s="196"/>
      <c r="AA285" s="196"/>
      <c r="AB285" s="196"/>
      <c r="AC285" s="196"/>
      <c r="AD285" s="196"/>
      <c r="AE285" s="196"/>
      <c r="AF285" s="196"/>
      <c r="AG285" s="196"/>
      <c r="AH285" s="196"/>
      <c r="AI285" s="196"/>
      <c r="AJ285" s="196"/>
      <c r="AK285" s="196"/>
      <c r="AL285" s="196"/>
      <c r="AM285" s="196"/>
    </row>
    <row r="286">
      <c r="F286" s="203"/>
      <c r="H286" s="196"/>
      <c r="I286" s="196"/>
      <c r="J286" s="196"/>
      <c r="K286" s="196"/>
      <c r="L286" s="196"/>
      <c r="M286" s="196"/>
      <c r="N286" s="196"/>
      <c r="O286" s="196"/>
      <c r="P286" s="196"/>
      <c r="Q286" s="196"/>
      <c r="R286" s="196"/>
      <c r="S286" s="196"/>
      <c r="T286" s="196"/>
      <c r="U286" s="196"/>
      <c r="V286" s="196"/>
      <c r="W286" s="196"/>
      <c r="X286" s="196"/>
      <c r="Y286" s="196"/>
      <c r="Z286" s="196"/>
      <c r="AA286" s="196"/>
      <c r="AB286" s="196"/>
      <c r="AC286" s="196"/>
      <c r="AD286" s="196"/>
      <c r="AE286" s="196"/>
      <c r="AF286" s="196"/>
      <c r="AG286" s="196"/>
      <c r="AH286" s="196"/>
      <c r="AI286" s="196"/>
      <c r="AJ286" s="196"/>
      <c r="AK286" s="196"/>
      <c r="AL286" s="196"/>
      <c r="AM286" s="196"/>
    </row>
    <row r="287">
      <c r="F287" s="203"/>
      <c r="H287" s="196"/>
      <c r="I287" s="196"/>
      <c r="J287" s="196"/>
      <c r="K287" s="196"/>
      <c r="L287" s="196"/>
      <c r="M287" s="196"/>
      <c r="N287" s="196"/>
      <c r="O287" s="196"/>
      <c r="P287" s="196"/>
      <c r="Q287" s="196"/>
      <c r="R287" s="196"/>
      <c r="S287" s="196"/>
      <c r="T287" s="196"/>
      <c r="U287" s="196"/>
      <c r="V287" s="196"/>
      <c r="W287" s="196"/>
      <c r="X287" s="196"/>
      <c r="Y287" s="196"/>
      <c r="Z287" s="196"/>
      <c r="AA287" s="196"/>
      <c r="AB287" s="196"/>
      <c r="AC287" s="196"/>
      <c r="AD287" s="196"/>
      <c r="AE287" s="196"/>
      <c r="AF287" s="196"/>
      <c r="AG287" s="196"/>
      <c r="AH287" s="196"/>
      <c r="AI287" s="196"/>
      <c r="AJ287" s="196"/>
      <c r="AK287" s="196"/>
      <c r="AL287" s="196"/>
      <c r="AM287" s="196"/>
    </row>
    <row r="288">
      <c r="F288" s="203"/>
      <c r="H288" s="196"/>
      <c r="I288" s="196"/>
      <c r="J288" s="196"/>
      <c r="K288" s="196"/>
      <c r="L288" s="196"/>
      <c r="M288" s="196"/>
      <c r="N288" s="196"/>
      <c r="O288" s="196"/>
      <c r="P288" s="196"/>
      <c r="Q288" s="196"/>
      <c r="R288" s="196"/>
      <c r="S288" s="196"/>
      <c r="T288" s="196"/>
      <c r="U288" s="196"/>
      <c r="V288" s="196"/>
      <c r="W288" s="196"/>
      <c r="X288" s="196"/>
      <c r="Y288" s="196"/>
      <c r="Z288" s="196"/>
      <c r="AA288" s="196"/>
      <c r="AB288" s="196"/>
      <c r="AC288" s="196"/>
      <c r="AD288" s="196"/>
      <c r="AE288" s="196"/>
      <c r="AF288" s="196"/>
      <c r="AG288" s="196"/>
      <c r="AH288" s="196"/>
      <c r="AI288" s="196"/>
      <c r="AJ288" s="196"/>
      <c r="AK288" s="196"/>
      <c r="AL288" s="196"/>
      <c r="AM288" s="196"/>
    </row>
    <row r="289">
      <c r="F289" s="203"/>
      <c r="H289" s="196"/>
      <c r="I289" s="196"/>
      <c r="J289" s="196"/>
      <c r="K289" s="196"/>
      <c r="L289" s="196"/>
      <c r="M289" s="196"/>
      <c r="N289" s="196"/>
      <c r="O289" s="196"/>
      <c r="P289" s="196"/>
      <c r="Q289" s="196"/>
      <c r="R289" s="196"/>
      <c r="S289" s="196"/>
      <c r="T289" s="196"/>
      <c r="U289" s="196"/>
      <c r="V289" s="196"/>
      <c r="W289" s="196"/>
      <c r="X289" s="196"/>
      <c r="Y289" s="196"/>
      <c r="Z289" s="196"/>
      <c r="AA289" s="196"/>
      <c r="AB289" s="196"/>
      <c r="AC289" s="196"/>
      <c r="AD289" s="196"/>
      <c r="AE289" s="196"/>
      <c r="AF289" s="196"/>
      <c r="AG289" s="196"/>
      <c r="AH289" s="196"/>
      <c r="AI289" s="196"/>
      <c r="AJ289" s="196"/>
      <c r="AK289" s="196"/>
      <c r="AL289" s="196"/>
      <c r="AM289" s="196"/>
    </row>
    <row r="290">
      <c r="F290" s="203"/>
      <c r="H290" s="196"/>
      <c r="I290" s="196"/>
      <c r="J290" s="196"/>
      <c r="K290" s="196"/>
      <c r="L290" s="196"/>
      <c r="M290" s="196"/>
      <c r="N290" s="196"/>
      <c r="O290" s="196"/>
      <c r="P290" s="196"/>
      <c r="Q290" s="196"/>
      <c r="R290" s="196"/>
      <c r="S290" s="196"/>
      <c r="T290" s="196"/>
      <c r="U290" s="196"/>
      <c r="V290" s="196"/>
      <c r="W290" s="196"/>
      <c r="X290" s="196"/>
      <c r="Y290" s="196"/>
      <c r="Z290" s="196"/>
      <c r="AA290" s="196"/>
      <c r="AB290" s="196"/>
      <c r="AC290" s="196"/>
      <c r="AD290" s="196"/>
      <c r="AE290" s="196"/>
      <c r="AF290" s="196"/>
      <c r="AG290" s="196"/>
      <c r="AH290" s="196"/>
      <c r="AI290" s="196"/>
      <c r="AJ290" s="196"/>
      <c r="AK290" s="196"/>
      <c r="AL290" s="196"/>
      <c r="AM290" s="196"/>
    </row>
    <row r="291">
      <c r="F291" s="203"/>
      <c r="H291" s="196"/>
      <c r="I291" s="196"/>
      <c r="J291" s="196"/>
      <c r="K291" s="196"/>
      <c r="L291" s="196"/>
      <c r="M291" s="196"/>
      <c r="N291" s="196"/>
      <c r="O291" s="196"/>
      <c r="P291" s="196"/>
      <c r="Q291" s="196"/>
      <c r="R291" s="196"/>
      <c r="S291" s="196"/>
      <c r="T291" s="196"/>
      <c r="U291" s="196"/>
      <c r="V291" s="196"/>
      <c r="W291" s="196"/>
      <c r="X291" s="196"/>
      <c r="Y291" s="196"/>
      <c r="Z291" s="196"/>
      <c r="AA291" s="196"/>
      <c r="AB291" s="196"/>
      <c r="AC291" s="196"/>
      <c r="AD291" s="196"/>
      <c r="AE291" s="196"/>
      <c r="AF291" s="196"/>
      <c r="AG291" s="196"/>
      <c r="AH291" s="196"/>
      <c r="AI291" s="196"/>
      <c r="AJ291" s="196"/>
      <c r="AK291" s="196"/>
      <c r="AL291" s="196"/>
      <c r="AM291" s="196"/>
    </row>
    <row r="292">
      <c r="F292" s="203"/>
      <c r="H292" s="196"/>
      <c r="I292" s="196"/>
      <c r="J292" s="196"/>
      <c r="K292" s="196"/>
      <c r="L292" s="196"/>
      <c r="M292" s="196"/>
      <c r="N292" s="196"/>
      <c r="O292" s="196"/>
      <c r="P292" s="196"/>
      <c r="Q292" s="196"/>
      <c r="R292" s="196"/>
      <c r="S292" s="196"/>
      <c r="T292" s="196"/>
      <c r="U292" s="196"/>
      <c r="V292" s="196"/>
      <c r="W292" s="196"/>
      <c r="X292" s="196"/>
      <c r="Y292" s="196"/>
      <c r="Z292" s="196"/>
      <c r="AA292" s="196"/>
      <c r="AB292" s="196"/>
      <c r="AC292" s="196"/>
      <c r="AD292" s="196"/>
      <c r="AE292" s="196"/>
      <c r="AF292" s="196"/>
      <c r="AG292" s="196"/>
      <c r="AH292" s="196"/>
      <c r="AI292" s="196"/>
      <c r="AJ292" s="196"/>
      <c r="AK292" s="196"/>
      <c r="AL292" s="196"/>
      <c r="AM292" s="196"/>
    </row>
    <row r="293">
      <c r="F293" s="203"/>
      <c r="H293" s="196"/>
      <c r="I293" s="196"/>
      <c r="J293" s="196"/>
      <c r="K293" s="196"/>
      <c r="L293" s="196"/>
      <c r="M293" s="196"/>
      <c r="N293" s="196"/>
      <c r="O293" s="196"/>
      <c r="P293" s="196"/>
      <c r="Q293" s="196"/>
      <c r="R293" s="196"/>
      <c r="S293" s="196"/>
      <c r="T293" s="196"/>
      <c r="U293" s="196"/>
      <c r="V293" s="196"/>
      <c r="W293" s="196"/>
      <c r="X293" s="196"/>
      <c r="Y293" s="196"/>
      <c r="Z293" s="196"/>
      <c r="AA293" s="196"/>
      <c r="AB293" s="196"/>
      <c r="AC293" s="196"/>
      <c r="AD293" s="196"/>
      <c r="AE293" s="196"/>
      <c r="AF293" s="196"/>
      <c r="AG293" s="196"/>
      <c r="AH293" s="196"/>
      <c r="AI293" s="196"/>
      <c r="AJ293" s="196"/>
      <c r="AK293" s="196"/>
      <c r="AL293" s="196"/>
      <c r="AM293" s="196"/>
    </row>
    <row r="294">
      <c r="F294" s="203"/>
      <c r="H294" s="196"/>
      <c r="I294" s="196"/>
      <c r="J294" s="196"/>
      <c r="K294" s="196"/>
      <c r="L294" s="196"/>
      <c r="M294" s="196"/>
      <c r="N294" s="196"/>
      <c r="O294" s="196"/>
      <c r="P294" s="196"/>
      <c r="Q294" s="196"/>
      <c r="R294" s="196"/>
      <c r="S294" s="196"/>
      <c r="T294" s="196"/>
      <c r="U294" s="196"/>
      <c r="V294" s="196"/>
      <c r="W294" s="196"/>
      <c r="X294" s="196"/>
      <c r="Y294" s="196"/>
      <c r="Z294" s="196"/>
      <c r="AA294" s="196"/>
      <c r="AB294" s="196"/>
      <c r="AC294" s="196"/>
      <c r="AD294" s="196"/>
      <c r="AE294" s="196"/>
      <c r="AF294" s="196"/>
      <c r="AG294" s="196"/>
      <c r="AH294" s="196"/>
      <c r="AI294" s="196"/>
      <c r="AJ294" s="196"/>
      <c r="AK294" s="196"/>
      <c r="AL294" s="196"/>
      <c r="AM294" s="196"/>
    </row>
    <row r="295">
      <c r="F295" s="203"/>
      <c r="H295" s="196"/>
      <c r="I295" s="196"/>
      <c r="J295" s="196"/>
      <c r="K295" s="196"/>
      <c r="L295" s="196"/>
      <c r="M295" s="196"/>
      <c r="N295" s="196"/>
      <c r="O295" s="196"/>
      <c r="P295" s="196"/>
      <c r="Q295" s="196"/>
      <c r="R295" s="196"/>
      <c r="S295" s="196"/>
      <c r="T295" s="196"/>
      <c r="U295" s="196"/>
      <c r="V295" s="196"/>
      <c r="W295" s="196"/>
      <c r="X295" s="196"/>
      <c r="Y295" s="196"/>
      <c r="Z295" s="196"/>
      <c r="AA295" s="196"/>
      <c r="AB295" s="196"/>
      <c r="AC295" s="196"/>
      <c r="AD295" s="196"/>
      <c r="AE295" s="196"/>
      <c r="AF295" s="196"/>
      <c r="AG295" s="196"/>
      <c r="AH295" s="196"/>
      <c r="AI295" s="196"/>
      <c r="AJ295" s="196"/>
      <c r="AK295" s="196"/>
      <c r="AL295" s="196"/>
      <c r="AM295" s="196"/>
    </row>
    <row r="296">
      <c r="F296" s="203"/>
      <c r="H296" s="196"/>
      <c r="I296" s="196"/>
      <c r="J296" s="196"/>
      <c r="K296" s="196"/>
      <c r="L296" s="196"/>
      <c r="M296" s="196"/>
      <c r="N296" s="196"/>
      <c r="O296" s="196"/>
      <c r="P296" s="196"/>
      <c r="Q296" s="196"/>
      <c r="R296" s="196"/>
      <c r="S296" s="196"/>
      <c r="T296" s="196"/>
      <c r="U296" s="196"/>
      <c r="V296" s="196"/>
      <c r="W296" s="196"/>
      <c r="X296" s="196"/>
      <c r="Y296" s="196"/>
      <c r="Z296" s="196"/>
      <c r="AA296" s="196"/>
      <c r="AB296" s="196"/>
      <c r="AC296" s="196"/>
      <c r="AD296" s="196"/>
      <c r="AE296" s="196"/>
      <c r="AF296" s="196"/>
      <c r="AG296" s="196"/>
      <c r="AH296" s="196"/>
      <c r="AI296" s="196"/>
      <c r="AJ296" s="196"/>
      <c r="AK296" s="196"/>
      <c r="AL296" s="196"/>
      <c r="AM296" s="196"/>
    </row>
    <row r="297">
      <c r="F297" s="203"/>
      <c r="H297" s="196"/>
      <c r="I297" s="196"/>
      <c r="J297" s="196"/>
      <c r="K297" s="196"/>
      <c r="L297" s="196"/>
      <c r="M297" s="196"/>
      <c r="N297" s="196"/>
      <c r="O297" s="196"/>
      <c r="P297" s="196"/>
      <c r="Q297" s="196"/>
      <c r="R297" s="196"/>
      <c r="S297" s="196"/>
      <c r="T297" s="196"/>
      <c r="U297" s="196"/>
      <c r="V297" s="196"/>
      <c r="W297" s="196"/>
      <c r="X297" s="196"/>
      <c r="Y297" s="196"/>
      <c r="Z297" s="196"/>
      <c r="AA297" s="196"/>
      <c r="AB297" s="196"/>
      <c r="AC297" s="196"/>
      <c r="AD297" s="196"/>
      <c r="AE297" s="196"/>
      <c r="AF297" s="196"/>
      <c r="AG297" s="196"/>
      <c r="AH297" s="196"/>
      <c r="AI297" s="196"/>
      <c r="AJ297" s="196"/>
      <c r="AK297" s="196"/>
      <c r="AL297" s="196"/>
      <c r="AM297" s="196"/>
    </row>
    <row r="298">
      <c r="F298" s="203"/>
      <c r="H298" s="196"/>
      <c r="I298" s="196"/>
      <c r="J298" s="196"/>
      <c r="K298" s="196"/>
      <c r="L298" s="196"/>
      <c r="M298" s="196"/>
      <c r="N298" s="196"/>
      <c r="O298" s="196"/>
      <c r="P298" s="196"/>
      <c r="Q298" s="196"/>
      <c r="R298" s="196"/>
      <c r="S298" s="196"/>
      <c r="T298" s="196"/>
      <c r="U298" s="196"/>
      <c r="V298" s="196"/>
      <c r="W298" s="196"/>
      <c r="X298" s="196"/>
      <c r="Y298" s="196"/>
      <c r="Z298" s="196"/>
      <c r="AA298" s="196"/>
      <c r="AB298" s="196"/>
      <c r="AC298" s="196"/>
      <c r="AD298" s="196"/>
      <c r="AE298" s="196"/>
      <c r="AF298" s="196"/>
      <c r="AG298" s="196"/>
      <c r="AH298" s="196"/>
      <c r="AI298" s="196"/>
      <c r="AJ298" s="196"/>
      <c r="AK298" s="196"/>
      <c r="AL298" s="196"/>
      <c r="AM298" s="196"/>
    </row>
    <row r="299">
      <c r="F299" s="203"/>
      <c r="H299" s="196"/>
      <c r="I299" s="196"/>
      <c r="J299" s="196"/>
      <c r="K299" s="196"/>
      <c r="L299" s="196"/>
      <c r="M299" s="196"/>
      <c r="N299" s="196"/>
      <c r="O299" s="196"/>
      <c r="P299" s="196"/>
      <c r="Q299" s="196"/>
      <c r="R299" s="196"/>
      <c r="S299" s="196"/>
      <c r="T299" s="196"/>
      <c r="U299" s="196"/>
      <c r="V299" s="196"/>
      <c r="W299" s="196"/>
      <c r="X299" s="196"/>
      <c r="Y299" s="196"/>
      <c r="Z299" s="196"/>
      <c r="AA299" s="196"/>
      <c r="AB299" s="196"/>
      <c r="AC299" s="196"/>
      <c r="AD299" s="196"/>
      <c r="AE299" s="196"/>
      <c r="AF299" s="196"/>
      <c r="AG299" s="196"/>
      <c r="AH299" s="196"/>
      <c r="AI299" s="196"/>
      <c r="AJ299" s="196"/>
      <c r="AK299" s="196"/>
      <c r="AL299" s="196"/>
      <c r="AM299" s="196"/>
    </row>
    <row r="300">
      <c r="F300" s="203"/>
      <c r="H300" s="196"/>
      <c r="I300" s="196"/>
      <c r="J300" s="196"/>
      <c r="K300" s="196"/>
      <c r="L300" s="196"/>
      <c r="M300" s="196"/>
      <c r="N300" s="196"/>
      <c r="O300" s="196"/>
      <c r="P300" s="196"/>
      <c r="Q300" s="196"/>
      <c r="R300" s="196"/>
      <c r="S300" s="196"/>
      <c r="T300" s="196"/>
      <c r="U300" s="196"/>
      <c r="V300" s="196"/>
      <c r="W300" s="196"/>
      <c r="X300" s="196"/>
      <c r="Y300" s="196"/>
      <c r="Z300" s="196"/>
      <c r="AA300" s="196"/>
      <c r="AB300" s="196"/>
      <c r="AC300" s="196"/>
      <c r="AD300" s="196"/>
      <c r="AE300" s="196"/>
      <c r="AF300" s="196"/>
      <c r="AG300" s="196"/>
      <c r="AH300" s="196"/>
      <c r="AI300" s="196"/>
      <c r="AJ300" s="196"/>
      <c r="AK300" s="196"/>
      <c r="AL300" s="196"/>
      <c r="AM300" s="196"/>
    </row>
    <row r="301">
      <c r="F301" s="203"/>
      <c r="H301" s="196"/>
      <c r="I301" s="196"/>
      <c r="J301" s="196"/>
      <c r="K301" s="196"/>
      <c r="L301" s="196"/>
      <c r="M301" s="196"/>
      <c r="N301" s="196"/>
      <c r="O301" s="196"/>
      <c r="P301" s="196"/>
      <c r="Q301" s="196"/>
      <c r="R301" s="196"/>
      <c r="S301" s="196"/>
      <c r="T301" s="196"/>
      <c r="U301" s="196"/>
      <c r="V301" s="196"/>
      <c r="W301" s="196"/>
      <c r="X301" s="196"/>
      <c r="Y301" s="196"/>
      <c r="Z301" s="196"/>
      <c r="AA301" s="196"/>
      <c r="AB301" s="196"/>
      <c r="AC301" s="196"/>
      <c r="AD301" s="196"/>
      <c r="AE301" s="196"/>
      <c r="AF301" s="196"/>
      <c r="AG301" s="196"/>
      <c r="AH301" s="196"/>
      <c r="AI301" s="196"/>
      <c r="AJ301" s="196"/>
      <c r="AK301" s="196"/>
      <c r="AL301" s="196"/>
      <c r="AM301" s="196"/>
    </row>
    <row r="302">
      <c r="F302" s="203"/>
      <c r="H302" s="196"/>
      <c r="I302" s="196"/>
      <c r="J302" s="196"/>
      <c r="K302" s="196"/>
      <c r="L302" s="196"/>
      <c r="M302" s="196"/>
      <c r="N302" s="196"/>
      <c r="O302" s="196"/>
      <c r="P302" s="196"/>
      <c r="Q302" s="196"/>
      <c r="R302" s="196"/>
      <c r="S302" s="196"/>
      <c r="T302" s="196"/>
      <c r="U302" s="196"/>
      <c r="V302" s="196"/>
      <c r="W302" s="196"/>
      <c r="X302" s="196"/>
      <c r="Y302" s="196"/>
      <c r="Z302" s="196"/>
      <c r="AA302" s="196"/>
      <c r="AB302" s="196"/>
      <c r="AC302" s="196"/>
      <c r="AD302" s="196"/>
      <c r="AE302" s="196"/>
      <c r="AF302" s="196"/>
      <c r="AG302" s="196"/>
      <c r="AH302" s="196"/>
      <c r="AI302" s="196"/>
      <c r="AJ302" s="196"/>
      <c r="AK302" s="196"/>
      <c r="AL302" s="196"/>
      <c r="AM302" s="196"/>
    </row>
    <row r="303">
      <c r="F303" s="203"/>
      <c r="H303" s="196"/>
      <c r="I303" s="196"/>
      <c r="J303" s="196"/>
      <c r="K303" s="196"/>
      <c r="L303" s="196"/>
      <c r="M303" s="196"/>
      <c r="N303" s="196"/>
      <c r="O303" s="196"/>
      <c r="P303" s="196"/>
      <c r="Q303" s="196"/>
      <c r="R303" s="196"/>
      <c r="S303" s="196"/>
      <c r="T303" s="196"/>
      <c r="U303" s="196"/>
      <c r="V303" s="196"/>
      <c r="W303" s="196"/>
      <c r="X303" s="196"/>
      <c r="Y303" s="196"/>
      <c r="Z303" s="196"/>
      <c r="AA303" s="196"/>
      <c r="AB303" s="196"/>
      <c r="AC303" s="196"/>
      <c r="AD303" s="196"/>
      <c r="AE303" s="196"/>
      <c r="AF303" s="196"/>
      <c r="AG303" s="196"/>
      <c r="AH303" s="196"/>
      <c r="AI303" s="196"/>
      <c r="AJ303" s="196"/>
      <c r="AK303" s="196"/>
      <c r="AL303" s="196"/>
      <c r="AM303" s="196"/>
    </row>
    <row r="304">
      <c r="F304" s="203"/>
      <c r="H304" s="196"/>
      <c r="I304" s="196"/>
      <c r="J304" s="196"/>
      <c r="K304" s="196"/>
      <c r="L304" s="196"/>
      <c r="M304" s="196"/>
      <c r="N304" s="196"/>
      <c r="O304" s="196"/>
      <c r="P304" s="196"/>
      <c r="Q304" s="196"/>
      <c r="R304" s="196"/>
      <c r="S304" s="196"/>
      <c r="T304" s="196"/>
      <c r="U304" s="196"/>
      <c r="V304" s="196"/>
      <c r="W304" s="196"/>
      <c r="X304" s="196"/>
      <c r="Y304" s="196"/>
      <c r="Z304" s="196"/>
      <c r="AA304" s="196"/>
      <c r="AB304" s="196"/>
      <c r="AC304" s="196"/>
      <c r="AD304" s="196"/>
      <c r="AE304" s="196"/>
      <c r="AF304" s="196"/>
      <c r="AG304" s="196"/>
      <c r="AH304" s="196"/>
      <c r="AI304" s="196"/>
      <c r="AJ304" s="196"/>
      <c r="AK304" s="196"/>
      <c r="AL304" s="196"/>
      <c r="AM304" s="196"/>
    </row>
    <row r="305">
      <c r="F305" s="203"/>
      <c r="H305" s="196"/>
      <c r="I305" s="196"/>
      <c r="J305" s="196"/>
      <c r="K305" s="196"/>
      <c r="L305" s="196"/>
      <c r="M305" s="196"/>
      <c r="N305" s="196"/>
      <c r="O305" s="196"/>
      <c r="P305" s="196"/>
      <c r="Q305" s="196"/>
      <c r="R305" s="196"/>
      <c r="S305" s="196"/>
      <c r="T305" s="196"/>
      <c r="U305" s="196"/>
      <c r="V305" s="196"/>
      <c r="W305" s="196"/>
      <c r="X305" s="196"/>
      <c r="Y305" s="196"/>
      <c r="Z305" s="196"/>
      <c r="AA305" s="196"/>
      <c r="AB305" s="196"/>
      <c r="AC305" s="196"/>
      <c r="AD305" s="196"/>
      <c r="AE305" s="196"/>
      <c r="AF305" s="196"/>
      <c r="AG305" s="196"/>
      <c r="AH305" s="196"/>
      <c r="AI305" s="196"/>
      <c r="AJ305" s="196"/>
      <c r="AK305" s="196"/>
      <c r="AL305" s="196"/>
      <c r="AM305" s="196"/>
    </row>
    <row r="306">
      <c r="F306" s="203"/>
      <c r="H306" s="196"/>
      <c r="I306" s="196"/>
      <c r="J306" s="196"/>
      <c r="K306" s="196"/>
      <c r="L306" s="196"/>
      <c r="M306" s="196"/>
      <c r="N306" s="196"/>
      <c r="O306" s="196"/>
      <c r="P306" s="196"/>
      <c r="Q306" s="196"/>
      <c r="R306" s="196"/>
      <c r="S306" s="196"/>
      <c r="T306" s="196"/>
      <c r="U306" s="196"/>
      <c r="V306" s="196"/>
      <c r="W306" s="196"/>
      <c r="X306" s="196"/>
      <c r="Y306" s="196"/>
      <c r="Z306" s="196"/>
      <c r="AA306" s="196"/>
      <c r="AB306" s="196"/>
      <c r="AC306" s="196"/>
      <c r="AD306" s="196"/>
      <c r="AE306" s="196"/>
      <c r="AF306" s="196"/>
      <c r="AG306" s="196"/>
      <c r="AH306" s="196"/>
      <c r="AI306" s="196"/>
      <c r="AJ306" s="196"/>
      <c r="AK306" s="196"/>
      <c r="AL306" s="196"/>
      <c r="AM306" s="196"/>
    </row>
    <row r="307">
      <c r="F307" s="203"/>
      <c r="H307" s="196"/>
      <c r="I307" s="196"/>
      <c r="J307" s="196"/>
      <c r="K307" s="196"/>
      <c r="L307" s="196"/>
      <c r="M307" s="196"/>
      <c r="N307" s="196"/>
      <c r="O307" s="196"/>
      <c r="P307" s="196"/>
      <c r="Q307" s="196"/>
      <c r="R307" s="196"/>
      <c r="S307" s="196"/>
      <c r="T307" s="196"/>
      <c r="U307" s="196"/>
      <c r="V307" s="196"/>
      <c r="W307" s="196"/>
      <c r="X307" s="196"/>
      <c r="Y307" s="196"/>
      <c r="Z307" s="196"/>
      <c r="AA307" s="196"/>
      <c r="AB307" s="196"/>
      <c r="AC307" s="196"/>
      <c r="AD307" s="196"/>
      <c r="AE307" s="196"/>
      <c r="AF307" s="196"/>
      <c r="AG307" s="196"/>
      <c r="AH307" s="196"/>
      <c r="AI307" s="196"/>
      <c r="AJ307" s="196"/>
      <c r="AK307" s="196"/>
      <c r="AL307" s="196"/>
      <c r="AM307" s="196"/>
    </row>
    <row r="308">
      <c r="F308" s="203"/>
      <c r="H308" s="196"/>
      <c r="I308" s="196"/>
      <c r="J308" s="196"/>
      <c r="K308" s="196"/>
      <c r="L308" s="196"/>
      <c r="M308" s="196"/>
      <c r="N308" s="196"/>
      <c r="O308" s="196"/>
      <c r="P308" s="196"/>
      <c r="Q308" s="196"/>
      <c r="R308" s="196"/>
      <c r="S308" s="196"/>
      <c r="T308" s="196"/>
      <c r="U308" s="196"/>
      <c r="V308" s="196"/>
      <c r="W308" s="196"/>
      <c r="X308" s="196"/>
      <c r="Y308" s="196"/>
      <c r="Z308" s="196"/>
      <c r="AA308" s="196"/>
      <c r="AB308" s="196"/>
      <c r="AC308" s="196"/>
      <c r="AD308" s="196"/>
      <c r="AE308" s="196"/>
      <c r="AF308" s="196"/>
      <c r="AG308" s="196"/>
      <c r="AH308" s="196"/>
      <c r="AI308" s="196"/>
      <c r="AJ308" s="196"/>
      <c r="AK308" s="196"/>
      <c r="AL308" s="196"/>
      <c r="AM308" s="196"/>
    </row>
    <row r="309">
      <c r="F309" s="203"/>
      <c r="H309" s="196"/>
      <c r="I309" s="196"/>
      <c r="J309" s="196"/>
      <c r="K309" s="196"/>
      <c r="L309" s="196"/>
      <c r="M309" s="196"/>
      <c r="N309" s="196"/>
      <c r="O309" s="196"/>
      <c r="P309" s="196"/>
      <c r="Q309" s="196"/>
      <c r="R309" s="196"/>
      <c r="S309" s="196"/>
      <c r="T309" s="196"/>
      <c r="U309" s="196"/>
      <c r="V309" s="196"/>
      <c r="W309" s="196"/>
      <c r="X309" s="196"/>
      <c r="Y309" s="196"/>
      <c r="Z309" s="196"/>
      <c r="AA309" s="196"/>
      <c r="AB309" s="196"/>
      <c r="AC309" s="196"/>
      <c r="AD309" s="196"/>
      <c r="AE309" s="196"/>
      <c r="AF309" s="196"/>
      <c r="AG309" s="196"/>
      <c r="AH309" s="196"/>
      <c r="AI309" s="196"/>
      <c r="AJ309" s="196"/>
      <c r="AK309" s="196"/>
      <c r="AL309" s="196"/>
      <c r="AM309" s="196"/>
    </row>
    <row r="310">
      <c r="F310" s="203"/>
      <c r="H310" s="196"/>
      <c r="I310" s="196"/>
      <c r="J310" s="196"/>
      <c r="K310" s="196"/>
      <c r="L310" s="196"/>
      <c r="M310" s="196"/>
      <c r="N310" s="196"/>
      <c r="O310" s="196"/>
      <c r="P310" s="196"/>
      <c r="Q310" s="196"/>
      <c r="R310" s="196"/>
      <c r="S310" s="196"/>
      <c r="T310" s="196"/>
      <c r="U310" s="196"/>
      <c r="V310" s="196"/>
      <c r="W310" s="196"/>
      <c r="X310" s="196"/>
      <c r="Y310" s="196"/>
      <c r="Z310" s="196"/>
      <c r="AA310" s="196"/>
      <c r="AB310" s="196"/>
      <c r="AC310" s="196"/>
      <c r="AD310" s="196"/>
      <c r="AE310" s="196"/>
      <c r="AF310" s="196"/>
      <c r="AG310" s="196"/>
      <c r="AH310" s="196"/>
      <c r="AI310" s="196"/>
      <c r="AJ310" s="196"/>
      <c r="AK310" s="196"/>
      <c r="AL310" s="196"/>
      <c r="AM310" s="196"/>
    </row>
    <row r="311">
      <c r="F311" s="203"/>
      <c r="H311" s="196"/>
      <c r="I311" s="196"/>
      <c r="J311" s="196"/>
      <c r="K311" s="196"/>
      <c r="L311" s="196"/>
      <c r="M311" s="196"/>
      <c r="N311" s="196"/>
      <c r="O311" s="196"/>
      <c r="P311" s="196"/>
      <c r="Q311" s="196"/>
      <c r="R311" s="196"/>
      <c r="S311" s="196"/>
      <c r="T311" s="196"/>
      <c r="U311" s="196"/>
      <c r="V311" s="196"/>
      <c r="W311" s="196"/>
      <c r="X311" s="196"/>
      <c r="Y311" s="196"/>
      <c r="Z311" s="196"/>
      <c r="AA311" s="196"/>
      <c r="AB311" s="196"/>
      <c r="AC311" s="196"/>
      <c r="AD311" s="196"/>
      <c r="AE311" s="196"/>
      <c r="AF311" s="196"/>
      <c r="AG311" s="196"/>
      <c r="AH311" s="196"/>
      <c r="AI311" s="196"/>
      <c r="AJ311" s="196"/>
      <c r="AK311" s="196"/>
      <c r="AL311" s="196"/>
      <c r="AM311" s="196"/>
    </row>
    <row r="312">
      <c r="F312" s="203"/>
      <c r="H312" s="196"/>
      <c r="I312" s="196"/>
      <c r="J312" s="196"/>
      <c r="K312" s="196"/>
      <c r="L312" s="196"/>
      <c r="M312" s="196"/>
      <c r="N312" s="196"/>
      <c r="O312" s="196"/>
      <c r="P312" s="196"/>
      <c r="Q312" s="196"/>
      <c r="R312" s="196"/>
      <c r="S312" s="196"/>
      <c r="T312" s="196"/>
      <c r="U312" s="196"/>
      <c r="V312" s="196"/>
      <c r="W312" s="196"/>
      <c r="X312" s="196"/>
      <c r="Y312" s="196"/>
      <c r="Z312" s="196"/>
      <c r="AA312" s="196"/>
      <c r="AB312" s="196"/>
      <c r="AC312" s="196"/>
      <c r="AD312" s="196"/>
      <c r="AE312" s="196"/>
      <c r="AF312" s="196"/>
      <c r="AG312" s="196"/>
      <c r="AH312" s="196"/>
      <c r="AI312" s="196"/>
      <c r="AJ312" s="196"/>
      <c r="AK312" s="196"/>
      <c r="AL312" s="196"/>
      <c r="AM312" s="196"/>
    </row>
    <row r="313">
      <c r="F313" s="203"/>
      <c r="H313" s="196"/>
      <c r="I313" s="196"/>
      <c r="J313" s="196"/>
      <c r="K313" s="196"/>
      <c r="L313" s="196"/>
      <c r="M313" s="196"/>
      <c r="N313" s="196"/>
      <c r="O313" s="196"/>
      <c r="P313" s="196"/>
      <c r="Q313" s="196"/>
      <c r="R313" s="196"/>
      <c r="S313" s="196"/>
      <c r="T313" s="196"/>
      <c r="U313" s="196"/>
      <c r="V313" s="196"/>
      <c r="W313" s="196"/>
      <c r="X313" s="196"/>
      <c r="Y313" s="196"/>
      <c r="Z313" s="196"/>
      <c r="AA313" s="196"/>
      <c r="AB313" s="196"/>
      <c r="AC313" s="196"/>
      <c r="AD313" s="196"/>
      <c r="AE313" s="196"/>
      <c r="AF313" s="196"/>
      <c r="AG313" s="196"/>
      <c r="AH313" s="196"/>
      <c r="AI313" s="196"/>
      <c r="AJ313" s="196"/>
      <c r="AK313" s="196"/>
      <c r="AL313" s="196"/>
      <c r="AM313" s="196"/>
    </row>
    <row r="314">
      <c r="F314" s="203"/>
      <c r="H314" s="196"/>
      <c r="I314" s="196"/>
      <c r="J314" s="196"/>
      <c r="K314" s="196"/>
      <c r="L314" s="196"/>
      <c r="M314" s="196"/>
      <c r="N314" s="196"/>
      <c r="O314" s="196"/>
      <c r="P314" s="196"/>
      <c r="Q314" s="196"/>
      <c r="R314" s="196"/>
      <c r="S314" s="196"/>
      <c r="T314" s="196"/>
      <c r="U314" s="196"/>
      <c r="V314" s="196"/>
      <c r="W314" s="196"/>
      <c r="X314" s="196"/>
      <c r="Y314" s="196"/>
      <c r="Z314" s="196"/>
      <c r="AA314" s="196"/>
      <c r="AB314" s="196"/>
      <c r="AC314" s="196"/>
      <c r="AD314" s="196"/>
      <c r="AE314" s="196"/>
      <c r="AF314" s="196"/>
      <c r="AG314" s="196"/>
      <c r="AH314" s="196"/>
      <c r="AI314" s="196"/>
      <c r="AJ314" s="196"/>
      <c r="AK314" s="196"/>
      <c r="AL314" s="196"/>
      <c r="AM314" s="196"/>
    </row>
    <row r="315">
      <c r="F315" s="203"/>
      <c r="H315" s="196"/>
      <c r="I315" s="196"/>
      <c r="J315" s="196"/>
      <c r="K315" s="196"/>
      <c r="L315" s="196"/>
      <c r="M315" s="196"/>
      <c r="N315" s="196"/>
      <c r="O315" s="196"/>
      <c r="P315" s="196"/>
      <c r="Q315" s="196"/>
      <c r="R315" s="196"/>
      <c r="S315" s="196"/>
      <c r="T315" s="196"/>
      <c r="U315" s="196"/>
      <c r="V315" s="196"/>
      <c r="W315" s="196"/>
      <c r="X315" s="196"/>
      <c r="Y315" s="196"/>
      <c r="Z315" s="196"/>
      <c r="AA315" s="196"/>
      <c r="AB315" s="196"/>
      <c r="AC315" s="196"/>
      <c r="AD315" s="196"/>
      <c r="AE315" s="196"/>
      <c r="AF315" s="196"/>
      <c r="AG315" s="196"/>
      <c r="AH315" s="196"/>
      <c r="AI315" s="196"/>
      <c r="AJ315" s="196"/>
      <c r="AK315" s="196"/>
      <c r="AL315" s="196"/>
      <c r="AM315" s="196"/>
    </row>
    <row r="316">
      <c r="F316" s="203"/>
      <c r="H316" s="196"/>
      <c r="I316" s="196"/>
      <c r="J316" s="196"/>
      <c r="K316" s="196"/>
      <c r="L316" s="196"/>
      <c r="M316" s="196"/>
      <c r="N316" s="196"/>
      <c r="O316" s="196"/>
      <c r="P316" s="196"/>
      <c r="Q316" s="196"/>
      <c r="R316" s="196"/>
      <c r="S316" s="196"/>
      <c r="T316" s="196"/>
      <c r="U316" s="196"/>
      <c r="V316" s="196"/>
      <c r="W316" s="196"/>
      <c r="X316" s="196"/>
      <c r="Y316" s="196"/>
      <c r="Z316" s="196"/>
      <c r="AA316" s="196"/>
      <c r="AB316" s="196"/>
      <c r="AC316" s="196"/>
      <c r="AD316" s="196"/>
      <c r="AE316" s="196"/>
      <c r="AF316" s="196"/>
      <c r="AG316" s="196"/>
      <c r="AH316" s="196"/>
      <c r="AI316" s="196"/>
      <c r="AJ316" s="196"/>
      <c r="AK316" s="196"/>
      <c r="AL316" s="196"/>
      <c r="AM316" s="196"/>
    </row>
    <row r="317">
      <c r="F317" s="203"/>
      <c r="H317" s="196"/>
      <c r="I317" s="196"/>
      <c r="J317" s="196"/>
      <c r="K317" s="196"/>
      <c r="L317" s="196"/>
      <c r="M317" s="196"/>
      <c r="N317" s="196"/>
      <c r="O317" s="196"/>
      <c r="P317" s="196"/>
      <c r="Q317" s="196"/>
      <c r="R317" s="196"/>
      <c r="S317" s="196"/>
      <c r="T317" s="196"/>
      <c r="U317" s="196"/>
      <c r="V317" s="196"/>
      <c r="W317" s="196"/>
      <c r="X317" s="196"/>
      <c r="Y317" s="196"/>
      <c r="Z317" s="196"/>
      <c r="AA317" s="196"/>
      <c r="AB317" s="196"/>
      <c r="AC317" s="196"/>
      <c r="AD317" s="196"/>
      <c r="AE317" s="196"/>
      <c r="AF317" s="196"/>
      <c r="AG317" s="196"/>
      <c r="AH317" s="196"/>
      <c r="AI317" s="196"/>
      <c r="AJ317" s="196"/>
      <c r="AK317" s="196"/>
      <c r="AL317" s="196"/>
      <c r="AM317" s="196"/>
    </row>
    <row r="318">
      <c r="F318" s="203"/>
      <c r="H318" s="196"/>
      <c r="I318" s="196"/>
      <c r="J318" s="196"/>
      <c r="K318" s="196"/>
      <c r="L318" s="196"/>
      <c r="M318" s="196"/>
      <c r="N318" s="196"/>
      <c r="O318" s="196"/>
      <c r="P318" s="196"/>
      <c r="Q318" s="196"/>
      <c r="R318" s="196"/>
      <c r="S318" s="196"/>
      <c r="T318" s="196"/>
      <c r="U318" s="196"/>
      <c r="V318" s="196"/>
      <c r="W318" s="196"/>
      <c r="X318" s="196"/>
      <c r="Y318" s="196"/>
      <c r="Z318" s="196"/>
      <c r="AA318" s="196"/>
      <c r="AB318" s="196"/>
      <c r="AC318" s="196"/>
      <c r="AD318" s="196"/>
      <c r="AE318" s="196"/>
      <c r="AF318" s="196"/>
      <c r="AG318" s="196"/>
      <c r="AH318" s="196"/>
      <c r="AI318" s="196"/>
      <c r="AJ318" s="196"/>
      <c r="AK318" s="196"/>
      <c r="AL318" s="196"/>
      <c r="AM318" s="196"/>
    </row>
    <row r="319">
      <c r="F319" s="203"/>
      <c r="H319" s="196"/>
      <c r="I319" s="196"/>
      <c r="J319" s="196"/>
      <c r="K319" s="196"/>
      <c r="L319" s="196"/>
      <c r="M319" s="196"/>
      <c r="N319" s="196"/>
      <c r="O319" s="196"/>
      <c r="P319" s="196"/>
      <c r="Q319" s="196"/>
      <c r="R319" s="196"/>
      <c r="S319" s="196"/>
      <c r="T319" s="196"/>
      <c r="U319" s="196"/>
      <c r="V319" s="196"/>
      <c r="W319" s="196"/>
      <c r="X319" s="196"/>
      <c r="Y319" s="196"/>
      <c r="Z319" s="196"/>
      <c r="AA319" s="196"/>
      <c r="AB319" s="196"/>
      <c r="AC319" s="196"/>
      <c r="AD319" s="196"/>
      <c r="AE319" s="196"/>
      <c r="AF319" s="196"/>
      <c r="AG319" s="196"/>
      <c r="AH319" s="196"/>
      <c r="AI319" s="196"/>
      <c r="AJ319" s="196"/>
      <c r="AK319" s="196"/>
      <c r="AL319" s="196"/>
      <c r="AM319" s="196"/>
    </row>
    <row r="320">
      <c r="F320" s="203"/>
      <c r="H320" s="196"/>
      <c r="I320" s="196"/>
      <c r="J320" s="196"/>
      <c r="K320" s="196"/>
      <c r="L320" s="196"/>
      <c r="M320" s="196"/>
      <c r="N320" s="196"/>
      <c r="O320" s="196"/>
      <c r="P320" s="196"/>
      <c r="Q320" s="196"/>
      <c r="R320" s="196"/>
      <c r="S320" s="196"/>
      <c r="T320" s="196"/>
      <c r="U320" s="196"/>
      <c r="V320" s="196"/>
      <c r="W320" s="196"/>
      <c r="X320" s="196"/>
      <c r="Y320" s="196"/>
      <c r="Z320" s="196"/>
      <c r="AA320" s="196"/>
      <c r="AB320" s="196"/>
      <c r="AC320" s="196"/>
      <c r="AD320" s="196"/>
      <c r="AE320" s="196"/>
      <c r="AF320" s="196"/>
      <c r="AG320" s="196"/>
      <c r="AH320" s="196"/>
      <c r="AI320" s="196"/>
      <c r="AJ320" s="196"/>
      <c r="AK320" s="196"/>
      <c r="AL320" s="196"/>
      <c r="AM320" s="196"/>
    </row>
    <row r="321">
      <c r="F321" s="203"/>
      <c r="H321" s="196"/>
      <c r="I321" s="196"/>
      <c r="J321" s="196"/>
      <c r="K321" s="196"/>
      <c r="L321" s="196"/>
      <c r="M321" s="196"/>
      <c r="N321" s="196"/>
      <c r="O321" s="196"/>
      <c r="P321" s="196"/>
      <c r="Q321" s="196"/>
      <c r="R321" s="196"/>
      <c r="S321" s="196"/>
      <c r="T321" s="196"/>
      <c r="U321" s="196"/>
      <c r="V321" s="196"/>
      <c r="W321" s="196"/>
      <c r="X321" s="196"/>
      <c r="Y321" s="196"/>
      <c r="Z321" s="196"/>
      <c r="AA321" s="196"/>
      <c r="AB321" s="196"/>
      <c r="AC321" s="196"/>
      <c r="AD321" s="196"/>
      <c r="AE321" s="196"/>
      <c r="AF321" s="196"/>
      <c r="AG321" s="196"/>
      <c r="AH321" s="196"/>
      <c r="AI321" s="196"/>
      <c r="AJ321" s="196"/>
      <c r="AK321" s="196"/>
      <c r="AL321" s="196"/>
      <c r="AM321" s="196"/>
    </row>
    <row r="322">
      <c r="F322" s="203"/>
      <c r="H322" s="196"/>
      <c r="I322" s="196"/>
      <c r="J322" s="196"/>
      <c r="K322" s="196"/>
      <c r="L322" s="196"/>
      <c r="M322" s="196"/>
      <c r="N322" s="196"/>
      <c r="O322" s="196"/>
      <c r="P322" s="196"/>
      <c r="Q322" s="196"/>
      <c r="R322" s="196"/>
      <c r="S322" s="196"/>
      <c r="T322" s="196"/>
      <c r="U322" s="196"/>
      <c r="V322" s="196"/>
      <c r="W322" s="196"/>
      <c r="X322" s="196"/>
      <c r="Y322" s="196"/>
      <c r="Z322" s="196"/>
      <c r="AA322" s="196"/>
      <c r="AB322" s="196"/>
      <c r="AC322" s="196"/>
      <c r="AD322" s="196"/>
      <c r="AE322" s="196"/>
      <c r="AF322" s="196"/>
      <c r="AG322" s="196"/>
      <c r="AH322" s="196"/>
      <c r="AI322" s="196"/>
      <c r="AJ322" s="196"/>
      <c r="AK322" s="196"/>
      <c r="AL322" s="196"/>
      <c r="AM322" s="196"/>
    </row>
    <row r="323">
      <c r="F323" s="203"/>
      <c r="H323" s="196"/>
      <c r="I323" s="196"/>
      <c r="J323" s="196"/>
      <c r="K323" s="196"/>
      <c r="L323" s="196"/>
      <c r="M323" s="196"/>
      <c r="N323" s="196"/>
      <c r="O323" s="196"/>
      <c r="P323" s="196"/>
      <c r="Q323" s="196"/>
      <c r="R323" s="196"/>
      <c r="S323" s="196"/>
      <c r="T323" s="196"/>
      <c r="U323" s="196"/>
      <c r="V323" s="196"/>
      <c r="W323" s="196"/>
      <c r="X323" s="196"/>
      <c r="Y323" s="196"/>
      <c r="Z323" s="196"/>
      <c r="AA323" s="196"/>
      <c r="AB323" s="196"/>
      <c r="AC323" s="196"/>
      <c r="AD323" s="196"/>
      <c r="AE323" s="196"/>
      <c r="AF323" s="196"/>
      <c r="AG323" s="196"/>
      <c r="AH323" s="196"/>
      <c r="AI323" s="196"/>
      <c r="AJ323" s="196"/>
      <c r="AK323" s="196"/>
      <c r="AL323" s="196"/>
      <c r="AM323" s="196"/>
    </row>
    <row r="324">
      <c r="F324" s="203"/>
      <c r="H324" s="196"/>
      <c r="I324" s="196"/>
      <c r="J324" s="196"/>
      <c r="K324" s="196"/>
      <c r="L324" s="196"/>
      <c r="M324" s="196"/>
      <c r="N324" s="196"/>
      <c r="O324" s="196"/>
      <c r="P324" s="196"/>
      <c r="Q324" s="196"/>
      <c r="R324" s="196"/>
      <c r="S324" s="196"/>
      <c r="T324" s="196"/>
      <c r="U324" s="196"/>
      <c r="V324" s="196"/>
      <c r="W324" s="196"/>
      <c r="X324" s="196"/>
      <c r="Y324" s="196"/>
      <c r="Z324" s="196"/>
      <c r="AA324" s="196"/>
      <c r="AB324" s="196"/>
      <c r="AC324" s="196"/>
      <c r="AD324" s="196"/>
      <c r="AE324" s="196"/>
      <c r="AF324" s="196"/>
      <c r="AG324" s="196"/>
      <c r="AH324" s="196"/>
      <c r="AI324" s="196"/>
      <c r="AJ324" s="196"/>
      <c r="AK324" s="196"/>
      <c r="AL324" s="196"/>
      <c r="AM324" s="196"/>
    </row>
    <row r="325">
      <c r="F325" s="203"/>
      <c r="H325" s="196"/>
      <c r="I325" s="196"/>
      <c r="J325" s="196"/>
      <c r="K325" s="196"/>
      <c r="L325" s="196"/>
      <c r="M325" s="196"/>
      <c r="N325" s="196"/>
      <c r="O325" s="196"/>
      <c r="P325" s="196"/>
      <c r="Q325" s="196"/>
      <c r="R325" s="196"/>
      <c r="S325" s="196"/>
      <c r="T325" s="196"/>
      <c r="U325" s="196"/>
      <c r="V325" s="196"/>
      <c r="W325" s="196"/>
      <c r="X325" s="196"/>
      <c r="Y325" s="196"/>
      <c r="Z325" s="196"/>
      <c r="AA325" s="196"/>
      <c r="AB325" s="196"/>
      <c r="AC325" s="196"/>
      <c r="AD325" s="196"/>
      <c r="AE325" s="196"/>
      <c r="AF325" s="196"/>
      <c r="AG325" s="196"/>
      <c r="AH325" s="196"/>
      <c r="AI325" s="196"/>
      <c r="AJ325" s="196"/>
      <c r="AK325" s="196"/>
      <c r="AL325" s="196"/>
      <c r="AM325" s="196"/>
    </row>
    <row r="326">
      <c r="F326" s="203"/>
      <c r="H326" s="196"/>
      <c r="I326" s="196"/>
      <c r="J326" s="196"/>
      <c r="K326" s="196"/>
      <c r="L326" s="196"/>
      <c r="M326" s="196"/>
      <c r="N326" s="196"/>
      <c r="O326" s="196"/>
      <c r="P326" s="196"/>
      <c r="Q326" s="196"/>
      <c r="R326" s="196"/>
      <c r="S326" s="196"/>
      <c r="T326" s="196"/>
      <c r="U326" s="196"/>
      <c r="V326" s="196"/>
      <c r="W326" s="196"/>
      <c r="X326" s="196"/>
      <c r="Y326" s="196"/>
      <c r="Z326" s="196"/>
      <c r="AA326" s="196"/>
      <c r="AB326" s="196"/>
      <c r="AC326" s="196"/>
      <c r="AD326" s="196"/>
      <c r="AE326" s="196"/>
      <c r="AF326" s="196"/>
      <c r="AG326" s="196"/>
      <c r="AH326" s="196"/>
      <c r="AI326" s="196"/>
      <c r="AJ326" s="196"/>
      <c r="AK326" s="196"/>
      <c r="AL326" s="196"/>
      <c r="AM326" s="196"/>
    </row>
    <row r="327">
      <c r="F327" s="203"/>
      <c r="H327" s="196"/>
      <c r="I327" s="196"/>
      <c r="J327" s="196"/>
      <c r="K327" s="196"/>
      <c r="L327" s="196"/>
      <c r="M327" s="196"/>
      <c r="N327" s="196"/>
      <c r="O327" s="196"/>
      <c r="P327" s="196"/>
      <c r="Q327" s="196"/>
      <c r="R327" s="196"/>
      <c r="S327" s="196"/>
      <c r="T327" s="196"/>
      <c r="U327" s="196"/>
      <c r="V327" s="196"/>
      <c r="W327" s="196"/>
      <c r="X327" s="196"/>
      <c r="Y327" s="196"/>
      <c r="Z327" s="196"/>
      <c r="AA327" s="196"/>
      <c r="AB327" s="196"/>
      <c r="AC327" s="196"/>
      <c r="AD327" s="196"/>
      <c r="AE327" s="196"/>
      <c r="AF327" s="196"/>
      <c r="AG327" s="196"/>
      <c r="AH327" s="196"/>
      <c r="AI327" s="196"/>
      <c r="AJ327" s="196"/>
      <c r="AK327" s="196"/>
      <c r="AL327" s="196"/>
      <c r="AM327" s="196"/>
    </row>
    <row r="328">
      <c r="F328" s="203"/>
      <c r="H328" s="196"/>
      <c r="I328" s="196"/>
      <c r="J328" s="196"/>
      <c r="K328" s="196"/>
      <c r="L328" s="196"/>
      <c r="M328" s="196"/>
      <c r="N328" s="196"/>
      <c r="O328" s="196"/>
      <c r="P328" s="196"/>
      <c r="Q328" s="196"/>
      <c r="R328" s="196"/>
      <c r="S328" s="196"/>
      <c r="T328" s="196"/>
      <c r="U328" s="196"/>
      <c r="V328" s="196"/>
      <c r="W328" s="196"/>
      <c r="X328" s="196"/>
      <c r="Y328" s="196"/>
      <c r="Z328" s="196"/>
      <c r="AA328" s="196"/>
      <c r="AB328" s="196"/>
      <c r="AC328" s="196"/>
      <c r="AD328" s="196"/>
      <c r="AE328" s="196"/>
      <c r="AF328" s="196"/>
      <c r="AG328" s="196"/>
      <c r="AH328" s="196"/>
      <c r="AI328" s="196"/>
      <c r="AJ328" s="196"/>
      <c r="AK328" s="196"/>
      <c r="AL328" s="196"/>
      <c r="AM328" s="196"/>
    </row>
    <row r="329">
      <c r="F329" s="203"/>
      <c r="H329" s="196"/>
      <c r="I329" s="196"/>
      <c r="J329" s="196"/>
      <c r="K329" s="196"/>
      <c r="L329" s="196"/>
      <c r="M329" s="196"/>
      <c r="N329" s="196"/>
      <c r="O329" s="196"/>
      <c r="P329" s="196"/>
      <c r="Q329" s="196"/>
      <c r="R329" s="196"/>
      <c r="S329" s="196"/>
      <c r="T329" s="196"/>
      <c r="U329" s="196"/>
      <c r="V329" s="196"/>
      <c r="W329" s="196"/>
      <c r="X329" s="196"/>
      <c r="Y329" s="196"/>
      <c r="Z329" s="196"/>
      <c r="AA329" s="196"/>
      <c r="AB329" s="196"/>
      <c r="AC329" s="196"/>
      <c r="AD329" s="196"/>
      <c r="AE329" s="196"/>
      <c r="AF329" s="196"/>
      <c r="AG329" s="196"/>
      <c r="AH329" s="196"/>
      <c r="AI329" s="196"/>
      <c r="AJ329" s="196"/>
      <c r="AK329" s="196"/>
      <c r="AL329" s="196"/>
      <c r="AM329" s="196"/>
    </row>
    <row r="330">
      <c r="F330" s="203"/>
      <c r="H330" s="196"/>
      <c r="I330" s="196"/>
      <c r="J330" s="196"/>
      <c r="K330" s="196"/>
      <c r="L330" s="196"/>
      <c r="M330" s="196"/>
      <c r="N330" s="196"/>
      <c r="O330" s="196"/>
      <c r="P330" s="196"/>
      <c r="Q330" s="196"/>
      <c r="R330" s="196"/>
      <c r="S330" s="196"/>
      <c r="T330" s="196"/>
      <c r="U330" s="196"/>
      <c r="V330" s="196"/>
      <c r="W330" s="196"/>
      <c r="X330" s="196"/>
      <c r="Y330" s="196"/>
      <c r="Z330" s="196"/>
      <c r="AA330" s="196"/>
      <c r="AB330" s="196"/>
      <c r="AC330" s="196"/>
      <c r="AD330" s="196"/>
      <c r="AE330" s="196"/>
      <c r="AF330" s="196"/>
      <c r="AG330" s="196"/>
      <c r="AH330" s="196"/>
      <c r="AI330" s="196"/>
      <c r="AJ330" s="196"/>
      <c r="AK330" s="196"/>
      <c r="AL330" s="196"/>
      <c r="AM330" s="196"/>
    </row>
    <row r="331">
      <c r="F331" s="203"/>
      <c r="H331" s="196"/>
      <c r="I331" s="196"/>
      <c r="J331" s="196"/>
      <c r="K331" s="196"/>
      <c r="L331" s="196"/>
      <c r="M331" s="196"/>
      <c r="N331" s="196"/>
      <c r="O331" s="196"/>
      <c r="P331" s="196"/>
      <c r="Q331" s="196"/>
      <c r="R331" s="196"/>
      <c r="S331" s="196"/>
      <c r="T331" s="196"/>
      <c r="U331" s="196"/>
      <c r="V331" s="196"/>
      <c r="W331" s="196"/>
      <c r="X331" s="196"/>
      <c r="Y331" s="196"/>
      <c r="Z331" s="196"/>
      <c r="AA331" s="196"/>
      <c r="AB331" s="196"/>
      <c r="AC331" s="196"/>
      <c r="AD331" s="196"/>
      <c r="AE331" s="196"/>
      <c r="AF331" s="196"/>
      <c r="AG331" s="196"/>
      <c r="AH331" s="196"/>
      <c r="AI331" s="196"/>
      <c r="AJ331" s="196"/>
      <c r="AK331" s="196"/>
      <c r="AL331" s="196"/>
      <c r="AM331" s="196"/>
    </row>
    <row r="332">
      <c r="F332" s="203"/>
      <c r="H332" s="196"/>
      <c r="I332" s="196"/>
      <c r="J332" s="196"/>
      <c r="K332" s="196"/>
      <c r="L332" s="196"/>
      <c r="M332" s="196"/>
      <c r="N332" s="196"/>
      <c r="O332" s="196"/>
      <c r="P332" s="196"/>
      <c r="Q332" s="196"/>
      <c r="R332" s="196"/>
      <c r="S332" s="196"/>
      <c r="T332" s="196"/>
      <c r="U332" s="196"/>
      <c r="V332" s="196"/>
      <c r="W332" s="196"/>
      <c r="X332" s="196"/>
      <c r="Y332" s="196"/>
      <c r="Z332" s="196"/>
      <c r="AA332" s="196"/>
      <c r="AB332" s="196"/>
      <c r="AC332" s="196"/>
      <c r="AD332" s="196"/>
      <c r="AE332" s="196"/>
      <c r="AF332" s="196"/>
      <c r="AG332" s="196"/>
      <c r="AH332" s="196"/>
      <c r="AI332" s="196"/>
      <c r="AJ332" s="196"/>
      <c r="AK332" s="196"/>
      <c r="AL332" s="196"/>
      <c r="AM332" s="196"/>
    </row>
    <row r="333">
      <c r="F333" s="203"/>
      <c r="H333" s="196"/>
      <c r="I333" s="196"/>
      <c r="J333" s="196"/>
      <c r="K333" s="196"/>
      <c r="L333" s="196"/>
      <c r="M333" s="196"/>
      <c r="N333" s="196"/>
      <c r="O333" s="196"/>
      <c r="P333" s="196"/>
      <c r="Q333" s="196"/>
      <c r="R333" s="196"/>
      <c r="S333" s="196"/>
      <c r="T333" s="196"/>
      <c r="U333" s="196"/>
      <c r="V333" s="196"/>
      <c r="W333" s="196"/>
      <c r="X333" s="196"/>
      <c r="Y333" s="196"/>
      <c r="Z333" s="196"/>
      <c r="AA333" s="196"/>
      <c r="AB333" s="196"/>
      <c r="AC333" s="196"/>
      <c r="AD333" s="196"/>
      <c r="AE333" s="196"/>
      <c r="AF333" s="196"/>
      <c r="AG333" s="196"/>
      <c r="AH333" s="196"/>
      <c r="AI333" s="196"/>
      <c r="AJ333" s="196"/>
      <c r="AK333" s="196"/>
      <c r="AL333" s="196"/>
      <c r="AM333" s="196"/>
    </row>
    <row r="334">
      <c r="F334" s="203"/>
      <c r="H334" s="196"/>
      <c r="I334" s="196"/>
      <c r="J334" s="196"/>
      <c r="K334" s="196"/>
      <c r="L334" s="196"/>
      <c r="M334" s="196"/>
      <c r="N334" s="196"/>
      <c r="O334" s="196"/>
      <c r="P334" s="196"/>
      <c r="Q334" s="196"/>
      <c r="R334" s="196"/>
      <c r="S334" s="196"/>
      <c r="T334" s="196"/>
      <c r="U334" s="196"/>
      <c r="V334" s="196"/>
      <c r="W334" s="196"/>
      <c r="X334" s="196"/>
      <c r="Y334" s="196"/>
      <c r="Z334" s="196"/>
      <c r="AA334" s="196"/>
      <c r="AB334" s="196"/>
      <c r="AC334" s="196"/>
      <c r="AD334" s="196"/>
      <c r="AE334" s="196"/>
      <c r="AF334" s="196"/>
      <c r="AG334" s="196"/>
      <c r="AH334" s="196"/>
      <c r="AI334" s="196"/>
      <c r="AJ334" s="196"/>
      <c r="AK334" s="196"/>
      <c r="AL334" s="196"/>
      <c r="AM334" s="196"/>
    </row>
    <row r="335">
      <c r="F335" s="203"/>
      <c r="H335" s="196"/>
      <c r="I335" s="196"/>
      <c r="J335" s="196"/>
      <c r="K335" s="196"/>
      <c r="L335" s="196"/>
      <c r="M335" s="196"/>
      <c r="N335" s="196"/>
      <c r="O335" s="196"/>
      <c r="P335" s="196"/>
      <c r="Q335" s="196"/>
      <c r="R335" s="196"/>
      <c r="S335" s="196"/>
      <c r="T335" s="196"/>
      <c r="U335" s="196"/>
      <c r="V335" s="196"/>
      <c r="W335" s="196"/>
      <c r="X335" s="196"/>
      <c r="Y335" s="196"/>
      <c r="Z335" s="196"/>
      <c r="AA335" s="196"/>
      <c r="AB335" s="196"/>
      <c r="AC335" s="196"/>
      <c r="AD335" s="196"/>
      <c r="AE335" s="196"/>
      <c r="AF335" s="196"/>
      <c r="AG335" s="196"/>
      <c r="AH335" s="196"/>
      <c r="AI335" s="196"/>
      <c r="AJ335" s="196"/>
      <c r="AK335" s="196"/>
      <c r="AL335" s="196"/>
      <c r="AM335" s="196"/>
    </row>
    <row r="336">
      <c r="F336" s="203"/>
      <c r="H336" s="196"/>
      <c r="I336" s="196"/>
      <c r="J336" s="196"/>
      <c r="K336" s="196"/>
      <c r="L336" s="196"/>
      <c r="M336" s="196"/>
      <c r="N336" s="196"/>
      <c r="O336" s="196"/>
      <c r="P336" s="196"/>
      <c r="Q336" s="196"/>
      <c r="R336" s="196"/>
      <c r="S336" s="196"/>
      <c r="T336" s="196"/>
      <c r="U336" s="196"/>
      <c r="V336" s="196"/>
      <c r="W336" s="196"/>
      <c r="X336" s="196"/>
      <c r="Y336" s="196"/>
      <c r="Z336" s="196"/>
      <c r="AA336" s="196"/>
      <c r="AB336" s="196"/>
      <c r="AC336" s="196"/>
      <c r="AD336" s="196"/>
      <c r="AE336" s="196"/>
      <c r="AF336" s="196"/>
      <c r="AG336" s="196"/>
      <c r="AH336" s="196"/>
      <c r="AI336" s="196"/>
      <c r="AJ336" s="196"/>
      <c r="AK336" s="196"/>
      <c r="AL336" s="196"/>
      <c r="AM336" s="196"/>
    </row>
    <row r="337">
      <c r="F337" s="203"/>
      <c r="H337" s="196"/>
      <c r="I337" s="196"/>
      <c r="J337" s="196"/>
      <c r="K337" s="196"/>
      <c r="L337" s="196"/>
      <c r="M337" s="196"/>
      <c r="N337" s="196"/>
      <c r="O337" s="196"/>
      <c r="P337" s="196"/>
      <c r="Q337" s="196"/>
      <c r="R337" s="196"/>
      <c r="S337" s="196"/>
      <c r="T337" s="196"/>
      <c r="U337" s="196"/>
      <c r="V337" s="196"/>
      <c r="W337" s="196"/>
      <c r="X337" s="196"/>
      <c r="Y337" s="196"/>
      <c r="Z337" s="196"/>
      <c r="AA337" s="196"/>
      <c r="AB337" s="196"/>
      <c r="AC337" s="196"/>
      <c r="AD337" s="196"/>
      <c r="AE337" s="196"/>
      <c r="AF337" s="196"/>
      <c r="AG337" s="196"/>
      <c r="AH337" s="196"/>
      <c r="AI337" s="196"/>
      <c r="AJ337" s="196"/>
      <c r="AK337" s="196"/>
      <c r="AL337" s="196"/>
      <c r="AM337" s="196"/>
    </row>
    <row r="338">
      <c r="F338" s="203"/>
      <c r="H338" s="196"/>
      <c r="I338" s="196"/>
      <c r="J338" s="196"/>
      <c r="K338" s="196"/>
      <c r="L338" s="196"/>
      <c r="M338" s="196"/>
      <c r="N338" s="196"/>
      <c r="O338" s="196"/>
      <c r="P338" s="196"/>
      <c r="Q338" s="196"/>
      <c r="R338" s="196"/>
      <c r="S338" s="196"/>
      <c r="T338" s="196"/>
      <c r="U338" s="196"/>
      <c r="V338" s="196"/>
      <c r="W338" s="196"/>
      <c r="X338" s="196"/>
      <c r="Y338" s="196"/>
      <c r="Z338" s="196"/>
      <c r="AA338" s="196"/>
      <c r="AB338" s="196"/>
      <c r="AC338" s="196"/>
      <c r="AD338" s="196"/>
      <c r="AE338" s="196"/>
      <c r="AF338" s="196"/>
      <c r="AG338" s="196"/>
      <c r="AH338" s="196"/>
      <c r="AI338" s="196"/>
      <c r="AJ338" s="196"/>
      <c r="AK338" s="196"/>
      <c r="AL338" s="196"/>
      <c r="AM338" s="196"/>
    </row>
    <row r="339">
      <c r="F339" s="203"/>
      <c r="H339" s="196"/>
      <c r="I339" s="196"/>
      <c r="J339" s="196"/>
      <c r="K339" s="196"/>
      <c r="L339" s="196"/>
      <c r="M339" s="196"/>
      <c r="N339" s="196"/>
      <c r="O339" s="196"/>
      <c r="P339" s="196"/>
      <c r="Q339" s="196"/>
      <c r="R339" s="196"/>
      <c r="S339" s="196"/>
      <c r="T339" s="196"/>
      <c r="U339" s="196"/>
      <c r="V339" s="196"/>
      <c r="W339" s="196"/>
      <c r="X339" s="196"/>
      <c r="Y339" s="196"/>
      <c r="Z339" s="196"/>
      <c r="AA339" s="196"/>
      <c r="AB339" s="196"/>
      <c r="AC339" s="196"/>
      <c r="AD339" s="196"/>
      <c r="AE339" s="196"/>
      <c r="AF339" s="196"/>
      <c r="AG339" s="196"/>
      <c r="AH339" s="196"/>
      <c r="AI339" s="196"/>
      <c r="AJ339" s="196"/>
      <c r="AK339" s="196"/>
      <c r="AL339" s="196"/>
      <c r="AM339" s="196"/>
    </row>
    <row r="340">
      <c r="F340" s="203"/>
      <c r="H340" s="196"/>
      <c r="I340" s="196"/>
      <c r="J340" s="196"/>
      <c r="K340" s="196"/>
      <c r="L340" s="196"/>
      <c r="M340" s="196"/>
      <c r="N340" s="196"/>
      <c r="O340" s="196"/>
      <c r="P340" s="196"/>
      <c r="Q340" s="196"/>
      <c r="R340" s="196"/>
      <c r="S340" s="196"/>
      <c r="T340" s="196"/>
      <c r="U340" s="196"/>
      <c r="V340" s="196"/>
      <c r="W340" s="196"/>
      <c r="X340" s="196"/>
      <c r="Y340" s="196"/>
      <c r="Z340" s="196"/>
      <c r="AA340" s="196"/>
      <c r="AB340" s="196"/>
      <c r="AC340" s="196"/>
      <c r="AD340" s="196"/>
      <c r="AE340" s="196"/>
      <c r="AF340" s="196"/>
      <c r="AG340" s="196"/>
      <c r="AH340" s="196"/>
      <c r="AI340" s="196"/>
      <c r="AJ340" s="196"/>
      <c r="AK340" s="196"/>
      <c r="AL340" s="196"/>
      <c r="AM340" s="196"/>
    </row>
    <row r="341">
      <c r="F341" s="203"/>
      <c r="H341" s="196"/>
      <c r="I341" s="196"/>
      <c r="J341" s="196"/>
      <c r="K341" s="196"/>
      <c r="L341" s="196"/>
      <c r="M341" s="196"/>
      <c r="N341" s="196"/>
      <c r="O341" s="196"/>
      <c r="P341" s="196"/>
      <c r="Q341" s="196"/>
      <c r="R341" s="196"/>
      <c r="S341" s="196"/>
      <c r="T341" s="196"/>
      <c r="U341" s="196"/>
      <c r="V341" s="196"/>
      <c r="W341" s="196"/>
      <c r="X341" s="196"/>
      <c r="Y341" s="196"/>
      <c r="Z341" s="196"/>
      <c r="AA341" s="196"/>
      <c r="AB341" s="196"/>
      <c r="AC341" s="196"/>
      <c r="AD341" s="196"/>
      <c r="AE341" s="196"/>
      <c r="AF341" s="196"/>
      <c r="AG341" s="196"/>
      <c r="AH341" s="196"/>
      <c r="AI341" s="196"/>
      <c r="AJ341" s="196"/>
      <c r="AK341" s="196"/>
      <c r="AL341" s="196"/>
      <c r="AM341" s="196"/>
    </row>
    <row r="342">
      <c r="F342" s="203"/>
      <c r="H342" s="196"/>
      <c r="I342" s="196"/>
      <c r="J342" s="196"/>
      <c r="K342" s="196"/>
      <c r="L342" s="196"/>
      <c r="M342" s="196"/>
      <c r="N342" s="196"/>
      <c r="O342" s="196"/>
      <c r="P342" s="196"/>
      <c r="Q342" s="196"/>
      <c r="R342" s="196"/>
      <c r="S342" s="196"/>
      <c r="T342" s="196"/>
      <c r="U342" s="196"/>
      <c r="V342" s="196"/>
      <c r="W342" s="196"/>
      <c r="X342" s="196"/>
      <c r="Y342" s="196"/>
      <c r="Z342" s="196"/>
      <c r="AA342" s="196"/>
      <c r="AB342" s="196"/>
      <c r="AC342" s="196"/>
      <c r="AD342" s="196"/>
      <c r="AE342" s="196"/>
      <c r="AF342" s="196"/>
      <c r="AG342" s="196"/>
      <c r="AH342" s="196"/>
      <c r="AI342" s="196"/>
      <c r="AJ342" s="196"/>
      <c r="AK342" s="196"/>
      <c r="AL342" s="196"/>
      <c r="AM342" s="196"/>
    </row>
    <row r="343">
      <c r="F343" s="203"/>
      <c r="H343" s="196"/>
      <c r="I343" s="196"/>
      <c r="J343" s="196"/>
      <c r="K343" s="196"/>
      <c r="L343" s="196"/>
      <c r="M343" s="196"/>
      <c r="N343" s="196"/>
      <c r="O343" s="196"/>
      <c r="P343" s="196"/>
      <c r="Q343" s="196"/>
      <c r="R343" s="196"/>
      <c r="S343" s="196"/>
      <c r="T343" s="196"/>
      <c r="U343" s="196"/>
      <c r="V343" s="196"/>
      <c r="W343" s="196"/>
      <c r="X343" s="196"/>
      <c r="Y343" s="196"/>
      <c r="Z343" s="196"/>
      <c r="AA343" s="196"/>
      <c r="AB343" s="196"/>
      <c r="AC343" s="196"/>
      <c r="AD343" s="196"/>
      <c r="AE343" s="196"/>
      <c r="AF343" s="196"/>
      <c r="AG343" s="196"/>
      <c r="AH343" s="196"/>
      <c r="AI343" s="196"/>
      <c r="AJ343" s="196"/>
      <c r="AK343" s="196"/>
      <c r="AL343" s="196"/>
      <c r="AM343" s="196"/>
    </row>
    <row r="344">
      <c r="F344" s="203"/>
      <c r="H344" s="196"/>
      <c r="I344" s="196"/>
      <c r="J344" s="196"/>
      <c r="K344" s="196"/>
      <c r="L344" s="196"/>
      <c r="M344" s="196"/>
      <c r="N344" s="196"/>
      <c r="O344" s="196"/>
      <c r="P344" s="196"/>
      <c r="Q344" s="196"/>
      <c r="R344" s="196"/>
      <c r="S344" s="196"/>
      <c r="T344" s="196"/>
      <c r="U344" s="196"/>
      <c r="V344" s="196"/>
      <c r="W344" s="196"/>
      <c r="X344" s="196"/>
      <c r="Y344" s="196"/>
      <c r="Z344" s="196"/>
      <c r="AA344" s="196"/>
      <c r="AB344" s="196"/>
      <c r="AC344" s="196"/>
      <c r="AD344" s="196"/>
      <c r="AE344" s="196"/>
      <c r="AF344" s="196"/>
      <c r="AG344" s="196"/>
      <c r="AH344" s="196"/>
      <c r="AI344" s="196"/>
      <c r="AJ344" s="196"/>
      <c r="AK344" s="196"/>
      <c r="AL344" s="196"/>
      <c r="AM344" s="196"/>
    </row>
    <row r="345">
      <c r="F345" s="203"/>
      <c r="H345" s="196"/>
      <c r="I345" s="196"/>
      <c r="J345" s="196"/>
      <c r="K345" s="196"/>
      <c r="L345" s="196"/>
      <c r="M345" s="196"/>
      <c r="N345" s="196"/>
      <c r="O345" s="196"/>
      <c r="P345" s="196"/>
      <c r="Q345" s="196"/>
      <c r="R345" s="196"/>
      <c r="S345" s="196"/>
      <c r="T345" s="196"/>
      <c r="U345" s="196"/>
      <c r="V345" s="196"/>
      <c r="W345" s="196"/>
      <c r="X345" s="196"/>
      <c r="Y345" s="196"/>
      <c r="Z345" s="196"/>
      <c r="AA345" s="196"/>
      <c r="AB345" s="196"/>
      <c r="AC345" s="196"/>
      <c r="AD345" s="196"/>
      <c r="AE345" s="196"/>
      <c r="AF345" s="196"/>
      <c r="AG345" s="196"/>
      <c r="AH345" s="196"/>
      <c r="AI345" s="196"/>
      <c r="AJ345" s="196"/>
      <c r="AK345" s="196"/>
      <c r="AL345" s="196"/>
      <c r="AM345" s="196"/>
    </row>
    <row r="346">
      <c r="F346" s="203"/>
      <c r="H346" s="196"/>
      <c r="I346" s="196"/>
      <c r="J346" s="196"/>
      <c r="K346" s="196"/>
      <c r="L346" s="196"/>
      <c r="M346" s="196"/>
      <c r="N346" s="196"/>
      <c r="O346" s="196"/>
      <c r="P346" s="196"/>
      <c r="Q346" s="196"/>
      <c r="R346" s="196"/>
      <c r="S346" s="196"/>
      <c r="T346" s="196"/>
      <c r="U346" s="196"/>
      <c r="V346" s="196"/>
      <c r="W346" s="196"/>
      <c r="X346" s="196"/>
      <c r="Y346" s="196"/>
      <c r="Z346" s="196"/>
      <c r="AA346" s="196"/>
      <c r="AB346" s="196"/>
      <c r="AC346" s="196"/>
      <c r="AD346" s="196"/>
      <c r="AE346" s="196"/>
      <c r="AF346" s="196"/>
      <c r="AG346" s="196"/>
      <c r="AH346" s="196"/>
      <c r="AI346" s="196"/>
      <c r="AJ346" s="196"/>
      <c r="AK346" s="196"/>
      <c r="AL346" s="196"/>
      <c r="AM346" s="196"/>
    </row>
    <row r="347">
      <c r="F347" s="203"/>
      <c r="H347" s="196"/>
      <c r="I347" s="196"/>
      <c r="J347" s="196"/>
      <c r="K347" s="196"/>
      <c r="L347" s="196"/>
      <c r="M347" s="196"/>
      <c r="N347" s="196"/>
      <c r="O347" s="196"/>
      <c r="P347" s="196"/>
      <c r="Q347" s="196"/>
      <c r="R347" s="196"/>
      <c r="S347" s="196"/>
      <c r="T347" s="196"/>
      <c r="U347" s="196"/>
      <c r="V347" s="196"/>
      <c r="W347" s="196"/>
      <c r="X347" s="196"/>
      <c r="Y347" s="196"/>
      <c r="Z347" s="196"/>
      <c r="AA347" s="196"/>
      <c r="AB347" s="196"/>
      <c r="AC347" s="196"/>
      <c r="AD347" s="196"/>
      <c r="AE347" s="196"/>
      <c r="AF347" s="196"/>
      <c r="AG347" s="196"/>
      <c r="AH347" s="196"/>
      <c r="AI347" s="196"/>
      <c r="AJ347" s="196"/>
      <c r="AK347" s="196"/>
      <c r="AL347" s="196"/>
      <c r="AM347" s="196"/>
    </row>
    <row r="348">
      <c r="F348" s="203"/>
      <c r="H348" s="196"/>
      <c r="I348" s="196"/>
      <c r="J348" s="196"/>
      <c r="K348" s="196"/>
      <c r="L348" s="196"/>
      <c r="M348" s="196"/>
      <c r="N348" s="196"/>
      <c r="O348" s="196"/>
      <c r="P348" s="196"/>
      <c r="Q348" s="196"/>
      <c r="R348" s="196"/>
      <c r="S348" s="196"/>
      <c r="T348" s="196"/>
      <c r="U348" s="196"/>
      <c r="V348" s="196"/>
      <c r="W348" s="196"/>
      <c r="X348" s="196"/>
      <c r="Y348" s="196"/>
      <c r="Z348" s="196"/>
      <c r="AA348" s="196"/>
      <c r="AB348" s="196"/>
      <c r="AC348" s="196"/>
      <c r="AD348" s="196"/>
      <c r="AE348" s="196"/>
      <c r="AF348" s="196"/>
      <c r="AG348" s="196"/>
      <c r="AH348" s="196"/>
      <c r="AI348" s="196"/>
      <c r="AJ348" s="196"/>
      <c r="AK348" s="196"/>
      <c r="AL348" s="196"/>
      <c r="AM348" s="196"/>
    </row>
    <row r="349">
      <c r="F349" s="203"/>
      <c r="H349" s="196"/>
      <c r="I349" s="196"/>
      <c r="J349" s="196"/>
      <c r="K349" s="196"/>
      <c r="L349" s="196"/>
      <c r="M349" s="196"/>
      <c r="N349" s="196"/>
      <c r="O349" s="196"/>
      <c r="P349" s="196"/>
      <c r="Q349" s="196"/>
      <c r="R349" s="196"/>
      <c r="S349" s="196"/>
      <c r="T349" s="196"/>
      <c r="U349" s="196"/>
      <c r="V349" s="196"/>
      <c r="W349" s="196"/>
      <c r="X349" s="196"/>
      <c r="Y349" s="196"/>
      <c r="Z349" s="196"/>
      <c r="AA349" s="196"/>
      <c r="AB349" s="196"/>
      <c r="AC349" s="196"/>
      <c r="AD349" s="196"/>
      <c r="AE349" s="196"/>
      <c r="AF349" s="196"/>
      <c r="AG349" s="196"/>
      <c r="AH349" s="196"/>
      <c r="AI349" s="196"/>
      <c r="AJ349" s="196"/>
      <c r="AK349" s="196"/>
      <c r="AL349" s="196"/>
      <c r="AM349" s="196"/>
    </row>
    <row r="350">
      <c r="F350" s="203"/>
      <c r="H350" s="196"/>
      <c r="I350" s="196"/>
      <c r="J350" s="196"/>
      <c r="K350" s="196"/>
      <c r="L350" s="196"/>
      <c r="M350" s="196"/>
      <c r="N350" s="196"/>
      <c r="O350" s="196"/>
      <c r="P350" s="196"/>
      <c r="Q350" s="196"/>
      <c r="R350" s="196"/>
      <c r="S350" s="196"/>
      <c r="T350" s="196"/>
      <c r="U350" s="196"/>
      <c r="V350" s="196"/>
      <c r="W350" s="196"/>
      <c r="X350" s="196"/>
      <c r="Y350" s="196"/>
      <c r="Z350" s="196"/>
      <c r="AA350" s="196"/>
      <c r="AB350" s="196"/>
      <c r="AC350" s="196"/>
      <c r="AD350" s="196"/>
      <c r="AE350" s="196"/>
      <c r="AF350" s="196"/>
      <c r="AG350" s="196"/>
      <c r="AH350" s="196"/>
      <c r="AI350" s="196"/>
      <c r="AJ350" s="196"/>
      <c r="AK350" s="196"/>
      <c r="AL350" s="196"/>
      <c r="AM350" s="196"/>
    </row>
    <row r="351">
      <c r="F351" s="203"/>
      <c r="H351" s="196"/>
      <c r="I351" s="196"/>
      <c r="J351" s="196"/>
      <c r="K351" s="196"/>
      <c r="L351" s="196"/>
      <c r="M351" s="196"/>
      <c r="N351" s="196"/>
      <c r="O351" s="196"/>
      <c r="P351" s="196"/>
      <c r="Q351" s="196"/>
      <c r="R351" s="196"/>
      <c r="S351" s="196"/>
      <c r="T351" s="196"/>
      <c r="U351" s="196"/>
      <c r="V351" s="196"/>
      <c r="W351" s="196"/>
      <c r="X351" s="196"/>
      <c r="Y351" s="196"/>
      <c r="Z351" s="196"/>
      <c r="AA351" s="196"/>
      <c r="AB351" s="196"/>
      <c r="AC351" s="196"/>
      <c r="AD351" s="196"/>
      <c r="AE351" s="196"/>
      <c r="AF351" s="196"/>
      <c r="AG351" s="196"/>
      <c r="AH351" s="196"/>
      <c r="AI351" s="196"/>
      <c r="AJ351" s="196"/>
      <c r="AK351" s="196"/>
      <c r="AL351" s="196"/>
      <c r="AM351" s="196"/>
    </row>
    <row r="352">
      <c r="F352" s="203"/>
      <c r="H352" s="196"/>
      <c r="I352" s="196"/>
      <c r="J352" s="196"/>
      <c r="K352" s="196"/>
      <c r="L352" s="196"/>
      <c r="M352" s="196"/>
      <c r="N352" s="196"/>
      <c r="O352" s="196"/>
      <c r="P352" s="196"/>
      <c r="Q352" s="196"/>
      <c r="R352" s="196"/>
      <c r="S352" s="196"/>
      <c r="T352" s="196"/>
      <c r="U352" s="196"/>
      <c r="V352" s="196"/>
      <c r="W352" s="196"/>
      <c r="X352" s="196"/>
      <c r="Y352" s="196"/>
      <c r="Z352" s="196"/>
      <c r="AA352" s="196"/>
      <c r="AB352" s="196"/>
      <c r="AC352" s="196"/>
      <c r="AD352" s="196"/>
      <c r="AE352" s="196"/>
      <c r="AF352" s="196"/>
      <c r="AG352" s="196"/>
      <c r="AH352" s="196"/>
      <c r="AI352" s="196"/>
      <c r="AJ352" s="196"/>
      <c r="AK352" s="196"/>
      <c r="AL352" s="196"/>
      <c r="AM352" s="196"/>
    </row>
    <row r="353">
      <c r="F353" s="203"/>
      <c r="H353" s="196"/>
      <c r="I353" s="196"/>
      <c r="J353" s="196"/>
      <c r="K353" s="196"/>
      <c r="L353" s="196"/>
      <c r="M353" s="196"/>
      <c r="N353" s="196"/>
      <c r="O353" s="196"/>
      <c r="P353" s="196"/>
      <c r="Q353" s="196"/>
      <c r="R353" s="196"/>
      <c r="S353" s="196"/>
      <c r="T353" s="196"/>
      <c r="U353" s="196"/>
      <c r="V353" s="196"/>
      <c r="W353" s="196"/>
      <c r="X353" s="196"/>
      <c r="Y353" s="196"/>
      <c r="Z353" s="196"/>
      <c r="AA353" s="196"/>
      <c r="AB353" s="196"/>
      <c r="AC353" s="196"/>
      <c r="AD353" s="196"/>
      <c r="AE353" s="196"/>
      <c r="AF353" s="196"/>
      <c r="AG353" s="196"/>
      <c r="AH353" s="196"/>
      <c r="AI353" s="196"/>
      <c r="AJ353" s="196"/>
      <c r="AK353" s="196"/>
      <c r="AL353" s="196"/>
      <c r="AM353" s="196"/>
    </row>
    <row r="354">
      <c r="F354" s="203"/>
      <c r="H354" s="196"/>
      <c r="I354" s="196"/>
      <c r="J354" s="196"/>
      <c r="K354" s="196"/>
      <c r="L354" s="196"/>
      <c r="M354" s="196"/>
      <c r="N354" s="196"/>
      <c r="O354" s="196"/>
      <c r="P354" s="196"/>
      <c r="Q354" s="196"/>
      <c r="R354" s="196"/>
      <c r="S354" s="196"/>
      <c r="T354" s="196"/>
      <c r="U354" s="196"/>
      <c r="V354" s="196"/>
      <c r="W354" s="196"/>
      <c r="X354" s="196"/>
      <c r="Y354" s="196"/>
      <c r="Z354" s="196"/>
      <c r="AA354" s="196"/>
      <c r="AB354" s="196"/>
      <c r="AC354" s="196"/>
      <c r="AD354" s="196"/>
      <c r="AE354" s="196"/>
      <c r="AF354" s="196"/>
      <c r="AG354" s="196"/>
      <c r="AH354" s="196"/>
      <c r="AI354" s="196"/>
      <c r="AJ354" s="196"/>
      <c r="AK354" s="196"/>
      <c r="AL354" s="196"/>
      <c r="AM354" s="196"/>
    </row>
    <row r="355">
      <c r="F355" s="203"/>
      <c r="H355" s="196"/>
      <c r="I355" s="196"/>
      <c r="J355" s="196"/>
      <c r="K355" s="196"/>
      <c r="L355" s="196"/>
      <c r="M355" s="196"/>
      <c r="N355" s="196"/>
      <c r="O355" s="196"/>
      <c r="P355" s="196"/>
      <c r="Q355" s="196"/>
      <c r="R355" s="196"/>
      <c r="S355" s="196"/>
      <c r="T355" s="196"/>
      <c r="U355" s="196"/>
      <c r="V355" s="196"/>
      <c r="W355" s="196"/>
      <c r="X355" s="196"/>
      <c r="Y355" s="196"/>
      <c r="Z355" s="196"/>
      <c r="AA355" s="196"/>
      <c r="AB355" s="196"/>
      <c r="AC355" s="196"/>
      <c r="AD355" s="196"/>
      <c r="AE355" s="196"/>
      <c r="AF355" s="196"/>
      <c r="AG355" s="196"/>
      <c r="AH355" s="196"/>
      <c r="AI355" s="196"/>
      <c r="AJ355" s="196"/>
      <c r="AK355" s="196"/>
      <c r="AL355" s="196"/>
      <c r="AM355" s="196"/>
    </row>
    <row r="356">
      <c r="F356" s="203"/>
      <c r="H356" s="196"/>
      <c r="I356" s="196"/>
      <c r="J356" s="196"/>
      <c r="K356" s="196"/>
      <c r="L356" s="196"/>
      <c r="M356" s="196"/>
      <c r="N356" s="196"/>
      <c r="O356" s="196"/>
      <c r="P356" s="196"/>
      <c r="Q356" s="196"/>
      <c r="R356" s="196"/>
      <c r="S356" s="196"/>
      <c r="T356" s="196"/>
      <c r="U356" s="196"/>
      <c r="V356" s="196"/>
      <c r="W356" s="196"/>
      <c r="X356" s="196"/>
      <c r="Y356" s="196"/>
      <c r="Z356" s="196"/>
      <c r="AA356" s="196"/>
      <c r="AB356" s="196"/>
      <c r="AC356" s="196"/>
      <c r="AD356" s="196"/>
      <c r="AE356" s="196"/>
      <c r="AF356" s="196"/>
      <c r="AG356" s="196"/>
      <c r="AH356" s="196"/>
      <c r="AI356" s="196"/>
      <c r="AJ356" s="196"/>
      <c r="AK356" s="196"/>
      <c r="AL356" s="196"/>
      <c r="AM356" s="196"/>
    </row>
    <row r="357">
      <c r="F357" s="203"/>
      <c r="H357" s="196"/>
      <c r="I357" s="196"/>
      <c r="J357" s="196"/>
      <c r="K357" s="196"/>
      <c r="L357" s="196"/>
      <c r="M357" s="196"/>
      <c r="N357" s="196"/>
      <c r="O357" s="196"/>
      <c r="P357" s="196"/>
      <c r="Q357" s="196"/>
      <c r="R357" s="196"/>
      <c r="S357" s="196"/>
      <c r="T357" s="196"/>
      <c r="U357" s="196"/>
      <c r="V357" s="196"/>
      <c r="W357" s="196"/>
      <c r="X357" s="196"/>
      <c r="Y357" s="196"/>
      <c r="Z357" s="196"/>
      <c r="AA357" s="196"/>
      <c r="AB357" s="196"/>
      <c r="AC357" s="196"/>
      <c r="AD357" s="196"/>
      <c r="AE357" s="196"/>
      <c r="AF357" s="196"/>
      <c r="AG357" s="196"/>
      <c r="AH357" s="196"/>
      <c r="AI357" s="196"/>
      <c r="AJ357" s="196"/>
      <c r="AK357" s="196"/>
      <c r="AL357" s="196"/>
      <c r="AM357" s="196"/>
    </row>
    <row r="358">
      <c r="F358" s="203"/>
      <c r="H358" s="196"/>
      <c r="I358" s="196"/>
      <c r="J358" s="196"/>
      <c r="K358" s="196"/>
      <c r="L358" s="196"/>
      <c r="M358" s="196"/>
      <c r="N358" s="196"/>
      <c r="O358" s="196"/>
      <c r="P358" s="196"/>
      <c r="Q358" s="196"/>
      <c r="R358" s="196"/>
      <c r="S358" s="196"/>
      <c r="T358" s="196"/>
      <c r="U358" s="196"/>
      <c r="V358" s="196"/>
      <c r="W358" s="196"/>
      <c r="X358" s="196"/>
      <c r="Y358" s="196"/>
      <c r="Z358" s="196"/>
      <c r="AA358" s="196"/>
      <c r="AB358" s="196"/>
      <c r="AC358" s="196"/>
      <c r="AD358" s="196"/>
      <c r="AE358" s="196"/>
      <c r="AF358" s="196"/>
      <c r="AG358" s="196"/>
      <c r="AH358" s="196"/>
      <c r="AI358" s="196"/>
      <c r="AJ358" s="196"/>
      <c r="AK358" s="196"/>
      <c r="AL358" s="196"/>
      <c r="AM358" s="196"/>
    </row>
    <row r="359">
      <c r="F359" s="203"/>
      <c r="H359" s="196"/>
      <c r="I359" s="196"/>
      <c r="J359" s="196"/>
      <c r="K359" s="196"/>
      <c r="L359" s="196"/>
      <c r="M359" s="196"/>
      <c r="N359" s="196"/>
      <c r="O359" s="196"/>
      <c r="P359" s="196"/>
      <c r="Q359" s="196"/>
      <c r="R359" s="196"/>
      <c r="S359" s="196"/>
      <c r="T359" s="196"/>
      <c r="U359" s="196"/>
      <c r="V359" s="196"/>
      <c r="W359" s="196"/>
      <c r="X359" s="196"/>
      <c r="Y359" s="196"/>
      <c r="Z359" s="196"/>
      <c r="AA359" s="196"/>
      <c r="AB359" s="196"/>
      <c r="AC359" s="196"/>
      <c r="AD359" s="196"/>
      <c r="AE359" s="196"/>
      <c r="AF359" s="196"/>
      <c r="AG359" s="196"/>
      <c r="AH359" s="196"/>
      <c r="AI359" s="196"/>
      <c r="AJ359" s="196"/>
      <c r="AK359" s="196"/>
      <c r="AL359" s="196"/>
      <c r="AM359" s="196"/>
    </row>
    <row r="360">
      <c r="F360" s="203"/>
      <c r="H360" s="196"/>
      <c r="I360" s="196"/>
      <c r="J360" s="196"/>
      <c r="K360" s="196"/>
      <c r="L360" s="196"/>
      <c r="M360" s="196"/>
      <c r="N360" s="196"/>
      <c r="O360" s="196"/>
      <c r="P360" s="196"/>
      <c r="Q360" s="196"/>
      <c r="R360" s="196"/>
      <c r="S360" s="196"/>
      <c r="T360" s="196"/>
      <c r="U360" s="196"/>
      <c r="V360" s="196"/>
      <c r="W360" s="196"/>
      <c r="X360" s="196"/>
      <c r="Y360" s="196"/>
      <c r="Z360" s="196"/>
      <c r="AA360" s="196"/>
      <c r="AB360" s="196"/>
      <c r="AC360" s="196"/>
      <c r="AD360" s="196"/>
      <c r="AE360" s="196"/>
      <c r="AF360" s="196"/>
      <c r="AG360" s="196"/>
      <c r="AH360" s="196"/>
      <c r="AI360" s="196"/>
      <c r="AJ360" s="196"/>
      <c r="AK360" s="196"/>
      <c r="AL360" s="196"/>
      <c r="AM360" s="196"/>
    </row>
    <row r="361">
      <c r="F361" s="203"/>
      <c r="H361" s="196"/>
      <c r="I361" s="196"/>
      <c r="J361" s="196"/>
      <c r="K361" s="196"/>
      <c r="L361" s="196"/>
      <c r="M361" s="196"/>
      <c r="N361" s="196"/>
      <c r="O361" s="196"/>
      <c r="P361" s="196"/>
      <c r="Q361" s="196"/>
      <c r="R361" s="196"/>
      <c r="S361" s="196"/>
      <c r="T361" s="196"/>
      <c r="U361" s="196"/>
      <c r="V361" s="196"/>
      <c r="W361" s="196"/>
      <c r="X361" s="196"/>
      <c r="Y361" s="196"/>
      <c r="Z361" s="196"/>
      <c r="AA361" s="196"/>
      <c r="AB361" s="196"/>
      <c r="AC361" s="196"/>
      <c r="AD361" s="196"/>
      <c r="AE361" s="196"/>
      <c r="AF361" s="196"/>
      <c r="AG361" s="196"/>
      <c r="AH361" s="196"/>
      <c r="AI361" s="196"/>
      <c r="AJ361" s="196"/>
      <c r="AK361" s="196"/>
      <c r="AL361" s="196"/>
      <c r="AM361" s="196"/>
    </row>
    <row r="362">
      <c r="F362" s="203"/>
      <c r="H362" s="196"/>
      <c r="I362" s="196"/>
      <c r="J362" s="196"/>
      <c r="K362" s="196"/>
      <c r="L362" s="196"/>
      <c r="M362" s="196"/>
      <c r="N362" s="196"/>
      <c r="O362" s="196"/>
      <c r="P362" s="196"/>
      <c r="Q362" s="196"/>
      <c r="R362" s="196"/>
      <c r="S362" s="196"/>
      <c r="T362" s="196"/>
      <c r="U362" s="196"/>
      <c r="V362" s="196"/>
      <c r="W362" s="196"/>
      <c r="X362" s="196"/>
      <c r="Y362" s="196"/>
      <c r="Z362" s="196"/>
      <c r="AA362" s="196"/>
      <c r="AB362" s="196"/>
      <c r="AC362" s="196"/>
      <c r="AD362" s="196"/>
      <c r="AE362" s="196"/>
      <c r="AF362" s="196"/>
      <c r="AG362" s="196"/>
      <c r="AH362" s="196"/>
      <c r="AI362" s="196"/>
      <c r="AJ362" s="196"/>
      <c r="AK362" s="196"/>
      <c r="AL362" s="196"/>
      <c r="AM362" s="196"/>
    </row>
    <row r="363">
      <c r="F363" s="203"/>
      <c r="H363" s="196"/>
      <c r="I363" s="196"/>
      <c r="J363" s="196"/>
      <c r="K363" s="196"/>
      <c r="L363" s="196"/>
      <c r="M363" s="196"/>
      <c r="N363" s="196"/>
      <c r="O363" s="196"/>
      <c r="P363" s="196"/>
      <c r="Q363" s="196"/>
      <c r="R363" s="196"/>
      <c r="S363" s="196"/>
      <c r="T363" s="196"/>
      <c r="U363" s="196"/>
      <c r="V363" s="196"/>
      <c r="W363" s="196"/>
      <c r="X363" s="196"/>
      <c r="Y363" s="196"/>
      <c r="Z363" s="196"/>
      <c r="AA363" s="196"/>
      <c r="AB363" s="196"/>
      <c r="AC363" s="196"/>
      <c r="AD363" s="196"/>
      <c r="AE363" s="196"/>
      <c r="AF363" s="196"/>
      <c r="AG363" s="196"/>
      <c r="AH363" s="196"/>
      <c r="AI363" s="196"/>
      <c r="AJ363" s="196"/>
      <c r="AK363" s="196"/>
      <c r="AL363" s="196"/>
      <c r="AM363" s="196"/>
    </row>
    <row r="364">
      <c r="F364" s="203"/>
      <c r="H364" s="196"/>
      <c r="I364" s="196"/>
      <c r="J364" s="196"/>
      <c r="K364" s="196"/>
      <c r="L364" s="196"/>
      <c r="M364" s="196"/>
      <c r="N364" s="196"/>
      <c r="O364" s="196"/>
      <c r="P364" s="196"/>
      <c r="Q364" s="196"/>
      <c r="R364" s="196"/>
      <c r="S364" s="196"/>
      <c r="T364" s="196"/>
      <c r="U364" s="196"/>
      <c r="V364" s="196"/>
      <c r="W364" s="196"/>
      <c r="X364" s="196"/>
      <c r="Y364" s="196"/>
      <c r="Z364" s="196"/>
      <c r="AA364" s="196"/>
      <c r="AB364" s="196"/>
      <c r="AC364" s="196"/>
      <c r="AD364" s="196"/>
      <c r="AE364" s="196"/>
      <c r="AF364" s="196"/>
      <c r="AG364" s="196"/>
      <c r="AH364" s="196"/>
      <c r="AI364" s="196"/>
      <c r="AJ364" s="196"/>
      <c r="AK364" s="196"/>
      <c r="AL364" s="196"/>
      <c r="AM364" s="196"/>
    </row>
    <row r="365">
      <c r="F365" s="203"/>
      <c r="H365" s="196"/>
      <c r="I365" s="196"/>
      <c r="J365" s="196"/>
      <c r="K365" s="196"/>
      <c r="L365" s="196"/>
      <c r="M365" s="196"/>
      <c r="N365" s="196"/>
      <c r="O365" s="196"/>
      <c r="P365" s="196"/>
      <c r="Q365" s="196"/>
      <c r="R365" s="196"/>
      <c r="S365" s="196"/>
      <c r="T365" s="196"/>
      <c r="U365" s="196"/>
      <c r="V365" s="196"/>
      <c r="W365" s="196"/>
      <c r="X365" s="196"/>
      <c r="Y365" s="196"/>
      <c r="Z365" s="196"/>
      <c r="AA365" s="196"/>
      <c r="AB365" s="196"/>
      <c r="AC365" s="196"/>
      <c r="AD365" s="196"/>
      <c r="AE365" s="196"/>
      <c r="AF365" s="196"/>
      <c r="AG365" s="196"/>
      <c r="AH365" s="196"/>
      <c r="AI365" s="196"/>
      <c r="AJ365" s="196"/>
      <c r="AK365" s="196"/>
      <c r="AL365" s="196"/>
      <c r="AM365" s="196"/>
    </row>
    <row r="366">
      <c r="F366" s="203"/>
      <c r="H366" s="196"/>
      <c r="I366" s="196"/>
      <c r="J366" s="196"/>
      <c r="K366" s="196"/>
      <c r="L366" s="196"/>
      <c r="M366" s="196"/>
      <c r="N366" s="196"/>
      <c r="O366" s="196"/>
      <c r="P366" s="196"/>
      <c r="Q366" s="196"/>
      <c r="R366" s="196"/>
      <c r="S366" s="196"/>
      <c r="T366" s="196"/>
      <c r="U366" s="196"/>
      <c r="V366" s="196"/>
      <c r="W366" s="196"/>
      <c r="X366" s="196"/>
      <c r="Y366" s="196"/>
      <c r="Z366" s="196"/>
      <c r="AA366" s="196"/>
      <c r="AB366" s="196"/>
      <c r="AC366" s="196"/>
      <c r="AD366" s="196"/>
      <c r="AE366" s="196"/>
      <c r="AF366" s="196"/>
      <c r="AG366" s="196"/>
      <c r="AH366" s="196"/>
      <c r="AI366" s="196"/>
      <c r="AJ366" s="196"/>
      <c r="AK366" s="196"/>
      <c r="AL366" s="196"/>
      <c r="AM366" s="196"/>
    </row>
    <row r="367">
      <c r="F367" s="203"/>
      <c r="H367" s="196"/>
      <c r="I367" s="196"/>
      <c r="J367" s="196"/>
      <c r="K367" s="196"/>
      <c r="L367" s="196"/>
      <c r="M367" s="196"/>
      <c r="N367" s="196"/>
      <c r="O367" s="196"/>
      <c r="P367" s="196"/>
      <c r="Q367" s="196"/>
      <c r="R367" s="196"/>
      <c r="S367" s="196"/>
      <c r="T367" s="196"/>
      <c r="U367" s="196"/>
      <c r="V367" s="196"/>
      <c r="W367" s="196"/>
      <c r="X367" s="196"/>
      <c r="Y367" s="196"/>
      <c r="Z367" s="196"/>
      <c r="AA367" s="196"/>
      <c r="AB367" s="196"/>
      <c r="AC367" s="196"/>
      <c r="AD367" s="196"/>
      <c r="AE367" s="196"/>
      <c r="AF367" s="196"/>
      <c r="AG367" s="196"/>
      <c r="AH367" s="196"/>
      <c r="AI367" s="196"/>
      <c r="AJ367" s="196"/>
      <c r="AK367" s="196"/>
      <c r="AL367" s="196"/>
      <c r="AM367" s="196"/>
    </row>
    <row r="368">
      <c r="F368" s="203"/>
      <c r="H368" s="196"/>
      <c r="I368" s="196"/>
      <c r="J368" s="196"/>
      <c r="K368" s="196"/>
      <c r="L368" s="196"/>
      <c r="M368" s="196"/>
      <c r="N368" s="196"/>
      <c r="O368" s="196"/>
      <c r="P368" s="196"/>
      <c r="Q368" s="196"/>
      <c r="R368" s="196"/>
      <c r="S368" s="196"/>
      <c r="T368" s="196"/>
      <c r="U368" s="196"/>
      <c r="V368" s="196"/>
      <c r="W368" s="196"/>
      <c r="X368" s="196"/>
      <c r="Y368" s="196"/>
      <c r="Z368" s="196"/>
      <c r="AA368" s="196"/>
      <c r="AB368" s="196"/>
      <c r="AC368" s="196"/>
      <c r="AD368" s="196"/>
      <c r="AE368" s="196"/>
      <c r="AF368" s="196"/>
      <c r="AG368" s="196"/>
      <c r="AH368" s="196"/>
      <c r="AI368" s="196"/>
      <c r="AJ368" s="196"/>
      <c r="AK368" s="196"/>
      <c r="AL368" s="196"/>
      <c r="AM368" s="196"/>
    </row>
    <row r="369">
      <c r="F369" s="203"/>
      <c r="H369" s="196"/>
      <c r="I369" s="196"/>
      <c r="J369" s="196"/>
      <c r="K369" s="196"/>
      <c r="L369" s="196"/>
      <c r="M369" s="196"/>
      <c r="N369" s="196"/>
      <c r="O369" s="196"/>
      <c r="P369" s="196"/>
      <c r="Q369" s="196"/>
      <c r="R369" s="196"/>
      <c r="S369" s="196"/>
      <c r="T369" s="196"/>
      <c r="U369" s="196"/>
      <c r="V369" s="196"/>
      <c r="W369" s="196"/>
      <c r="X369" s="196"/>
      <c r="Y369" s="196"/>
      <c r="Z369" s="196"/>
      <c r="AA369" s="196"/>
      <c r="AB369" s="196"/>
      <c r="AC369" s="196"/>
      <c r="AD369" s="196"/>
      <c r="AE369" s="196"/>
      <c r="AF369" s="196"/>
      <c r="AG369" s="196"/>
      <c r="AH369" s="196"/>
      <c r="AI369" s="196"/>
      <c r="AJ369" s="196"/>
      <c r="AK369" s="196"/>
      <c r="AL369" s="196"/>
      <c r="AM369" s="196"/>
    </row>
    <row r="370">
      <c r="F370" s="203"/>
      <c r="H370" s="196"/>
      <c r="I370" s="196"/>
      <c r="J370" s="196"/>
      <c r="K370" s="196"/>
      <c r="L370" s="196"/>
      <c r="M370" s="196"/>
      <c r="N370" s="196"/>
      <c r="O370" s="196"/>
      <c r="P370" s="196"/>
      <c r="Q370" s="196"/>
      <c r="R370" s="196"/>
      <c r="S370" s="196"/>
      <c r="T370" s="196"/>
      <c r="U370" s="196"/>
      <c r="V370" s="196"/>
      <c r="W370" s="196"/>
      <c r="X370" s="196"/>
      <c r="Y370" s="196"/>
      <c r="Z370" s="196"/>
      <c r="AA370" s="196"/>
      <c r="AB370" s="196"/>
      <c r="AC370" s="196"/>
      <c r="AD370" s="196"/>
      <c r="AE370" s="196"/>
      <c r="AF370" s="196"/>
      <c r="AG370" s="196"/>
      <c r="AH370" s="196"/>
      <c r="AI370" s="196"/>
      <c r="AJ370" s="196"/>
      <c r="AK370" s="196"/>
      <c r="AL370" s="196"/>
      <c r="AM370" s="196"/>
    </row>
    <row r="371">
      <c r="F371" s="203"/>
      <c r="H371" s="196"/>
      <c r="I371" s="196"/>
      <c r="J371" s="196"/>
      <c r="K371" s="196"/>
      <c r="L371" s="196"/>
      <c r="M371" s="196"/>
      <c r="N371" s="196"/>
      <c r="O371" s="196"/>
      <c r="P371" s="196"/>
      <c r="Q371" s="196"/>
      <c r="R371" s="196"/>
      <c r="S371" s="196"/>
      <c r="T371" s="196"/>
      <c r="U371" s="196"/>
      <c r="V371" s="196"/>
      <c r="W371" s="196"/>
      <c r="X371" s="196"/>
      <c r="Y371" s="196"/>
      <c r="Z371" s="196"/>
      <c r="AA371" s="196"/>
      <c r="AB371" s="196"/>
      <c r="AC371" s="196"/>
      <c r="AD371" s="196"/>
      <c r="AE371" s="196"/>
      <c r="AF371" s="196"/>
      <c r="AG371" s="196"/>
      <c r="AH371" s="196"/>
      <c r="AI371" s="196"/>
      <c r="AJ371" s="196"/>
      <c r="AK371" s="196"/>
      <c r="AL371" s="196"/>
      <c r="AM371" s="196"/>
    </row>
    <row r="372">
      <c r="F372" s="203"/>
      <c r="H372" s="196"/>
      <c r="I372" s="196"/>
      <c r="J372" s="196"/>
      <c r="K372" s="196"/>
      <c r="L372" s="196"/>
      <c r="M372" s="196"/>
      <c r="N372" s="196"/>
      <c r="O372" s="196"/>
      <c r="P372" s="196"/>
      <c r="Q372" s="196"/>
      <c r="R372" s="196"/>
      <c r="S372" s="196"/>
      <c r="T372" s="196"/>
      <c r="U372" s="196"/>
      <c r="V372" s="196"/>
      <c r="W372" s="196"/>
      <c r="X372" s="196"/>
      <c r="Y372" s="196"/>
      <c r="Z372" s="196"/>
      <c r="AA372" s="196"/>
      <c r="AB372" s="196"/>
      <c r="AC372" s="196"/>
      <c r="AD372" s="196"/>
      <c r="AE372" s="196"/>
      <c r="AF372" s="196"/>
      <c r="AG372" s="196"/>
      <c r="AH372" s="196"/>
      <c r="AI372" s="196"/>
      <c r="AJ372" s="196"/>
      <c r="AK372" s="196"/>
      <c r="AL372" s="196"/>
      <c r="AM372" s="196"/>
    </row>
    <row r="373">
      <c r="F373" s="203"/>
      <c r="H373" s="196"/>
      <c r="I373" s="196"/>
      <c r="J373" s="196"/>
      <c r="K373" s="196"/>
      <c r="L373" s="196"/>
      <c r="M373" s="196"/>
      <c r="N373" s="196"/>
      <c r="O373" s="196"/>
      <c r="P373" s="196"/>
      <c r="Q373" s="196"/>
      <c r="R373" s="196"/>
      <c r="S373" s="196"/>
      <c r="T373" s="196"/>
      <c r="U373" s="196"/>
      <c r="V373" s="196"/>
      <c r="W373" s="196"/>
      <c r="X373" s="196"/>
      <c r="Y373" s="196"/>
      <c r="Z373" s="196"/>
      <c r="AA373" s="196"/>
      <c r="AB373" s="196"/>
      <c r="AC373" s="196"/>
      <c r="AD373" s="196"/>
      <c r="AE373" s="196"/>
      <c r="AF373" s="196"/>
      <c r="AG373" s="196"/>
      <c r="AH373" s="196"/>
      <c r="AI373" s="196"/>
      <c r="AJ373" s="196"/>
      <c r="AK373" s="196"/>
      <c r="AL373" s="196"/>
      <c r="AM373" s="196"/>
    </row>
    <row r="374">
      <c r="F374" s="203"/>
      <c r="H374" s="196"/>
      <c r="I374" s="196"/>
      <c r="J374" s="196"/>
      <c r="K374" s="196"/>
      <c r="L374" s="196"/>
      <c r="M374" s="196"/>
      <c r="N374" s="196"/>
      <c r="O374" s="196"/>
      <c r="P374" s="196"/>
      <c r="Q374" s="196"/>
      <c r="R374" s="196"/>
      <c r="S374" s="196"/>
      <c r="T374" s="196"/>
      <c r="U374" s="196"/>
      <c r="V374" s="196"/>
      <c r="W374" s="196"/>
      <c r="X374" s="196"/>
      <c r="Y374" s="196"/>
      <c r="Z374" s="196"/>
      <c r="AA374" s="196"/>
      <c r="AB374" s="196"/>
      <c r="AC374" s="196"/>
      <c r="AD374" s="196"/>
      <c r="AE374" s="196"/>
      <c r="AF374" s="196"/>
      <c r="AG374" s="196"/>
      <c r="AH374" s="196"/>
      <c r="AI374" s="196"/>
      <c r="AJ374" s="196"/>
      <c r="AK374" s="196"/>
      <c r="AL374" s="196"/>
      <c r="AM374" s="196"/>
    </row>
    <row r="375">
      <c r="F375" s="203"/>
      <c r="H375" s="196"/>
      <c r="I375" s="196"/>
      <c r="J375" s="196"/>
      <c r="K375" s="196"/>
      <c r="L375" s="196"/>
      <c r="M375" s="196"/>
      <c r="N375" s="196"/>
      <c r="O375" s="196"/>
      <c r="P375" s="196"/>
      <c r="Q375" s="196"/>
      <c r="R375" s="196"/>
      <c r="S375" s="196"/>
      <c r="T375" s="196"/>
      <c r="U375" s="196"/>
      <c r="V375" s="196"/>
      <c r="W375" s="196"/>
      <c r="X375" s="196"/>
      <c r="Y375" s="196"/>
      <c r="Z375" s="196"/>
      <c r="AA375" s="196"/>
      <c r="AB375" s="196"/>
      <c r="AC375" s="196"/>
      <c r="AD375" s="196"/>
      <c r="AE375" s="196"/>
      <c r="AF375" s="196"/>
      <c r="AG375" s="196"/>
      <c r="AH375" s="196"/>
      <c r="AI375" s="196"/>
      <c r="AJ375" s="196"/>
      <c r="AK375" s="196"/>
      <c r="AL375" s="196"/>
      <c r="AM375" s="196"/>
    </row>
    <row r="376">
      <c r="F376" s="203"/>
      <c r="H376" s="196"/>
      <c r="I376" s="196"/>
      <c r="J376" s="196"/>
      <c r="K376" s="196"/>
      <c r="L376" s="196"/>
      <c r="M376" s="196"/>
      <c r="N376" s="196"/>
      <c r="O376" s="196"/>
      <c r="P376" s="196"/>
      <c r="Q376" s="196"/>
      <c r="R376" s="196"/>
      <c r="S376" s="196"/>
      <c r="T376" s="196"/>
      <c r="U376" s="196"/>
      <c r="V376" s="196"/>
      <c r="W376" s="196"/>
      <c r="X376" s="196"/>
      <c r="Y376" s="196"/>
      <c r="Z376" s="196"/>
      <c r="AA376" s="196"/>
      <c r="AB376" s="196"/>
      <c r="AC376" s="196"/>
      <c r="AD376" s="196"/>
      <c r="AE376" s="196"/>
      <c r="AF376" s="196"/>
      <c r="AG376" s="196"/>
      <c r="AH376" s="196"/>
      <c r="AI376" s="196"/>
      <c r="AJ376" s="196"/>
      <c r="AK376" s="196"/>
      <c r="AL376" s="196"/>
      <c r="AM376" s="196"/>
    </row>
    <row r="377">
      <c r="F377" s="203"/>
      <c r="H377" s="196"/>
      <c r="I377" s="196"/>
      <c r="J377" s="196"/>
      <c r="K377" s="196"/>
      <c r="L377" s="196"/>
      <c r="M377" s="196"/>
      <c r="N377" s="196"/>
      <c r="O377" s="196"/>
      <c r="P377" s="196"/>
      <c r="Q377" s="196"/>
      <c r="R377" s="196"/>
      <c r="S377" s="196"/>
      <c r="T377" s="196"/>
      <c r="U377" s="196"/>
      <c r="V377" s="196"/>
      <c r="W377" s="196"/>
      <c r="X377" s="196"/>
      <c r="Y377" s="196"/>
      <c r="Z377" s="196"/>
      <c r="AA377" s="196"/>
      <c r="AB377" s="196"/>
      <c r="AC377" s="196"/>
      <c r="AD377" s="196"/>
      <c r="AE377" s="196"/>
      <c r="AF377" s="196"/>
      <c r="AG377" s="196"/>
      <c r="AH377" s="196"/>
      <c r="AI377" s="196"/>
      <c r="AJ377" s="196"/>
      <c r="AK377" s="196"/>
      <c r="AL377" s="196"/>
      <c r="AM377" s="196"/>
    </row>
    <row r="378">
      <c r="F378" s="203"/>
      <c r="H378" s="196"/>
      <c r="I378" s="196"/>
      <c r="J378" s="196"/>
      <c r="K378" s="196"/>
      <c r="L378" s="196"/>
      <c r="M378" s="196"/>
      <c r="N378" s="196"/>
      <c r="O378" s="196"/>
      <c r="P378" s="196"/>
      <c r="Q378" s="196"/>
      <c r="R378" s="196"/>
      <c r="S378" s="196"/>
      <c r="T378" s="196"/>
      <c r="U378" s="196"/>
      <c r="V378" s="196"/>
      <c r="W378" s="196"/>
      <c r="X378" s="196"/>
      <c r="Y378" s="196"/>
      <c r="Z378" s="196"/>
      <c r="AA378" s="196"/>
      <c r="AB378" s="196"/>
      <c r="AC378" s="196"/>
      <c r="AD378" s="196"/>
      <c r="AE378" s="196"/>
      <c r="AF378" s="196"/>
      <c r="AG378" s="196"/>
      <c r="AH378" s="196"/>
      <c r="AI378" s="196"/>
      <c r="AJ378" s="196"/>
      <c r="AK378" s="196"/>
      <c r="AL378" s="196"/>
      <c r="AM378" s="196"/>
    </row>
    <row r="379">
      <c r="F379" s="203"/>
      <c r="H379" s="196"/>
      <c r="I379" s="196"/>
      <c r="J379" s="196"/>
      <c r="K379" s="196"/>
      <c r="L379" s="196"/>
      <c r="M379" s="196"/>
      <c r="N379" s="196"/>
      <c r="O379" s="196"/>
      <c r="P379" s="196"/>
      <c r="Q379" s="196"/>
      <c r="R379" s="196"/>
      <c r="S379" s="196"/>
      <c r="T379" s="196"/>
      <c r="U379" s="196"/>
      <c r="V379" s="196"/>
      <c r="W379" s="196"/>
      <c r="X379" s="196"/>
      <c r="Y379" s="196"/>
      <c r="Z379" s="196"/>
      <c r="AA379" s="196"/>
      <c r="AB379" s="196"/>
      <c r="AC379" s="196"/>
      <c r="AD379" s="196"/>
      <c r="AE379" s="196"/>
      <c r="AF379" s="196"/>
      <c r="AG379" s="196"/>
      <c r="AH379" s="196"/>
      <c r="AI379" s="196"/>
      <c r="AJ379" s="196"/>
      <c r="AK379" s="196"/>
      <c r="AL379" s="196"/>
      <c r="AM379" s="196"/>
    </row>
    <row r="380">
      <c r="F380" s="203"/>
      <c r="H380" s="196"/>
      <c r="I380" s="196"/>
      <c r="J380" s="196"/>
      <c r="K380" s="196"/>
      <c r="L380" s="196"/>
      <c r="M380" s="196"/>
      <c r="N380" s="196"/>
      <c r="O380" s="196"/>
      <c r="P380" s="196"/>
      <c r="Q380" s="196"/>
      <c r="R380" s="196"/>
      <c r="S380" s="196"/>
      <c r="T380" s="196"/>
      <c r="U380" s="196"/>
      <c r="V380" s="196"/>
      <c r="W380" s="196"/>
      <c r="X380" s="196"/>
      <c r="Y380" s="196"/>
      <c r="Z380" s="196"/>
      <c r="AA380" s="196"/>
      <c r="AB380" s="196"/>
      <c r="AC380" s="196"/>
      <c r="AD380" s="196"/>
      <c r="AE380" s="196"/>
      <c r="AF380" s="196"/>
      <c r="AG380" s="196"/>
      <c r="AH380" s="196"/>
      <c r="AI380" s="196"/>
      <c r="AJ380" s="196"/>
      <c r="AK380" s="196"/>
      <c r="AL380" s="196"/>
      <c r="AM380" s="196"/>
    </row>
    <row r="381">
      <c r="F381" s="203"/>
      <c r="H381" s="196"/>
      <c r="I381" s="196"/>
      <c r="J381" s="196"/>
      <c r="K381" s="196"/>
      <c r="L381" s="196"/>
      <c r="M381" s="196"/>
      <c r="N381" s="196"/>
      <c r="O381" s="196"/>
      <c r="P381" s="196"/>
      <c r="Q381" s="196"/>
      <c r="R381" s="196"/>
      <c r="S381" s="196"/>
      <c r="T381" s="196"/>
      <c r="U381" s="196"/>
      <c r="V381" s="196"/>
      <c r="W381" s="196"/>
      <c r="X381" s="196"/>
      <c r="Y381" s="196"/>
      <c r="Z381" s="196"/>
      <c r="AA381" s="196"/>
      <c r="AB381" s="196"/>
      <c r="AC381" s="196"/>
      <c r="AD381" s="196"/>
      <c r="AE381" s="196"/>
      <c r="AF381" s="196"/>
      <c r="AG381" s="196"/>
      <c r="AH381" s="196"/>
      <c r="AI381" s="196"/>
      <c r="AJ381" s="196"/>
      <c r="AK381" s="196"/>
      <c r="AL381" s="196"/>
      <c r="AM381" s="196"/>
    </row>
    <row r="382">
      <c r="F382" s="203"/>
      <c r="H382" s="196"/>
      <c r="I382" s="196"/>
      <c r="J382" s="196"/>
      <c r="K382" s="196"/>
      <c r="L382" s="196"/>
      <c r="M382" s="196"/>
      <c r="N382" s="196"/>
      <c r="O382" s="196"/>
      <c r="P382" s="196"/>
      <c r="Q382" s="196"/>
      <c r="R382" s="196"/>
      <c r="S382" s="196"/>
      <c r="T382" s="196"/>
      <c r="U382" s="196"/>
      <c r="V382" s="196"/>
      <c r="W382" s="196"/>
      <c r="X382" s="196"/>
      <c r="Y382" s="196"/>
      <c r="Z382" s="196"/>
      <c r="AA382" s="196"/>
      <c r="AB382" s="196"/>
      <c r="AC382" s="196"/>
      <c r="AD382" s="196"/>
      <c r="AE382" s="196"/>
      <c r="AF382" s="196"/>
      <c r="AG382" s="196"/>
      <c r="AH382" s="196"/>
      <c r="AI382" s="196"/>
      <c r="AJ382" s="196"/>
      <c r="AK382" s="196"/>
      <c r="AL382" s="196"/>
      <c r="AM382" s="196"/>
    </row>
    <row r="383">
      <c r="F383" s="203"/>
      <c r="H383" s="196"/>
      <c r="I383" s="196"/>
      <c r="J383" s="196"/>
      <c r="K383" s="196"/>
      <c r="L383" s="196"/>
      <c r="M383" s="196"/>
      <c r="N383" s="196"/>
      <c r="O383" s="196"/>
      <c r="P383" s="196"/>
      <c r="Q383" s="196"/>
      <c r="R383" s="196"/>
      <c r="S383" s="196"/>
      <c r="T383" s="196"/>
      <c r="U383" s="196"/>
      <c r="V383" s="196"/>
      <c r="W383" s="196"/>
      <c r="X383" s="196"/>
      <c r="Y383" s="196"/>
      <c r="Z383" s="196"/>
      <c r="AA383" s="196"/>
      <c r="AB383" s="196"/>
      <c r="AC383" s="196"/>
      <c r="AD383" s="196"/>
      <c r="AE383" s="196"/>
      <c r="AF383" s="196"/>
      <c r="AG383" s="196"/>
      <c r="AH383" s="196"/>
      <c r="AI383" s="196"/>
      <c r="AJ383" s="196"/>
      <c r="AK383" s="196"/>
      <c r="AL383" s="196"/>
      <c r="AM383" s="196"/>
    </row>
    <row r="384">
      <c r="F384" s="203"/>
      <c r="H384" s="196"/>
      <c r="I384" s="196"/>
      <c r="J384" s="196"/>
      <c r="K384" s="196"/>
      <c r="L384" s="196"/>
      <c r="M384" s="196"/>
      <c r="N384" s="196"/>
      <c r="O384" s="196"/>
      <c r="P384" s="196"/>
      <c r="Q384" s="196"/>
      <c r="R384" s="196"/>
      <c r="S384" s="196"/>
      <c r="T384" s="196"/>
      <c r="U384" s="196"/>
      <c r="V384" s="196"/>
      <c r="W384" s="196"/>
      <c r="X384" s="196"/>
      <c r="Y384" s="196"/>
      <c r="Z384" s="196"/>
      <c r="AA384" s="196"/>
      <c r="AB384" s="196"/>
      <c r="AC384" s="196"/>
      <c r="AD384" s="196"/>
      <c r="AE384" s="196"/>
      <c r="AF384" s="196"/>
      <c r="AG384" s="196"/>
      <c r="AH384" s="196"/>
      <c r="AI384" s="196"/>
      <c r="AJ384" s="196"/>
      <c r="AK384" s="196"/>
      <c r="AL384" s="196"/>
      <c r="AM384" s="196"/>
    </row>
    <row r="385">
      <c r="F385" s="203"/>
      <c r="H385" s="196"/>
      <c r="I385" s="196"/>
      <c r="J385" s="196"/>
      <c r="K385" s="196"/>
      <c r="L385" s="196"/>
      <c r="M385" s="196"/>
      <c r="N385" s="196"/>
      <c r="O385" s="196"/>
      <c r="P385" s="196"/>
      <c r="Q385" s="196"/>
      <c r="R385" s="196"/>
      <c r="S385" s="196"/>
      <c r="T385" s="196"/>
      <c r="U385" s="196"/>
      <c r="V385" s="196"/>
      <c r="W385" s="196"/>
      <c r="X385" s="196"/>
      <c r="Y385" s="196"/>
      <c r="Z385" s="196"/>
      <c r="AA385" s="196"/>
      <c r="AB385" s="196"/>
      <c r="AC385" s="196"/>
      <c r="AD385" s="196"/>
      <c r="AE385" s="196"/>
      <c r="AF385" s="196"/>
      <c r="AG385" s="196"/>
      <c r="AH385" s="196"/>
      <c r="AI385" s="196"/>
      <c r="AJ385" s="196"/>
      <c r="AK385" s="196"/>
      <c r="AL385" s="196"/>
      <c r="AM385" s="196"/>
    </row>
    <row r="386">
      <c r="F386" s="203"/>
      <c r="H386" s="196"/>
      <c r="I386" s="196"/>
      <c r="J386" s="196"/>
      <c r="K386" s="196"/>
      <c r="L386" s="196"/>
      <c r="M386" s="196"/>
      <c r="N386" s="196"/>
      <c r="O386" s="196"/>
      <c r="P386" s="196"/>
      <c r="Q386" s="196"/>
      <c r="R386" s="196"/>
      <c r="S386" s="196"/>
      <c r="T386" s="196"/>
      <c r="U386" s="196"/>
      <c r="V386" s="196"/>
      <c r="W386" s="196"/>
      <c r="X386" s="196"/>
      <c r="Y386" s="196"/>
      <c r="Z386" s="196"/>
      <c r="AA386" s="196"/>
      <c r="AB386" s="196"/>
      <c r="AC386" s="196"/>
      <c r="AD386" s="196"/>
      <c r="AE386" s="196"/>
      <c r="AF386" s="196"/>
      <c r="AG386" s="196"/>
      <c r="AH386" s="196"/>
      <c r="AI386" s="196"/>
      <c r="AJ386" s="196"/>
      <c r="AK386" s="196"/>
      <c r="AL386" s="196"/>
      <c r="AM386" s="196"/>
    </row>
    <row r="387">
      <c r="F387" s="203"/>
      <c r="H387" s="196"/>
      <c r="I387" s="196"/>
      <c r="J387" s="196"/>
      <c r="K387" s="196"/>
      <c r="L387" s="196"/>
      <c r="M387" s="196"/>
      <c r="N387" s="196"/>
      <c r="O387" s="196"/>
      <c r="P387" s="196"/>
      <c r="Q387" s="196"/>
      <c r="R387" s="196"/>
      <c r="S387" s="196"/>
      <c r="T387" s="196"/>
      <c r="U387" s="196"/>
      <c r="V387" s="196"/>
      <c r="W387" s="196"/>
      <c r="X387" s="196"/>
      <c r="Y387" s="196"/>
      <c r="Z387" s="196"/>
      <c r="AA387" s="196"/>
      <c r="AB387" s="196"/>
      <c r="AC387" s="196"/>
      <c r="AD387" s="196"/>
      <c r="AE387" s="196"/>
      <c r="AF387" s="196"/>
      <c r="AG387" s="196"/>
      <c r="AH387" s="196"/>
      <c r="AI387" s="196"/>
      <c r="AJ387" s="196"/>
      <c r="AK387" s="196"/>
      <c r="AL387" s="196"/>
      <c r="AM387" s="196"/>
    </row>
    <row r="388">
      <c r="F388" s="203"/>
      <c r="H388" s="196"/>
      <c r="I388" s="196"/>
      <c r="J388" s="196"/>
      <c r="K388" s="196"/>
      <c r="L388" s="196"/>
      <c r="M388" s="196"/>
      <c r="N388" s="196"/>
      <c r="O388" s="196"/>
      <c r="P388" s="196"/>
      <c r="Q388" s="196"/>
      <c r="R388" s="196"/>
      <c r="S388" s="196"/>
      <c r="T388" s="196"/>
      <c r="U388" s="196"/>
      <c r="V388" s="196"/>
      <c r="W388" s="196"/>
      <c r="X388" s="196"/>
      <c r="Y388" s="196"/>
      <c r="Z388" s="196"/>
      <c r="AA388" s="196"/>
      <c r="AB388" s="196"/>
      <c r="AC388" s="196"/>
      <c r="AD388" s="196"/>
      <c r="AE388" s="196"/>
      <c r="AF388" s="196"/>
      <c r="AG388" s="196"/>
      <c r="AH388" s="196"/>
      <c r="AI388" s="196"/>
      <c r="AJ388" s="196"/>
      <c r="AK388" s="196"/>
      <c r="AL388" s="196"/>
      <c r="AM388" s="196"/>
    </row>
    <row r="389">
      <c r="F389" s="203"/>
      <c r="H389" s="196"/>
      <c r="I389" s="196"/>
      <c r="J389" s="196"/>
      <c r="K389" s="196"/>
      <c r="L389" s="196"/>
      <c r="M389" s="196"/>
      <c r="N389" s="196"/>
      <c r="O389" s="196"/>
      <c r="P389" s="196"/>
      <c r="Q389" s="196"/>
      <c r="R389" s="196"/>
      <c r="S389" s="196"/>
      <c r="T389" s="196"/>
      <c r="U389" s="196"/>
      <c r="V389" s="196"/>
      <c r="W389" s="196"/>
      <c r="X389" s="196"/>
      <c r="Y389" s="196"/>
      <c r="Z389" s="196"/>
      <c r="AA389" s="196"/>
      <c r="AB389" s="196"/>
      <c r="AC389" s="196"/>
      <c r="AD389" s="196"/>
      <c r="AE389" s="196"/>
      <c r="AF389" s="196"/>
      <c r="AG389" s="196"/>
      <c r="AH389" s="196"/>
      <c r="AI389" s="196"/>
      <c r="AJ389" s="196"/>
      <c r="AK389" s="196"/>
      <c r="AL389" s="196"/>
      <c r="AM389" s="196"/>
    </row>
    <row r="390">
      <c r="F390" s="203"/>
      <c r="H390" s="196"/>
      <c r="I390" s="196"/>
      <c r="J390" s="196"/>
      <c r="K390" s="196"/>
      <c r="L390" s="196"/>
      <c r="M390" s="196"/>
      <c r="N390" s="196"/>
      <c r="O390" s="196"/>
      <c r="P390" s="196"/>
      <c r="Q390" s="196"/>
      <c r="R390" s="196"/>
      <c r="S390" s="196"/>
      <c r="T390" s="196"/>
      <c r="U390" s="196"/>
      <c r="V390" s="196"/>
      <c r="W390" s="196"/>
      <c r="X390" s="196"/>
      <c r="Y390" s="196"/>
      <c r="Z390" s="196"/>
      <c r="AA390" s="196"/>
      <c r="AB390" s="196"/>
      <c r="AC390" s="196"/>
      <c r="AD390" s="196"/>
      <c r="AE390" s="196"/>
      <c r="AF390" s="196"/>
      <c r="AG390" s="196"/>
      <c r="AH390" s="196"/>
      <c r="AI390" s="196"/>
      <c r="AJ390" s="196"/>
      <c r="AK390" s="196"/>
      <c r="AL390" s="196"/>
      <c r="AM390" s="196"/>
    </row>
    <row r="391">
      <c r="F391" s="203"/>
      <c r="H391" s="196"/>
      <c r="I391" s="196"/>
      <c r="J391" s="196"/>
      <c r="K391" s="196"/>
      <c r="L391" s="196"/>
      <c r="M391" s="196"/>
      <c r="N391" s="196"/>
      <c r="O391" s="196"/>
      <c r="P391" s="196"/>
      <c r="Q391" s="196"/>
      <c r="R391" s="196"/>
      <c r="S391" s="196"/>
      <c r="T391" s="196"/>
      <c r="U391" s="196"/>
      <c r="V391" s="196"/>
      <c r="W391" s="196"/>
      <c r="X391" s="196"/>
      <c r="Y391" s="196"/>
      <c r="Z391" s="196"/>
      <c r="AA391" s="196"/>
      <c r="AB391" s="196"/>
      <c r="AC391" s="196"/>
      <c r="AD391" s="196"/>
      <c r="AE391" s="196"/>
      <c r="AF391" s="196"/>
      <c r="AG391" s="196"/>
      <c r="AH391" s="196"/>
      <c r="AI391" s="196"/>
      <c r="AJ391" s="196"/>
      <c r="AK391" s="196"/>
      <c r="AL391" s="196"/>
      <c r="AM391" s="196"/>
    </row>
    <row r="392">
      <c r="F392" s="203"/>
      <c r="H392" s="196"/>
      <c r="I392" s="196"/>
      <c r="J392" s="196"/>
      <c r="K392" s="196"/>
      <c r="L392" s="196"/>
      <c r="M392" s="196"/>
      <c r="N392" s="196"/>
      <c r="O392" s="196"/>
      <c r="P392" s="196"/>
      <c r="Q392" s="196"/>
      <c r="R392" s="196"/>
      <c r="S392" s="196"/>
      <c r="T392" s="196"/>
      <c r="U392" s="196"/>
      <c r="V392" s="196"/>
      <c r="W392" s="196"/>
      <c r="X392" s="196"/>
      <c r="Y392" s="196"/>
      <c r="Z392" s="196"/>
      <c r="AA392" s="196"/>
      <c r="AB392" s="196"/>
      <c r="AC392" s="196"/>
      <c r="AD392" s="196"/>
      <c r="AE392" s="196"/>
      <c r="AF392" s="196"/>
      <c r="AG392" s="196"/>
      <c r="AH392" s="196"/>
      <c r="AI392" s="196"/>
      <c r="AJ392" s="196"/>
      <c r="AK392" s="196"/>
      <c r="AL392" s="196"/>
      <c r="AM392" s="196"/>
    </row>
    <row r="393">
      <c r="F393" s="203"/>
      <c r="H393" s="196"/>
      <c r="I393" s="196"/>
      <c r="J393" s="196"/>
      <c r="K393" s="196"/>
      <c r="L393" s="196"/>
      <c r="M393" s="196"/>
      <c r="N393" s="196"/>
      <c r="O393" s="196"/>
      <c r="P393" s="196"/>
      <c r="Q393" s="196"/>
      <c r="R393" s="196"/>
      <c r="S393" s="196"/>
      <c r="T393" s="196"/>
      <c r="U393" s="196"/>
      <c r="V393" s="196"/>
      <c r="W393" s="196"/>
      <c r="X393" s="196"/>
      <c r="Y393" s="196"/>
      <c r="Z393" s="196"/>
      <c r="AA393" s="196"/>
      <c r="AB393" s="196"/>
      <c r="AC393" s="196"/>
      <c r="AD393" s="196"/>
      <c r="AE393" s="196"/>
      <c r="AF393" s="196"/>
      <c r="AG393" s="196"/>
      <c r="AH393" s="196"/>
      <c r="AI393" s="196"/>
      <c r="AJ393" s="196"/>
      <c r="AK393" s="196"/>
      <c r="AL393" s="196"/>
      <c r="AM393" s="196"/>
    </row>
    <row r="394">
      <c r="F394" s="203"/>
      <c r="H394" s="196"/>
      <c r="I394" s="196"/>
      <c r="J394" s="196"/>
      <c r="K394" s="196"/>
      <c r="L394" s="196"/>
      <c r="M394" s="196"/>
      <c r="N394" s="196"/>
      <c r="O394" s="196"/>
      <c r="P394" s="196"/>
      <c r="Q394" s="196"/>
      <c r="R394" s="196"/>
      <c r="S394" s="196"/>
      <c r="T394" s="196"/>
      <c r="U394" s="196"/>
      <c r="V394" s="196"/>
      <c r="W394" s="196"/>
      <c r="X394" s="196"/>
      <c r="Y394" s="196"/>
      <c r="Z394" s="196"/>
      <c r="AA394" s="196"/>
      <c r="AB394" s="196"/>
      <c r="AC394" s="196"/>
      <c r="AD394" s="196"/>
      <c r="AE394" s="196"/>
      <c r="AF394" s="196"/>
      <c r="AG394" s="196"/>
      <c r="AH394" s="196"/>
      <c r="AI394" s="196"/>
      <c r="AJ394" s="196"/>
      <c r="AK394" s="196"/>
      <c r="AL394" s="196"/>
      <c r="AM394" s="196"/>
    </row>
    <row r="395">
      <c r="F395" s="203"/>
      <c r="H395" s="196"/>
      <c r="I395" s="196"/>
      <c r="J395" s="196"/>
      <c r="K395" s="196"/>
      <c r="L395" s="196"/>
      <c r="M395" s="196"/>
      <c r="N395" s="196"/>
      <c r="O395" s="196"/>
      <c r="P395" s="196"/>
      <c r="Q395" s="196"/>
      <c r="R395" s="196"/>
      <c r="S395" s="196"/>
      <c r="T395" s="196"/>
      <c r="U395" s="196"/>
      <c r="V395" s="196"/>
      <c r="W395" s="196"/>
      <c r="X395" s="196"/>
      <c r="Y395" s="196"/>
      <c r="Z395" s="196"/>
      <c r="AA395" s="196"/>
      <c r="AB395" s="196"/>
      <c r="AC395" s="196"/>
      <c r="AD395" s="196"/>
      <c r="AE395" s="196"/>
      <c r="AF395" s="196"/>
      <c r="AG395" s="196"/>
      <c r="AH395" s="196"/>
      <c r="AI395" s="196"/>
      <c r="AJ395" s="196"/>
      <c r="AK395" s="196"/>
      <c r="AL395" s="196"/>
      <c r="AM395" s="196"/>
    </row>
    <row r="396">
      <c r="F396" s="203"/>
      <c r="H396" s="196"/>
      <c r="I396" s="196"/>
      <c r="J396" s="196"/>
      <c r="K396" s="196"/>
      <c r="L396" s="196"/>
      <c r="M396" s="196"/>
      <c r="N396" s="196"/>
      <c r="O396" s="196"/>
      <c r="P396" s="196"/>
      <c r="Q396" s="196"/>
      <c r="R396" s="196"/>
      <c r="S396" s="196"/>
      <c r="T396" s="196"/>
      <c r="U396" s="196"/>
      <c r="V396" s="196"/>
      <c r="W396" s="196"/>
      <c r="X396" s="196"/>
      <c r="Y396" s="196"/>
      <c r="Z396" s="196"/>
      <c r="AA396" s="196"/>
      <c r="AB396" s="196"/>
      <c r="AC396" s="196"/>
      <c r="AD396" s="196"/>
      <c r="AE396" s="196"/>
      <c r="AF396" s="196"/>
      <c r="AG396" s="196"/>
      <c r="AH396" s="196"/>
      <c r="AI396" s="196"/>
      <c r="AJ396" s="196"/>
      <c r="AK396" s="196"/>
      <c r="AL396" s="196"/>
      <c r="AM396" s="196"/>
    </row>
    <row r="397">
      <c r="F397" s="203"/>
      <c r="H397" s="196"/>
      <c r="I397" s="196"/>
      <c r="J397" s="196"/>
      <c r="K397" s="196"/>
      <c r="L397" s="196"/>
      <c r="M397" s="196"/>
      <c r="N397" s="196"/>
      <c r="O397" s="196"/>
      <c r="P397" s="196"/>
      <c r="Q397" s="196"/>
      <c r="R397" s="196"/>
      <c r="S397" s="196"/>
      <c r="T397" s="196"/>
      <c r="U397" s="196"/>
      <c r="V397" s="196"/>
      <c r="W397" s="196"/>
      <c r="X397" s="196"/>
      <c r="Y397" s="196"/>
      <c r="Z397" s="196"/>
      <c r="AA397" s="196"/>
      <c r="AB397" s="196"/>
      <c r="AC397" s="196"/>
      <c r="AD397" s="196"/>
      <c r="AE397" s="196"/>
      <c r="AF397" s="196"/>
      <c r="AG397" s="196"/>
      <c r="AH397" s="196"/>
      <c r="AI397" s="196"/>
      <c r="AJ397" s="196"/>
      <c r="AK397" s="196"/>
      <c r="AL397" s="196"/>
      <c r="AM397" s="196"/>
    </row>
    <row r="398">
      <c r="F398" s="203"/>
      <c r="H398" s="196"/>
      <c r="I398" s="196"/>
      <c r="J398" s="196"/>
      <c r="K398" s="196"/>
      <c r="L398" s="196"/>
      <c r="M398" s="196"/>
      <c r="N398" s="196"/>
      <c r="O398" s="196"/>
      <c r="P398" s="196"/>
      <c r="Q398" s="196"/>
      <c r="R398" s="196"/>
      <c r="S398" s="196"/>
      <c r="T398" s="196"/>
      <c r="U398" s="196"/>
      <c r="V398" s="196"/>
      <c r="W398" s="196"/>
      <c r="X398" s="196"/>
      <c r="Y398" s="196"/>
      <c r="Z398" s="196"/>
      <c r="AA398" s="196"/>
      <c r="AB398" s="196"/>
      <c r="AC398" s="196"/>
      <c r="AD398" s="196"/>
      <c r="AE398" s="196"/>
      <c r="AF398" s="196"/>
      <c r="AG398" s="196"/>
      <c r="AH398" s="196"/>
      <c r="AI398" s="196"/>
      <c r="AJ398" s="196"/>
      <c r="AK398" s="196"/>
      <c r="AL398" s="196"/>
      <c r="AM398" s="196"/>
    </row>
    <row r="399">
      <c r="F399" s="203"/>
      <c r="H399" s="196"/>
      <c r="I399" s="196"/>
      <c r="J399" s="196"/>
      <c r="K399" s="196"/>
      <c r="L399" s="196"/>
      <c r="M399" s="196"/>
      <c r="N399" s="196"/>
      <c r="O399" s="196"/>
      <c r="P399" s="196"/>
      <c r="Q399" s="196"/>
      <c r="R399" s="196"/>
      <c r="S399" s="196"/>
      <c r="T399" s="196"/>
      <c r="U399" s="196"/>
      <c r="V399" s="196"/>
      <c r="W399" s="196"/>
      <c r="X399" s="196"/>
      <c r="Y399" s="196"/>
      <c r="Z399" s="196"/>
      <c r="AA399" s="196"/>
      <c r="AB399" s="196"/>
      <c r="AC399" s="196"/>
      <c r="AD399" s="196"/>
      <c r="AE399" s="196"/>
      <c r="AF399" s="196"/>
      <c r="AG399" s="196"/>
      <c r="AH399" s="196"/>
      <c r="AI399" s="196"/>
      <c r="AJ399" s="196"/>
      <c r="AK399" s="196"/>
      <c r="AL399" s="196"/>
      <c r="AM399" s="196"/>
    </row>
    <row r="400">
      <c r="F400" s="203"/>
      <c r="H400" s="196"/>
      <c r="I400" s="196"/>
      <c r="J400" s="196"/>
      <c r="K400" s="196"/>
      <c r="L400" s="196"/>
      <c r="M400" s="196"/>
      <c r="N400" s="196"/>
      <c r="O400" s="196"/>
      <c r="P400" s="196"/>
      <c r="Q400" s="196"/>
      <c r="R400" s="196"/>
      <c r="S400" s="196"/>
      <c r="T400" s="196"/>
      <c r="U400" s="196"/>
      <c r="V400" s="196"/>
      <c r="W400" s="196"/>
      <c r="X400" s="196"/>
      <c r="Y400" s="196"/>
      <c r="Z400" s="196"/>
      <c r="AA400" s="196"/>
      <c r="AB400" s="196"/>
      <c r="AC400" s="196"/>
      <c r="AD400" s="196"/>
      <c r="AE400" s="196"/>
      <c r="AF400" s="196"/>
      <c r="AG400" s="196"/>
      <c r="AH400" s="196"/>
      <c r="AI400" s="196"/>
      <c r="AJ400" s="196"/>
      <c r="AK400" s="196"/>
      <c r="AL400" s="196"/>
      <c r="AM400" s="196"/>
    </row>
    <row r="401">
      <c r="F401" s="203"/>
      <c r="H401" s="196"/>
      <c r="I401" s="196"/>
      <c r="J401" s="196"/>
      <c r="K401" s="196"/>
      <c r="L401" s="196"/>
      <c r="M401" s="196"/>
      <c r="N401" s="196"/>
      <c r="O401" s="196"/>
      <c r="P401" s="196"/>
      <c r="Q401" s="196"/>
      <c r="R401" s="196"/>
      <c r="S401" s="196"/>
      <c r="T401" s="196"/>
      <c r="U401" s="196"/>
      <c r="V401" s="196"/>
      <c r="W401" s="196"/>
      <c r="X401" s="196"/>
      <c r="Y401" s="196"/>
      <c r="Z401" s="196"/>
      <c r="AA401" s="196"/>
      <c r="AB401" s="196"/>
      <c r="AC401" s="196"/>
      <c r="AD401" s="196"/>
      <c r="AE401" s="196"/>
      <c r="AF401" s="196"/>
      <c r="AG401" s="196"/>
      <c r="AH401" s="196"/>
      <c r="AI401" s="196"/>
      <c r="AJ401" s="196"/>
      <c r="AK401" s="196"/>
      <c r="AL401" s="196"/>
      <c r="AM401" s="196"/>
    </row>
    <row r="402">
      <c r="F402" s="203"/>
      <c r="H402" s="196"/>
      <c r="I402" s="196"/>
      <c r="J402" s="196"/>
      <c r="K402" s="196"/>
      <c r="L402" s="196"/>
      <c r="M402" s="196"/>
      <c r="N402" s="196"/>
      <c r="O402" s="196"/>
      <c r="P402" s="196"/>
      <c r="Q402" s="196"/>
      <c r="R402" s="196"/>
      <c r="S402" s="196"/>
      <c r="T402" s="196"/>
      <c r="U402" s="196"/>
      <c r="V402" s="196"/>
      <c r="W402" s="196"/>
      <c r="X402" s="196"/>
      <c r="Y402" s="196"/>
      <c r="Z402" s="196"/>
      <c r="AA402" s="196"/>
      <c r="AB402" s="196"/>
      <c r="AC402" s="196"/>
      <c r="AD402" s="196"/>
      <c r="AE402" s="196"/>
      <c r="AF402" s="196"/>
      <c r="AG402" s="196"/>
      <c r="AH402" s="196"/>
      <c r="AI402" s="196"/>
      <c r="AJ402" s="196"/>
      <c r="AK402" s="196"/>
      <c r="AL402" s="196"/>
      <c r="AM402" s="196"/>
    </row>
    <row r="403">
      <c r="F403" s="203"/>
      <c r="H403" s="196"/>
      <c r="I403" s="196"/>
      <c r="J403" s="196"/>
      <c r="K403" s="196"/>
      <c r="L403" s="196"/>
      <c r="M403" s="196"/>
      <c r="N403" s="196"/>
      <c r="O403" s="196"/>
      <c r="P403" s="196"/>
      <c r="Q403" s="196"/>
      <c r="R403" s="196"/>
      <c r="S403" s="196"/>
      <c r="T403" s="196"/>
      <c r="U403" s="196"/>
      <c r="V403" s="196"/>
      <c r="W403" s="196"/>
      <c r="X403" s="196"/>
      <c r="Y403" s="196"/>
      <c r="Z403" s="196"/>
      <c r="AA403" s="196"/>
      <c r="AB403" s="196"/>
      <c r="AC403" s="196"/>
      <c r="AD403" s="196"/>
      <c r="AE403" s="196"/>
      <c r="AF403" s="196"/>
      <c r="AG403" s="196"/>
      <c r="AH403" s="196"/>
      <c r="AI403" s="196"/>
      <c r="AJ403" s="196"/>
      <c r="AK403" s="196"/>
      <c r="AL403" s="196"/>
      <c r="AM403" s="196"/>
    </row>
    <row r="404">
      <c r="F404" s="203"/>
      <c r="H404" s="196"/>
      <c r="I404" s="196"/>
      <c r="J404" s="196"/>
      <c r="K404" s="196"/>
      <c r="L404" s="196"/>
      <c r="M404" s="196"/>
      <c r="N404" s="196"/>
      <c r="O404" s="196"/>
      <c r="P404" s="196"/>
      <c r="Q404" s="196"/>
      <c r="R404" s="196"/>
      <c r="S404" s="196"/>
      <c r="T404" s="196"/>
      <c r="U404" s="196"/>
      <c r="V404" s="196"/>
      <c r="W404" s="196"/>
      <c r="X404" s="196"/>
      <c r="Y404" s="196"/>
      <c r="Z404" s="196"/>
      <c r="AA404" s="196"/>
      <c r="AB404" s="196"/>
      <c r="AC404" s="196"/>
      <c r="AD404" s="196"/>
      <c r="AE404" s="196"/>
      <c r="AF404" s="196"/>
      <c r="AG404" s="196"/>
      <c r="AH404" s="196"/>
      <c r="AI404" s="196"/>
      <c r="AJ404" s="196"/>
      <c r="AK404" s="196"/>
      <c r="AL404" s="196"/>
      <c r="AM404" s="196"/>
    </row>
    <row r="405">
      <c r="F405" s="203"/>
      <c r="H405" s="196"/>
      <c r="I405" s="196"/>
      <c r="J405" s="196"/>
      <c r="K405" s="196"/>
      <c r="L405" s="196"/>
      <c r="M405" s="196"/>
      <c r="N405" s="196"/>
      <c r="O405" s="196"/>
      <c r="P405" s="196"/>
      <c r="Q405" s="196"/>
      <c r="R405" s="196"/>
      <c r="S405" s="196"/>
      <c r="T405" s="196"/>
      <c r="U405" s="196"/>
      <c r="V405" s="196"/>
      <c r="W405" s="196"/>
      <c r="X405" s="196"/>
      <c r="Y405" s="196"/>
      <c r="Z405" s="196"/>
      <c r="AA405" s="196"/>
      <c r="AB405" s="196"/>
      <c r="AC405" s="196"/>
      <c r="AD405" s="196"/>
      <c r="AE405" s="196"/>
      <c r="AF405" s="196"/>
      <c r="AG405" s="196"/>
      <c r="AH405" s="196"/>
      <c r="AI405" s="196"/>
      <c r="AJ405" s="196"/>
      <c r="AK405" s="196"/>
      <c r="AL405" s="196"/>
      <c r="AM405" s="196"/>
    </row>
    <row r="406">
      <c r="F406" s="203"/>
      <c r="H406" s="196"/>
      <c r="I406" s="196"/>
      <c r="J406" s="196"/>
      <c r="K406" s="196"/>
      <c r="L406" s="196"/>
      <c r="M406" s="196"/>
      <c r="N406" s="196"/>
      <c r="O406" s="196"/>
      <c r="P406" s="196"/>
      <c r="Q406" s="196"/>
      <c r="R406" s="196"/>
      <c r="S406" s="196"/>
      <c r="T406" s="196"/>
      <c r="U406" s="196"/>
      <c r="V406" s="196"/>
      <c r="W406" s="196"/>
      <c r="X406" s="196"/>
      <c r="Y406" s="196"/>
      <c r="Z406" s="196"/>
      <c r="AA406" s="196"/>
      <c r="AB406" s="196"/>
      <c r="AC406" s="196"/>
      <c r="AD406" s="196"/>
      <c r="AE406" s="196"/>
      <c r="AF406" s="196"/>
      <c r="AG406" s="196"/>
      <c r="AH406" s="196"/>
      <c r="AI406" s="196"/>
      <c r="AJ406" s="196"/>
      <c r="AK406" s="196"/>
      <c r="AL406" s="196"/>
      <c r="AM406" s="196"/>
    </row>
    <row r="407">
      <c r="F407" s="203"/>
      <c r="H407" s="196"/>
      <c r="I407" s="196"/>
      <c r="J407" s="196"/>
      <c r="K407" s="196"/>
      <c r="L407" s="196"/>
      <c r="M407" s="196"/>
      <c r="N407" s="196"/>
      <c r="O407" s="196"/>
      <c r="P407" s="196"/>
      <c r="Q407" s="196"/>
      <c r="R407" s="196"/>
      <c r="S407" s="196"/>
      <c r="T407" s="196"/>
      <c r="U407" s="196"/>
      <c r="V407" s="196"/>
      <c r="W407" s="196"/>
      <c r="X407" s="196"/>
      <c r="Y407" s="196"/>
      <c r="Z407" s="196"/>
      <c r="AA407" s="196"/>
      <c r="AB407" s="196"/>
      <c r="AC407" s="196"/>
      <c r="AD407" s="196"/>
      <c r="AE407" s="196"/>
      <c r="AF407" s="196"/>
      <c r="AG407" s="196"/>
      <c r="AH407" s="196"/>
      <c r="AI407" s="196"/>
      <c r="AJ407" s="196"/>
      <c r="AK407" s="196"/>
      <c r="AL407" s="196"/>
      <c r="AM407" s="196"/>
    </row>
    <row r="408">
      <c r="F408" s="203"/>
      <c r="H408" s="196"/>
      <c r="I408" s="196"/>
      <c r="J408" s="196"/>
      <c r="K408" s="196"/>
      <c r="L408" s="196"/>
      <c r="M408" s="196"/>
      <c r="N408" s="196"/>
      <c r="O408" s="196"/>
      <c r="P408" s="196"/>
      <c r="Q408" s="196"/>
      <c r="R408" s="196"/>
      <c r="S408" s="196"/>
      <c r="T408" s="196"/>
      <c r="U408" s="196"/>
      <c r="V408" s="196"/>
      <c r="W408" s="196"/>
      <c r="X408" s="196"/>
      <c r="Y408" s="196"/>
      <c r="Z408" s="196"/>
      <c r="AA408" s="196"/>
      <c r="AB408" s="196"/>
      <c r="AC408" s="196"/>
      <c r="AD408" s="196"/>
      <c r="AE408" s="196"/>
      <c r="AF408" s="196"/>
      <c r="AG408" s="196"/>
      <c r="AH408" s="196"/>
      <c r="AI408" s="196"/>
      <c r="AJ408" s="196"/>
      <c r="AK408" s="196"/>
      <c r="AL408" s="196"/>
      <c r="AM408" s="196"/>
    </row>
    <row r="409">
      <c r="F409" s="203"/>
      <c r="H409" s="196"/>
      <c r="I409" s="196"/>
      <c r="J409" s="196"/>
      <c r="K409" s="196"/>
      <c r="L409" s="196"/>
      <c r="M409" s="196"/>
      <c r="N409" s="196"/>
      <c r="O409" s="196"/>
      <c r="P409" s="196"/>
      <c r="Q409" s="196"/>
      <c r="R409" s="196"/>
      <c r="S409" s="196"/>
      <c r="T409" s="196"/>
      <c r="U409" s="196"/>
      <c r="V409" s="196"/>
      <c r="W409" s="196"/>
      <c r="X409" s="196"/>
      <c r="Y409" s="196"/>
      <c r="Z409" s="196"/>
      <c r="AA409" s="196"/>
      <c r="AB409" s="196"/>
      <c r="AC409" s="196"/>
      <c r="AD409" s="196"/>
      <c r="AE409" s="196"/>
      <c r="AF409" s="196"/>
      <c r="AG409" s="196"/>
      <c r="AH409" s="196"/>
      <c r="AI409" s="196"/>
      <c r="AJ409" s="196"/>
      <c r="AK409" s="196"/>
      <c r="AL409" s="196"/>
      <c r="AM409" s="196"/>
    </row>
    <row r="410">
      <c r="F410" s="203"/>
      <c r="H410" s="196"/>
      <c r="I410" s="196"/>
      <c r="J410" s="196"/>
      <c r="K410" s="196"/>
      <c r="L410" s="196"/>
      <c r="M410" s="196"/>
      <c r="N410" s="196"/>
      <c r="O410" s="196"/>
      <c r="P410" s="196"/>
      <c r="Q410" s="196"/>
      <c r="R410" s="196"/>
      <c r="S410" s="196"/>
      <c r="T410" s="196"/>
      <c r="U410" s="196"/>
      <c r="V410" s="196"/>
      <c r="W410" s="196"/>
      <c r="X410" s="196"/>
      <c r="Y410" s="196"/>
      <c r="Z410" s="196"/>
      <c r="AA410" s="196"/>
      <c r="AB410" s="196"/>
      <c r="AC410" s="196"/>
      <c r="AD410" s="196"/>
      <c r="AE410" s="196"/>
      <c r="AF410" s="196"/>
      <c r="AG410" s="196"/>
      <c r="AH410" s="196"/>
      <c r="AI410" s="196"/>
      <c r="AJ410" s="196"/>
      <c r="AK410" s="196"/>
      <c r="AL410" s="196"/>
      <c r="AM410" s="196"/>
    </row>
    <row r="411">
      <c r="F411" s="203"/>
      <c r="H411" s="196"/>
      <c r="I411" s="196"/>
      <c r="J411" s="196"/>
      <c r="K411" s="196"/>
      <c r="L411" s="196"/>
      <c r="M411" s="196"/>
      <c r="N411" s="196"/>
      <c r="O411" s="196"/>
      <c r="P411" s="196"/>
      <c r="Q411" s="196"/>
      <c r="R411" s="196"/>
      <c r="S411" s="196"/>
      <c r="T411" s="196"/>
      <c r="U411" s="196"/>
      <c r="V411" s="196"/>
      <c r="W411" s="196"/>
      <c r="X411" s="196"/>
      <c r="Y411" s="196"/>
      <c r="Z411" s="196"/>
      <c r="AA411" s="196"/>
      <c r="AB411" s="196"/>
      <c r="AC411" s="196"/>
      <c r="AD411" s="196"/>
      <c r="AE411" s="196"/>
      <c r="AF411" s="196"/>
      <c r="AG411" s="196"/>
      <c r="AH411" s="196"/>
      <c r="AI411" s="196"/>
      <c r="AJ411" s="196"/>
      <c r="AK411" s="196"/>
      <c r="AL411" s="196"/>
      <c r="AM411" s="196"/>
    </row>
    <row r="412">
      <c r="F412" s="203"/>
      <c r="H412" s="196"/>
      <c r="I412" s="196"/>
      <c r="J412" s="196"/>
      <c r="K412" s="196"/>
      <c r="L412" s="196"/>
      <c r="M412" s="196"/>
      <c r="N412" s="196"/>
      <c r="O412" s="196"/>
      <c r="P412" s="196"/>
      <c r="Q412" s="196"/>
      <c r="R412" s="196"/>
      <c r="S412" s="196"/>
      <c r="T412" s="196"/>
      <c r="U412" s="196"/>
      <c r="V412" s="196"/>
      <c r="W412" s="196"/>
      <c r="X412" s="196"/>
      <c r="Y412" s="196"/>
      <c r="Z412" s="196"/>
      <c r="AA412" s="196"/>
      <c r="AB412" s="196"/>
      <c r="AC412" s="196"/>
      <c r="AD412" s="196"/>
      <c r="AE412" s="196"/>
      <c r="AF412" s="196"/>
      <c r="AG412" s="196"/>
      <c r="AH412" s="196"/>
      <c r="AI412" s="196"/>
      <c r="AJ412" s="196"/>
      <c r="AK412" s="196"/>
      <c r="AL412" s="196"/>
      <c r="AM412" s="196"/>
    </row>
    <row r="413">
      <c r="F413" s="203"/>
      <c r="H413" s="196"/>
      <c r="I413" s="196"/>
      <c r="J413" s="196"/>
      <c r="K413" s="196"/>
      <c r="L413" s="196"/>
      <c r="M413" s="196"/>
      <c r="N413" s="196"/>
      <c r="O413" s="196"/>
      <c r="P413" s="196"/>
      <c r="Q413" s="196"/>
      <c r="R413" s="196"/>
      <c r="S413" s="196"/>
      <c r="T413" s="196"/>
      <c r="U413" s="196"/>
      <c r="V413" s="196"/>
      <c r="W413" s="196"/>
      <c r="X413" s="196"/>
      <c r="Y413" s="196"/>
      <c r="Z413" s="196"/>
      <c r="AA413" s="196"/>
      <c r="AB413" s="196"/>
      <c r="AC413" s="196"/>
      <c r="AD413" s="196"/>
      <c r="AE413" s="196"/>
      <c r="AF413" s="196"/>
      <c r="AG413" s="196"/>
      <c r="AH413" s="196"/>
      <c r="AI413" s="196"/>
      <c r="AJ413" s="196"/>
      <c r="AK413" s="196"/>
      <c r="AL413" s="196"/>
      <c r="AM413" s="196"/>
    </row>
    <row r="414">
      <c r="F414" s="203"/>
      <c r="H414" s="196"/>
      <c r="I414" s="196"/>
      <c r="J414" s="196"/>
      <c r="K414" s="196"/>
      <c r="L414" s="196"/>
      <c r="M414" s="196"/>
      <c r="N414" s="196"/>
      <c r="O414" s="196"/>
      <c r="P414" s="196"/>
      <c r="Q414" s="196"/>
      <c r="R414" s="196"/>
      <c r="S414" s="196"/>
      <c r="T414" s="196"/>
      <c r="U414" s="196"/>
      <c r="V414" s="196"/>
      <c r="W414" s="196"/>
      <c r="X414" s="196"/>
      <c r="Y414" s="196"/>
      <c r="Z414" s="196"/>
      <c r="AA414" s="196"/>
      <c r="AB414" s="196"/>
      <c r="AC414" s="196"/>
      <c r="AD414" s="196"/>
      <c r="AE414" s="196"/>
      <c r="AF414" s="196"/>
      <c r="AG414" s="196"/>
      <c r="AH414" s="196"/>
      <c r="AI414" s="196"/>
      <c r="AJ414" s="196"/>
      <c r="AK414" s="196"/>
      <c r="AL414" s="196"/>
      <c r="AM414" s="196"/>
    </row>
    <row r="415">
      <c r="F415" s="203"/>
      <c r="H415" s="196"/>
      <c r="I415" s="196"/>
      <c r="J415" s="196"/>
      <c r="K415" s="196"/>
      <c r="L415" s="196"/>
      <c r="M415" s="196"/>
      <c r="N415" s="196"/>
      <c r="O415" s="196"/>
      <c r="P415" s="196"/>
      <c r="Q415" s="196"/>
      <c r="R415" s="196"/>
      <c r="S415" s="196"/>
      <c r="T415" s="196"/>
      <c r="U415" s="196"/>
      <c r="V415" s="196"/>
      <c r="W415" s="196"/>
      <c r="X415" s="196"/>
      <c r="Y415" s="196"/>
      <c r="Z415" s="196"/>
      <c r="AA415" s="196"/>
      <c r="AB415" s="196"/>
      <c r="AC415" s="196"/>
      <c r="AD415" s="196"/>
      <c r="AE415" s="196"/>
      <c r="AF415" s="196"/>
      <c r="AG415" s="196"/>
      <c r="AH415" s="196"/>
      <c r="AI415" s="196"/>
      <c r="AJ415" s="196"/>
      <c r="AK415" s="196"/>
      <c r="AL415" s="196"/>
      <c r="AM415" s="196"/>
    </row>
    <row r="416">
      <c r="F416" s="203"/>
      <c r="H416" s="196"/>
      <c r="I416" s="196"/>
      <c r="J416" s="196"/>
      <c r="K416" s="196"/>
      <c r="L416" s="196"/>
      <c r="M416" s="196"/>
      <c r="N416" s="196"/>
      <c r="O416" s="196"/>
      <c r="P416" s="196"/>
      <c r="Q416" s="196"/>
      <c r="R416" s="196"/>
      <c r="S416" s="196"/>
      <c r="T416" s="196"/>
      <c r="U416" s="196"/>
      <c r="V416" s="196"/>
      <c r="W416" s="196"/>
      <c r="X416" s="196"/>
      <c r="Y416" s="196"/>
      <c r="Z416" s="196"/>
      <c r="AA416" s="196"/>
      <c r="AB416" s="196"/>
      <c r="AC416" s="196"/>
      <c r="AD416" s="196"/>
      <c r="AE416" s="196"/>
      <c r="AF416" s="196"/>
      <c r="AG416" s="196"/>
      <c r="AH416" s="196"/>
      <c r="AI416" s="196"/>
      <c r="AJ416" s="196"/>
      <c r="AK416" s="196"/>
      <c r="AL416" s="196"/>
      <c r="AM416" s="196"/>
    </row>
    <row r="417">
      <c r="F417" s="203"/>
      <c r="H417" s="196"/>
      <c r="I417" s="196"/>
      <c r="J417" s="196"/>
      <c r="K417" s="196"/>
      <c r="L417" s="196"/>
      <c r="M417" s="196"/>
      <c r="N417" s="196"/>
      <c r="O417" s="196"/>
      <c r="P417" s="196"/>
      <c r="Q417" s="196"/>
      <c r="R417" s="196"/>
      <c r="S417" s="196"/>
      <c r="T417" s="196"/>
      <c r="U417" s="196"/>
      <c r="V417" s="196"/>
      <c r="W417" s="196"/>
      <c r="X417" s="196"/>
      <c r="Y417" s="196"/>
      <c r="Z417" s="196"/>
      <c r="AA417" s="196"/>
      <c r="AB417" s="196"/>
      <c r="AC417" s="196"/>
      <c r="AD417" s="196"/>
      <c r="AE417" s="196"/>
      <c r="AF417" s="196"/>
      <c r="AG417" s="196"/>
      <c r="AH417" s="196"/>
      <c r="AI417" s="196"/>
      <c r="AJ417" s="196"/>
      <c r="AK417" s="196"/>
      <c r="AL417" s="196"/>
      <c r="AM417" s="196"/>
    </row>
    <row r="418">
      <c r="F418" s="203"/>
      <c r="H418" s="196"/>
      <c r="I418" s="196"/>
      <c r="J418" s="196"/>
      <c r="K418" s="196"/>
      <c r="L418" s="196"/>
      <c r="M418" s="196"/>
      <c r="N418" s="196"/>
      <c r="O418" s="196"/>
      <c r="P418" s="196"/>
      <c r="Q418" s="196"/>
      <c r="R418" s="196"/>
      <c r="S418" s="196"/>
      <c r="T418" s="196"/>
      <c r="U418" s="196"/>
      <c r="V418" s="196"/>
      <c r="W418" s="196"/>
      <c r="X418" s="196"/>
      <c r="Y418" s="196"/>
      <c r="Z418" s="196"/>
      <c r="AA418" s="196"/>
      <c r="AB418" s="196"/>
      <c r="AC418" s="196"/>
      <c r="AD418" s="196"/>
      <c r="AE418" s="196"/>
      <c r="AF418" s="196"/>
      <c r="AG418" s="196"/>
      <c r="AH418" s="196"/>
      <c r="AI418" s="196"/>
      <c r="AJ418" s="196"/>
      <c r="AK418" s="196"/>
      <c r="AL418" s="196"/>
      <c r="AM418" s="196"/>
    </row>
    <row r="419">
      <c r="F419" s="203"/>
      <c r="H419" s="196"/>
      <c r="I419" s="196"/>
      <c r="J419" s="196"/>
      <c r="K419" s="196"/>
      <c r="L419" s="196"/>
      <c r="M419" s="196"/>
      <c r="N419" s="196"/>
      <c r="O419" s="196"/>
      <c r="P419" s="196"/>
      <c r="Q419" s="196"/>
      <c r="R419" s="196"/>
      <c r="S419" s="196"/>
      <c r="T419" s="196"/>
      <c r="U419" s="196"/>
      <c r="V419" s="196"/>
      <c r="W419" s="196"/>
      <c r="X419" s="196"/>
      <c r="Y419" s="196"/>
      <c r="Z419" s="196"/>
      <c r="AA419" s="196"/>
      <c r="AB419" s="196"/>
      <c r="AC419" s="196"/>
      <c r="AD419" s="196"/>
      <c r="AE419" s="196"/>
      <c r="AF419" s="196"/>
      <c r="AG419" s="196"/>
      <c r="AH419" s="196"/>
      <c r="AI419" s="196"/>
      <c r="AJ419" s="196"/>
      <c r="AK419" s="196"/>
      <c r="AL419" s="196"/>
      <c r="AM419" s="196"/>
    </row>
    <row r="420">
      <c r="F420" s="203"/>
      <c r="H420" s="196"/>
      <c r="I420" s="196"/>
      <c r="J420" s="196"/>
      <c r="K420" s="196"/>
      <c r="L420" s="196"/>
      <c r="M420" s="196"/>
      <c r="N420" s="196"/>
      <c r="O420" s="196"/>
      <c r="P420" s="196"/>
      <c r="Q420" s="196"/>
      <c r="R420" s="196"/>
      <c r="S420" s="196"/>
      <c r="T420" s="196"/>
      <c r="U420" s="196"/>
      <c r="V420" s="196"/>
      <c r="W420" s="196"/>
      <c r="X420" s="196"/>
      <c r="Y420" s="196"/>
      <c r="Z420" s="196"/>
      <c r="AA420" s="196"/>
      <c r="AB420" s="196"/>
      <c r="AC420" s="196"/>
      <c r="AD420" s="196"/>
      <c r="AE420" s="196"/>
      <c r="AF420" s="196"/>
      <c r="AG420" s="196"/>
      <c r="AH420" s="196"/>
      <c r="AI420" s="196"/>
      <c r="AJ420" s="196"/>
      <c r="AK420" s="196"/>
      <c r="AL420" s="196"/>
      <c r="AM420" s="196"/>
    </row>
    <row r="421">
      <c r="F421" s="203"/>
      <c r="H421" s="196"/>
      <c r="I421" s="196"/>
      <c r="J421" s="196"/>
      <c r="K421" s="196"/>
      <c r="L421" s="196"/>
      <c r="M421" s="196"/>
      <c r="N421" s="196"/>
      <c r="O421" s="196"/>
      <c r="P421" s="196"/>
      <c r="Q421" s="196"/>
      <c r="R421" s="196"/>
      <c r="S421" s="196"/>
      <c r="T421" s="196"/>
      <c r="U421" s="196"/>
      <c r="V421" s="196"/>
      <c r="W421" s="196"/>
      <c r="X421" s="196"/>
      <c r="Y421" s="196"/>
      <c r="Z421" s="196"/>
      <c r="AA421" s="196"/>
      <c r="AB421" s="196"/>
      <c r="AC421" s="196"/>
      <c r="AD421" s="196"/>
      <c r="AE421" s="196"/>
      <c r="AF421" s="196"/>
      <c r="AG421" s="196"/>
      <c r="AH421" s="196"/>
      <c r="AI421" s="196"/>
      <c r="AJ421" s="196"/>
      <c r="AK421" s="196"/>
      <c r="AL421" s="196"/>
      <c r="AM421" s="196"/>
    </row>
    <row r="422">
      <c r="F422" s="203"/>
      <c r="H422" s="196"/>
      <c r="I422" s="196"/>
      <c r="J422" s="196"/>
      <c r="K422" s="196"/>
      <c r="L422" s="196"/>
      <c r="M422" s="196"/>
      <c r="N422" s="196"/>
      <c r="O422" s="196"/>
      <c r="P422" s="196"/>
      <c r="Q422" s="196"/>
      <c r="R422" s="196"/>
      <c r="S422" s="196"/>
      <c r="T422" s="196"/>
      <c r="U422" s="196"/>
      <c r="V422" s="196"/>
      <c r="W422" s="196"/>
      <c r="X422" s="196"/>
      <c r="Y422" s="196"/>
      <c r="Z422" s="196"/>
      <c r="AA422" s="196"/>
      <c r="AB422" s="196"/>
      <c r="AC422" s="196"/>
      <c r="AD422" s="196"/>
      <c r="AE422" s="196"/>
      <c r="AF422" s="196"/>
      <c r="AG422" s="196"/>
      <c r="AH422" s="196"/>
      <c r="AI422" s="196"/>
      <c r="AJ422" s="196"/>
      <c r="AK422" s="196"/>
      <c r="AL422" s="196"/>
      <c r="AM422" s="196"/>
    </row>
    <row r="423">
      <c r="F423" s="203"/>
      <c r="H423" s="196"/>
      <c r="I423" s="196"/>
      <c r="J423" s="196"/>
      <c r="K423" s="196"/>
      <c r="L423" s="196"/>
      <c r="M423" s="196"/>
      <c r="N423" s="196"/>
      <c r="O423" s="196"/>
      <c r="P423" s="196"/>
      <c r="Q423" s="196"/>
      <c r="R423" s="196"/>
      <c r="S423" s="196"/>
      <c r="T423" s="196"/>
      <c r="U423" s="196"/>
      <c r="V423" s="196"/>
      <c r="W423" s="196"/>
      <c r="X423" s="196"/>
      <c r="Y423" s="196"/>
      <c r="Z423" s="196"/>
      <c r="AA423" s="196"/>
      <c r="AB423" s="196"/>
      <c r="AC423" s="196"/>
      <c r="AD423" s="196"/>
      <c r="AE423" s="196"/>
      <c r="AF423" s="196"/>
      <c r="AG423" s="196"/>
      <c r="AH423" s="196"/>
      <c r="AI423" s="196"/>
      <c r="AJ423" s="196"/>
      <c r="AK423" s="196"/>
      <c r="AL423" s="196"/>
      <c r="AM423" s="196"/>
    </row>
    <row r="424">
      <c r="F424" s="203"/>
      <c r="H424" s="196"/>
      <c r="I424" s="196"/>
      <c r="J424" s="196"/>
      <c r="K424" s="196"/>
      <c r="L424" s="196"/>
      <c r="M424" s="196"/>
      <c r="N424" s="196"/>
      <c r="O424" s="196"/>
      <c r="P424" s="196"/>
      <c r="Q424" s="196"/>
      <c r="R424" s="196"/>
      <c r="S424" s="196"/>
      <c r="T424" s="196"/>
      <c r="U424" s="196"/>
      <c r="V424" s="196"/>
      <c r="W424" s="196"/>
      <c r="X424" s="196"/>
      <c r="Y424" s="196"/>
      <c r="Z424" s="196"/>
      <c r="AA424" s="196"/>
      <c r="AB424" s="196"/>
      <c r="AC424" s="196"/>
      <c r="AD424" s="196"/>
      <c r="AE424" s="196"/>
      <c r="AF424" s="196"/>
      <c r="AG424" s="196"/>
      <c r="AH424" s="196"/>
      <c r="AI424" s="196"/>
      <c r="AJ424" s="196"/>
      <c r="AK424" s="196"/>
      <c r="AL424" s="196"/>
      <c r="AM424" s="196"/>
    </row>
    <row r="425">
      <c r="F425" s="203"/>
      <c r="H425" s="196"/>
      <c r="I425" s="196"/>
      <c r="J425" s="196"/>
      <c r="K425" s="196"/>
      <c r="L425" s="196"/>
      <c r="M425" s="196"/>
      <c r="N425" s="196"/>
      <c r="O425" s="196"/>
      <c r="P425" s="196"/>
      <c r="Q425" s="196"/>
      <c r="R425" s="196"/>
      <c r="S425" s="196"/>
      <c r="T425" s="196"/>
      <c r="U425" s="196"/>
      <c r="V425" s="196"/>
      <c r="W425" s="196"/>
      <c r="X425" s="196"/>
      <c r="Y425" s="196"/>
      <c r="Z425" s="196"/>
      <c r="AA425" s="196"/>
      <c r="AB425" s="196"/>
      <c r="AC425" s="196"/>
      <c r="AD425" s="196"/>
      <c r="AE425" s="196"/>
      <c r="AF425" s="196"/>
      <c r="AG425" s="196"/>
      <c r="AH425" s="196"/>
      <c r="AI425" s="196"/>
      <c r="AJ425" s="196"/>
      <c r="AK425" s="196"/>
      <c r="AL425" s="196"/>
      <c r="AM425" s="196"/>
    </row>
    <row r="426">
      <c r="F426" s="203"/>
      <c r="H426" s="196"/>
      <c r="I426" s="196"/>
      <c r="J426" s="196"/>
      <c r="K426" s="196"/>
      <c r="L426" s="196"/>
      <c r="M426" s="196"/>
      <c r="N426" s="196"/>
      <c r="O426" s="196"/>
      <c r="P426" s="196"/>
      <c r="Q426" s="196"/>
      <c r="R426" s="196"/>
      <c r="S426" s="196"/>
      <c r="T426" s="196"/>
      <c r="U426" s="196"/>
      <c r="V426" s="196"/>
      <c r="W426" s="196"/>
      <c r="X426" s="196"/>
      <c r="Y426" s="196"/>
      <c r="Z426" s="196"/>
      <c r="AA426" s="196"/>
      <c r="AB426" s="196"/>
      <c r="AC426" s="196"/>
      <c r="AD426" s="196"/>
      <c r="AE426" s="196"/>
      <c r="AF426" s="196"/>
      <c r="AG426" s="196"/>
      <c r="AH426" s="196"/>
      <c r="AI426" s="196"/>
      <c r="AJ426" s="196"/>
      <c r="AK426" s="196"/>
      <c r="AL426" s="196"/>
      <c r="AM426" s="196"/>
    </row>
    <row r="427">
      <c r="F427" s="203"/>
      <c r="H427" s="196"/>
      <c r="I427" s="196"/>
      <c r="J427" s="196"/>
      <c r="K427" s="196"/>
      <c r="L427" s="196"/>
      <c r="M427" s="196"/>
      <c r="N427" s="196"/>
      <c r="O427" s="196"/>
      <c r="P427" s="196"/>
      <c r="Q427" s="196"/>
      <c r="R427" s="196"/>
      <c r="S427" s="196"/>
      <c r="T427" s="196"/>
      <c r="U427" s="196"/>
      <c r="V427" s="196"/>
      <c r="W427" s="196"/>
      <c r="X427" s="196"/>
      <c r="Y427" s="196"/>
      <c r="Z427" s="196"/>
      <c r="AA427" s="196"/>
      <c r="AB427" s="196"/>
      <c r="AC427" s="196"/>
      <c r="AD427" s="196"/>
      <c r="AE427" s="196"/>
      <c r="AF427" s="196"/>
      <c r="AG427" s="196"/>
      <c r="AH427" s="196"/>
      <c r="AI427" s="196"/>
      <c r="AJ427" s="196"/>
      <c r="AK427" s="196"/>
      <c r="AL427" s="196"/>
      <c r="AM427" s="196"/>
    </row>
    <row r="428">
      <c r="F428" s="203"/>
      <c r="H428" s="196"/>
      <c r="I428" s="196"/>
      <c r="J428" s="196"/>
      <c r="K428" s="196"/>
      <c r="L428" s="196"/>
      <c r="M428" s="196"/>
      <c r="N428" s="196"/>
      <c r="O428" s="196"/>
      <c r="P428" s="196"/>
      <c r="Q428" s="196"/>
      <c r="R428" s="196"/>
      <c r="S428" s="196"/>
      <c r="T428" s="196"/>
      <c r="U428" s="196"/>
      <c r="V428" s="196"/>
      <c r="W428" s="196"/>
      <c r="X428" s="196"/>
      <c r="Y428" s="196"/>
      <c r="Z428" s="196"/>
      <c r="AA428" s="196"/>
      <c r="AB428" s="196"/>
      <c r="AC428" s="196"/>
      <c r="AD428" s="196"/>
      <c r="AE428" s="196"/>
      <c r="AF428" s="196"/>
      <c r="AG428" s="196"/>
      <c r="AH428" s="196"/>
      <c r="AI428" s="196"/>
      <c r="AJ428" s="196"/>
      <c r="AK428" s="196"/>
      <c r="AL428" s="196"/>
      <c r="AM428" s="196"/>
    </row>
    <row r="429">
      <c r="F429" s="203"/>
      <c r="H429" s="196"/>
      <c r="I429" s="196"/>
      <c r="J429" s="196"/>
      <c r="K429" s="196"/>
      <c r="L429" s="196"/>
      <c r="M429" s="196"/>
      <c r="N429" s="196"/>
      <c r="O429" s="196"/>
      <c r="P429" s="196"/>
      <c r="Q429" s="196"/>
      <c r="R429" s="196"/>
      <c r="S429" s="196"/>
      <c r="T429" s="196"/>
      <c r="U429" s="196"/>
      <c r="V429" s="196"/>
      <c r="W429" s="196"/>
      <c r="X429" s="196"/>
      <c r="Y429" s="196"/>
      <c r="Z429" s="196"/>
      <c r="AA429" s="196"/>
      <c r="AB429" s="196"/>
      <c r="AC429" s="196"/>
      <c r="AD429" s="196"/>
      <c r="AE429" s="196"/>
      <c r="AF429" s="196"/>
      <c r="AG429" s="196"/>
      <c r="AH429" s="196"/>
      <c r="AI429" s="196"/>
      <c r="AJ429" s="196"/>
      <c r="AK429" s="196"/>
      <c r="AL429" s="196"/>
      <c r="AM429" s="196"/>
    </row>
    <row r="430">
      <c r="F430" s="203"/>
      <c r="H430" s="196"/>
      <c r="I430" s="196"/>
      <c r="J430" s="196"/>
      <c r="K430" s="196"/>
      <c r="L430" s="196"/>
      <c r="M430" s="196"/>
      <c r="N430" s="196"/>
      <c r="O430" s="196"/>
      <c r="P430" s="196"/>
      <c r="Q430" s="196"/>
      <c r="R430" s="196"/>
      <c r="S430" s="196"/>
      <c r="T430" s="196"/>
      <c r="U430" s="196"/>
      <c r="V430" s="196"/>
      <c r="W430" s="196"/>
      <c r="X430" s="196"/>
      <c r="Y430" s="196"/>
      <c r="Z430" s="196"/>
      <c r="AA430" s="196"/>
      <c r="AB430" s="196"/>
      <c r="AC430" s="196"/>
      <c r="AD430" s="196"/>
      <c r="AE430" s="196"/>
      <c r="AF430" s="196"/>
      <c r="AG430" s="196"/>
      <c r="AH430" s="196"/>
      <c r="AI430" s="196"/>
      <c r="AJ430" s="196"/>
      <c r="AK430" s="196"/>
      <c r="AL430" s="196"/>
      <c r="AM430" s="196"/>
    </row>
    <row r="431">
      <c r="F431" s="203"/>
      <c r="H431" s="196"/>
      <c r="I431" s="196"/>
      <c r="J431" s="196"/>
      <c r="K431" s="196"/>
      <c r="L431" s="196"/>
      <c r="M431" s="196"/>
      <c r="N431" s="196"/>
      <c r="O431" s="196"/>
      <c r="P431" s="196"/>
      <c r="Q431" s="196"/>
      <c r="R431" s="196"/>
      <c r="S431" s="196"/>
      <c r="T431" s="196"/>
      <c r="U431" s="196"/>
      <c r="V431" s="196"/>
      <c r="W431" s="196"/>
      <c r="X431" s="196"/>
      <c r="Y431" s="196"/>
      <c r="Z431" s="196"/>
      <c r="AA431" s="196"/>
      <c r="AB431" s="196"/>
      <c r="AC431" s="196"/>
      <c r="AD431" s="196"/>
      <c r="AE431" s="196"/>
      <c r="AF431" s="196"/>
      <c r="AG431" s="196"/>
      <c r="AH431" s="196"/>
      <c r="AI431" s="196"/>
      <c r="AJ431" s="196"/>
      <c r="AK431" s="196"/>
      <c r="AL431" s="196"/>
      <c r="AM431" s="196"/>
    </row>
    <row r="432">
      <c r="F432" s="203"/>
      <c r="H432" s="196"/>
      <c r="I432" s="196"/>
      <c r="J432" s="196"/>
      <c r="K432" s="196"/>
      <c r="L432" s="196"/>
      <c r="M432" s="196"/>
      <c r="N432" s="196"/>
      <c r="O432" s="196"/>
      <c r="P432" s="196"/>
      <c r="Q432" s="196"/>
      <c r="R432" s="196"/>
      <c r="S432" s="196"/>
      <c r="T432" s="196"/>
      <c r="U432" s="196"/>
      <c r="V432" s="196"/>
      <c r="W432" s="196"/>
      <c r="X432" s="196"/>
      <c r="Y432" s="196"/>
      <c r="Z432" s="196"/>
      <c r="AA432" s="196"/>
      <c r="AB432" s="196"/>
      <c r="AC432" s="196"/>
      <c r="AD432" s="196"/>
      <c r="AE432" s="196"/>
      <c r="AF432" s="196"/>
      <c r="AG432" s="196"/>
      <c r="AH432" s="196"/>
      <c r="AI432" s="196"/>
      <c r="AJ432" s="196"/>
      <c r="AK432" s="196"/>
      <c r="AL432" s="196"/>
      <c r="AM432" s="196"/>
    </row>
    <row r="433">
      <c r="F433" s="203"/>
      <c r="H433" s="196"/>
      <c r="I433" s="196"/>
      <c r="J433" s="196"/>
      <c r="K433" s="196"/>
      <c r="L433" s="196"/>
      <c r="M433" s="196"/>
      <c r="N433" s="196"/>
      <c r="O433" s="196"/>
      <c r="P433" s="196"/>
      <c r="Q433" s="196"/>
      <c r="R433" s="196"/>
      <c r="S433" s="196"/>
      <c r="T433" s="196"/>
      <c r="U433" s="196"/>
      <c r="V433" s="196"/>
      <c r="W433" s="196"/>
      <c r="X433" s="196"/>
      <c r="Y433" s="196"/>
      <c r="Z433" s="196"/>
      <c r="AA433" s="196"/>
      <c r="AB433" s="196"/>
      <c r="AC433" s="196"/>
      <c r="AD433" s="196"/>
      <c r="AE433" s="196"/>
      <c r="AF433" s="196"/>
      <c r="AG433" s="196"/>
      <c r="AH433" s="196"/>
      <c r="AI433" s="196"/>
      <c r="AJ433" s="196"/>
      <c r="AK433" s="196"/>
      <c r="AL433" s="196"/>
      <c r="AM433" s="196"/>
    </row>
    <row r="434">
      <c r="F434" s="203"/>
      <c r="H434" s="196"/>
      <c r="I434" s="196"/>
      <c r="J434" s="196"/>
      <c r="K434" s="196"/>
      <c r="L434" s="196"/>
      <c r="M434" s="196"/>
      <c r="N434" s="196"/>
      <c r="O434" s="196"/>
      <c r="P434" s="196"/>
      <c r="Q434" s="196"/>
      <c r="R434" s="196"/>
      <c r="S434" s="196"/>
      <c r="T434" s="196"/>
      <c r="U434" s="196"/>
      <c r="V434" s="196"/>
      <c r="W434" s="196"/>
      <c r="X434" s="196"/>
      <c r="Y434" s="196"/>
      <c r="Z434" s="196"/>
      <c r="AA434" s="196"/>
      <c r="AB434" s="196"/>
      <c r="AC434" s="196"/>
      <c r="AD434" s="196"/>
      <c r="AE434" s="196"/>
      <c r="AF434" s="196"/>
      <c r="AG434" s="196"/>
      <c r="AH434" s="196"/>
      <c r="AI434" s="196"/>
      <c r="AJ434" s="196"/>
      <c r="AK434" s="196"/>
      <c r="AL434" s="196"/>
      <c r="AM434" s="196"/>
    </row>
    <row r="435">
      <c r="F435" s="203"/>
      <c r="H435" s="196"/>
      <c r="I435" s="196"/>
      <c r="J435" s="196"/>
      <c r="K435" s="196"/>
      <c r="L435" s="196"/>
      <c r="M435" s="196"/>
      <c r="N435" s="196"/>
      <c r="O435" s="196"/>
      <c r="P435" s="196"/>
      <c r="Q435" s="196"/>
      <c r="R435" s="196"/>
      <c r="S435" s="196"/>
      <c r="T435" s="196"/>
      <c r="U435" s="196"/>
      <c r="V435" s="196"/>
      <c r="W435" s="196"/>
      <c r="X435" s="196"/>
      <c r="Y435" s="196"/>
      <c r="Z435" s="196"/>
      <c r="AA435" s="196"/>
      <c r="AB435" s="196"/>
      <c r="AC435" s="196"/>
      <c r="AD435" s="196"/>
      <c r="AE435" s="196"/>
      <c r="AF435" s="196"/>
      <c r="AG435" s="196"/>
      <c r="AH435" s="196"/>
      <c r="AI435" s="196"/>
      <c r="AJ435" s="196"/>
      <c r="AK435" s="196"/>
      <c r="AL435" s="196"/>
      <c r="AM435" s="196"/>
    </row>
    <row r="436">
      <c r="F436" s="203"/>
      <c r="H436" s="196"/>
      <c r="I436" s="196"/>
      <c r="J436" s="196"/>
      <c r="K436" s="196"/>
      <c r="L436" s="196"/>
      <c r="M436" s="196"/>
      <c r="N436" s="196"/>
      <c r="O436" s="196"/>
      <c r="P436" s="196"/>
      <c r="Q436" s="196"/>
      <c r="R436" s="196"/>
      <c r="S436" s="196"/>
      <c r="T436" s="196"/>
      <c r="U436" s="196"/>
      <c r="V436" s="196"/>
      <c r="W436" s="196"/>
      <c r="X436" s="196"/>
      <c r="Y436" s="196"/>
      <c r="Z436" s="196"/>
      <c r="AA436" s="196"/>
      <c r="AB436" s="196"/>
      <c r="AC436" s="196"/>
      <c r="AD436" s="196"/>
      <c r="AE436" s="196"/>
      <c r="AF436" s="196"/>
      <c r="AG436" s="196"/>
      <c r="AH436" s="196"/>
      <c r="AI436" s="196"/>
      <c r="AJ436" s="196"/>
      <c r="AK436" s="196"/>
      <c r="AL436" s="196"/>
      <c r="AM436" s="196"/>
    </row>
    <row r="437">
      <c r="F437" s="203"/>
      <c r="H437" s="196"/>
      <c r="I437" s="196"/>
      <c r="J437" s="196"/>
      <c r="K437" s="196"/>
      <c r="L437" s="196"/>
      <c r="M437" s="196"/>
      <c r="N437" s="196"/>
      <c r="O437" s="196"/>
      <c r="P437" s="196"/>
      <c r="Q437" s="196"/>
      <c r="R437" s="196"/>
      <c r="S437" s="196"/>
      <c r="T437" s="196"/>
      <c r="U437" s="196"/>
      <c r="V437" s="196"/>
      <c r="W437" s="196"/>
      <c r="X437" s="196"/>
      <c r="Y437" s="196"/>
      <c r="Z437" s="196"/>
      <c r="AA437" s="196"/>
      <c r="AB437" s="196"/>
      <c r="AC437" s="196"/>
      <c r="AD437" s="196"/>
      <c r="AE437" s="196"/>
      <c r="AF437" s="196"/>
      <c r="AG437" s="196"/>
      <c r="AH437" s="196"/>
      <c r="AI437" s="196"/>
      <c r="AJ437" s="196"/>
      <c r="AK437" s="196"/>
      <c r="AL437" s="196"/>
      <c r="AM437" s="196"/>
    </row>
    <row r="438">
      <c r="F438" s="203"/>
      <c r="H438" s="196"/>
      <c r="I438" s="196"/>
      <c r="J438" s="196"/>
      <c r="K438" s="196"/>
      <c r="L438" s="196"/>
      <c r="M438" s="196"/>
      <c r="N438" s="196"/>
      <c r="O438" s="196"/>
      <c r="P438" s="196"/>
      <c r="Q438" s="196"/>
      <c r="R438" s="196"/>
      <c r="S438" s="196"/>
      <c r="T438" s="196"/>
      <c r="U438" s="196"/>
      <c r="V438" s="196"/>
      <c r="W438" s="196"/>
      <c r="X438" s="196"/>
      <c r="Y438" s="196"/>
      <c r="Z438" s="196"/>
      <c r="AA438" s="196"/>
      <c r="AB438" s="196"/>
      <c r="AC438" s="196"/>
      <c r="AD438" s="196"/>
      <c r="AE438" s="196"/>
      <c r="AF438" s="196"/>
      <c r="AG438" s="196"/>
      <c r="AH438" s="196"/>
      <c r="AI438" s="196"/>
      <c r="AJ438" s="196"/>
      <c r="AK438" s="196"/>
      <c r="AL438" s="196"/>
      <c r="AM438" s="196"/>
    </row>
    <row r="439">
      <c r="F439" s="203"/>
      <c r="H439" s="196"/>
      <c r="I439" s="196"/>
      <c r="J439" s="196"/>
      <c r="K439" s="196"/>
      <c r="L439" s="196"/>
      <c r="M439" s="196"/>
      <c r="N439" s="196"/>
      <c r="O439" s="196"/>
      <c r="P439" s="196"/>
      <c r="Q439" s="196"/>
      <c r="R439" s="196"/>
      <c r="S439" s="196"/>
      <c r="T439" s="196"/>
      <c r="U439" s="196"/>
      <c r="V439" s="196"/>
      <c r="W439" s="196"/>
      <c r="X439" s="196"/>
      <c r="Y439" s="196"/>
      <c r="Z439" s="196"/>
      <c r="AA439" s="196"/>
      <c r="AB439" s="196"/>
      <c r="AC439" s="196"/>
      <c r="AD439" s="196"/>
      <c r="AE439" s="196"/>
      <c r="AF439" s="196"/>
      <c r="AG439" s="196"/>
      <c r="AH439" s="196"/>
      <c r="AI439" s="196"/>
      <c r="AJ439" s="196"/>
      <c r="AK439" s="196"/>
      <c r="AL439" s="196"/>
      <c r="AM439" s="196"/>
    </row>
    <row r="440">
      <c r="F440" s="203"/>
      <c r="H440" s="196"/>
      <c r="I440" s="196"/>
      <c r="J440" s="196"/>
      <c r="K440" s="196"/>
      <c r="L440" s="196"/>
      <c r="M440" s="196"/>
      <c r="N440" s="196"/>
      <c r="O440" s="196"/>
      <c r="P440" s="196"/>
      <c r="Q440" s="196"/>
      <c r="R440" s="196"/>
      <c r="S440" s="196"/>
      <c r="T440" s="196"/>
      <c r="U440" s="196"/>
      <c r="V440" s="196"/>
      <c r="W440" s="196"/>
      <c r="X440" s="196"/>
      <c r="Y440" s="196"/>
      <c r="Z440" s="196"/>
      <c r="AA440" s="196"/>
      <c r="AB440" s="196"/>
      <c r="AC440" s="196"/>
      <c r="AD440" s="196"/>
      <c r="AE440" s="196"/>
      <c r="AF440" s="196"/>
      <c r="AG440" s="196"/>
      <c r="AH440" s="196"/>
      <c r="AI440" s="196"/>
      <c r="AJ440" s="196"/>
      <c r="AK440" s="196"/>
      <c r="AL440" s="196"/>
      <c r="AM440" s="196"/>
    </row>
    <row r="441">
      <c r="F441" s="203"/>
      <c r="H441" s="196"/>
      <c r="I441" s="196"/>
      <c r="J441" s="196"/>
      <c r="K441" s="196"/>
      <c r="L441" s="196"/>
      <c r="M441" s="196"/>
      <c r="N441" s="196"/>
      <c r="O441" s="196"/>
      <c r="P441" s="196"/>
      <c r="Q441" s="196"/>
      <c r="R441" s="196"/>
      <c r="S441" s="196"/>
      <c r="T441" s="196"/>
      <c r="U441" s="196"/>
      <c r="V441" s="196"/>
      <c r="W441" s="196"/>
      <c r="X441" s="196"/>
      <c r="Y441" s="196"/>
      <c r="Z441" s="196"/>
      <c r="AA441" s="196"/>
      <c r="AB441" s="196"/>
      <c r="AC441" s="196"/>
      <c r="AD441" s="196"/>
      <c r="AE441" s="196"/>
      <c r="AF441" s="196"/>
      <c r="AG441" s="196"/>
      <c r="AH441" s="196"/>
      <c r="AI441" s="196"/>
      <c r="AJ441" s="196"/>
      <c r="AK441" s="196"/>
      <c r="AL441" s="196"/>
      <c r="AM441" s="196"/>
    </row>
    <row r="442">
      <c r="F442" s="203"/>
      <c r="H442" s="196"/>
      <c r="I442" s="196"/>
      <c r="J442" s="196"/>
      <c r="K442" s="196"/>
      <c r="L442" s="196"/>
      <c r="M442" s="196"/>
      <c r="N442" s="196"/>
      <c r="O442" s="196"/>
      <c r="P442" s="196"/>
      <c r="Q442" s="196"/>
      <c r="R442" s="196"/>
      <c r="S442" s="196"/>
      <c r="T442" s="196"/>
      <c r="U442" s="196"/>
      <c r="V442" s="196"/>
      <c r="W442" s="196"/>
      <c r="X442" s="196"/>
      <c r="Y442" s="196"/>
      <c r="Z442" s="196"/>
      <c r="AA442" s="196"/>
      <c r="AB442" s="196"/>
      <c r="AC442" s="196"/>
      <c r="AD442" s="196"/>
      <c r="AE442" s="196"/>
      <c r="AF442" s="196"/>
      <c r="AG442" s="196"/>
      <c r="AH442" s="196"/>
      <c r="AI442" s="196"/>
      <c r="AJ442" s="196"/>
      <c r="AK442" s="196"/>
      <c r="AL442" s="196"/>
      <c r="AM442" s="196"/>
    </row>
    <row r="443">
      <c r="F443" s="203"/>
      <c r="H443" s="196"/>
      <c r="I443" s="196"/>
      <c r="J443" s="196"/>
      <c r="K443" s="196"/>
      <c r="L443" s="196"/>
      <c r="M443" s="196"/>
      <c r="N443" s="196"/>
      <c r="O443" s="196"/>
      <c r="P443" s="196"/>
      <c r="Q443" s="196"/>
      <c r="R443" s="196"/>
      <c r="S443" s="196"/>
      <c r="T443" s="196"/>
      <c r="U443" s="196"/>
      <c r="V443" s="196"/>
      <c r="W443" s="196"/>
      <c r="X443" s="196"/>
      <c r="Y443" s="196"/>
      <c r="Z443" s="196"/>
      <c r="AA443" s="196"/>
      <c r="AB443" s="196"/>
      <c r="AC443" s="196"/>
      <c r="AD443" s="196"/>
      <c r="AE443" s="196"/>
      <c r="AF443" s="196"/>
      <c r="AG443" s="196"/>
      <c r="AH443" s="196"/>
      <c r="AI443" s="196"/>
      <c r="AJ443" s="196"/>
      <c r="AK443" s="196"/>
      <c r="AL443" s="196"/>
      <c r="AM443" s="196"/>
    </row>
    <row r="444">
      <c r="F444" s="203"/>
      <c r="H444" s="196"/>
      <c r="I444" s="196"/>
      <c r="J444" s="196"/>
      <c r="K444" s="196"/>
      <c r="L444" s="196"/>
      <c r="M444" s="196"/>
      <c r="N444" s="196"/>
      <c r="O444" s="196"/>
      <c r="P444" s="196"/>
      <c r="Q444" s="196"/>
      <c r="R444" s="196"/>
      <c r="S444" s="196"/>
      <c r="T444" s="196"/>
      <c r="U444" s="196"/>
      <c r="V444" s="196"/>
      <c r="W444" s="196"/>
      <c r="X444" s="196"/>
      <c r="Y444" s="196"/>
      <c r="Z444" s="196"/>
      <c r="AA444" s="196"/>
      <c r="AB444" s="196"/>
      <c r="AC444" s="196"/>
      <c r="AD444" s="196"/>
      <c r="AE444" s="196"/>
      <c r="AF444" s="196"/>
      <c r="AG444" s="196"/>
      <c r="AH444" s="196"/>
      <c r="AI444" s="196"/>
      <c r="AJ444" s="196"/>
      <c r="AK444" s="196"/>
      <c r="AL444" s="196"/>
      <c r="AM444" s="196"/>
    </row>
    <row r="445">
      <c r="F445" s="203"/>
      <c r="H445" s="196"/>
      <c r="I445" s="196"/>
      <c r="J445" s="196"/>
      <c r="K445" s="196"/>
      <c r="L445" s="196"/>
      <c r="M445" s="196"/>
      <c r="N445" s="196"/>
      <c r="O445" s="196"/>
      <c r="P445" s="196"/>
      <c r="Q445" s="196"/>
      <c r="R445" s="196"/>
      <c r="S445" s="196"/>
      <c r="T445" s="196"/>
      <c r="U445" s="196"/>
      <c r="V445" s="196"/>
      <c r="W445" s="196"/>
      <c r="X445" s="196"/>
      <c r="Y445" s="196"/>
      <c r="Z445" s="196"/>
      <c r="AA445" s="196"/>
      <c r="AB445" s="196"/>
      <c r="AC445" s="196"/>
      <c r="AD445" s="196"/>
      <c r="AE445" s="196"/>
      <c r="AF445" s="196"/>
      <c r="AG445" s="196"/>
      <c r="AH445" s="196"/>
      <c r="AI445" s="196"/>
      <c r="AJ445" s="196"/>
      <c r="AK445" s="196"/>
      <c r="AL445" s="196"/>
      <c r="AM445" s="196"/>
    </row>
    <row r="446">
      <c r="F446" s="203"/>
      <c r="H446" s="196"/>
      <c r="I446" s="196"/>
      <c r="J446" s="196"/>
      <c r="K446" s="196"/>
      <c r="L446" s="196"/>
      <c r="M446" s="196"/>
      <c r="N446" s="196"/>
      <c r="O446" s="196"/>
      <c r="P446" s="196"/>
      <c r="Q446" s="196"/>
      <c r="R446" s="196"/>
      <c r="S446" s="196"/>
      <c r="T446" s="196"/>
      <c r="U446" s="196"/>
      <c r="V446" s="196"/>
      <c r="W446" s="196"/>
      <c r="X446" s="196"/>
      <c r="Y446" s="196"/>
      <c r="Z446" s="196"/>
      <c r="AA446" s="196"/>
      <c r="AB446" s="196"/>
      <c r="AC446" s="196"/>
      <c r="AD446" s="196"/>
      <c r="AE446" s="196"/>
      <c r="AF446" s="196"/>
      <c r="AG446" s="196"/>
      <c r="AH446" s="196"/>
      <c r="AI446" s="196"/>
      <c r="AJ446" s="196"/>
      <c r="AK446" s="196"/>
      <c r="AL446" s="196"/>
      <c r="AM446" s="196"/>
    </row>
    <row r="447">
      <c r="F447" s="203"/>
      <c r="H447" s="196"/>
      <c r="I447" s="196"/>
      <c r="J447" s="196"/>
      <c r="K447" s="196"/>
      <c r="L447" s="196"/>
      <c r="M447" s="196"/>
      <c r="N447" s="196"/>
      <c r="O447" s="196"/>
      <c r="P447" s="196"/>
      <c r="Q447" s="196"/>
      <c r="R447" s="196"/>
      <c r="S447" s="196"/>
      <c r="T447" s="196"/>
      <c r="U447" s="196"/>
      <c r="V447" s="196"/>
      <c r="W447" s="196"/>
      <c r="X447" s="196"/>
      <c r="Y447" s="196"/>
      <c r="Z447" s="196"/>
      <c r="AA447" s="196"/>
      <c r="AB447" s="196"/>
      <c r="AC447" s="196"/>
      <c r="AD447" s="196"/>
      <c r="AE447" s="196"/>
      <c r="AF447" s="196"/>
      <c r="AG447" s="196"/>
      <c r="AH447" s="196"/>
      <c r="AI447" s="196"/>
      <c r="AJ447" s="196"/>
      <c r="AK447" s="196"/>
      <c r="AL447" s="196"/>
      <c r="AM447" s="196"/>
    </row>
    <row r="448">
      <c r="F448" s="203"/>
      <c r="H448" s="196"/>
      <c r="I448" s="196"/>
      <c r="J448" s="196"/>
      <c r="K448" s="196"/>
      <c r="L448" s="196"/>
      <c r="M448" s="196"/>
      <c r="N448" s="196"/>
      <c r="O448" s="196"/>
      <c r="P448" s="196"/>
      <c r="Q448" s="196"/>
      <c r="R448" s="196"/>
      <c r="S448" s="196"/>
      <c r="T448" s="196"/>
      <c r="U448" s="196"/>
      <c r="V448" s="196"/>
      <c r="W448" s="196"/>
      <c r="X448" s="196"/>
      <c r="Y448" s="196"/>
      <c r="Z448" s="196"/>
      <c r="AA448" s="196"/>
      <c r="AB448" s="196"/>
      <c r="AC448" s="196"/>
      <c r="AD448" s="196"/>
      <c r="AE448" s="196"/>
      <c r="AF448" s="196"/>
      <c r="AG448" s="196"/>
      <c r="AH448" s="196"/>
      <c r="AI448" s="196"/>
      <c r="AJ448" s="196"/>
      <c r="AK448" s="196"/>
      <c r="AL448" s="196"/>
      <c r="AM448" s="196"/>
    </row>
    <row r="449">
      <c r="F449" s="203"/>
      <c r="H449" s="196"/>
      <c r="I449" s="196"/>
      <c r="J449" s="196"/>
      <c r="K449" s="196"/>
      <c r="L449" s="196"/>
      <c r="M449" s="196"/>
      <c r="N449" s="196"/>
      <c r="O449" s="196"/>
      <c r="P449" s="196"/>
      <c r="Q449" s="196"/>
      <c r="R449" s="196"/>
      <c r="S449" s="196"/>
      <c r="T449" s="196"/>
      <c r="U449" s="196"/>
      <c r="V449" s="196"/>
      <c r="W449" s="196"/>
      <c r="X449" s="196"/>
      <c r="Y449" s="196"/>
      <c r="Z449" s="196"/>
      <c r="AA449" s="196"/>
      <c r="AB449" s="196"/>
      <c r="AC449" s="196"/>
      <c r="AD449" s="196"/>
      <c r="AE449" s="196"/>
      <c r="AF449" s="196"/>
      <c r="AG449" s="196"/>
      <c r="AH449" s="196"/>
      <c r="AI449" s="196"/>
      <c r="AJ449" s="196"/>
      <c r="AK449" s="196"/>
      <c r="AL449" s="196"/>
      <c r="AM449" s="196"/>
    </row>
    <row r="450">
      <c r="F450" s="203"/>
      <c r="H450" s="196"/>
      <c r="I450" s="196"/>
      <c r="J450" s="196"/>
      <c r="K450" s="196"/>
      <c r="L450" s="196"/>
      <c r="M450" s="196"/>
      <c r="N450" s="196"/>
      <c r="O450" s="196"/>
      <c r="P450" s="196"/>
      <c r="Q450" s="196"/>
      <c r="R450" s="196"/>
      <c r="S450" s="196"/>
      <c r="T450" s="196"/>
      <c r="U450" s="196"/>
      <c r="V450" s="196"/>
      <c r="W450" s="196"/>
      <c r="X450" s="196"/>
      <c r="Y450" s="196"/>
      <c r="Z450" s="196"/>
      <c r="AA450" s="196"/>
      <c r="AB450" s="196"/>
      <c r="AC450" s="196"/>
      <c r="AD450" s="196"/>
      <c r="AE450" s="196"/>
      <c r="AF450" s="196"/>
      <c r="AG450" s="196"/>
      <c r="AH450" s="196"/>
      <c r="AI450" s="196"/>
      <c r="AJ450" s="196"/>
      <c r="AK450" s="196"/>
      <c r="AL450" s="196"/>
      <c r="AM450" s="196"/>
    </row>
    <row r="451">
      <c r="F451" s="203"/>
      <c r="H451" s="196"/>
      <c r="I451" s="196"/>
      <c r="J451" s="196"/>
      <c r="K451" s="196"/>
      <c r="L451" s="196"/>
      <c r="M451" s="196"/>
      <c r="N451" s="196"/>
      <c r="O451" s="196"/>
      <c r="P451" s="196"/>
      <c r="Q451" s="196"/>
      <c r="R451" s="196"/>
      <c r="S451" s="196"/>
      <c r="T451" s="196"/>
      <c r="U451" s="196"/>
      <c r="V451" s="196"/>
      <c r="W451" s="196"/>
      <c r="X451" s="196"/>
      <c r="Y451" s="196"/>
      <c r="Z451" s="196"/>
      <c r="AA451" s="196"/>
      <c r="AB451" s="196"/>
      <c r="AC451" s="196"/>
      <c r="AD451" s="196"/>
      <c r="AE451" s="196"/>
      <c r="AF451" s="196"/>
      <c r="AG451" s="196"/>
      <c r="AH451" s="196"/>
      <c r="AI451" s="196"/>
      <c r="AJ451" s="196"/>
      <c r="AK451" s="196"/>
      <c r="AL451" s="196"/>
      <c r="AM451" s="196"/>
    </row>
    <row r="452">
      <c r="F452" s="203"/>
      <c r="H452" s="196"/>
      <c r="I452" s="196"/>
      <c r="J452" s="196"/>
      <c r="K452" s="196"/>
      <c r="L452" s="196"/>
      <c r="M452" s="196"/>
      <c r="N452" s="196"/>
      <c r="O452" s="196"/>
      <c r="P452" s="196"/>
      <c r="Q452" s="196"/>
      <c r="R452" s="196"/>
      <c r="S452" s="196"/>
      <c r="T452" s="196"/>
      <c r="U452" s="196"/>
      <c r="V452" s="196"/>
      <c r="W452" s="196"/>
      <c r="X452" s="196"/>
      <c r="Y452" s="196"/>
      <c r="Z452" s="196"/>
      <c r="AA452" s="196"/>
      <c r="AB452" s="196"/>
      <c r="AC452" s="196"/>
      <c r="AD452" s="196"/>
      <c r="AE452" s="196"/>
      <c r="AF452" s="196"/>
      <c r="AG452" s="196"/>
      <c r="AH452" s="196"/>
      <c r="AI452" s="196"/>
      <c r="AJ452" s="196"/>
      <c r="AK452" s="196"/>
      <c r="AL452" s="196"/>
      <c r="AM452" s="196"/>
    </row>
    <row r="453">
      <c r="F453" s="203"/>
      <c r="H453" s="196"/>
      <c r="I453" s="196"/>
      <c r="J453" s="196"/>
      <c r="K453" s="196"/>
      <c r="L453" s="196"/>
      <c r="M453" s="196"/>
      <c r="N453" s="196"/>
      <c r="O453" s="196"/>
      <c r="P453" s="196"/>
      <c r="Q453" s="196"/>
      <c r="R453" s="196"/>
      <c r="S453" s="196"/>
      <c r="T453" s="196"/>
      <c r="U453" s="196"/>
      <c r="V453" s="196"/>
      <c r="W453" s="196"/>
      <c r="X453" s="196"/>
      <c r="Y453" s="196"/>
      <c r="Z453" s="196"/>
      <c r="AA453" s="196"/>
      <c r="AB453" s="196"/>
      <c r="AC453" s="196"/>
      <c r="AD453" s="196"/>
      <c r="AE453" s="196"/>
      <c r="AF453" s="196"/>
      <c r="AG453" s="196"/>
      <c r="AH453" s="196"/>
      <c r="AI453" s="196"/>
      <c r="AJ453" s="196"/>
      <c r="AK453" s="196"/>
      <c r="AL453" s="196"/>
      <c r="AM453" s="196"/>
    </row>
    <row r="454">
      <c r="F454" s="203"/>
      <c r="H454" s="196"/>
      <c r="I454" s="196"/>
      <c r="J454" s="196"/>
      <c r="K454" s="196"/>
      <c r="L454" s="196"/>
      <c r="M454" s="196"/>
      <c r="N454" s="196"/>
      <c r="O454" s="196"/>
      <c r="P454" s="196"/>
      <c r="Q454" s="196"/>
      <c r="R454" s="196"/>
      <c r="S454" s="196"/>
      <c r="T454" s="196"/>
      <c r="U454" s="196"/>
      <c r="V454" s="196"/>
      <c r="W454" s="196"/>
      <c r="X454" s="196"/>
      <c r="Y454" s="196"/>
      <c r="Z454" s="196"/>
      <c r="AA454" s="196"/>
      <c r="AB454" s="196"/>
      <c r="AC454" s="196"/>
      <c r="AD454" s="196"/>
      <c r="AE454" s="196"/>
      <c r="AF454" s="196"/>
      <c r="AG454" s="196"/>
      <c r="AH454" s="196"/>
      <c r="AI454" s="196"/>
      <c r="AJ454" s="196"/>
      <c r="AK454" s="196"/>
      <c r="AL454" s="196"/>
      <c r="AM454" s="196"/>
    </row>
    <row r="455">
      <c r="F455" s="203"/>
      <c r="H455" s="196"/>
      <c r="I455" s="196"/>
      <c r="J455" s="196"/>
      <c r="K455" s="196"/>
      <c r="L455" s="196"/>
      <c r="M455" s="196"/>
      <c r="N455" s="196"/>
      <c r="O455" s="196"/>
      <c r="P455" s="196"/>
      <c r="Q455" s="196"/>
      <c r="R455" s="196"/>
      <c r="S455" s="196"/>
      <c r="T455" s="196"/>
      <c r="U455" s="196"/>
      <c r="V455" s="196"/>
      <c r="W455" s="196"/>
      <c r="X455" s="196"/>
      <c r="Y455" s="196"/>
      <c r="Z455" s="196"/>
      <c r="AA455" s="196"/>
      <c r="AB455" s="196"/>
      <c r="AC455" s="196"/>
      <c r="AD455" s="196"/>
      <c r="AE455" s="196"/>
      <c r="AF455" s="196"/>
      <c r="AG455" s="196"/>
      <c r="AH455" s="196"/>
      <c r="AI455" s="196"/>
      <c r="AJ455" s="196"/>
      <c r="AK455" s="196"/>
      <c r="AL455" s="196"/>
      <c r="AM455" s="196"/>
    </row>
    <row r="456">
      <c r="F456" s="203"/>
      <c r="H456" s="196"/>
      <c r="I456" s="196"/>
      <c r="J456" s="196"/>
      <c r="K456" s="196"/>
      <c r="L456" s="196"/>
      <c r="M456" s="196"/>
      <c r="N456" s="196"/>
      <c r="O456" s="196"/>
      <c r="P456" s="196"/>
      <c r="Q456" s="196"/>
      <c r="R456" s="196"/>
      <c r="S456" s="196"/>
      <c r="T456" s="196"/>
      <c r="U456" s="196"/>
      <c r="V456" s="196"/>
      <c r="W456" s="196"/>
      <c r="X456" s="196"/>
      <c r="Y456" s="196"/>
      <c r="Z456" s="196"/>
      <c r="AA456" s="196"/>
      <c r="AB456" s="196"/>
      <c r="AC456" s="196"/>
      <c r="AD456" s="196"/>
      <c r="AE456" s="196"/>
      <c r="AF456" s="196"/>
      <c r="AG456" s="196"/>
      <c r="AH456" s="196"/>
      <c r="AI456" s="196"/>
      <c r="AJ456" s="196"/>
      <c r="AK456" s="196"/>
      <c r="AL456" s="196"/>
      <c r="AM456" s="196"/>
    </row>
    <row r="457">
      <c r="F457" s="203"/>
      <c r="H457" s="196"/>
      <c r="I457" s="196"/>
      <c r="J457" s="196"/>
      <c r="K457" s="196"/>
      <c r="L457" s="196"/>
      <c r="M457" s="196"/>
      <c r="N457" s="196"/>
      <c r="O457" s="196"/>
      <c r="P457" s="196"/>
      <c r="Q457" s="196"/>
      <c r="R457" s="196"/>
      <c r="S457" s="196"/>
      <c r="T457" s="196"/>
      <c r="U457" s="196"/>
      <c r="V457" s="196"/>
      <c r="W457" s="196"/>
      <c r="X457" s="196"/>
      <c r="Y457" s="196"/>
      <c r="Z457" s="196"/>
      <c r="AA457" s="196"/>
      <c r="AB457" s="196"/>
      <c r="AC457" s="196"/>
      <c r="AD457" s="196"/>
      <c r="AE457" s="196"/>
      <c r="AF457" s="196"/>
      <c r="AG457" s="196"/>
      <c r="AH457" s="196"/>
      <c r="AI457" s="196"/>
      <c r="AJ457" s="196"/>
      <c r="AK457" s="196"/>
      <c r="AL457" s="196"/>
      <c r="AM457" s="196"/>
    </row>
    <row r="458">
      <c r="F458" s="203"/>
      <c r="H458" s="196"/>
      <c r="I458" s="196"/>
      <c r="J458" s="196"/>
      <c r="K458" s="196"/>
      <c r="L458" s="196"/>
      <c r="M458" s="196"/>
      <c r="N458" s="196"/>
      <c r="O458" s="196"/>
      <c r="P458" s="196"/>
      <c r="Q458" s="196"/>
      <c r="R458" s="196"/>
      <c r="S458" s="196"/>
      <c r="T458" s="196"/>
      <c r="U458" s="196"/>
      <c r="V458" s="196"/>
      <c r="W458" s="196"/>
      <c r="X458" s="196"/>
      <c r="Y458" s="196"/>
      <c r="Z458" s="196"/>
      <c r="AA458" s="196"/>
      <c r="AB458" s="196"/>
      <c r="AC458" s="196"/>
      <c r="AD458" s="196"/>
      <c r="AE458" s="196"/>
      <c r="AF458" s="196"/>
      <c r="AG458" s="196"/>
      <c r="AH458" s="196"/>
      <c r="AI458" s="196"/>
      <c r="AJ458" s="196"/>
      <c r="AK458" s="196"/>
      <c r="AL458" s="196"/>
      <c r="AM458" s="196"/>
    </row>
    <row r="459">
      <c r="F459" s="203"/>
      <c r="H459" s="196"/>
      <c r="I459" s="196"/>
      <c r="J459" s="196"/>
      <c r="K459" s="196"/>
      <c r="L459" s="196"/>
      <c r="M459" s="196"/>
      <c r="N459" s="196"/>
      <c r="O459" s="196"/>
      <c r="P459" s="196"/>
      <c r="Q459" s="196"/>
      <c r="R459" s="196"/>
      <c r="S459" s="196"/>
      <c r="T459" s="196"/>
      <c r="U459" s="196"/>
      <c r="V459" s="196"/>
      <c r="W459" s="196"/>
      <c r="X459" s="196"/>
      <c r="Y459" s="196"/>
      <c r="Z459" s="196"/>
      <c r="AA459" s="196"/>
      <c r="AB459" s="196"/>
      <c r="AC459" s="196"/>
      <c r="AD459" s="196"/>
      <c r="AE459" s="196"/>
      <c r="AF459" s="196"/>
      <c r="AG459" s="196"/>
      <c r="AH459" s="196"/>
      <c r="AI459" s="196"/>
      <c r="AJ459" s="196"/>
      <c r="AK459" s="196"/>
      <c r="AL459" s="196"/>
      <c r="AM459" s="196"/>
    </row>
    <row r="460">
      <c r="F460" s="203"/>
      <c r="H460" s="196"/>
      <c r="I460" s="196"/>
      <c r="J460" s="196"/>
      <c r="K460" s="196"/>
      <c r="L460" s="196"/>
      <c r="M460" s="196"/>
      <c r="N460" s="196"/>
      <c r="O460" s="196"/>
      <c r="P460" s="196"/>
      <c r="Q460" s="196"/>
      <c r="R460" s="196"/>
      <c r="S460" s="196"/>
      <c r="T460" s="196"/>
      <c r="U460" s="196"/>
      <c r="V460" s="196"/>
      <c r="W460" s="196"/>
      <c r="X460" s="196"/>
      <c r="Y460" s="196"/>
      <c r="Z460" s="196"/>
      <c r="AA460" s="196"/>
      <c r="AB460" s="196"/>
      <c r="AC460" s="196"/>
      <c r="AD460" s="196"/>
      <c r="AE460" s="196"/>
      <c r="AF460" s="196"/>
      <c r="AG460" s="196"/>
      <c r="AH460" s="196"/>
      <c r="AI460" s="196"/>
      <c r="AJ460" s="196"/>
      <c r="AK460" s="196"/>
      <c r="AL460" s="196"/>
      <c r="AM460" s="196"/>
    </row>
    <row r="461">
      <c r="F461" s="203"/>
      <c r="H461" s="196"/>
      <c r="I461" s="196"/>
      <c r="J461" s="196"/>
      <c r="K461" s="196"/>
      <c r="L461" s="196"/>
      <c r="M461" s="196"/>
      <c r="N461" s="196"/>
      <c r="O461" s="196"/>
      <c r="P461" s="196"/>
      <c r="Q461" s="196"/>
      <c r="R461" s="196"/>
      <c r="S461" s="196"/>
      <c r="T461" s="196"/>
      <c r="U461" s="196"/>
      <c r="V461" s="196"/>
      <c r="W461" s="196"/>
      <c r="X461" s="196"/>
      <c r="Y461" s="196"/>
      <c r="Z461" s="196"/>
      <c r="AA461" s="196"/>
      <c r="AB461" s="196"/>
      <c r="AC461" s="196"/>
      <c r="AD461" s="196"/>
      <c r="AE461" s="196"/>
      <c r="AF461" s="196"/>
      <c r="AG461" s="196"/>
      <c r="AH461" s="196"/>
      <c r="AI461" s="196"/>
      <c r="AJ461" s="196"/>
      <c r="AK461" s="196"/>
      <c r="AL461" s="196"/>
      <c r="AM461" s="196"/>
    </row>
    <row r="462">
      <c r="F462" s="203"/>
      <c r="H462" s="196"/>
      <c r="I462" s="196"/>
      <c r="J462" s="196"/>
      <c r="K462" s="196"/>
      <c r="L462" s="196"/>
      <c r="M462" s="196"/>
      <c r="N462" s="196"/>
      <c r="O462" s="196"/>
      <c r="P462" s="196"/>
      <c r="Q462" s="196"/>
      <c r="R462" s="196"/>
      <c r="S462" s="196"/>
      <c r="T462" s="196"/>
      <c r="U462" s="196"/>
      <c r="V462" s="196"/>
      <c r="W462" s="196"/>
      <c r="X462" s="196"/>
      <c r="Y462" s="196"/>
      <c r="Z462" s="196"/>
      <c r="AA462" s="196"/>
      <c r="AB462" s="196"/>
      <c r="AC462" s="196"/>
      <c r="AD462" s="196"/>
      <c r="AE462" s="196"/>
      <c r="AF462" s="196"/>
      <c r="AG462" s="196"/>
      <c r="AH462" s="196"/>
      <c r="AI462" s="196"/>
      <c r="AJ462" s="196"/>
      <c r="AK462" s="196"/>
      <c r="AL462" s="196"/>
      <c r="AM462" s="196"/>
    </row>
    <row r="463">
      <c r="F463" s="203"/>
      <c r="H463" s="196"/>
      <c r="I463" s="196"/>
      <c r="J463" s="196"/>
      <c r="K463" s="196"/>
      <c r="L463" s="196"/>
      <c r="M463" s="196"/>
      <c r="N463" s="196"/>
      <c r="O463" s="196"/>
      <c r="P463" s="196"/>
      <c r="Q463" s="196"/>
      <c r="R463" s="196"/>
      <c r="S463" s="196"/>
      <c r="T463" s="196"/>
      <c r="U463" s="196"/>
      <c r="V463" s="196"/>
      <c r="W463" s="196"/>
      <c r="X463" s="196"/>
      <c r="Y463" s="196"/>
      <c r="Z463" s="196"/>
      <c r="AA463" s="196"/>
      <c r="AB463" s="196"/>
      <c r="AC463" s="196"/>
      <c r="AD463" s="196"/>
      <c r="AE463" s="196"/>
      <c r="AF463" s="196"/>
      <c r="AG463" s="196"/>
      <c r="AH463" s="196"/>
      <c r="AI463" s="196"/>
      <c r="AJ463" s="196"/>
      <c r="AK463" s="196"/>
      <c r="AL463" s="196"/>
      <c r="AM463" s="196"/>
    </row>
    <row r="464">
      <c r="F464" s="203"/>
      <c r="H464" s="196"/>
      <c r="I464" s="196"/>
      <c r="J464" s="196"/>
      <c r="K464" s="196"/>
      <c r="L464" s="196"/>
      <c r="M464" s="196"/>
      <c r="N464" s="196"/>
      <c r="O464" s="196"/>
      <c r="P464" s="196"/>
      <c r="Q464" s="196"/>
      <c r="R464" s="196"/>
      <c r="S464" s="196"/>
      <c r="T464" s="196"/>
      <c r="U464" s="196"/>
      <c r="V464" s="196"/>
      <c r="W464" s="196"/>
      <c r="X464" s="196"/>
      <c r="Y464" s="196"/>
      <c r="Z464" s="196"/>
      <c r="AA464" s="196"/>
      <c r="AB464" s="196"/>
      <c r="AC464" s="196"/>
      <c r="AD464" s="196"/>
      <c r="AE464" s="196"/>
      <c r="AF464" s="196"/>
      <c r="AG464" s="196"/>
      <c r="AH464" s="196"/>
      <c r="AI464" s="196"/>
      <c r="AJ464" s="196"/>
      <c r="AK464" s="196"/>
      <c r="AL464" s="196"/>
      <c r="AM464" s="196"/>
    </row>
    <row r="465">
      <c r="F465" s="203"/>
      <c r="H465" s="196"/>
      <c r="I465" s="196"/>
      <c r="J465" s="196"/>
      <c r="K465" s="196"/>
      <c r="L465" s="196"/>
      <c r="M465" s="196"/>
      <c r="N465" s="196"/>
      <c r="O465" s="196"/>
      <c r="P465" s="196"/>
      <c r="Q465" s="196"/>
      <c r="R465" s="196"/>
      <c r="S465" s="196"/>
      <c r="T465" s="196"/>
      <c r="U465" s="196"/>
      <c r="V465" s="196"/>
      <c r="W465" s="196"/>
      <c r="X465" s="196"/>
      <c r="Y465" s="196"/>
      <c r="Z465" s="196"/>
      <c r="AA465" s="196"/>
      <c r="AB465" s="196"/>
      <c r="AC465" s="196"/>
      <c r="AD465" s="196"/>
      <c r="AE465" s="196"/>
      <c r="AF465" s="196"/>
      <c r="AG465" s="196"/>
      <c r="AH465" s="196"/>
      <c r="AI465" s="196"/>
      <c r="AJ465" s="196"/>
      <c r="AK465" s="196"/>
      <c r="AL465" s="196"/>
      <c r="AM465" s="196"/>
    </row>
    <row r="466">
      <c r="F466" s="203"/>
      <c r="H466" s="196"/>
      <c r="I466" s="196"/>
      <c r="J466" s="196"/>
      <c r="K466" s="196"/>
      <c r="L466" s="196"/>
      <c r="M466" s="196"/>
      <c r="N466" s="196"/>
      <c r="O466" s="196"/>
      <c r="P466" s="196"/>
      <c r="Q466" s="196"/>
      <c r="R466" s="196"/>
      <c r="S466" s="196"/>
      <c r="T466" s="196"/>
      <c r="U466" s="196"/>
      <c r="V466" s="196"/>
      <c r="W466" s="196"/>
      <c r="X466" s="196"/>
      <c r="Y466" s="196"/>
      <c r="Z466" s="196"/>
      <c r="AA466" s="196"/>
      <c r="AB466" s="196"/>
      <c r="AC466" s="196"/>
      <c r="AD466" s="196"/>
      <c r="AE466" s="196"/>
      <c r="AF466" s="196"/>
      <c r="AG466" s="196"/>
      <c r="AH466" s="196"/>
      <c r="AI466" s="196"/>
      <c r="AJ466" s="196"/>
      <c r="AK466" s="196"/>
      <c r="AL466" s="196"/>
      <c r="AM466" s="196"/>
    </row>
    <row r="467">
      <c r="F467" s="203"/>
      <c r="H467" s="196"/>
      <c r="I467" s="196"/>
      <c r="J467" s="196"/>
      <c r="K467" s="196"/>
      <c r="L467" s="196"/>
      <c r="M467" s="196"/>
      <c r="N467" s="196"/>
      <c r="O467" s="196"/>
      <c r="P467" s="196"/>
      <c r="Q467" s="196"/>
      <c r="R467" s="196"/>
      <c r="S467" s="196"/>
      <c r="T467" s="196"/>
      <c r="U467" s="196"/>
      <c r="V467" s="196"/>
      <c r="W467" s="196"/>
      <c r="X467" s="196"/>
      <c r="Y467" s="196"/>
      <c r="Z467" s="196"/>
      <c r="AA467" s="196"/>
      <c r="AB467" s="196"/>
      <c r="AC467" s="196"/>
      <c r="AD467" s="196"/>
      <c r="AE467" s="196"/>
      <c r="AF467" s="196"/>
      <c r="AG467" s="196"/>
      <c r="AH467" s="196"/>
      <c r="AI467" s="196"/>
      <c r="AJ467" s="196"/>
      <c r="AK467" s="196"/>
      <c r="AL467" s="196"/>
      <c r="AM467" s="196"/>
    </row>
    <row r="468">
      <c r="F468" s="203"/>
      <c r="H468" s="196"/>
      <c r="I468" s="196"/>
      <c r="J468" s="196"/>
      <c r="K468" s="196"/>
      <c r="L468" s="196"/>
      <c r="M468" s="196"/>
      <c r="N468" s="196"/>
      <c r="O468" s="196"/>
      <c r="P468" s="196"/>
      <c r="Q468" s="196"/>
      <c r="R468" s="196"/>
      <c r="S468" s="196"/>
      <c r="T468" s="196"/>
      <c r="U468" s="196"/>
      <c r="V468" s="196"/>
      <c r="W468" s="196"/>
      <c r="X468" s="196"/>
      <c r="Y468" s="196"/>
      <c r="Z468" s="196"/>
      <c r="AA468" s="196"/>
      <c r="AB468" s="196"/>
      <c r="AC468" s="196"/>
      <c r="AD468" s="196"/>
      <c r="AE468" s="196"/>
      <c r="AF468" s="196"/>
      <c r="AG468" s="196"/>
      <c r="AH468" s="196"/>
      <c r="AI468" s="196"/>
      <c r="AJ468" s="196"/>
      <c r="AK468" s="196"/>
      <c r="AL468" s="196"/>
      <c r="AM468" s="196"/>
    </row>
    <row r="469">
      <c r="F469" s="203"/>
      <c r="H469" s="196"/>
      <c r="I469" s="196"/>
      <c r="J469" s="196"/>
      <c r="K469" s="196"/>
      <c r="L469" s="196"/>
      <c r="M469" s="196"/>
      <c r="N469" s="196"/>
      <c r="O469" s="196"/>
      <c r="P469" s="196"/>
      <c r="Q469" s="196"/>
      <c r="R469" s="196"/>
      <c r="S469" s="196"/>
      <c r="T469" s="196"/>
      <c r="U469" s="196"/>
      <c r="V469" s="196"/>
      <c r="W469" s="196"/>
      <c r="X469" s="196"/>
      <c r="Y469" s="196"/>
      <c r="Z469" s="196"/>
      <c r="AA469" s="196"/>
      <c r="AB469" s="196"/>
      <c r="AC469" s="196"/>
      <c r="AD469" s="196"/>
      <c r="AE469" s="196"/>
      <c r="AF469" s="196"/>
      <c r="AG469" s="196"/>
      <c r="AH469" s="196"/>
      <c r="AI469" s="196"/>
      <c r="AJ469" s="196"/>
      <c r="AK469" s="196"/>
      <c r="AL469" s="196"/>
      <c r="AM469" s="196"/>
    </row>
    <row r="470">
      <c r="F470" s="203"/>
      <c r="H470" s="196"/>
      <c r="I470" s="196"/>
      <c r="J470" s="196"/>
      <c r="K470" s="196"/>
      <c r="L470" s="196"/>
      <c r="M470" s="196"/>
      <c r="N470" s="196"/>
      <c r="O470" s="196"/>
      <c r="P470" s="196"/>
      <c r="Q470" s="196"/>
      <c r="R470" s="196"/>
      <c r="S470" s="196"/>
      <c r="T470" s="196"/>
      <c r="U470" s="196"/>
      <c r="V470" s="196"/>
      <c r="W470" s="196"/>
      <c r="X470" s="196"/>
      <c r="Y470" s="196"/>
      <c r="Z470" s="196"/>
      <c r="AA470" s="196"/>
      <c r="AB470" s="196"/>
      <c r="AC470" s="196"/>
      <c r="AD470" s="196"/>
      <c r="AE470" s="196"/>
      <c r="AF470" s="196"/>
      <c r="AG470" s="196"/>
      <c r="AH470" s="196"/>
      <c r="AI470" s="196"/>
      <c r="AJ470" s="196"/>
      <c r="AK470" s="196"/>
      <c r="AL470" s="196"/>
      <c r="AM470" s="196"/>
    </row>
    <row r="471">
      <c r="F471" s="203"/>
      <c r="H471" s="196"/>
      <c r="I471" s="196"/>
      <c r="J471" s="196"/>
      <c r="K471" s="196"/>
      <c r="L471" s="196"/>
      <c r="M471" s="196"/>
      <c r="N471" s="196"/>
      <c r="O471" s="196"/>
      <c r="P471" s="196"/>
      <c r="Q471" s="196"/>
      <c r="R471" s="196"/>
      <c r="S471" s="196"/>
      <c r="T471" s="196"/>
      <c r="U471" s="196"/>
      <c r="V471" s="196"/>
      <c r="W471" s="196"/>
      <c r="X471" s="196"/>
      <c r="Y471" s="196"/>
      <c r="Z471" s="196"/>
      <c r="AA471" s="196"/>
      <c r="AB471" s="196"/>
      <c r="AC471" s="196"/>
      <c r="AD471" s="196"/>
      <c r="AE471" s="196"/>
      <c r="AF471" s="196"/>
      <c r="AG471" s="196"/>
      <c r="AH471" s="196"/>
      <c r="AI471" s="196"/>
      <c r="AJ471" s="196"/>
      <c r="AK471" s="196"/>
      <c r="AL471" s="196"/>
      <c r="AM471" s="196"/>
    </row>
    <row r="472">
      <c r="F472" s="203"/>
      <c r="H472" s="196"/>
      <c r="I472" s="196"/>
      <c r="J472" s="196"/>
      <c r="K472" s="196"/>
      <c r="L472" s="196"/>
      <c r="M472" s="196"/>
      <c r="N472" s="196"/>
      <c r="O472" s="196"/>
      <c r="P472" s="196"/>
      <c r="Q472" s="196"/>
      <c r="R472" s="196"/>
      <c r="S472" s="196"/>
      <c r="T472" s="196"/>
      <c r="U472" s="196"/>
      <c r="V472" s="196"/>
      <c r="W472" s="196"/>
      <c r="X472" s="196"/>
      <c r="Y472" s="196"/>
      <c r="Z472" s="196"/>
      <c r="AA472" s="196"/>
      <c r="AB472" s="196"/>
      <c r="AC472" s="196"/>
      <c r="AD472" s="196"/>
      <c r="AE472" s="196"/>
      <c r="AF472" s="196"/>
      <c r="AG472" s="196"/>
      <c r="AH472" s="196"/>
      <c r="AI472" s="196"/>
      <c r="AJ472" s="196"/>
      <c r="AK472" s="196"/>
      <c r="AL472" s="196"/>
      <c r="AM472" s="196"/>
    </row>
    <row r="473">
      <c r="F473" s="203"/>
      <c r="H473" s="196"/>
      <c r="I473" s="196"/>
      <c r="J473" s="196"/>
      <c r="K473" s="196"/>
      <c r="L473" s="196"/>
      <c r="M473" s="196"/>
      <c r="N473" s="196"/>
      <c r="O473" s="196"/>
      <c r="P473" s="196"/>
      <c r="Q473" s="196"/>
      <c r="R473" s="196"/>
      <c r="S473" s="196"/>
      <c r="T473" s="196"/>
      <c r="U473" s="196"/>
      <c r="V473" s="196"/>
      <c r="W473" s="196"/>
      <c r="X473" s="196"/>
      <c r="Y473" s="196"/>
      <c r="Z473" s="196"/>
      <c r="AA473" s="196"/>
      <c r="AB473" s="196"/>
      <c r="AC473" s="196"/>
      <c r="AD473" s="196"/>
      <c r="AE473" s="196"/>
      <c r="AF473" s="196"/>
      <c r="AG473" s="196"/>
      <c r="AH473" s="196"/>
      <c r="AI473" s="196"/>
      <c r="AJ473" s="196"/>
      <c r="AK473" s="196"/>
      <c r="AL473" s="196"/>
      <c r="AM473" s="196"/>
    </row>
    <row r="474">
      <c r="F474" s="203"/>
      <c r="H474" s="196"/>
      <c r="I474" s="196"/>
      <c r="J474" s="196"/>
      <c r="K474" s="196"/>
      <c r="L474" s="196"/>
      <c r="M474" s="196"/>
      <c r="N474" s="196"/>
      <c r="O474" s="196"/>
      <c r="P474" s="196"/>
      <c r="Q474" s="196"/>
      <c r="R474" s="196"/>
      <c r="S474" s="196"/>
      <c r="T474" s="196"/>
      <c r="U474" s="196"/>
      <c r="V474" s="196"/>
      <c r="W474" s="196"/>
      <c r="X474" s="196"/>
      <c r="Y474" s="196"/>
      <c r="Z474" s="196"/>
      <c r="AA474" s="196"/>
      <c r="AB474" s="196"/>
      <c r="AC474" s="196"/>
      <c r="AD474" s="196"/>
      <c r="AE474" s="196"/>
      <c r="AF474" s="196"/>
      <c r="AG474" s="196"/>
      <c r="AH474" s="196"/>
      <c r="AI474" s="196"/>
      <c r="AJ474" s="196"/>
      <c r="AK474" s="196"/>
      <c r="AL474" s="196"/>
      <c r="AM474" s="196"/>
    </row>
    <row r="475">
      <c r="F475" s="203"/>
      <c r="H475" s="196"/>
      <c r="I475" s="196"/>
      <c r="J475" s="196"/>
      <c r="K475" s="196"/>
      <c r="L475" s="196"/>
      <c r="M475" s="196"/>
      <c r="N475" s="196"/>
      <c r="O475" s="196"/>
      <c r="P475" s="196"/>
      <c r="Q475" s="196"/>
      <c r="R475" s="196"/>
      <c r="S475" s="196"/>
      <c r="T475" s="196"/>
      <c r="U475" s="196"/>
      <c r="V475" s="196"/>
      <c r="W475" s="196"/>
      <c r="X475" s="196"/>
      <c r="Y475" s="196"/>
      <c r="Z475" s="196"/>
      <c r="AA475" s="196"/>
      <c r="AB475" s="196"/>
      <c r="AC475" s="196"/>
      <c r="AD475" s="196"/>
      <c r="AE475" s="196"/>
      <c r="AF475" s="196"/>
      <c r="AG475" s="196"/>
      <c r="AH475" s="196"/>
      <c r="AI475" s="196"/>
      <c r="AJ475" s="196"/>
      <c r="AK475" s="196"/>
      <c r="AL475" s="196"/>
      <c r="AM475" s="196"/>
    </row>
    <row r="476">
      <c r="F476" s="203"/>
      <c r="H476" s="196"/>
      <c r="I476" s="196"/>
      <c r="J476" s="196"/>
      <c r="K476" s="196"/>
      <c r="L476" s="196"/>
      <c r="M476" s="196"/>
      <c r="N476" s="196"/>
      <c r="O476" s="196"/>
      <c r="P476" s="196"/>
      <c r="Q476" s="196"/>
      <c r="R476" s="196"/>
      <c r="S476" s="196"/>
      <c r="T476" s="196"/>
      <c r="U476" s="196"/>
      <c r="V476" s="196"/>
      <c r="W476" s="196"/>
      <c r="X476" s="196"/>
      <c r="Y476" s="196"/>
      <c r="Z476" s="196"/>
      <c r="AA476" s="196"/>
      <c r="AB476" s="196"/>
      <c r="AC476" s="196"/>
      <c r="AD476" s="196"/>
      <c r="AE476" s="196"/>
      <c r="AF476" s="196"/>
      <c r="AG476" s="196"/>
      <c r="AH476" s="196"/>
      <c r="AI476" s="196"/>
      <c r="AJ476" s="196"/>
      <c r="AK476" s="196"/>
      <c r="AL476" s="196"/>
      <c r="AM476" s="196"/>
    </row>
    <row r="477">
      <c r="F477" s="203"/>
      <c r="H477" s="196"/>
      <c r="I477" s="196"/>
      <c r="J477" s="196"/>
      <c r="K477" s="196"/>
      <c r="L477" s="196"/>
      <c r="M477" s="196"/>
      <c r="N477" s="196"/>
      <c r="O477" s="196"/>
      <c r="P477" s="196"/>
      <c r="Q477" s="196"/>
      <c r="R477" s="196"/>
      <c r="S477" s="196"/>
      <c r="T477" s="196"/>
      <c r="U477" s="196"/>
      <c r="V477" s="196"/>
      <c r="W477" s="196"/>
      <c r="X477" s="196"/>
      <c r="Y477" s="196"/>
      <c r="Z477" s="196"/>
      <c r="AA477" s="196"/>
      <c r="AB477" s="196"/>
      <c r="AC477" s="196"/>
      <c r="AD477" s="196"/>
      <c r="AE477" s="196"/>
      <c r="AF477" s="196"/>
      <c r="AG477" s="196"/>
      <c r="AH477" s="196"/>
      <c r="AI477" s="196"/>
      <c r="AJ477" s="196"/>
      <c r="AK477" s="196"/>
      <c r="AL477" s="196"/>
      <c r="AM477" s="196"/>
    </row>
    <row r="478">
      <c r="F478" s="203"/>
      <c r="H478" s="196"/>
      <c r="I478" s="196"/>
      <c r="J478" s="196"/>
      <c r="K478" s="196"/>
      <c r="L478" s="196"/>
      <c r="M478" s="196"/>
      <c r="N478" s="196"/>
      <c r="O478" s="196"/>
      <c r="P478" s="196"/>
      <c r="Q478" s="196"/>
      <c r="R478" s="196"/>
      <c r="S478" s="196"/>
      <c r="T478" s="196"/>
      <c r="U478" s="196"/>
      <c r="V478" s="196"/>
      <c r="W478" s="196"/>
      <c r="X478" s="196"/>
      <c r="Y478" s="196"/>
      <c r="Z478" s="196"/>
      <c r="AA478" s="196"/>
      <c r="AB478" s="196"/>
      <c r="AC478" s="196"/>
      <c r="AD478" s="196"/>
      <c r="AE478" s="196"/>
      <c r="AF478" s="196"/>
      <c r="AG478" s="196"/>
      <c r="AH478" s="196"/>
      <c r="AI478" s="196"/>
      <c r="AJ478" s="196"/>
      <c r="AK478" s="196"/>
      <c r="AL478" s="196"/>
      <c r="AM478" s="196"/>
    </row>
    <row r="479">
      <c r="F479" s="203"/>
      <c r="H479" s="196"/>
      <c r="I479" s="196"/>
      <c r="J479" s="196"/>
      <c r="K479" s="196"/>
      <c r="L479" s="196"/>
      <c r="M479" s="196"/>
      <c r="N479" s="196"/>
      <c r="O479" s="196"/>
      <c r="P479" s="196"/>
      <c r="Q479" s="196"/>
      <c r="R479" s="196"/>
      <c r="S479" s="196"/>
      <c r="T479" s="196"/>
      <c r="U479" s="196"/>
      <c r="V479" s="196"/>
      <c r="W479" s="196"/>
      <c r="X479" s="196"/>
      <c r="Y479" s="196"/>
      <c r="Z479" s="196"/>
      <c r="AA479" s="196"/>
      <c r="AB479" s="196"/>
      <c r="AC479" s="196"/>
      <c r="AD479" s="196"/>
      <c r="AE479" s="196"/>
      <c r="AF479" s="196"/>
      <c r="AG479" s="196"/>
      <c r="AH479" s="196"/>
      <c r="AI479" s="196"/>
      <c r="AJ479" s="196"/>
      <c r="AK479" s="196"/>
      <c r="AL479" s="196"/>
      <c r="AM479" s="196"/>
    </row>
    <row r="480">
      <c r="F480" s="203"/>
      <c r="H480" s="196"/>
      <c r="I480" s="196"/>
      <c r="J480" s="196"/>
      <c r="K480" s="196"/>
      <c r="L480" s="196"/>
      <c r="M480" s="196"/>
      <c r="N480" s="196"/>
      <c r="O480" s="196"/>
      <c r="P480" s="196"/>
      <c r="Q480" s="196"/>
      <c r="R480" s="196"/>
      <c r="S480" s="196"/>
      <c r="T480" s="196"/>
      <c r="U480" s="196"/>
      <c r="V480" s="196"/>
      <c r="W480" s="196"/>
      <c r="X480" s="196"/>
      <c r="Y480" s="196"/>
      <c r="Z480" s="196"/>
      <c r="AA480" s="196"/>
      <c r="AB480" s="196"/>
      <c r="AC480" s="196"/>
      <c r="AD480" s="196"/>
      <c r="AE480" s="196"/>
      <c r="AF480" s="196"/>
      <c r="AG480" s="196"/>
      <c r="AH480" s="196"/>
      <c r="AI480" s="196"/>
      <c r="AJ480" s="196"/>
      <c r="AK480" s="196"/>
      <c r="AL480" s="196"/>
      <c r="AM480" s="196"/>
    </row>
    <row r="481">
      <c r="F481" s="203"/>
      <c r="H481" s="196"/>
      <c r="I481" s="196"/>
      <c r="J481" s="196"/>
      <c r="K481" s="196"/>
      <c r="L481" s="196"/>
      <c r="M481" s="196"/>
      <c r="N481" s="196"/>
      <c r="O481" s="196"/>
      <c r="P481" s="196"/>
      <c r="Q481" s="196"/>
      <c r="R481" s="196"/>
      <c r="S481" s="196"/>
      <c r="T481" s="196"/>
      <c r="U481" s="196"/>
      <c r="V481" s="196"/>
      <c r="W481" s="196"/>
      <c r="X481" s="196"/>
      <c r="Y481" s="196"/>
      <c r="Z481" s="196"/>
      <c r="AA481" s="196"/>
      <c r="AB481" s="196"/>
      <c r="AC481" s="196"/>
      <c r="AD481" s="196"/>
      <c r="AE481" s="196"/>
      <c r="AF481" s="196"/>
      <c r="AG481" s="196"/>
      <c r="AH481" s="196"/>
      <c r="AI481" s="196"/>
      <c r="AJ481" s="196"/>
      <c r="AK481" s="196"/>
      <c r="AL481" s="196"/>
      <c r="AM481" s="196"/>
    </row>
    <row r="482">
      <c r="F482" s="203"/>
      <c r="H482" s="196"/>
      <c r="I482" s="196"/>
      <c r="J482" s="196"/>
      <c r="K482" s="196"/>
      <c r="L482" s="196"/>
      <c r="M482" s="196"/>
      <c r="N482" s="196"/>
      <c r="O482" s="196"/>
      <c r="P482" s="196"/>
      <c r="Q482" s="196"/>
      <c r="R482" s="196"/>
      <c r="S482" s="196"/>
      <c r="T482" s="196"/>
      <c r="U482" s="196"/>
      <c r="V482" s="196"/>
      <c r="W482" s="196"/>
      <c r="X482" s="196"/>
      <c r="Y482" s="196"/>
      <c r="Z482" s="196"/>
      <c r="AA482" s="196"/>
      <c r="AB482" s="196"/>
      <c r="AC482" s="196"/>
      <c r="AD482" s="196"/>
      <c r="AE482" s="196"/>
      <c r="AF482" s="196"/>
      <c r="AG482" s="196"/>
      <c r="AH482" s="196"/>
      <c r="AI482" s="196"/>
      <c r="AJ482" s="196"/>
      <c r="AK482" s="196"/>
      <c r="AL482" s="196"/>
      <c r="AM482" s="196"/>
    </row>
    <row r="483">
      <c r="F483" s="203"/>
      <c r="H483" s="196"/>
      <c r="I483" s="196"/>
      <c r="J483" s="196"/>
      <c r="K483" s="196"/>
      <c r="L483" s="196"/>
      <c r="M483" s="196"/>
      <c r="N483" s="196"/>
      <c r="O483" s="196"/>
      <c r="P483" s="196"/>
      <c r="Q483" s="196"/>
      <c r="R483" s="196"/>
      <c r="S483" s="196"/>
      <c r="T483" s="196"/>
      <c r="U483" s="196"/>
      <c r="V483" s="196"/>
      <c r="W483" s="196"/>
      <c r="X483" s="196"/>
      <c r="Y483" s="196"/>
      <c r="Z483" s="196"/>
      <c r="AA483" s="196"/>
      <c r="AB483" s="196"/>
      <c r="AC483" s="196"/>
      <c r="AD483" s="196"/>
      <c r="AE483" s="196"/>
      <c r="AF483" s="196"/>
      <c r="AG483" s="196"/>
      <c r="AH483" s="196"/>
      <c r="AI483" s="196"/>
      <c r="AJ483" s="196"/>
      <c r="AK483" s="196"/>
      <c r="AL483" s="196"/>
      <c r="AM483" s="196"/>
    </row>
    <row r="484">
      <c r="F484" s="203"/>
      <c r="H484" s="196"/>
      <c r="I484" s="196"/>
      <c r="J484" s="196"/>
      <c r="K484" s="196"/>
      <c r="L484" s="196"/>
      <c r="M484" s="196"/>
      <c r="N484" s="196"/>
      <c r="O484" s="196"/>
      <c r="P484" s="196"/>
      <c r="Q484" s="196"/>
      <c r="R484" s="196"/>
      <c r="S484" s="196"/>
      <c r="T484" s="196"/>
      <c r="U484" s="196"/>
      <c r="V484" s="196"/>
      <c r="W484" s="196"/>
      <c r="X484" s="196"/>
      <c r="Y484" s="196"/>
      <c r="Z484" s="196"/>
      <c r="AA484" s="196"/>
      <c r="AB484" s="196"/>
      <c r="AC484" s="196"/>
      <c r="AD484" s="196"/>
      <c r="AE484" s="196"/>
      <c r="AF484" s="196"/>
      <c r="AG484" s="196"/>
      <c r="AH484" s="196"/>
      <c r="AI484" s="196"/>
      <c r="AJ484" s="196"/>
      <c r="AK484" s="196"/>
      <c r="AL484" s="196"/>
      <c r="AM484" s="196"/>
    </row>
    <row r="485">
      <c r="F485" s="203"/>
      <c r="H485" s="196"/>
      <c r="I485" s="196"/>
      <c r="J485" s="196"/>
      <c r="K485" s="196"/>
      <c r="L485" s="196"/>
      <c r="M485" s="196"/>
      <c r="N485" s="196"/>
      <c r="O485" s="196"/>
      <c r="P485" s="196"/>
      <c r="Q485" s="196"/>
      <c r="R485" s="196"/>
      <c r="S485" s="196"/>
      <c r="T485" s="196"/>
      <c r="U485" s="196"/>
      <c r="V485" s="196"/>
      <c r="W485" s="196"/>
      <c r="X485" s="196"/>
      <c r="Y485" s="196"/>
      <c r="Z485" s="196"/>
      <c r="AA485" s="196"/>
      <c r="AB485" s="196"/>
      <c r="AC485" s="196"/>
      <c r="AD485" s="196"/>
      <c r="AE485" s="196"/>
      <c r="AF485" s="196"/>
      <c r="AG485" s="196"/>
      <c r="AH485" s="196"/>
      <c r="AI485" s="196"/>
      <c r="AJ485" s="196"/>
      <c r="AK485" s="196"/>
      <c r="AL485" s="196"/>
      <c r="AM485" s="196"/>
    </row>
    <row r="486">
      <c r="F486" s="203"/>
      <c r="H486" s="196"/>
      <c r="I486" s="196"/>
      <c r="J486" s="196"/>
      <c r="K486" s="196"/>
      <c r="L486" s="196"/>
      <c r="M486" s="196"/>
      <c r="N486" s="196"/>
      <c r="O486" s="196"/>
      <c r="P486" s="196"/>
      <c r="Q486" s="196"/>
      <c r="R486" s="196"/>
      <c r="S486" s="196"/>
      <c r="T486" s="196"/>
      <c r="U486" s="196"/>
      <c r="V486" s="196"/>
      <c r="W486" s="196"/>
      <c r="X486" s="196"/>
      <c r="Y486" s="196"/>
      <c r="Z486" s="196"/>
      <c r="AA486" s="196"/>
      <c r="AB486" s="196"/>
      <c r="AC486" s="196"/>
      <c r="AD486" s="196"/>
      <c r="AE486" s="196"/>
      <c r="AF486" s="196"/>
      <c r="AG486" s="196"/>
      <c r="AH486" s="196"/>
      <c r="AI486" s="196"/>
      <c r="AJ486" s="196"/>
      <c r="AK486" s="196"/>
      <c r="AL486" s="196"/>
      <c r="AM486" s="196"/>
    </row>
    <row r="487">
      <c r="F487" s="203"/>
      <c r="H487" s="196"/>
      <c r="I487" s="196"/>
      <c r="J487" s="196"/>
      <c r="K487" s="196"/>
      <c r="L487" s="196"/>
      <c r="M487" s="196"/>
      <c r="N487" s="196"/>
      <c r="O487" s="196"/>
      <c r="P487" s="196"/>
      <c r="Q487" s="196"/>
      <c r="R487" s="196"/>
      <c r="S487" s="196"/>
      <c r="T487" s="196"/>
      <c r="U487" s="196"/>
      <c r="V487" s="196"/>
      <c r="W487" s="196"/>
      <c r="X487" s="196"/>
      <c r="Y487" s="196"/>
      <c r="Z487" s="196"/>
      <c r="AA487" s="196"/>
      <c r="AB487" s="196"/>
      <c r="AC487" s="196"/>
      <c r="AD487" s="196"/>
      <c r="AE487" s="196"/>
      <c r="AF487" s="196"/>
      <c r="AG487" s="196"/>
      <c r="AH487" s="196"/>
      <c r="AI487" s="196"/>
      <c r="AJ487" s="196"/>
      <c r="AK487" s="196"/>
      <c r="AL487" s="196"/>
      <c r="AM487" s="196"/>
    </row>
    <row r="488">
      <c r="F488" s="203"/>
      <c r="H488" s="196"/>
      <c r="I488" s="196"/>
      <c r="J488" s="196"/>
      <c r="K488" s="196"/>
      <c r="L488" s="196"/>
      <c r="M488" s="196"/>
      <c r="N488" s="196"/>
      <c r="O488" s="196"/>
      <c r="P488" s="196"/>
      <c r="Q488" s="196"/>
      <c r="R488" s="196"/>
      <c r="S488" s="196"/>
      <c r="T488" s="196"/>
      <c r="U488" s="196"/>
      <c r="V488" s="196"/>
      <c r="W488" s="196"/>
      <c r="X488" s="196"/>
      <c r="Y488" s="196"/>
      <c r="Z488" s="196"/>
      <c r="AA488" s="196"/>
      <c r="AB488" s="196"/>
      <c r="AC488" s="196"/>
      <c r="AD488" s="196"/>
      <c r="AE488" s="196"/>
      <c r="AF488" s="196"/>
      <c r="AG488" s="196"/>
      <c r="AH488" s="196"/>
      <c r="AI488" s="196"/>
      <c r="AJ488" s="196"/>
      <c r="AK488" s="196"/>
      <c r="AL488" s="196"/>
      <c r="AM488" s="196"/>
    </row>
    <row r="489">
      <c r="F489" s="203"/>
      <c r="H489" s="196"/>
      <c r="I489" s="196"/>
      <c r="J489" s="196"/>
      <c r="K489" s="196"/>
      <c r="L489" s="196"/>
      <c r="M489" s="196"/>
      <c r="N489" s="196"/>
      <c r="O489" s="196"/>
      <c r="P489" s="196"/>
      <c r="Q489" s="196"/>
      <c r="R489" s="196"/>
      <c r="S489" s="196"/>
      <c r="T489" s="196"/>
      <c r="U489" s="196"/>
      <c r="V489" s="196"/>
      <c r="W489" s="196"/>
      <c r="X489" s="196"/>
      <c r="Y489" s="196"/>
      <c r="Z489" s="196"/>
      <c r="AA489" s="196"/>
      <c r="AB489" s="196"/>
      <c r="AC489" s="196"/>
      <c r="AD489" s="196"/>
      <c r="AE489" s="196"/>
      <c r="AF489" s="196"/>
      <c r="AG489" s="196"/>
      <c r="AH489" s="196"/>
      <c r="AI489" s="196"/>
      <c r="AJ489" s="196"/>
      <c r="AK489" s="196"/>
      <c r="AL489" s="196"/>
      <c r="AM489" s="196"/>
    </row>
    <row r="490">
      <c r="F490" s="203"/>
      <c r="H490" s="196"/>
      <c r="I490" s="196"/>
      <c r="J490" s="196"/>
      <c r="K490" s="196"/>
      <c r="L490" s="196"/>
      <c r="M490" s="196"/>
      <c r="N490" s="196"/>
      <c r="O490" s="196"/>
      <c r="P490" s="196"/>
      <c r="Q490" s="196"/>
      <c r="R490" s="196"/>
      <c r="S490" s="196"/>
      <c r="T490" s="196"/>
      <c r="U490" s="196"/>
      <c r="V490" s="196"/>
      <c r="W490" s="196"/>
      <c r="X490" s="196"/>
      <c r="Y490" s="196"/>
      <c r="Z490" s="196"/>
      <c r="AA490" s="196"/>
      <c r="AB490" s="196"/>
      <c r="AC490" s="196"/>
      <c r="AD490" s="196"/>
      <c r="AE490" s="196"/>
      <c r="AF490" s="196"/>
      <c r="AG490" s="196"/>
      <c r="AH490" s="196"/>
      <c r="AI490" s="196"/>
      <c r="AJ490" s="196"/>
      <c r="AK490" s="196"/>
      <c r="AL490" s="196"/>
      <c r="AM490" s="196"/>
    </row>
    <row r="491">
      <c r="F491" s="203"/>
      <c r="H491" s="196"/>
      <c r="I491" s="196"/>
      <c r="J491" s="196"/>
      <c r="K491" s="196"/>
      <c r="L491" s="196"/>
      <c r="M491" s="196"/>
      <c r="N491" s="196"/>
      <c r="O491" s="196"/>
      <c r="P491" s="196"/>
      <c r="Q491" s="196"/>
      <c r="R491" s="196"/>
      <c r="S491" s="196"/>
      <c r="T491" s="196"/>
      <c r="U491" s="196"/>
      <c r="V491" s="196"/>
      <c r="W491" s="196"/>
      <c r="X491" s="196"/>
      <c r="Y491" s="196"/>
      <c r="Z491" s="196"/>
      <c r="AA491" s="196"/>
      <c r="AB491" s="196"/>
      <c r="AC491" s="196"/>
      <c r="AD491" s="196"/>
      <c r="AE491" s="196"/>
      <c r="AF491" s="196"/>
      <c r="AG491" s="196"/>
      <c r="AH491" s="196"/>
      <c r="AI491" s="196"/>
      <c r="AJ491" s="196"/>
      <c r="AK491" s="196"/>
      <c r="AL491" s="196"/>
      <c r="AM491" s="196"/>
    </row>
    <row r="492">
      <c r="F492" s="203"/>
      <c r="H492" s="196"/>
      <c r="I492" s="196"/>
      <c r="J492" s="196"/>
      <c r="K492" s="196"/>
      <c r="L492" s="196"/>
      <c r="M492" s="196"/>
      <c r="N492" s="196"/>
      <c r="O492" s="196"/>
      <c r="P492" s="196"/>
      <c r="Q492" s="196"/>
      <c r="R492" s="196"/>
      <c r="S492" s="196"/>
      <c r="T492" s="196"/>
      <c r="U492" s="196"/>
      <c r="V492" s="196"/>
      <c r="W492" s="196"/>
      <c r="X492" s="196"/>
      <c r="Y492" s="196"/>
      <c r="Z492" s="196"/>
      <c r="AA492" s="196"/>
      <c r="AB492" s="196"/>
      <c r="AC492" s="196"/>
      <c r="AD492" s="196"/>
      <c r="AE492" s="196"/>
      <c r="AF492" s="196"/>
      <c r="AG492" s="196"/>
      <c r="AH492" s="196"/>
      <c r="AI492" s="196"/>
      <c r="AJ492" s="196"/>
      <c r="AK492" s="196"/>
      <c r="AL492" s="196"/>
      <c r="AM492" s="196"/>
    </row>
    <row r="493">
      <c r="F493" s="203"/>
      <c r="H493" s="196"/>
      <c r="I493" s="196"/>
      <c r="J493" s="196"/>
      <c r="K493" s="196"/>
      <c r="L493" s="196"/>
      <c r="M493" s="196"/>
      <c r="N493" s="196"/>
      <c r="O493" s="196"/>
      <c r="P493" s="196"/>
      <c r="Q493" s="196"/>
      <c r="R493" s="196"/>
      <c r="S493" s="196"/>
      <c r="T493" s="196"/>
      <c r="U493" s="196"/>
      <c r="V493" s="196"/>
      <c r="W493" s="196"/>
      <c r="X493" s="196"/>
      <c r="Y493" s="196"/>
      <c r="Z493" s="196"/>
      <c r="AA493" s="196"/>
      <c r="AB493" s="196"/>
      <c r="AC493" s="196"/>
      <c r="AD493" s="196"/>
      <c r="AE493" s="196"/>
      <c r="AF493" s="196"/>
      <c r="AG493" s="196"/>
      <c r="AH493" s="196"/>
      <c r="AI493" s="196"/>
      <c r="AJ493" s="196"/>
      <c r="AK493" s="196"/>
      <c r="AL493" s="196"/>
      <c r="AM493" s="196"/>
    </row>
    <row r="494">
      <c r="F494" s="203"/>
      <c r="H494" s="196"/>
      <c r="I494" s="196"/>
      <c r="J494" s="196"/>
      <c r="K494" s="196"/>
      <c r="L494" s="196"/>
      <c r="M494" s="196"/>
      <c r="N494" s="196"/>
      <c r="O494" s="196"/>
      <c r="P494" s="196"/>
      <c r="Q494" s="196"/>
      <c r="R494" s="196"/>
      <c r="S494" s="196"/>
      <c r="T494" s="196"/>
      <c r="U494" s="196"/>
      <c r="V494" s="196"/>
      <c r="W494" s="196"/>
      <c r="X494" s="196"/>
      <c r="Y494" s="196"/>
      <c r="Z494" s="196"/>
      <c r="AA494" s="196"/>
      <c r="AB494" s="196"/>
      <c r="AC494" s="196"/>
      <c r="AD494" s="196"/>
      <c r="AE494" s="196"/>
      <c r="AF494" s="196"/>
      <c r="AG494" s="196"/>
      <c r="AH494" s="196"/>
      <c r="AI494" s="196"/>
      <c r="AJ494" s="196"/>
      <c r="AK494" s="196"/>
      <c r="AL494" s="196"/>
      <c r="AM494" s="196"/>
    </row>
    <row r="495">
      <c r="F495" s="203"/>
      <c r="H495" s="196"/>
      <c r="I495" s="196"/>
      <c r="J495" s="196"/>
      <c r="K495" s="196"/>
      <c r="L495" s="196"/>
      <c r="M495" s="196"/>
      <c r="N495" s="196"/>
      <c r="O495" s="196"/>
      <c r="P495" s="196"/>
      <c r="Q495" s="196"/>
      <c r="R495" s="196"/>
      <c r="S495" s="196"/>
      <c r="T495" s="196"/>
      <c r="U495" s="196"/>
      <c r="V495" s="196"/>
      <c r="W495" s="196"/>
      <c r="X495" s="196"/>
      <c r="Y495" s="196"/>
      <c r="Z495" s="196"/>
      <c r="AA495" s="196"/>
      <c r="AB495" s="196"/>
      <c r="AC495" s="196"/>
      <c r="AD495" s="196"/>
      <c r="AE495" s="196"/>
      <c r="AF495" s="196"/>
      <c r="AG495" s="196"/>
      <c r="AH495" s="196"/>
      <c r="AI495" s="196"/>
      <c r="AJ495" s="196"/>
      <c r="AK495" s="196"/>
      <c r="AL495" s="196"/>
      <c r="AM495" s="196"/>
    </row>
    <row r="496">
      <c r="F496" s="203"/>
      <c r="H496" s="196"/>
      <c r="I496" s="196"/>
      <c r="J496" s="196"/>
      <c r="K496" s="196"/>
      <c r="L496" s="196"/>
      <c r="M496" s="196"/>
      <c r="N496" s="196"/>
      <c r="O496" s="196"/>
      <c r="P496" s="196"/>
      <c r="Q496" s="196"/>
      <c r="R496" s="196"/>
      <c r="S496" s="196"/>
      <c r="T496" s="196"/>
      <c r="U496" s="196"/>
      <c r="V496" s="196"/>
      <c r="W496" s="196"/>
      <c r="X496" s="196"/>
      <c r="Y496" s="196"/>
      <c r="Z496" s="196"/>
      <c r="AA496" s="196"/>
      <c r="AB496" s="196"/>
      <c r="AC496" s="196"/>
      <c r="AD496" s="196"/>
      <c r="AE496" s="196"/>
      <c r="AF496" s="196"/>
      <c r="AG496" s="196"/>
      <c r="AH496" s="196"/>
      <c r="AI496" s="196"/>
      <c r="AJ496" s="196"/>
      <c r="AK496" s="196"/>
      <c r="AL496" s="196"/>
      <c r="AM496" s="196"/>
    </row>
    <row r="497">
      <c r="F497" s="203"/>
      <c r="H497" s="196"/>
      <c r="I497" s="196"/>
      <c r="J497" s="196"/>
      <c r="K497" s="196"/>
      <c r="L497" s="196"/>
      <c r="M497" s="196"/>
      <c r="N497" s="196"/>
      <c r="O497" s="196"/>
      <c r="P497" s="196"/>
      <c r="Q497" s="196"/>
      <c r="R497" s="196"/>
      <c r="S497" s="196"/>
      <c r="T497" s="196"/>
      <c r="U497" s="196"/>
      <c r="V497" s="196"/>
      <c r="W497" s="196"/>
      <c r="X497" s="196"/>
      <c r="Y497" s="196"/>
      <c r="Z497" s="196"/>
      <c r="AA497" s="196"/>
      <c r="AB497" s="196"/>
      <c r="AC497" s="196"/>
      <c r="AD497" s="196"/>
      <c r="AE497" s="196"/>
      <c r="AF497" s="196"/>
      <c r="AG497" s="196"/>
      <c r="AH497" s="196"/>
      <c r="AI497" s="196"/>
      <c r="AJ497" s="196"/>
      <c r="AK497" s="196"/>
      <c r="AL497" s="196"/>
      <c r="AM497" s="196"/>
    </row>
    <row r="498">
      <c r="F498" s="203"/>
      <c r="H498" s="196"/>
      <c r="I498" s="196"/>
      <c r="J498" s="196"/>
      <c r="K498" s="196"/>
      <c r="L498" s="196"/>
      <c r="M498" s="196"/>
      <c r="N498" s="196"/>
      <c r="O498" s="196"/>
      <c r="P498" s="196"/>
      <c r="Q498" s="196"/>
      <c r="R498" s="196"/>
      <c r="S498" s="196"/>
      <c r="T498" s="196"/>
      <c r="U498" s="196"/>
      <c r="V498" s="196"/>
      <c r="W498" s="196"/>
      <c r="X498" s="196"/>
      <c r="Y498" s="196"/>
      <c r="Z498" s="196"/>
      <c r="AA498" s="196"/>
      <c r="AB498" s="196"/>
      <c r="AC498" s="196"/>
      <c r="AD498" s="196"/>
      <c r="AE498" s="196"/>
      <c r="AF498" s="196"/>
      <c r="AG498" s="196"/>
      <c r="AH498" s="196"/>
      <c r="AI498" s="196"/>
      <c r="AJ498" s="196"/>
      <c r="AK498" s="196"/>
      <c r="AL498" s="196"/>
      <c r="AM498" s="196"/>
    </row>
    <row r="499">
      <c r="F499" s="203"/>
      <c r="H499" s="196"/>
      <c r="I499" s="196"/>
      <c r="J499" s="196"/>
      <c r="K499" s="196"/>
      <c r="L499" s="196"/>
      <c r="M499" s="196"/>
      <c r="N499" s="196"/>
      <c r="O499" s="196"/>
      <c r="P499" s="196"/>
      <c r="Q499" s="196"/>
      <c r="R499" s="196"/>
      <c r="S499" s="196"/>
      <c r="T499" s="196"/>
      <c r="U499" s="196"/>
      <c r="V499" s="196"/>
      <c r="W499" s="196"/>
      <c r="X499" s="196"/>
      <c r="Y499" s="196"/>
      <c r="Z499" s="196"/>
      <c r="AA499" s="196"/>
      <c r="AB499" s="196"/>
      <c r="AC499" s="196"/>
      <c r="AD499" s="196"/>
      <c r="AE499" s="196"/>
      <c r="AF499" s="196"/>
      <c r="AG499" s="196"/>
      <c r="AH499" s="196"/>
      <c r="AI499" s="196"/>
      <c r="AJ499" s="196"/>
      <c r="AK499" s="196"/>
      <c r="AL499" s="196"/>
      <c r="AM499" s="196"/>
    </row>
    <row r="500">
      <c r="F500" s="203"/>
      <c r="H500" s="196"/>
      <c r="I500" s="196"/>
      <c r="J500" s="196"/>
      <c r="K500" s="196"/>
      <c r="L500" s="196"/>
      <c r="M500" s="196"/>
      <c r="N500" s="196"/>
      <c r="O500" s="196"/>
      <c r="P500" s="196"/>
      <c r="Q500" s="196"/>
      <c r="R500" s="196"/>
      <c r="S500" s="196"/>
      <c r="T500" s="196"/>
      <c r="U500" s="196"/>
      <c r="V500" s="196"/>
      <c r="W500" s="196"/>
      <c r="X500" s="196"/>
      <c r="Y500" s="196"/>
      <c r="Z500" s="196"/>
      <c r="AA500" s="196"/>
      <c r="AB500" s="196"/>
      <c r="AC500" s="196"/>
      <c r="AD500" s="196"/>
      <c r="AE500" s="196"/>
      <c r="AF500" s="196"/>
      <c r="AG500" s="196"/>
      <c r="AH500" s="196"/>
      <c r="AI500" s="196"/>
      <c r="AJ500" s="196"/>
      <c r="AK500" s="196"/>
      <c r="AL500" s="196"/>
      <c r="AM500" s="196"/>
    </row>
    <row r="501">
      <c r="F501" s="203"/>
      <c r="H501" s="196"/>
      <c r="I501" s="196"/>
      <c r="J501" s="196"/>
      <c r="K501" s="196"/>
      <c r="L501" s="196"/>
      <c r="M501" s="196"/>
      <c r="N501" s="196"/>
      <c r="O501" s="196"/>
      <c r="P501" s="196"/>
      <c r="Q501" s="196"/>
      <c r="R501" s="196"/>
      <c r="S501" s="196"/>
      <c r="T501" s="196"/>
      <c r="U501" s="196"/>
      <c r="V501" s="196"/>
      <c r="W501" s="196"/>
      <c r="X501" s="196"/>
      <c r="Y501" s="196"/>
      <c r="Z501" s="196"/>
      <c r="AA501" s="196"/>
      <c r="AB501" s="196"/>
      <c r="AC501" s="196"/>
      <c r="AD501" s="196"/>
      <c r="AE501" s="196"/>
      <c r="AF501" s="196"/>
      <c r="AG501" s="196"/>
      <c r="AH501" s="196"/>
      <c r="AI501" s="196"/>
      <c r="AJ501" s="196"/>
      <c r="AK501" s="196"/>
      <c r="AL501" s="196"/>
      <c r="AM501" s="196"/>
    </row>
    <row r="502">
      <c r="F502" s="203"/>
      <c r="H502" s="196"/>
      <c r="I502" s="196"/>
      <c r="J502" s="196"/>
      <c r="K502" s="196"/>
      <c r="L502" s="196"/>
      <c r="M502" s="196"/>
      <c r="N502" s="196"/>
      <c r="O502" s="196"/>
      <c r="P502" s="196"/>
      <c r="Q502" s="196"/>
      <c r="R502" s="196"/>
      <c r="S502" s="196"/>
      <c r="T502" s="196"/>
      <c r="U502" s="196"/>
      <c r="V502" s="196"/>
      <c r="W502" s="196"/>
      <c r="X502" s="196"/>
      <c r="Y502" s="196"/>
      <c r="Z502" s="196"/>
      <c r="AA502" s="196"/>
      <c r="AB502" s="196"/>
      <c r="AC502" s="196"/>
      <c r="AD502" s="196"/>
      <c r="AE502" s="196"/>
      <c r="AF502" s="196"/>
      <c r="AG502" s="196"/>
      <c r="AH502" s="196"/>
      <c r="AI502" s="196"/>
      <c r="AJ502" s="196"/>
      <c r="AK502" s="196"/>
      <c r="AL502" s="196"/>
      <c r="AM502" s="196"/>
    </row>
    <row r="503">
      <c r="F503" s="203"/>
      <c r="H503" s="196"/>
      <c r="I503" s="196"/>
      <c r="J503" s="196"/>
      <c r="K503" s="196"/>
      <c r="L503" s="196"/>
      <c r="M503" s="196"/>
      <c r="N503" s="196"/>
      <c r="O503" s="196"/>
      <c r="P503" s="196"/>
      <c r="Q503" s="196"/>
      <c r="R503" s="196"/>
      <c r="S503" s="196"/>
      <c r="T503" s="196"/>
      <c r="U503" s="196"/>
      <c r="V503" s="196"/>
      <c r="W503" s="196"/>
      <c r="X503" s="196"/>
      <c r="Y503" s="196"/>
      <c r="Z503" s="196"/>
      <c r="AA503" s="196"/>
      <c r="AB503" s="196"/>
      <c r="AC503" s="196"/>
      <c r="AD503" s="196"/>
      <c r="AE503" s="196"/>
      <c r="AF503" s="196"/>
      <c r="AG503" s="196"/>
      <c r="AH503" s="196"/>
      <c r="AI503" s="196"/>
      <c r="AJ503" s="196"/>
      <c r="AK503" s="196"/>
      <c r="AL503" s="196"/>
      <c r="AM503" s="196"/>
    </row>
    <row r="504">
      <c r="F504" s="203"/>
      <c r="H504" s="196"/>
      <c r="I504" s="196"/>
      <c r="J504" s="196"/>
      <c r="K504" s="196"/>
      <c r="L504" s="196"/>
      <c r="M504" s="196"/>
      <c r="N504" s="196"/>
      <c r="O504" s="196"/>
      <c r="P504" s="196"/>
      <c r="Q504" s="196"/>
      <c r="R504" s="196"/>
      <c r="S504" s="196"/>
      <c r="T504" s="196"/>
      <c r="U504" s="196"/>
      <c r="V504" s="196"/>
      <c r="W504" s="196"/>
      <c r="X504" s="196"/>
      <c r="Y504" s="196"/>
      <c r="Z504" s="196"/>
      <c r="AA504" s="196"/>
      <c r="AB504" s="196"/>
      <c r="AC504" s="196"/>
      <c r="AD504" s="196"/>
      <c r="AE504" s="196"/>
      <c r="AF504" s="196"/>
      <c r="AG504" s="196"/>
      <c r="AH504" s="196"/>
      <c r="AI504" s="196"/>
      <c r="AJ504" s="196"/>
      <c r="AK504" s="196"/>
      <c r="AL504" s="196"/>
      <c r="AM504" s="196"/>
    </row>
    <row r="505">
      <c r="F505" s="203"/>
      <c r="H505" s="196"/>
      <c r="I505" s="196"/>
      <c r="J505" s="196"/>
      <c r="K505" s="196"/>
      <c r="L505" s="196"/>
      <c r="M505" s="196"/>
      <c r="N505" s="196"/>
      <c r="O505" s="196"/>
      <c r="P505" s="196"/>
      <c r="Q505" s="196"/>
      <c r="R505" s="196"/>
      <c r="S505" s="196"/>
      <c r="T505" s="196"/>
      <c r="U505" s="196"/>
      <c r="V505" s="196"/>
      <c r="W505" s="196"/>
      <c r="X505" s="196"/>
      <c r="Y505" s="196"/>
      <c r="Z505" s="196"/>
      <c r="AA505" s="196"/>
      <c r="AB505" s="196"/>
      <c r="AC505" s="196"/>
      <c r="AD505" s="196"/>
      <c r="AE505" s="196"/>
      <c r="AF505" s="196"/>
      <c r="AG505" s="196"/>
      <c r="AH505" s="196"/>
      <c r="AI505" s="196"/>
      <c r="AJ505" s="196"/>
      <c r="AK505" s="196"/>
      <c r="AL505" s="196"/>
      <c r="AM505" s="196"/>
    </row>
    <row r="506">
      <c r="F506" s="203"/>
      <c r="H506" s="196"/>
      <c r="I506" s="196"/>
      <c r="J506" s="196"/>
      <c r="K506" s="196"/>
      <c r="L506" s="196"/>
      <c r="M506" s="196"/>
      <c r="N506" s="196"/>
      <c r="O506" s="196"/>
      <c r="P506" s="196"/>
      <c r="Q506" s="196"/>
      <c r="R506" s="196"/>
      <c r="S506" s="196"/>
      <c r="T506" s="196"/>
      <c r="U506" s="196"/>
      <c r="V506" s="196"/>
      <c r="W506" s="196"/>
      <c r="X506" s="196"/>
      <c r="Y506" s="196"/>
      <c r="Z506" s="196"/>
      <c r="AA506" s="196"/>
      <c r="AB506" s="196"/>
      <c r="AC506" s="196"/>
      <c r="AD506" s="196"/>
      <c r="AE506" s="196"/>
      <c r="AF506" s="196"/>
      <c r="AG506" s="196"/>
      <c r="AH506" s="196"/>
      <c r="AI506" s="196"/>
      <c r="AJ506" s="196"/>
      <c r="AK506" s="196"/>
      <c r="AL506" s="196"/>
      <c r="AM506" s="196"/>
    </row>
    <row r="507">
      <c r="F507" s="203"/>
      <c r="H507" s="196"/>
      <c r="I507" s="196"/>
      <c r="J507" s="196"/>
      <c r="K507" s="196"/>
      <c r="L507" s="196"/>
      <c r="M507" s="196"/>
      <c r="N507" s="196"/>
      <c r="O507" s="196"/>
      <c r="P507" s="196"/>
      <c r="Q507" s="196"/>
      <c r="R507" s="196"/>
      <c r="S507" s="196"/>
      <c r="T507" s="196"/>
      <c r="U507" s="196"/>
      <c r="V507" s="196"/>
      <c r="W507" s="196"/>
      <c r="X507" s="196"/>
      <c r="Y507" s="196"/>
      <c r="Z507" s="196"/>
      <c r="AA507" s="196"/>
      <c r="AB507" s="196"/>
      <c r="AC507" s="196"/>
      <c r="AD507" s="196"/>
      <c r="AE507" s="196"/>
      <c r="AF507" s="196"/>
      <c r="AG507" s="196"/>
      <c r="AH507" s="196"/>
      <c r="AI507" s="196"/>
      <c r="AJ507" s="196"/>
      <c r="AK507" s="196"/>
      <c r="AL507" s="196"/>
      <c r="AM507" s="196"/>
    </row>
    <row r="508">
      <c r="F508" s="203"/>
      <c r="H508" s="196"/>
      <c r="I508" s="196"/>
      <c r="J508" s="196"/>
      <c r="K508" s="196"/>
      <c r="L508" s="196"/>
      <c r="M508" s="196"/>
      <c r="N508" s="196"/>
      <c r="O508" s="196"/>
      <c r="P508" s="196"/>
      <c r="Q508" s="196"/>
      <c r="R508" s="196"/>
      <c r="S508" s="196"/>
      <c r="T508" s="196"/>
      <c r="U508" s="196"/>
      <c r="V508" s="196"/>
      <c r="W508" s="196"/>
      <c r="X508" s="196"/>
      <c r="Y508" s="196"/>
      <c r="Z508" s="196"/>
      <c r="AA508" s="196"/>
      <c r="AB508" s="196"/>
      <c r="AC508" s="196"/>
      <c r="AD508" s="196"/>
      <c r="AE508" s="196"/>
      <c r="AF508" s="196"/>
      <c r="AG508" s="196"/>
      <c r="AH508" s="196"/>
      <c r="AI508" s="196"/>
      <c r="AJ508" s="196"/>
      <c r="AK508" s="196"/>
      <c r="AL508" s="196"/>
      <c r="AM508" s="196"/>
    </row>
    <row r="509">
      <c r="F509" s="203"/>
      <c r="H509" s="196"/>
      <c r="I509" s="196"/>
      <c r="J509" s="196"/>
      <c r="K509" s="196"/>
      <c r="L509" s="196"/>
      <c r="M509" s="196"/>
      <c r="N509" s="196"/>
      <c r="O509" s="196"/>
      <c r="P509" s="196"/>
      <c r="Q509" s="196"/>
      <c r="R509" s="196"/>
      <c r="S509" s="196"/>
      <c r="T509" s="196"/>
      <c r="U509" s="196"/>
      <c r="V509" s="196"/>
      <c r="W509" s="196"/>
      <c r="X509" s="196"/>
      <c r="Y509" s="196"/>
      <c r="Z509" s="196"/>
      <c r="AA509" s="196"/>
      <c r="AB509" s="196"/>
      <c r="AC509" s="196"/>
      <c r="AD509" s="196"/>
      <c r="AE509" s="196"/>
      <c r="AF509" s="196"/>
      <c r="AG509" s="196"/>
      <c r="AH509" s="196"/>
      <c r="AI509" s="196"/>
      <c r="AJ509" s="196"/>
      <c r="AK509" s="196"/>
      <c r="AL509" s="196"/>
      <c r="AM509" s="196"/>
    </row>
    <row r="510">
      <c r="F510" s="203"/>
      <c r="H510" s="196"/>
      <c r="I510" s="196"/>
      <c r="J510" s="196"/>
      <c r="K510" s="196"/>
      <c r="L510" s="196"/>
      <c r="M510" s="196"/>
      <c r="N510" s="196"/>
      <c r="O510" s="196"/>
      <c r="P510" s="196"/>
      <c r="Q510" s="196"/>
      <c r="R510" s="196"/>
      <c r="S510" s="196"/>
      <c r="T510" s="196"/>
      <c r="U510" s="196"/>
      <c r="V510" s="196"/>
      <c r="W510" s="196"/>
      <c r="X510" s="196"/>
      <c r="Y510" s="196"/>
      <c r="Z510" s="196"/>
      <c r="AA510" s="196"/>
      <c r="AB510" s="196"/>
      <c r="AC510" s="196"/>
      <c r="AD510" s="196"/>
      <c r="AE510" s="196"/>
      <c r="AF510" s="196"/>
      <c r="AG510" s="196"/>
      <c r="AH510" s="196"/>
      <c r="AI510" s="196"/>
      <c r="AJ510" s="196"/>
      <c r="AK510" s="196"/>
      <c r="AL510" s="196"/>
      <c r="AM510" s="196"/>
    </row>
    <row r="511">
      <c r="F511" s="203"/>
      <c r="H511" s="196"/>
      <c r="I511" s="196"/>
      <c r="J511" s="196"/>
      <c r="K511" s="196"/>
      <c r="L511" s="196"/>
      <c r="M511" s="196"/>
      <c r="N511" s="196"/>
      <c r="O511" s="196"/>
      <c r="P511" s="196"/>
      <c r="Q511" s="196"/>
      <c r="R511" s="196"/>
      <c r="S511" s="196"/>
      <c r="T511" s="196"/>
      <c r="U511" s="196"/>
      <c r="V511" s="196"/>
      <c r="W511" s="196"/>
      <c r="X511" s="196"/>
      <c r="Y511" s="196"/>
      <c r="Z511" s="196"/>
      <c r="AA511" s="196"/>
      <c r="AB511" s="196"/>
      <c r="AC511" s="196"/>
      <c r="AD511" s="196"/>
      <c r="AE511" s="196"/>
      <c r="AF511" s="196"/>
      <c r="AG511" s="196"/>
      <c r="AH511" s="196"/>
      <c r="AI511" s="196"/>
      <c r="AJ511" s="196"/>
      <c r="AK511" s="196"/>
      <c r="AL511" s="196"/>
      <c r="AM511" s="196"/>
    </row>
    <row r="512">
      <c r="F512" s="203"/>
      <c r="H512" s="196"/>
      <c r="I512" s="196"/>
      <c r="J512" s="196"/>
      <c r="K512" s="196"/>
      <c r="L512" s="196"/>
      <c r="M512" s="196"/>
      <c r="N512" s="196"/>
      <c r="O512" s="196"/>
      <c r="P512" s="196"/>
      <c r="Q512" s="196"/>
      <c r="R512" s="196"/>
      <c r="S512" s="196"/>
      <c r="T512" s="196"/>
      <c r="U512" s="196"/>
      <c r="V512" s="196"/>
      <c r="W512" s="196"/>
      <c r="X512" s="196"/>
      <c r="Y512" s="196"/>
      <c r="Z512" s="196"/>
      <c r="AA512" s="196"/>
      <c r="AB512" s="196"/>
      <c r="AC512" s="196"/>
      <c r="AD512" s="196"/>
      <c r="AE512" s="196"/>
      <c r="AF512" s="196"/>
      <c r="AG512" s="196"/>
      <c r="AH512" s="196"/>
      <c r="AI512" s="196"/>
      <c r="AJ512" s="196"/>
      <c r="AK512" s="196"/>
      <c r="AL512" s="196"/>
      <c r="AM512" s="196"/>
    </row>
    <row r="513">
      <c r="F513" s="203"/>
      <c r="H513" s="196"/>
      <c r="I513" s="196"/>
      <c r="J513" s="196"/>
      <c r="K513" s="196"/>
      <c r="L513" s="196"/>
      <c r="M513" s="196"/>
      <c r="N513" s="196"/>
      <c r="O513" s="196"/>
      <c r="P513" s="196"/>
      <c r="Q513" s="196"/>
      <c r="R513" s="196"/>
      <c r="S513" s="196"/>
      <c r="T513" s="196"/>
      <c r="U513" s="196"/>
      <c r="V513" s="196"/>
      <c r="W513" s="196"/>
      <c r="X513" s="196"/>
      <c r="Y513" s="196"/>
      <c r="Z513" s="196"/>
      <c r="AA513" s="196"/>
      <c r="AB513" s="196"/>
      <c r="AC513" s="196"/>
      <c r="AD513" s="196"/>
      <c r="AE513" s="196"/>
      <c r="AF513" s="196"/>
      <c r="AG513" s="196"/>
      <c r="AH513" s="196"/>
      <c r="AI513" s="196"/>
      <c r="AJ513" s="196"/>
      <c r="AK513" s="196"/>
      <c r="AL513" s="196"/>
      <c r="AM513" s="196"/>
    </row>
    <row r="514">
      <c r="F514" s="203"/>
      <c r="H514" s="196"/>
      <c r="I514" s="196"/>
      <c r="J514" s="196"/>
      <c r="K514" s="196"/>
      <c r="L514" s="196"/>
      <c r="M514" s="196"/>
      <c r="N514" s="196"/>
      <c r="O514" s="196"/>
      <c r="P514" s="196"/>
      <c r="Q514" s="196"/>
      <c r="R514" s="196"/>
      <c r="S514" s="196"/>
      <c r="T514" s="196"/>
      <c r="U514" s="196"/>
      <c r="V514" s="196"/>
      <c r="W514" s="196"/>
      <c r="X514" s="196"/>
      <c r="Y514" s="196"/>
      <c r="Z514" s="196"/>
      <c r="AA514" s="196"/>
      <c r="AB514" s="196"/>
      <c r="AC514" s="196"/>
      <c r="AD514" s="196"/>
      <c r="AE514" s="196"/>
      <c r="AF514" s="196"/>
      <c r="AG514" s="196"/>
      <c r="AH514" s="196"/>
      <c r="AI514" s="196"/>
      <c r="AJ514" s="196"/>
      <c r="AK514" s="196"/>
      <c r="AL514" s="196"/>
      <c r="AM514" s="196"/>
    </row>
    <row r="515">
      <c r="F515" s="203"/>
      <c r="H515" s="196"/>
      <c r="I515" s="196"/>
      <c r="J515" s="196"/>
      <c r="K515" s="196"/>
      <c r="L515" s="196"/>
      <c r="M515" s="196"/>
      <c r="N515" s="196"/>
      <c r="O515" s="196"/>
      <c r="P515" s="196"/>
      <c r="Q515" s="196"/>
      <c r="R515" s="196"/>
      <c r="S515" s="196"/>
      <c r="T515" s="196"/>
      <c r="U515" s="196"/>
      <c r="V515" s="196"/>
      <c r="W515" s="196"/>
      <c r="X515" s="196"/>
      <c r="Y515" s="196"/>
      <c r="Z515" s="196"/>
      <c r="AA515" s="196"/>
      <c r="AB515" s="196"/>
      <c r="AC515" s="196"/>
      <c r="AD515" s="196"/>
      <c r="AE515" s="196"/>
      <c r="AF515" s="196"/>
      <c r="AG515" s="196"/>
      <c r="AH515" s="196"/>
      <c r="AI515" s="196"/>
      <c r="AJ515" s="196"/>
      <c r="AK515" s="196"/>
      <c r="AL515" s="196"/>
      <c r="AM515" s="196"/>
    </row>
    <row r="516">
      <c r="F516" s="203"/>
      <c r="H516" s="196"/>
      <c r="I516" s="196"/>
      <c r="J516" s="196"/>
      <c r="K516" s="196"/>
      <c r="L516" s="196"/>
      <c r="M516" s="196"/>
      <c r="N516" s="196"/>
      <c r="O516" s="196"/>
      <c r="P516" s="196"/>
      <c r="Q516" s="196"/>
      <c r="R516" s="196"/>
      <c r="S516" s="196"/>
      <c r="T516" s="196"/>
      <c r="U516" s="196"/>
      <c r="V516" s="196"/>
      <c r="W516" s="196"/>
      <c r="X516" s="196"/>
      <c r="Y516" s="196"/>
      <c r="Z516" s="196"/>
      <c r="AA516" s="196"/>
      <c r="AB516" s="196"/>
      <c r="AC516" s="196"/>
      <c r="AD516" s="196"/>
      <c r="AE516" s="196"/>
      <c r="AF516" s="196"/>
      <c r="AG516" s="196"/>
      <c r="AH516" s="196"/>
      <c r="AI516" s="196"/>
      <c r="AJ516" s="196"/>
      <c r="AK516" s="196"/>
      <c r="AL516" s="196"/>
      <c r="AM516" s="196"/>
    </row>
    <row r="517">
      <c r="F517" s="203"/>
      <c r="H517" s="196"/>
      <c r="I517" s="196"/>
      <c r="J517" s="196"/>
      <c r="K517" s="196"/>
      <c r="L517" s="196"/>
      <c r="M517" s="196"/>
      <c r="N517" s="196"/>
      <c r="O517" s="196"/>
      <c r="P517" s="196"/>
      <c r="Q517" s="196"/>
      <c r="R517" s="196"/>
      <c r="S517" s="196"/>
      <c r="T517" s="196"/>
      <c r="U517" s="196"/>
      <c r="V517" s="196"/>
      <c r="W517" s="196"/>
      <c r="X517" s="196"/>
      <c r="Y517" s="196"/>
      <c r="Z517" s="196"/>
      <c r="AA517" s="196"/>
      <c r="AB517" s="196"/>
      <c r="AC517" s="196"/>
      <c r="AD517" s="196"/>
      <c r="AE517" s="196"/>
      <c r="AF517" s="196"/>
      <c r="AG517" s="196"/>
      <c r="AH517" s="196"/>
      <c r="AI517" s="196"/>
      <c r="AJ517" s="196"/>
      <c r="AK517" s="196"/>
      <c r="AL517" s="196"/>
      <c r="AM517" s="196"/>
    </row>
    <row r="518">
      <c r="F518" s="203"/>
      <c r="H518" s="196"/>
      <c r="I518" s="196"/>
      <c r="J518" s="196"/>
      <c r="K518" s="196"/>
      <c r="L518" s="196"/>
      <c r="M518" s="196"/>
      <c r="N518" s="196"/>
      <c r="O518" s="196"/>
      <c r="P518" s="196"/>
      <c r="Q518" s="196"/>
      <c r="R518" s="196"/>
      <c r="S518" s="196"/>
      <c r="T518" s="196"/>
      <c r="U518" s="196"/>
      <c r="V518" s="196"/>
      <c r="W518" s="196"/>
      <c r="X518" s="196"/>
      <c r="Y518" s="196"/>
      <c r="Z518" s="196"/>
      <c r="AA518" s="196"/>
      <c r="AB518" s="196"/>
      <c r="AC518" s="196"/>
      <c r="AD518" s="196"/>
      <c r="AE518" s="196"/>
      <c r="AF518" s="196"/>
      <c r="AG518" s="196"/>
      <c r="AH518" s="196"/>
      <c r="AI518" s="196"/>
      <c r="AJ518" s="196"/>
      <c r="AK518" s="196"/>
      <c r="AL518" s="196"/>
      <c r="AM518" s="196"/>
    </row>
    <row r="519">
      <c r="F519" s="203"/>
      <c r="H519" s="196"/>
      <c r="I519" s="196"/>
      <c r="J519" s="196"/>
      <c r="K519" s="196"/>
      <c r="L519" s="196"/>
      <c r="M519" s="196"/>
      <c r="N519" s="196"/>
      <c r="O519" s="196"/>
      <c r="P519" s="196"/>
      <c r="Q519" s="196"/>
      <c r="R519" s="196"/>
      <c r="S519" s="196"/>
      <c r="T519" s="196"/>
      <c r="U519" s="196"/>
      <c r="V519" s="196"/>
      <c r="W519" s="196"/>
      <c r="X519" s="196"/>
      <c r="Y519" s="196"/>
      <c r="Z519" s="196"/>
      <c r="AA519" s="196"/>
      <c r="AB519" s="196"/>
      <c r="AC519" s="196"/>
      <c r="AD519" s="196"/>
      <c r="AE519" s="196"/>
      <c r="AF519" s="196"/>
      <c r="AG519" s="196"/>
      <c r="AH519" s="196"/>
      <c r="AI519" s="196"/>
      <c r="AJ519" s="196"/>
      <c r="AK519" s="196"/>
      <c r="AL519" s="196"/>
      <c r="AM519" s="196"/>
    </row>
    <row r="520">
      <c r="F520" s="203"/>
      <c r="H520" s="196"/>
      <c r="I520" s="196"/>
      <c r="J520" s="196"/>
      <c r="K520" s="196"/>
      <c r="L520" s="196"/>
      <c r="M520" s="196"/>
      <c r="N520" s="196"/>
      <c r="O520" s="196"/>
      <c r="P520" s="196"/>
      <c r="Q520" s="196"/>
      <c r="R520" s="196"/>
      <c r="S520" s="196"/>
      <c r="T520" s="196"/>
      <c r="U520" s="196"/>
      <c r="V520" s="196"/>
      <c r="W520" s="196"/>
      <c r="X520" s="196"/>
      <c r="Y520" s="196"/>
      <c r="Z520" s="196"/>
      <c r="AA520" s="196"/>
      <c r="AB520" s="196"/>
      <c r="AC520" s="196"/>
      <c r="AD520" s="196"/>
      <c r="AE520" s="196"/>
      <c r="AF520" s="196"/>
      <c r="AG520" s="196"/>
      <c r="AH520" s="196"/>
      <c r="AI520" s="196"/>
      <c r="AJ520" s="196"/>
      <c r="AK520" s="196"/>
      <c r="AL520" s="196"/>
      <c r="AM520" s="196"/>
    </row>
    <row r="521">
      <c r="F521" s="203"/>
      <c r="H521" s="196"/>
      <c r="I521" s="196"/>
      <c r="J521" s="196"/>
      <c r="K521" s="196"/>
      <c r="L521" s="196"/>
      <c r="M521" s="196"/>
      <c r="N521" s="196"/>
      <c r="O521" s="196"/>
      <c r="P521" s="196"/>
      <c r="Q521" s="196"/>
      <c r="R521" s="196"/>
      <c r="S521" s="196"/>
      <c r="T521" s="196"/>
      <c r="U521" s="196"/>
      <c r="V521" s="196"/>
      <c r="W521" s="196"/>
      <c r="X521" s="196"/>
      <c r="Y521" s="196"/>
      <c r="Z521" s="196"/>
      <c r="AA521" s="196"/>
      <c r="AB521" s="196"/>
      <c r="AC521" s="196"/>
      <c r="AD521" s="196"/>
      <c r="AE521" s="196"/>
      <c r="AF521" s="196"/>
      <c r="AG521" s="196"/>
      <c r="AH521" s="196"/>
      <c r="AI521" s="196"/>
      <c r="AJ521" s="196"/>
      <c r="AK521" s="196"/>
      <c r="AL521" s="196"/>
      <c r="AM521" s="196"/>
    </row>
    <row r="522">
      <c r="F522" s="203"/>
      <c r="H522" s="196"/>
      <c r="I522" s="196"/>
      <c r="J522" s="196"/>
      <c r="K522" s="196"/>
      <c r="L522" s="196"/>
      <c r="M522" s="196"/>
      <c r="N522" s="196"/>
      <c r="O522" s="196"/>
      <c r="P522" s="196"/>
      <c r="Q522" s="196"/>
      <c r="R522" s="196"/>
      <c r="S522" s="196"/>
      <c r="T522" s="196"/>
      <c r="U522" s="196"/>
      <c r="V522" s="196"/>
      <c r="W522" s="196"/>
      <c r="X522" s="196"/>
      <c r="Y522" s="196"/>
      <c r="Z522" s="196"/>
      <c r="AA522" s="196"/>
      <c r="AB522" s="196"/>
      <c r="AC522" s="196"/>
      <c r="AD522" s="196"/>
      <c r="AE522" s="196"/>
      <c r="AF522" s="196"/>
      <c r="AG522" s="196"/>
      <c r="AH522" s="196"/>
      <c r="AI522" s="196"/>
      <c r="AJ522" s="196"/>
      <c r="AK522" s="196"/>
      <c r="AL522" s="196"/>
      <c r="AM522" s="196"/>
    </row>
    <row r="523">
      <c r="F523" s="203"/>
      <c r="H523" s="196"/>
      <c r="I523" s="196"/>
      <c r="J523" s="196"/>
      <c r="K523" s="196"/>
      <c r="L523" s="196"/>
      <c r="M523" s="196"/>
      <c r="N523" s="196"/>
      <c r="O523" s="196"/>
      <c r="P523" s="196"/>
      <c r="Q523" s="196"/>
      <c r="R523" s="196"/>
      <c r="S523" s="196"/>
      <c r="T523" s="196"/>
      <c r="U523" s="196"/>
      <c r="V523" s="196"/>
      <c r="W523" s="196"/>
      <c r="X523" s="196"/>
      <c r="Y523" s="196"/>
      <c r="Z523" s="196"/>
      <c r="AA523" s="196"/>
      <c r="AB523" s="196"/>
      <c r="AC523" s="196"/>
      <c r="AD523" s="196"/>
      <c r="AE523" s="196"/>
      <c r="AF523" s="196"/>
      <c r="AG523" s="196"/>
      <c r="AH523" s="196"/>
      <c r="AI523" s="196"/>
      <c r="AJ523" s="196"/>
      <c r="AK523" s="196"/>
      <c r="AL523" s="196"/>
      <c r="AM523" s="196"/>
    </row>
    <row r="524">
      <c r="F524" s="203"/>
      <c r="H524" s="196"/>
      <c r="I524" s="196"/>
      <c r="J524" s="196"/>
      <c r="K524" s="196"/>
      <c r="L524" s="196"/>
      <c r="M524" s="196"/>
      <c r="N524" s="196"/>
      <c r="O524" s="196"/>
      <c r="P524" s="196"/>
      <c r="Q524" s="196"/>
      <c r="R524" s="196"/>
      <c r="S524" s="196"/>
      <c r="T524" s="196"/>
      <c r="U524" s="196"/>
      <c r="V524" s="196"/>
      <c r="W524" s="196"/>
      <c r="X524" s="196"/>
      <c r="Y524" s="196"/>
      <c r="Z524" s="196"/>
      <c r="AA524" s="196"/>
      <c r="AB524" s="196"/>
      <c r="AC524" s="196"/>
      <c r="AD524" s="196"/>
      <c r="AE524" s="196"/>
      <c r="AF524" s="196"/>
      <c r="AG524" s="196"/>
      <c r="AH524" s="196"/>
      <c r="AI524" s="196"/>
      <c r="AJ524" s="196"/>
      <c r="AK524" s="196"/>
      <c r="AL524" s="196"/>
      <c r="AM524" s="196"/>
    </row>
    <row r="525">
      <c r="F525" s="203"/>
      <c r="H525" s="196"/>
      <c r="I525" s="196"/>
      <c r="J525" s="196"/>
      <c r="K525" s="196"/>
      <c r="L525" s="196"/>
      <c r="M525" s="196"/>
      <c r="N525" s="196"/>
      <c r="O525" s="196"/>
      <c r="P525" s="196"/>
      <c r="Q525" s="196"/>
      <c r="R525" s="196"/>
      <c r="S525" s="196"/>
      <c r="T525" s="196"/>
      <c r="U525" s="196"/>
      <c r="V525" s="196"/>
      <c r="W525" s="196"/>
      <c r="X525" s="196"/>
      <c r="Y525" s="196"/>
      <c r="Z525" s="196"/>
      <c r="AA525" s="196"/>
      <c r="AB525" s="196"/>
      <c r="AC525" s="196"/>
      <c r="AD525" s="196"/>
      <c r="AE525" s="196"/>
      <c r="AF525" s="196"/>
      <c r="AG525" s="196"/>
      <c r="AH525" s="196"/>
      <c r="AI525" s="196"/>
      <c r="AJ525" s="196"/>
      <c r="AK525" s="196"/>
      <c r="AL525" s="196"/>
      <c r="AM525" s="196"/>
    </row>
    <row r="526">
      <c r="F526" s="203"/>
      <c r="H526" s="196"/>
      <c r="I526" s="196"/>
      <c r="J526" s="196"/>
      <c r="K526" s="196"/>
      <c r="L526" s="196"/>
      <c r="M526" s="196"/>
      <c r="N526" s="196"/>
      <c r="O526" s="196"/>
      <c r="P526" s="196"/>
      <c r="Q526" s="196"/>
      <c r="R526" s="196"/>
      <c r="S526" s="196"/>
      <c r="T526" s="196"/>
      <c r="U526" s="196"/>
      <c r="V526" s="196"/>
      <c r="W526" s="196"/>
      <c r="X526" s="196"/>
      <c r="Y526" s="196"/>
      <c r="Z526" s="196"/>
      <c r="AA526" s="196"/>
      <c r="AB526" s="196"/>
      <c r="AC526" s="196"/>
      <c r="AD526" s="196"/>
      <c r="AE526" s="196"/>
      <c r="AF526" s="196"/>
      <c r="AG526" s="196"/>
      <c r="AH526" s="196"/>
      <c r="AI526" s="196"/>
      <c r="AJ526" s="196"/>
      <c r="AK526" s="196"/>
      <c r="AL526" s="196"/>
      <c r="AM526" s="196"/>
    </row>
    <row r="527">
      <c r="F527" s="203"/>
      <c r="H527" s="196"/>
      <c r="I527" s="196"/>
      <c r="J527" s="196"/>
      <c r="K527" s="196"/>
      <c r="L527" s="196"/>
      <c r="M527" s="196"/>
      <c r="N527" s="196"/>
      <c r="O527" s="196"/>
      <c r="P527" s="196"/>
      <c r="Q527" s="196"/>
      <c r="R527" s="196"/>
      <c r="S527" s="196"/>
      <c r="T527" s="196"/>
      <c r="U527" s="196"/>
      <c r="V527" s="196"/>
      <c r="W527" s="196"/>
      <c r="X527" s="196"/>
      <c r="Y527" s="196"/>
      <c r="Z527" s="196"/>
      <c r="AA527" s="196"/>
      <c r="AB527" s="196"/>
      <c r="AC527" s="196"/>
      <c r="AD527" s="196"/>
      <c r="AE527" s="196"/>
      <c r="AF527" s="196"/>
      <c r="AG527" s="196"/>
      <c r="AH527" s="196"/>
      <c r="AI527" s="196"/>
      <c r="AJ527" s="196"/>
      <c r="AK527" s="196"/>
      <c r="AL527" s="196"/>
      <c r="AM527" s="196"/>
    </row>
    <row r="528">
      <c r="F528" s="203"/>
      <c r="H528" s="196"/>
      <c r="I528" s="196"/>
      <c r="J528" s="196"/>
      <c r="K528" s="196"/>
      <c r="L528" s="196"/>
      <c r="M528" s="196"/>
      <c r="N528" s="196"/>
      <c r="O528" s="196"/>
      <c r="P528" s="196"/>
      <c r="Q528" s="196"/>
      <c r="R528" s="196"/>
      <c r="S528" s="196"/>
      <c r="T528" s="196"/>
      <c r="U528" s="196"/>
      <c r="V528" s="196"/>
      <c r="W528" s="196"/>
      <c r="X528" s="196"/>
      <c r="Y528" s="196"/>
      <c r="Z528" s="196"/>
      <c r="AA528" s="196"/>
      <c r="AB528" s="196"/>
      <c r="AC528" s="196"/>
      <c r="AD528" s="196"/>
      <c r="AE528" s="196"/>
      <c r="AF528" s="196"/>
      <c r="AG528" s="196"/>
      <c r="AH528" s="196"/>
      <c r="AI528" s="196"/>
      <c r="AJ528" s="196"/>
      <c r="AK528" s="196"/>
      <c r="AL528" s="196"/>
      <c r="AM528" s="196"/>
    </row>
    <row r="529">
      <c r="F529" s="203"/>
      <c r="H529" s="196"/>
      <c r="I529" s="196"/>
      <c r="J529" s="196"/>
      <c r="K529" s="196"/>
      <c r="L529" s="196"/>
      <c r="M529" s="196"/>
      <c r="N529" s="196"/>
      <c r="O529" s="196"/>
      <c r="P529" s="196"/>
      <c r="Q529" s="196"/>
      <c r="R529" s="196"/>
      <c r="S529" s="196"/>
      <c r="T529" s="196"/>
      <c r="U529" s="196"/>
      <c r="V529" s="196"/>
      <c r="W529" s="196"/>
      <c r="X529" s="196"/>
      <c r="Y529" s="196"/>
      <c r="Z529" s="196"/>
      <c r="AA529" s="196"/>
      <c r="AB529" s="196"/>
      <c r="AC529" s="196"/>
      <c r="AD529" s="196"/>
      <c r="AE529" s="196"/>
      <c r="AF529" s="196"/>
      <c r="AG529" s="196"/>
      <c r="AH529" s="196"/>
      <c r="AI529" s="196"/>
      <c r="AJ529" s="196"/>
      <c r="AK529" s="196"/>
      <c r="AL529" s="196"/>
      <c r="AM529" s="196"/>
    </row>
    <row r="530">
      <c r="F530" s="203"/>
      <c r="H530" s="196"/>
      <c r="I530" s="196"/>
      <c r="J530" s="196"/>
      <c r="K530" s="196"/>
      <c r="L530" s="196"/>
      <c r="M530" s="196"/>
      <c r="N530" s="196"/>
      <c r="O530" s="196"/>
      <c r="P530" s="196"/>
      <c r="Q530" s="196"/>
      <c r="R530" s="196"/>
      <c r="S530" s="196"/>
      <c r="T530" s="196"/>
      <c r="U530" s="196"/>
      <c r="V530" s="196"/>
      <c r="W530" s="196"/>
      <c r="X530" s="196"/>
      <c r="Y530" s="196"/>
      <c r="Z530" s="196"/>
      <c r="AA530" s="196"/>
      <c r="AB530" s="196"/>
      <c r="AC530" s="196"/>
      <c r="AD530" s="196"/>
      <c r="AE530" s="196"/>
      <c r="AF530" s="196"/>
      <c r="AG530" s="196"/>
      <c r="AH530" s="196"/>
      <c r="AI530" s="196"/>
      <c r="AJ530" s="196"/>
      <c r="AK530" s="196"/>
      <c r="AL530" s="196"/>
      <c r="AM530" s="196"/>
    </row>
    <row r="531">
      <c r="F531" s="203"/>
      <c r="H531" s="196"/>
      <c r="I531" s="196"/>
      <c r="J531" s="196"/>
      <c r="K531" s="196"/>
      <c r="L531" s="196"/>
      <c r="M531" s="196"/>
      <c r="N531" s="196"/>
      <c r="O531" s="196"/>
      <c r="P531" s="196"/>
      <c r="Q531" s="196"/>
      <c r="R531" s="196"/>
      <c r="S531" s="196"/>
      <c r="T531" s="196"/>
      <c r="U531" s="196"/>
      <c r="V531" s="196"/>
      <c r="W531" s="196"/>
      <c r="X531" s="196"/>
      <c r="Y531" s="196"/>
      <c r="Z531" s="196"/>
      <c r="AA531" s="196"/>
      <c r="AB531" s="196"/>
      <c r="AC531" s="196"/>
      <c r="AD531" s="196"/>
      <c r="AE531" s="196"/>
      <c r="AF531" s="196"/>
      <c r="AG531" s="196"/>
      <c r="AH531" s="196"/>
      <c r="AI531" s="196"/>
      <c r="AJ531" s="196"/>
      <c r="AK531" s="196"/>
      <c r="AL531" s="196"/>
      <c r="AM531" s="196"/>
    </row>
    <row r="532">
      <c r="F532" s="203"/>
      <c r="H532" s="196"/>
      <c r="I532" s="196"/>
      <c r="J532" s="196"/>
      <c r="K532" s="196"/>
      <c r="L532" s="196"/>
      <c r="M532" s="196"/>
      <c r="N532" s="196"/>
      <c r="O532" s="196"/>
      <c r="P532" s="196"/>
      <c r="Q532" s="196"/>
      <c r="R532" s="196"/>
      <c r="S532" s="196"/>
      <c r="T532" s="196"/>
      <c r="U532" s="196"/>
      <c r="V532" s="196"/>
      <c r="W532" s="196"/>
      <c r="X532" s="196"/>
      <c r="Y532" s="196"/>
      <c r="Z532" s="196"/>
      <c r="AA532" s="196"/>
      <c r="AB532" s="196"/>
      <c r="AC532" s="196"/>
      <c r="AD532" s="196"/>
      <c r="AE532" s="196"/>
      <c r="AF532" s="196"/>
      <c r="AG532" s="196"/>
      <c r="AH532" s="196"/>
      <c r="AI532" s="196"/>
      <c r="AJ532" s="196"/>
      <c r="AK532" s="196"/>
      <c r="AL532" s="196"/>
      <c r="AM532" s="196"/>
    </row>
    <row r="533">
      <c r="F533" s="203"/>
      <c r="H533" s="196"/>
      <c r="I533" s="196"/>
      <c r="J533" s="196"/>
      <c r="K533" s="196"/>
      <c r="L533" s="196"/>
      <c r="M533" s="196"/>
      <c r="N533" s="196"/>
      <c r="O533" s="196"/>
      <c r="P533" s="196"/>
      <c r="Q533" s="196"/>
      <c r="R533" s="196"/>
      <c r="S533" s="196"/>
      <c r="T533" s="196"/>
      <c r="U533" s="196"/>
      <c r="V533" s="196"/>
      <c r="W533" s="196"/>
      <c r="X533" s="196"/>
      <c r="Y533" s="196"/>
      <c r="Z533" s="196"/>
      <c r="AA533" s="196"/>
      <c r="AB533" s="196"/>
      <c r="AC533" s="196"/>
      <c r="AD533" s="196"/>
      <c r="AE533" s="196"/>
      <c r="AF533" s="196"/>
      <c r="AG533" s="196"/>
      <c r="AH533" s="196"/>
      <c r="AI533" s="196"/>
      <c r="AJ533" s="196"/>
      <c r="AK533" s="196"/>
      <c r="AL533" s="196"/>
      <c r="AM533" s="196"/>
    </row>
    <row r="534">
      <c r="F534" s="203"/>
      <c r="H534" s="196"/>
      <c r="I534" s="196"/>
      <c r="J534" s="196"/>
      <c r="K534" s="196"/>
      <c r="L534" s="196"/>
      <c r="M534" s="196"/>
      <c r="N534" s="196"/>
      <c r="O534" s="196"/>
      <c r="P534" s="196"/>
      <c r="Q534" s="196"/>
      <c r="R534" s="196"/>
      <c r="S534" s="196"/>
      <c r="T534" s="196"/>
      <c r="U534" s="196"/>
      <c r="V534" s="196"/>
      <c r="W534" s="196"/>
      <c r="X534" s="196"/>
      <c r="Y534" s="196"/>
      <c r="Z534" s="196"/>
      <c r="AA534" s="196"/>
      <c r="AB534" s="196"/>
      <c r="AC534" s="196"/>
      <c r="AD534" s="196"/>
      <c r="AE534" s="196"/>
      <c r="AF534" s="196"/>
      <c r="AG534" s="196"/>
      <c r="AH534" s="196"/>
      <c r="AI534" s="196"/>
      <c r="AJ534" s="196"/>
      <c r="AK534" s="196"/>
      <c r="AL534" s="196"/>
      <c r="AM534" s="196"/>
    </row>
    <row r="535">
      <c r="F535" s="203"/>
      <c r="H535" s="196"/>
      <c r="I535" s="196"/>
      <c r="J535" s="196"/>
      <c r="K535" s="196"/>
      <c r="L535" s="196"/>
      <c r="M535" s="196"/>
      <c r="N535" s="196"/>
      <c r="O535" s="196"/>
      <c r="P535" s="196"/>
      <c r="Q535" s="196"/>
      <c r="R535" s="196"/>
      <c r="S535" s="196"/>
      <c r="T535" s="196"/>
      <c r="U535" s="196"/>
      <c r="V535" s="196"/>
      <c r="W535" s="196"/>
      <c r="X535" s="196"/>
      <c r="Y535" s="196"/>
      <c r="Z535" s="196"/>
      <c r="AA535" s="196"/>
      <c r="AB535" s="196"/>
      <c r="AC535" s="196"/>
      <c r="AD535" s="196"/>
      <c r="AE535" s="196"/>
      <c r="AF535" s="196"/>
      <c r="AG535" s="196"/>
      <c r="AH535" s="196"/>
      <c r="AI535" s="196"/>
      <c r="AJ535" s="196"/>
      <c r="AK535" s="196"/>
      <c r="AL535" s="196"/>
      <c r="AM535" s="196"/>
    </row>
    <row r="536">
      <c r="F536" s="203"/>
      <c r="H536" s="196"/>
      <c r="I536" s="196"/>
      <c r="J536" s="196"/>
      <c r="K536" s="196"/>
      <c r="L536" s="196"/>
      <c r="M536" s="196"/>
      <c r="N536" s="196"/>
      <c r="O536" s="196"/>
      <c r="P536" s="196"/>
      <c r="Q536" s="196"/>
      <c r="R536" s="196"/>
      <c r="S536" s="196"/>
      <c r="T536" s="196"/>
      <c r="U536" s="196"/>
      <c r="V536" s="196"/>
      <c r="W536" s="196"/>
      <c r="X536" s="196"/>
      <c r="Y536" s="196"/>
      <c r="Z536" s="196"/>
      <c r="AA536" s="196"/>
      <c r="AB536" s="196"/>
      <c r="AC536" s="196"/>
      <c r="AD536" s="196"/>
      <c r="AE536" s="196"/>
      <c r="AF536" s="196"/>
      <c r="AG536" s="196"/>
      <c r="AH536" s="196"/>
      <c r="AI536" s="196"/>
      <c r="AJ536" s="196"/>
      <c r="AK536" s="196"/>
      <c r="AL536" s="196"/>
      <c r="AM536" s="196"/>
    </row>
    <row r="537">
      <c r="F537" s="203"/>
      <c r="H537" s="196"/>
      <c r="I537" s="196"/>
      <c r="J537" s="196"/>
      <c r="K537" s="196"/>
      <c r="L537" s="196"/>
      <c r="M537" s="196"/>
      <c r="N537" s="196"/>
      <c r="O537" s="196"/>
      <c r="P537" s="196"/>
      <c r="Q537" s="196"/>
      <c r="R537" s="196"/>
      <c r="S537" s="196"/>
      <c r="T537" s="196"/>
      <c r="U537" s="196"/>
      <c r="V537" s="196"/>
      <c r="W537" s="196"/>
      <c r="X537" s="196"/>
      <c r="Y537" s="196"/>
      <c r="Z537" s="196"/>
      <c r="AA537" s="196"/>
      <c r="AB537" s="196"/>
      <c r="AC537" s="196"/>
      <c r="AD537" s="196"/>
      <c r="AE537" s="196"/>
      <c r="AF537" s="196"/>
      <c r="AG537" s="196"/>
      <c r="AH537" s="196"/>
      <c r="AI537" s="196"/>
      <c r="AJ537" s="196"/>
      <c r="AK537" s="196"/>
      <c r="AL537" s="196"/>
      <c r="AM537" s="196"/>
    </row>
    <row r="538">
      <c r="F538" s="203"/>
      <c r="H538" s="196"/>
      <c r="I538" s="196"/>
      <c r="J538" s="196"/>
      <c r="K538" s="196"/>
      <c r="L538" s="196"/>
      <c r="M538" s="196"/>
      <c r="N538" s="196"/>
      <c r="O538" s="196"/>
      <c r="P538" s="196"/>
      <c r="Q538" s="196"/>
      <c r="R538" s="196"/>
      <c r="S538" s="196"/>
      <c r="T538" s="196"/>
      <c r="U538" s="196"/>
      <c r="V538" s="196"/>
      <c r="W538" s="196"/>
      <c r="X538" s="196"/>
      <c r="Y538" s="196"/>
      <c r="Z538" s="196"/>
      <c r="AA538" s="196"/>
      <c r="AB538" s="196"/>
      <c r="AC538" s="196"/>
      <c r="AD538" s="196"/>
      <c r="AE538" s="196"/>
      <c r="AF538" s="196"/>
      <c r="AG538" s="196"/>
      <c r="AH538" s="196"/>
      <c r="AI538" s="196"/>
      <c r="AJ538" s="196"/>
      <c r="AK538" s="196"/>
      <c r="AL538" s="196"/>
      <c r="AM538" s="196"/>
    </row>
    <row r="539">
      <c r="F539" s="203"/>
      <c r="H539" s="196"/>
      <c r="I539" s="196"/>
      <c r="J539" s="196"/>
      <c r="K539" s="196"/>
      <c r="L539" s="196"/>
      <c r="M539" s="196"/>
      <c r="N539" s="196"/>
      <c r="O539" s="196"/>
      <c r="P539" s="196"/>
      <c r="Q539" s="196"/>
      <c r="R539" s="196"/>
      <c r="S539" s="196"/>
      <c r="T539" s="196"/>
      <c r="U539" s="196"/>
      <c r="V539" s="196"/>
      <c r="W539" s="196"/>
      <c r="X539" s="196"/>
      <c r="Y539" s="196"/>
      <c r="Z539" s="196"/>
      <c r="AA539" s="196"/>
      <c r="AB539" s="196"/>
      <c r="AC539" s="196"/>
      <c r="AD539" s="196"/>
      <c r="AE539" s="196"/>
      <c r="AF539" s="196"/>
      <c r="AG539" s="196"/>
      <c r="AH539" s="196"/>
      <c r="AI539" s="196"/>
      <c r="AJ539" s="196"/>
      <c r="AK539" s="196"/>
      <c r="AL539" s="196"/>
      <c r="AM539" s="196"/>
    </row>
    <row r="540">
      <c r="F540" s="203"/>
      <c r="H540" s="196"/>
      <c r="I540" s="196"/>
      <c r="J540" s="196"/>
      <c r="K540" s="196"/>
      <c r="L540" s="196"/>
      <c r="M540" s="196"/>
      <c r="N540" s="196"/>
      <c r="O540" s="196"/>
      <c r="P540" s="196"/>
      <c r="Q540" s="196"/>
      <c r="R540" s="196"/>
      <c r="S540" s="196"/>
      <c r="T540" s="196"/>
      <c r="U540" s="196"/>
      <c r="V540" s="196"/>
      <c r="W540" s="196"/>
      <c r="X540" s="196"/>
      <c r="Y540" s="196"/>
      <c r="Z540" s="196"/>
      <c r="AA540" s="196"/>
      <c r="AB540" s="196"/>
      <c r="AC540" s="196"/>
      <c r="AD540" s="196"/>
      <c r="AE540" s="196"/>
      <c r="AF540" s="196"/>
      <c r="AG540" s="196"/>
      <c r="AH540" s="196"/>
      <c r="AI540" s="196"/>
      <c r="AJ540" s="196"/>
      <c r="AK540" s="196"/>
      <c r="AL540" s="196"/>
      <c r="AM540" s="196"/>
    </row>
    <row r="541">
      <c r="F541" s="203"/>
      <c r="H541" s="196"/>
      <c r="I541" s="196"/>
      <c r="J541" s="196"/>
      <c r="K541" s="196"/>
      <c r="L541" s="196"/>
      <c r="M541" s="196"/>
      <c r="N541" s="196"/>
      <c r="O541" s="196"/>
      <c r="P541" s="196"/>
      <c r="Q541" s="196"/>
      <c r="R541" s="196"/>
      <c r="S541" s="196"/>
      <c r="T541" s="196"/>
      <c r="U541" s="196"/>
      <c r="V541" s="196"/>
      <c r="W541" s="196"/>
      <c r="X541" s="196"/>
      <c r="Y541" s="196"/>
      <c r="Z541" s="196"/>
      <c r="AA541" s="196"/>
      <c r="AB541" s="196"/>
      <c r="AC541" s="196"/>
      <c r="AD541" s="196"/>
      <c r="AE541" s="196"/>
      <c r="AF541" s="196"/>
      <c r="AG541" s="196"/>
      <c r="AH541" s="196"/>
      <c r="AI541" s="196"/>
      <c r="AJ541" s="196"/>
      <c r="AK541" s="196"/>
      <c r="AL541" s="196"/>
      <c r="AM541" s="196"/>
    </row>
    <row r="542">
      <c r="F542" s="203"/>
      <c r="H542" s="196"/>
      <c r="I542" s="196"/>
      <c r="J542" s="196"/>
      <c r="K542" s="196"/>
      <c r="L542" s="196"/>
      <c r="M542" s="196"/>
      <c r="N542" s="196"/>
      <c r="O542" s="196"/>
      <c r="P542" s="196"/>
      <c r="Q542" s="196"/>
      <c r="R542" s="196"/>
      <c r="S542" s="196"/>
      <c r="T542" s="196"/>
      <c r="U542" s="196"/>
      <c r="V542" s="196"/>
      <c r="W542" s="196"/>
      <c r="X542" s="196"/>
      <c r="Y542" s="196"/>
      <c r="Z542" s="196"/>
      <c r="AA542" s="196"/>
      <c r="AB542" s="196"/>
      <c r="AC542" s="196"/>
      <c r="AD542" s="196"/>
      <c r="AE542" s="196"/>
      <c r="AF542" s="196"/>
      <c r="AG542" s="196"/>
      <c r="AH542" s="196"/>
      <c r="AI542" s="196"/>
      <c r="AJ542" s="196"/>
      <c r="AK542" s="196"/>
      <c r="AL542" s="196"/>
      <c r="AM542" s="196"/>
    </row>
    <row r="543">
      <c r="F543" s="203"/>
      <c r="H543" s="196"/>
      <c r="I543" s="196"/>
      <c r="J543" s="196"/>
      <c r="K543" s="196"/>
      <c r="L543" s="196"/>
      <c r="M543" s="196"/>
      <c r="N543" s="196"/>
      <c r="O543" s="196"/>
      <c r="P543" s="196"/>
      <c r="Q543" s="196"/>
      <c r="R543" s="196"/>
      <c r="S543" s="196"/>
      <c r="T543" s="196"/>
      <c r="U543" s="196"/>
      <c r="V543" s="196"/>
      <c r="W543" s="196"/>
      <c r="X543" s="196"/>
      <c r="Y543" s="196"/>
      <c r="Z543" s="196"/>
      <c r="AA543" s="196"/>
      <c r="AB543" s="196"/>
      <c r="AC543" s="196"/>
      <c r="AD543" s="196"/>
      <c r="AE543" s="196"/>
      <c r="AF543" s="196"/>
      <c r="AG543" s="196"/>
      <c r="AH543" s="196"/>
      <c r="AI543" s="196"/>
      <c r="AJ543" s="196"/>
      <c r="AK543" s="196"/>
      <c r="AL543" s="196"/>
      <c r="AM543" s="196"/>
    </row>
    <row r="544">
      <c r="F544" s="203"/>
      <c r="H544" s="196"/>
      <c r="I544" s="196"/>
      <c r="J544" s="196"/>
      <c r="K544" s="196"/>
      <c r="L544" s="196"/>
      <c r="M544" s="196"/>
      <c r="N544" s="196"/>
      <c r="O544" s="196"/>
      <c r="P544" s="196"/>
      <c r="Q544" s="196"/>
      <c r="R544" s="196"/>
      <c r="S544" s="196"/>
      <c r="T544" s="196"/>
      <c r="U544" s="196"/>
      <c r="V544" s="196"/>
      <c r="W544" s="196"/>
      <c r="X544" s="196"/>
      <c r="Y544" s="196"/>
      <c r="Z544" s="196"/>
      <c r="AA544" s="196"/>
      <c r="AB544" s="196"/>
      <c r="AC544" s="196"/>
      <c r="AD544" s="196"/>
      <c r="AE544" s="196"/>
      <c r="AF544" s="196"/>
      <c r="AG544" s="196"/>
      <c r="AH544" s="196"/>
      <c r="AI544" s="196"/>
      <c r="AJ544" s="196"/>
      <c r="AK544" s="196"/>
      <c r="AL544" s="196"/>
      <c r="AM544" s="196"/>
    </row>
    <row r="545">
      <c r="F545" s="203"/>
      <c r="H545" s="196"/>
      <c r="I545" s="196"/>
      <c r="J545" s="196"/>
      <c r="K545" s="196"/>
      <c r="L545" s="196"/>
      <c r="M545" s="196"/>
      <c r="N545" s="196"/>
      <c r="O545" s="196"/>
      <c r="P545" s="196"/>
      <c r="Q545" s="196"/>
      <c r="R545" s="196"/>
      <c r="S545" s="196"/>
      <c r="T545" s="196"/>
      <c r="U545" s="196"/>
      <c r="V545" s="196"/>
      <c r="W545" s="196"/>
      <c r="X545" s="196"/>
      <c r="Y545" s="196"/>
      <c r="Z545" s="196"/>
      <c r="AA545" s="196"/>
      <c r="AB545" s="196"/>
      <c r="AC545" s="196"/>
      <c r="AD545" s="196"/>
      <c r="AE545" s="196"/>
      <c r="AF545" s="196"/>
      <c r="AG545" s="196"/>
      <c r="AH545" s="196"/>
      <c r="AI545" s="196"/>
      <c r="AJ545" s="196"/>
      <c r="AK545" s="196"/>
      <c r="AL545" s="196"/>
      <c r="AM545" s="196"/>
    </row>
    <row r="546">
      <c r="F546" s="203"/>
      <c r="H546" s="196"/>
      <c r="I546" s="196"/>
      <c r="J546" s="196"/>
      <c r="K546" s="196"/>
      <c r="L546" s="196"/>
      <c r="M546" s="196"/>
      <c r="N546" s="196"/>
      <c r="O546" s="196"/>
      <c r="P546" s="196"/>
      <c r="Q546" s="196"/>
      <c r="R546" s="196"/>
      <c r="S546" s="196"/>
      <c r="T546" s="196"/>
      <c r="U546" s="196"/>
      <c r="V546" s="196"/>
      <c r="W546" s="196"/>
      <c r="X546" s="196"/>
      <c r="Y546" s="196"/>
      <c r="Z546" s="196"/>
      <c r="AA546" s="196"/>
      <c r="AB546" s="196"/>
      <c r="AC546" s="196"/>
      <c r="AD546" s="196"/>
      <c r="AE546" s="196"/>
      <c r="AF546" s="196"/>
      <c r="AG546" s="196"/>
      <c r="AH546" s="196"/>
      <c r="AI546" s="196"/>
      <c r="AJ546" s="196"/>
      <c r="AK546" s="196"/>
      <c r="AL546" s="196"/>
      <c r="AM546" s="196"/>
    </row>
    <row r="547">
      <c r="F547" s="203"/>
      <c r="H547" s="196"/>
      <c r="I547" s="196"/>
      <c r="J547" s="196"/>
      <c r="K547" s="196"/>
      <c r="L547" s="196"/>
      <c r="M547" s="196"/>
      <c r="N547" s="196"/>
      <c r="O547" s="196"/>
      <c r="P547" s="196"/>
      <c r="Q547" s="196"/>
      <c r="R547" s="196"/>
      <c r="S547" s="196"/>
      <c r="T547" s="196"/>
      <c r="U547" s="196"/>
      <c r="V547" s="196"/>
      <c r="W547" s="196"/>
      <c r="X547" s="196"/>
      <c r="Y547" s="196"/>
      <c r="Z547" s="196"/>
      <c r="AA547" s="196"/>
      <c r="AB547" s="196"/>
      <c r="AC547" s="196"/>
      <c r="AD547" s="196"/>
      <c r="AE547" s="196"/>
      <c r="AF547" s="196"/>
      <c r="AG547" s="196"/>
      <c r="AH547" s="196"/>
      <c r="AI547" s="196"/>
      <c r="AJ547" s="196"/>
      <c r="AK547" s="196"/>
      <c r="AL547" s="196"/>
      <c r="AM547" s="196"/>
    </row>
    <row r="548">
      <c r="F548" s="203"/>
      <c r="H548" s="196"/>
      <c r="I548" s="196"/>
      <c r="J548" s="196"/>
      <c r="K548" s="196"/>
      <c r="L548" s="196"/>
      <c r="M548" s="196"/>
      <c r="N548" s="196"/>
      <c r="O548" s="196"/>
      <c r="P548" s="196"/>
      <c r="Q548" s="196"/>
      <c r="R548" s="196"/>
      <c r="S548" s="196"/>
      <c r="T548" s="196"/>
      <c r="U548" s="196"/>
      <c r="V548" s="196"/>
      <c r="W548" s="196"/>
      <c r="X548" s="196"/>
      <c r="Y548" s="196"/>
      <c r="Z548" s="196"/>
      <c r="AA548" s="196"/>
      <c r="AB548" s="196"/>
      <c r="AC548" s="196"/>
      <c r="AD548" s="196"/>
      <c r="AE548" s="196"/>
      <c r="AF548" s="196"/>
      <c r="AG548" s="196"/>
      <c r="AH548" s="196"/>
      <c r="AI548" s="196"/>
      <c r="AJ548" s="196"/>
      <c r="AK548" s="196"/>
      <c r="AL548" s="196"/>
      <c r="AM548" s="196"/>
    </row>
    <row r="549">
      <c r="F549" s="203"/>
      <c r="H549" s="196"/>
      <c r="I549" s="196"/>
      <c r="J549" s="196"/>
      <c r="K549" s="196"/>
      <c r="L549" s="196"/>
      <c r="M549" s="196"/>
      <c r="N549" s="196"/>
      <c r="O549" s="196"/>
      <c r="P549" s="196"/>
      <c r="Q549" s="196"/>
      <c r="R549" s="196"/>
      <c r="S549" s="196"/>
      <c r="T549" s="196"/>
      <c r="U549" s="196"/>
      <c r="V549" s="196"/>
      <c r="W549" s="196"/>
      <c r="X549" s="196"/>
      <c r="Y549" s="196"/>
      <c r="Z549" s="196"/>
      <c r="AA549" s="196"/>
      <c r="AB549" s="196"/>
      <c r="AC549" s="196"/>
      <c r="AD549" s="196"/>
      <c r="AE549" s="196"/>
      <c r="AF549" s="196"/>
      <c r="AG549" s="196"/>
      <c r="AH549" s="196"/>
      <c r="AI549" s="196"/>
      <c r="AJ549" s="196"/>
      <c r="AK549" s="196"/>
      <c r="AL549" s="196"/>
      <c r="AM549" s="196"/>
    </row>
    <row r="550">
      <c r="F550" s="203"/>
      <c r="H550" s="196"/>
      <c r="I550" s="196"/>
      <c r="J550" s="196"/>
      <c r="K550" s="196"/>
      <c r="L550" s="196"/>
      <c r="M550" s="196"/>
      <c r="N550" s="196"/>
      <c r="O550" s="196"/>
      <c r="P550" s="196"/>
      <c r="Q550" s="196"/>
      <c r="R550" s="196"/>
      <c r="S550" s="196"/>
      <c r="T550" s="196"/>
      <c r="U550" s="196"/>
      <c r="V550" s="196"/>
      <c r="W550" s="196"/>
      <c r="X550" s="196"/>
      <c r="Y550" s="196"/>
      <c r="Z550" s="196"/>
      <c r="AA550" s="196"/>
      <c r="AB550" s="196"/>
      <c r="AC550" s="196"/>
      <c r="AD550" s="196"/>
      <c r="AE550" s="196"/>
      <c r="AF550" s="196"/>
      <c r="AG550" s="196"/>
      <c r="AH550" s="196"/>
      <c r="AI550" s="196"/>
      <c r="AJ550" s="196"/>
      <c r="AK550" s="196"/>
      <c r="AL550" s="196"/>
      <c r="AM550" s="196"/>
    </row>
    <row r="551">
      <c r="F551" s="203"/>
      <c r="H551" s="196"/>
      <c r="I551" s="196"/>
      <c r="J551" s="196"/>
      <c r="K551" s="196"/>
      <c r="L551" s="196"/>
      <c r="M551" s="196"/>
      <c r="N551" s="196"/>
      <c r="O551" s="196"/>
      <c r="P551" s="196"/>
      <c r="Q551" s="196"/>
      <c r="R551" s="196"/>
      <c r="S551" s="196"/>
      <c r="T551" s="196"/>
      <c r="U551" s="196"/>
      <c r="V551" s="196"/>
      <c r="W551" s="196"/>
      <c r="X551" s="196"/>
      <c r="Y551" s="196"/>
      <c r="Z551" s="196"/>
      <c r="AA551" s="196"/>
      <c r="AB551" s="196"/>
      <c r="AC551" s="196"/>
      <c r="AD551" s="196"/>
      <c r="AE551" s="196"/>
      <c r="AF551" s="196"/>
      <c r="AG551" s="196"/>
      <c r="AH551" s="196"/>
      <c r="AI551" s="196"/>
      <c r="AJ551" s="196"/>
      <c r="AK551" s="196"/>
      <c r="AL551" s="196"/>
      <c r="AM551" s="196"/>
    </row>
    <row r="552">
      <c r="F552" s="203"/>
      <c r="H552" s="196"/>
      <c r="I552" s="196"/>
      <c r="J552" s="196"/>
      <c r="K552" s="196"/>
      <c r="L552" s="196"/>
      <c r="M552" s="196"/>
      <c r="N552" s="196"/>
      <c r="O552" s="196"/>
      <c r="P552" s="196"/>
      <c r="Q552" s="196"/>
      <c r="R552" s="196"/>
      <c r="S552" s="196"/>
      <c r="T552" s="196"/>
      <c r="U552" s="196"/>
      <c r="V552" s="196"/>
      <c r="W552" s="196"/>
      <c r="X552" s="196"/>
      <c r="Y552" s="196"/>
      <c r="Z552" s="196"/>
      <c r="AA552" s="196"/>
      <c r="AB552" s="196"/>
      <c r="AC552" s="196"/>
      <c r="AD552" s="196"/>
      <c r="AE552" s="196"/>
      <c r="AF552" s="196"/>
      <c r="AG552" s="196"/>
      <c r="AH552" s="196"/>
      <c r="AI552" s="196"/>
      <c r="AJ552" s="196"/>
      <c r="AK552" s="196"/>
      <c r="AL552" s="196"/>
      <c r="AM552" s="196"/>
    </row>
    <row r="553">
      <c r="F553" s="203"/>
      <c r="H553" s="196"/>
      <c r="I553" s="196"/>
      <c r="J553" s="196"/>
      <c r="K553" s="196"/>
      <c r="L553" s="196"/>
      <c r="M553" s="196"/>
      <c r="N553" s="196"/>
      <c r="O553" s="196"/>
      <c r="P553" s="196"/>
      <c r="Q553" s="196"/>
      <c r="R553" s="196"/>
      <c r="S553" s="196"/>
      <c r="T553" s="196"/>
      <c r="U553" s="196"/>
      <c r="V553" s="196"/>
      <c r="W553" s="196"/>
      <c r="X553" s="196"/>
      <c r="Y553" s="196"/>
      <c r="Z553" s="196"/>
      <c r="AA553" s="196"/>
      <c r="AB553" s="196"/>
      <c r="AC553" s="196"/>
      <c r="AD553" s="196"/>
      <c r="AE553" s="196"/>
      <c r="AF553" s="196"/>
      <c r="AG553" s="196"/>
      <c r="AH553" s="196"/>
      <c r="AI553" s="196"/>
      <c r="AJ553" s="196"/>
      <c r="AK553" s="196"/>
      <c r="AL553" s="196"/>
      <c r="AM553" s="196"/>
    </row>
    <row r="554">
      <c r="F554" s="203"/>
      <c r="H554" s="196"/>
      <c r="I554" s="196"/>
      <c r="J554" s="196"/>
      <c r="K554" s="196"/>
      <c r="L554" s="196"/>
      <c r="M554" s="196"/>
      <c r="N554" s="196"/>
      <c r="O554" s="196"/>
      <c r="P554" s="196"/>
      <c r="Q554" s="196"/>
      <c r="R554" s="196"/>
      <c r="S554" s="196"/>
      <c r="T554" s="196"/>
      <c r="U554" s="196"/>
      <c r="V554" s="196"/>
      <c r="W554" s="196"/>
      <c r="X554" s="196"/>
      <c r="Y554" s="196"/>
      <c r="Z554" s="196"/>
      <c r="AA554" s="196"/>
      <c r="AB554" s="196"/>
      <c r="AC554" s="196"/>
      <c r="AD554" s="196"/>
      <c r="AE554" s="196"/>
      <c r="AF554" s="196"/>
      <c r="AG554" s="196"/>
      <c r="AH554" s="196"/>
      <c r="AI554" s="196"/>
      <c r="AJ554" s="196"/>
      <c r="AK554" s="196"/>
      <c r="AL554" s="196"/>
      <c r="AM554" s="196"/>
    </row>
    <row r="555">
      <c r="F555" s="203"/>
      <c r="H555" s="196"/>
      <c r="I555" s="196"/>
      <c r="J555" s="196"/>
      <c r="K555" s="196"/>
      <c r="L555" s="196"/>
      <c r="M555" s="196"/>
      <c r="N555" s="196"/>
      <c r="O555" s="196"/>
      <c r="P555" s="196"/>
      <c r="Q555" s="196"/>
      <c r="R555" s="196"/>
      <c r="S555" s="196"/>
      <c r="T555" s="196"/>
      <c r="U555" s="196"/>
      <c r="V555" s="196"/>
      <c r="W555" s="196"/>
      <c r="X555" s="196"/>
      <c r="Y555" s="196"/>
      <c r="Z555" s="196"/>
      <c r="AA555" s="196"/>
      <c r="AB555" s="196"/>
      <c r="AC555" s="196"/>
      <c r="AD555" s="196"/>
      <c r="AE555" s="196"/>
      <c r="AF555" s="196"/>
      <c r="AG555" s="196"/>
      <c r="AH555" s="196"/>
      <c r="AI555" s="196"/>
      <c r="AJ555" s="196"/>
      <c r="AK555" s="196"/>
      <c r="AL555" s="196"/>
      <c r="AM555" s="196"/>
    </row>
    <row r="556">
      <c r="F556" s="203"/>
      <c r="H556" s="196"/>
      <c r="I556" s="196"/>
      <c r="J556" s="196"/>
      <c r="K556" s="196"/>
      <c r="L556" s="196"/>
      <c r="M556" s="196"/>
      <c r="N556" s="196"/>
      <c r="O556" s="196"/>
      <c r="P556" s="196"/>
      <c r="Q556" s="196"/>
      <c r="R556" s="196"/>
      <c r="S556" s="196"/>
      <c r="T556" s="196"/>
      <c r="U556" s="196"/>
      <c r="V556" s="196"/>
      <c r="W556" s="196"/>
      <c r="X556" s="196"/>
      <c r="Y556" s="196"/>
      <c r="Z556" s="196"/>
      <c r="AA556" s="196"/>
      <c r="AB556" s="196"/>
      <c r="AC556" s="196"/>
      <c r="AD556" s="196"/>
      <c r="AE556" s="196"/>
      <c r="AF556" s="196"/>
      <c r="AG556" s="196"/>
      <c r="AH556" s="196"/>
      <c r="AI556" s="196"/>
      <c r="AJ556" s="196"/>
      <c r="AK556" s="196"/>
      <c r="AL556" s="196"/>
      <c r="AM556" s="196"/>
    </row>
    <row r="557">
      <c r="F557" s="203"/>
      <c r="H557" s="196"/>
      <c r="I557" s="196"/>
      <c r="J557" s="196"/>
      <c r="K557" s="196"/>
      <c r="L557" s="196"/>
      <c r="M557" s="196"/>
      <c r="N557" s="196"/>
      <c r="O557" s="196"/>
      <c r="P557" s="196"/>
      <c r="Q557" s="196"/>
      <c r="R557" s="196"/>
      <c r="S557" s="196"/>
      <c r="T557" s="196"/>
      <c r="U557" s="196"/>
      <c r="V557" s="196"/>
      <c r="W557" s="196"/>
      <c r="X557" s="196"/>
      <c r="Y557" s="196"/>
      <c r="Z557" s="196"/>
      <c r="AA557" s="196"/>
      <c r="AB557" s="196"/>
      <c r="AC557" s="196"/>
      <c r="AD557" s="196"/>
      <c r="AE557" s="196"/>
      <c r="AF557" s="196"/>
      <c r="AG557" s="196"/>
      <c r="AH557" s="196"/>
      <c r="AI557" s="196"/>
      <c r="AJ557" s="196"/>
      <c r="AK557" s="196"/>
      <c r="AL557" s="196"/>
      <c r="AM557" s="196"/>
    </row>
    <row r="558">
      <c r="F558" s="203"/>
      <c r="H558" s="196"/>
      <c r="I558" s="196"/>
      <c r="J558" s="196"/>
      <c r="K558" s="196"/>
      <c r="L558" s="196"/>
      <c r="M558" s="196"/>
      <c r="N558" s="196"/>
      <c r="O558" s="196"/>
      <c r="P558" s="196"/>
      <c r="Q558" s="196"/>
      <c r="R558" s="196"/>
      <c r="S558" s="196"/>
      <c r="T558" s="196"/>
      <c r="U558" s="196"/>
      <c r="V558" s="196"/>
      <c r="W558" s="196"/>
      <c r="X558" s="196"/>
      <c r="Y558" s="196"/>
      <c r="Z558" s="196"/>
      <c r="AA558" s="196"/>
      <c r="AB558" s="196"/>
      <c r="AC558" s="196"/>
      <c r="AD558" s="196"/>
      <c r="AE558" s="196"/>
      <c r="AF558" s="196"/>
      <c r="AG558" s="196"/>
      <c r="AH558" s="196"/>
      <c r="AI558" s="196"/>
      <c r="AJ558" s="196"/>
      <c r="AK558" s="196"/>
      <c r="AL558" s="196"/>
      <c r="AM558" s="196"/>
    </row>
    <row r="559">
      <c r="F559" s="203"/>
      <c r="H559" s="196"/>
      <c r="I559" s="196"/>
      <c r="J559" s="196"/>
      <c r="K559" s="196"/>
      <c r="L559" s="196"/>
      <c r="M559" s="196"/>
      <c r="N559" s="196"/>
      <c r="O559" s="196"/>
      <c r="P559" s="196"/>
      <c r="Q559" s="196"/>
      <c r="R559" s="196"/>
      <c r="S559" s="196"/>
      <c r="T559" s="196"/>
      <c r="U559" s="196"/>
      <c r="V559" s="196"/>
      <c r="W559" s="196"/>
      <c r="X559" s="196"/>
      <c r="Y559" s="196"/>
      <c r="Z559" s="196"/>
      <c r="AA559" s="196"/>
      <c r="AB559" s="196"/>
      <c r="AC559" s="196"/>
      <c r="AD559" s="196"/>
      <c r="AE559" s="196"/>
      <c r="AF559" s="196"/>
      <c r="AG559" s="196"/>
      <c r="AH559" s="196"/>
      <c r="AI559" s="196"/>
      <c r="AJ559" s="196"/>
      <c r="AK559" s="196"/>
      <c r="AL559" s="196"/>
      <c r="AM559" s="196"/>
    </row>
    <row r="560">
      <c r="F560" s="203"/>
      <c r="H560" s="196"/>
      <c r="I560" s="196"/>
      <c r="J560" s="196"/>
      <c r="K560" s="196"/>
      <c r="L560" s="196"/>
      <c r="M560" s="196"/>
      <c r="N560" s="196"/>
      <c r="O560" s="196"/>
      <c r="P560" s="196"/>
      <c r="Q560" s="196"/>
      <c r="R560" s="196"/>
      <c r="S560" s="196"/>
      <c r="T560" s="196"/>
      <c r="U560" s="196"/>
      <c r="V560" s="196"/>
      <c r="W560" s="196"/>
      <c r="X560" s="196"/>
      <c r="Y560" s="196"/>
      <c r="Z560" s="196"/>
      <c r="AA560" s="196"/>
      <c r="AB560" s="196"/>
      <c r="AC560" s="196"/>
      <c r="AD560" s="196"/>
      <c r="AE560" s="196"/>
      <c r="AF560" s="196"/>
      <c r="AG560" s="196"/>
      <c r="AH560" s="196"/>
      <c r="AI560" s="196"/>
      <c r="AJ560" s="196"/>
      <c r="AK560" s="196"/>
      <c r="AL560" s="196"/>
      <c r="AM560" s="196"/>
    </row>
    <row r="561">
      <c r="F561" s="203"/>
      <c r="H561" s="196"/>
      <c r="I561" s="196"/>
      <c r="J561" s="196"/>
      <c r="K561" s="196"/>
      <c r="L561" s="196"/>
      <c r="M561" s="196"/>
      <c r="N561" s="196"/>
      <c r="O561" s="196"/>
      <c r="P561" s="196"/>
      <c r="Q561" s="196"/>
      <c r="R561" s="196"/>
      <c r="S561" s="196"/>
      <c r="T561" s="196"/>
      <c r="U561" s="196"/>
      <c r="V561" s="196"/>
      <c r="W561" s="196"/>
      <c r="X561" s="196"/>
      <c r="Y561" s="196"/>
      <c r="Z561" s="196"/>
      <c r="AA561" s="196"/>
      <c r="AB561" s="196"/>
      <c r="AC561" s="196"/>
      <c r="AD561" s="196"/>
      <c r="AE561" s="196"/>
      <c r="AF561" s="196"/>
      <c r="AG561" s="196"/>
      <c r="AH561" s="196"/>
      <c r="AI561" s="196"/>
      <c r="AJ561" s="196"/>
      <c r="AK561" s="196"/>
      <c r="AL561" s="196"/>
      <c r="AM561" s="196"/>
    </row>
    <row r="562">
      <c r="F562" s="203"/>
      <c r="H562" s="196"/>
      <c r="I562" s="196"/>
      <c r="J562" s="196"/>
      <c r="K562" s="196"/>
      <c r="L562" s="196"/>
      <c r="M562" s="196"/>
      <c r="N562" s="196"/>
      <c r="O562" s="196"/>
      <c r="P562" s="196"/>
      <c r="Q562" s="196"/>
      <c r="R562" s="196"/>
      <c r="S562" s="196"/>
      <c r="T562" s="196"/>
      <c r="U562" s="196"/>
      <c r="V562" s="196"/>
      <c r="W562" s="196"/>
      <c r="X562" s="196"/>
      <c r="Y562" s="196"/>
      <c r="Z562" s="196"/>
      <c r="AA562" s="196"/>
      <c r="AB562" s="196"/>
      <c r="AC562" s="196"/>
      <c r="AD562" s="196"/>
      <c r="AE562" s="196"/>
      <c r="AF562" s="196"/>
      <c r="AG562" s="196"/>
      <c r="AH562" s="196"/>
      <c r="AI562" s="196"/>
      <c r="AJ562" s="196"/>
      <c r="AK562" s="196"/>
      <c r="AL562" s="196"/>
      <c r="AM562" s="196"/>
    </row>
    <row r="563">
      <c r="F563" s="203"/>
      <c r="H563" s="196"/>
      <c r="I563" s="196"/>
      <c r="J563" s="196"/>
      <c r="K563" s="196"/>
      <c r="L563" s="196"/>
      <c r="M563" s="196"/>
      <c r="N563" s="196"/>
      <c r="O563" s="196"/>
      <c r="P563" s="196"/>
      <c r="Q563" s="196"/>
      <c r="R563" s="196"/>
      <c r="S563" s="196"/>
      <c r="T563" s="196"/>
      <c r="U563" s="196"/>
      <c r="V563" s="196"/>
      <c r="W563" s="196"/>
      <c r="X563" s="196"/>
      <c r="Y563" s="196"/>
      <c r="Z563" s="196"/>
      <c r="AA563" s="196"/>
      <c r="AB563" s="196"/>
      <c r="AC563" s="196"/>
      <c r="AD563" s="196"/>
      <c r="AE563" s="196"/>
      <c r="AF563" s="196"/>
      <c r="AG563" s="196"/>
      <c r="AH563" s="196"/>
      <c r="AI563" s="196"/>
      <c r="AJ563" s="196"/>
      <c r="AK563" s="196"/>
      <c r="AL563" s="196"/>
      <c r="AM563" s="196"/>
    </row>
    <row r="564">
      <c r="F564" s="203"/>
      <c r="H564" s="196"/>
      <c r="I564" s="196"/>
      <c r="J564" s="196"/>
      <c r="K564" s="196"/>
      <c r="L564" s="196"/>
      <c r="M564" s="196"/>
      <c r="N564" s="196"/>
      <c r="O564" s="196"/>
      <c r="P564" s="196"/>
      <c r="Q564" s="196"/>
      <c r="R564" s="196"/>
      <c r="S564" s="196"/>
      <c r="T564" s="196"/>
      <c r="U564" s="196"/>
      <c r="V564" s="196"/>
      <c r="W564" s="196"/>
      <c r="X564" s="196"/>
      <c r="Y564" s="196"/>
      <c r="Z564" s="196"/>
      <c r="AA564" s="196"/>
      <c r="AB564" s="196"/>
      <c r="AC564" s="196"/>
      <c r="AD564" s="196"/>
      <c r="AE564" s="196"/>
      <c r="AF564" s="196"/>
      <c r="AG564" s="196"/>
      <c r="AH564" s="196"/>
      <c r="AI564" s="196"/>
      <c r="AJ564" s="196"/>
      <c r="AK564" s="196"/>
      <c r="AL564" s="196"/>
      <c r="AM564" s="196"/>
    </row>
    <row r="565">
      <c r="F565" s="203"/>
      <c r="H565" s="196"/>
      <c r="I565" s="196"/>
      <c r="J565" s="196"/>
      <c r="K565" s="196"/>
      <c r="L565" s="196"/>
      <c r="M565" s="196"/>
      <c r="N565" s="196"/>
      <c r="O565" s="196"/>
      <c r="P565" s="196"/>
      <c r="Q565" s="196"/>
      <c r="R565" s="196"/>
      <c r="S565" s="196"/>
      <c r="T565" s="196"/>
      <c r="U565" s="196"/>
      <c r="V565" s="196"/>
      <c r="W565" s="196"/>
      <c r="X565" s="196"/>
      <c r="Y565" s="196"/>
      <c r="Z565" s="196"/>
      <c r="AA565" s="196"/>
      <c r="AB565" s="196"/>
      <c r="AC565" s="196"/>
      <c r="AD565" s="196"/>
      <c r="AE565" s="196"/>
      <c r="AF565" s="196"/>
      <c r="AG565" s="196"/>
      <c r="AH565" s="196"/>
      <c r="AI565" s="196"/>
      <c r="AJ565" s="196"/>
      <c r="AK565" s="196"/>
      <c r="AL565" s="196"/>
      <c r="AM565" s="196"/>
    </row>
    <row r="566">
      <c r="F566" s="203"/>
      <c r="H566" s="196"/>
      <c r="I566" s="196"/>
      <c r="J566" s="196"/>
      <c r="K566" s="196"/>
      <c r="L566" s="196"/>
      <c r="M566" s="196"/>
      <c r="N566" s="196"/>
      <c r="O566" s="196"/>
      <c r="P566" s="196"/>
      <c r="Q566" s="196"/>
      <c r="R566" s="196"/>
      <c r="S566" s="196"/>
      <c r="T566" s="196"/>
      <c r="U566" s="196"/>
      <c r="V566" s="196"/>
      <c r="W566" s="196"/>
      <c r="X566" s="196"/>
      <c r="Y566" s="196"/>
      <c r="Z566" s="196"/>
      <c r="AA566" s="196"/>
      <c r="AB566" s="196"/>
      <c r="AC566" s="196"/>
      <c r="AD566" s="196"/>
      <c r="AE566" s="196"/>
      <c r="AF566" s="196"/>
      <c r="AG566" s="196"/>
      <c r="AH566" s="196"/>
      <c r="AI566" s="196"/>
      <c r="AJ566" s="196"/>
      <c r="AK566" s="196"/>
      <c r="AL566" s="196"/>
      <c r="AM566" s="196"/>
    </row>
    <row r="567">
      <c r="F567" s="203"/>
      <c r="H567" s="196"/>
      <c r="I567" s="196"/>
      <c r="J567" s="196"/>
      <c r="K567" s="196"/>
      <c r="L567" s="196"/>
      <c r="M567" s="196"/>
      <c r="N567" s="196"/>
      <c r="O567" s="196"/>
      <c r="P567" s="196"/>
      <c r="Q567" s="196"/>
      <c r="R567" s="196"/>
      <c r="S567" s="196"/>
      <c r="T567" s="196"/>
      <c r="U567" s="196"/>
      <c r="V567" s="196"/>
      <c r="W567" s="196"/>
      <c r="X567" s="196"/>
      <c r="Y567" s="196"/>
      <c r="Z567" s="196"/>
      <c r="AA567" s="196"/>
      <c r="AB567" s="196"/>
      <c r="AC567" s="196"/>
      <c r="AD567" s="196"/>
      <c r="AE567" s="196"/>
      <c r="AF567" s="196"/>
      <c r="AG567" s="196"/>
      <c r="AH567" s="196"/>
      <c r="AI567" s="196"/>
      <c r="AJ567" s="196"/>
      <c r="AK567" s="196"/>
      <c r="AL567" s="196"/>
      <c r="AM567" s="196"/>
    </row>
    <row r="568">
      <c r="F568" s="203"/>
      <c r="H568" s="196"/>
      <c r="I568" s="196"/>
      <c r="J568" s="196"/>
      <c r="K568" s="196"/>
      <c r="L568" s="196"/>
      <c r="M568" s="196"/>
      <c r="N568" s="196"/>
      <c r="O568" s="196"/>
      <c r="P568" s="196"/>
      <c r="Q568" s="196"/>
      <c r="R568" s="196"/>
      <c r="S568" s="196"/>
      <c r="T568" s="196"/>
      <c r="U568" s="196"/>
      <c r="V568" s="196"/>
      <c r="W568" s="196"/>
      <c r="X568" s="196"/>
      <c r="Y568" s="196"/>
      <c r="Z568" s="196"/>
      <c r="AA568" s="196"/>
      <c r="AB568" s="196"/>
      <c r="AC568" s="196"/>
      <c r="AD568" s="196"/>
      <c r="AE568" s="196"/>
      <c r="AF568" s="196"/>
      <c r="AG568" s="196"/>
      <c r="AH568" s="196"/>
      <c r="AI568" s="196"/>
      <c r="AJ568" s="196"/>
      <c r="AK568" s="196"/>
      <c r="AL568" s="196"/>
      <c r="AM568" s="196"/>
    </row>
    <row r="569">
      <c r="F569" s="203"/>
      <c r="H569" s="196"/>
      <c r="I569" s="196"/>
      <c r="J569" s="196"/>
      <c r="K569" s="196"/>
      <c r="L569" s="196"/>
      <c r="M569" s="196"/>
      <c r="N569" s="196"/>
      <c r="O569" s="196"/>
      <c r="P569" s="196"/>
      <c r="Q569" s="196"/>
      <c r="R569" s="196"/>
      <c r="S569" s="196"/>
      <c r="T569" s="196"/>
      <c r="U569" s="196"/>
      <c r="V569" s="196"/>
      <c r="W569" s="196"/>
      <c r="X569" s="196"/>
      <c r="Y569" s="196"/>
      <c r="Z569" s="196"/>
      <c r="AA569" s="196"/>
      <c r="AB569" s="196"/>
      <c r="AC569" s="196"/>
      <c r="AD569" s="196"/>
      <c r="AE569" s="196"/>
      <c r="AF569" s="196"/>
      <c r="AG569" s="196"/>
      <c r="AH569" s="196"/>
      <c r="AI569" s="196"/>
      <c r="AJ569" s="196"/>
      <c r="AK569" s="196"/>
      <c r="AL569" s="196"/>
      <c r="AM569" s="196"/>
    </row>
    <row r="570">
      <c r="F570" s="203"/>
      <c r="H570" s="196"/>
      <c r="I570" s="196"/>
      <c r="J570" s="196"/>
      <c r="K570" s="196"/>
      <c r="L570" s="196"/>
      <c r="M570" s="196"/>
      <c r="N570" s="196"/>
      <c r="O570" s="196"/>
      <c r="P570" s="196"/>
      <c r="Q570" s="196"/>
      <c r="R570" s="196"/>
      <c r="S570" s="196"/>
      <c r="T570" s="196"/>
      <c r="U570" s="196"/>
      <c r="V570" s="196"/>
      <c r="W570" s="196"/>
      <c r="X570" s="196"/>
      <c r="Y570" s="196"/>
      <c r="Z570" s="196"/>
      <c r="AA570" s="196"/>
      <c r="AB570" s="196"/>
      <c r="AC570" s="196"/>
      <c r="AD570" s="196"/>
      <c r="AE570" s="196"/>
      <c r="AF570" s="196"/>
      <c r="AG570" s="196"/>
      <c r="AH570" s="196"/>
      <c r="AI570" s="196"/>
      <c r="AJ570" s="196"/>
      <c r="AK570" s="196"/>
      <c r="AL570" s="196"/>
      <c r="AM570" s="196"/>
    </row>
    <row r="571">
      <c r="F571" s="203"/>
      <c r="H571" s="196"/>
      <c r="I571" s="196"/>
      <c r="J571" s="196"/>
      <c r="K571" s="196"/>
      <c r="L571" s="196"/>
      <c r="M571" s="196"/>
      <c r="N571" s="196"/>
      <c r="O571" s="196"/>
      <c r="P571" s="196"/>
      <c r="Q571" s="196"/>
      <c r="R571" s="196"/>
      <c r="S571" s="196"/>
      <c r="T571" s="196"/>
      <c r="U571" s="196"/>
      <c r="V571" s="196"/>
      <c r="W571" s="196"/>
      <c r="X571" s="196"/>
      <c r="Y571" s="196"/>
      <c r="Z571" s="196"/>
      <c r="AA571" s="196"/>
      <c r="AB571" s="196"/>
      <c r="AC571" s="196"/>
      <c r="AD571" s="196"/>
      <c r="AE571" s="196"/>
      <c r="AF571" s="196"/>
      <c r="AG571" s="196"/>
      <c r="AH571" s="196"/>
      <c r="AI571" s="196"/>
      <c r="AJ571" s="196"/>
      <c r="AK571" s="196"/>
      <c r="AL571" s="196"/>
      <c r="AM571" s="196"/>
    </row>
    <row r="572">
      <c r="F572" s="203"/>
      <c r="H572" s="196"/>
      <c r="I572" s="196"/>
      <c r="J572" s="196"/>
      <c r="K572" s="196"/>
      <c r="L572" s="196"/>
      <c r="M572" s="196"/>
      <c r="N572" s="196"/>
      <c r="O572" s="196"/>
      <c r="P572" s="196"/>
      <c r="Q572" s="196"/>
      <c r="R572" s="196"/>
      <c r="S572" s="196"/>
      <c r="T572" s="196"/>
      <c r="U572" s="196"/>
      <c r="V572" s="196"/>
      <c r="W572" s="196"/>
      <c r="X572" s="196"/>
      <c r="Y572" s="196"/>
      <c r="Z572" s="196"/>
      <c r="AA572" s="196"/>
      <c r="AB572" s="196"/>
      <c r="AC572" s="196"/>
      <c r="AD572" s="196"/>
      <c r="AE572" s="196"/>
      <c r="AF572" s="196"/>
      <c r="AG572" s="196"/>
      <c r="AH572" s="196"/>
      <c r="AI572" s="196"/>
      <c r="AJ572" s="196"/>
      <c r="AK572" s="196"/>
      <c r="AL572" s="196"/>
      <c r="AM572" s="196"/>
    </row>
    <row r="573">
      <c r="F573" s="203"/>
      <c r="H573" s="196"/>
      <c r="I573" s="196"/>
      <c r="J573" s="196"/>
      <c r="K573" s="196"/>
      <c r="L573" s="196"/>
      <c r="M573" s="196"/>
      <c r="N573" s="196"/>
      <c r="O573" s="196"/>
      <c r="P573" s="196"/>
      <c r="Q573" s="196"/>
      <c r="R573" s="196"/>
      <c r="S573" s="196"/>
      <c r="T573" s="196"/>
      <c r="U573" s="196"/>
      <c r="V573" s="196"/>
      <c r="W573" s="196"/>
      <c r="X573" s="196"/>
      <c r="Y573" s="196"/>
      <c r="Z573" s="196"/>
      <c r="AA573" s="196"/>
      <c r="AB573" s="196"/>
      <c r="AC573" s="196"/>
      <c r="AD573" s="196"/>
      <c r="AE573" s="196"/>
      <c r="AF573" s="196"/>
      <c r="AG573" s="196"/>
      <c r="AH573" s="196"/>
      <c r="AI573" s="196"/>
      <c r="AJ573" s="196"/>
      <c r="AK573" s="196"/>
      <c r="AL573" s="196"/>
      <c r="AM573" s="196"/>
    </row>
    <row r="574">
      <c r="F574" s="203"/>
      <c r="H574" s="196"/>
      <c r="I574" s="196"/>
      <c r="J574" s="196"/>
      <c r="K574" s="196"/>
      <c r="L574" s="196"/>
      <c r="M574" s="196"/>
      <c r="N574" s="196"/>
      <c r="O574" s="196"/>
      <c r="P574" s="196"/>
      <c r="Q574" s="196"/>
      <c r="R574" s="196"/>
      <c r="S574" s="196"/>
      <c r="T574" s="196"/>
      <c r="U574" s="196"/>
      <c r="V574" s="196"/>
      <c r="W574" s="196"/>
      <c r="X574" s="196"/>
      <c r="Y574" s="196"/>
      <c r="Z574" s="196"/>
      <c r="AA574" s="196"/>
      <c r="AB574" s="196"/>
      <c r="AC574" s="196"/>
      <c r="AD574" s="196"/>
      <c r="AE574" s="196"/>
      <c r="AF574" s="196"/>
      <c r="AG574" s="196"/>
      <c r="AH574" s="196"/>
      <c r="AI574" s="196"/>
      <c r="AJ574" s="196"/>
      <c r="AK574" s="196"/>
      <c r="AL574" s="196"/>
      <c r="AM574" s="196"/>
    </row>
    <row r="575">
      <c r="F575" s="203"/>
      <c r="H575" s="196"/>
      <c r="I575" s="196"/>
      <c r="J575" s="196"/>
      <c r="K575" s="196"/>
      <c r="L575" s="196"/>
      <c r="M575" s="196"/>
      <c r="N575" s="196"/>
      <c r="O575" s="196"/>
      <c r="P575" s="196"/>
      <c r="Q575" s="196"/>
      <c r="R575" s="196"/>
      <c r="S575" s="196"/>
      <c r="T575" s="196"/>
      <c r="U575" s="196"/>
      <c r="V575" s="196"/>
      <c r="W575" s="196"/>
      <c r="X575" s="196"/>
      <c r="Y575" s="196"/>
      <c r="Z575" s="196"/>
      <c r="AA575" s="196"/>
      <c r="AB575" s="196"/>
      <c r="AC575" s="196"/>
      <c r="AD575" s="196"/>
      <c r="AE575" s="196"/>
      <c r="AF575" s="196"/>
      <c r="AG575" s="196"/>
      <c r="AH575" s="196"/>
      <c r="AI575" s="196"/>
      <c r="AJ575" s="196"/>
      <c r="AK575" s="196"/>
      <c r="AL575" s="196"/>
      <c r="AM575" s="196"/>
    </row>
    <row r="576">
      <c r="F576" s="203"/>
      <c r="H576" s="196"/>
      <c r="I576" s="196"/>
      <c r="J576" s="196"/>
      <c r="K576" s="196"/>
      <c r="L576" s="196"/>
      <c r="M576" s="196"/>
      <c r="N576" s="196"/>
      <c r="O576" s="196"/>
      <c r="P576" s="196"/>
      <c r="Q576" s="196"/>
      <c r="R576" s="196"/>
      <c r="S576" s="196"/>
      <c r="T576" s="196"/>
      <c r="U576" s="196"/>
      <c r="V576" s="196"/>
      <c r="W576" s="196"/>
      <c r="X576" s="196"/>
      <c r="Y576" s="196"/>
      <c r="Z576" s="196"/>
      <c r="AA576" s="196"/>
      <c r="AB576" s="196"/>
      <c r="AC576" s="196"/>
      <c r="AD576" s="196"/>
      <c r="AE576" s="196"/>
      <c r="AF576" s="196"/>
      <c r="AG576" s="196"/>
      <c r="AH576" s="196"/>
      <c r="AI576" s="196"/>
      <c r="AJ576" s="196"/>
      <c r="AK576" s="196"/>
      <c r="AL576" s="196"/>
      <c r="AM576" s="196"/>
    </row>
    <row r="577">
      <c r="F577" s="203"/>
      <c r="H577" s="196"/>
      <c r="I577" s="196"/>
      <c r="J577" s="196"/>
      <c r="K577" s="196"/>
      <c r="L577" s="196"/>
      <c r="M577" s="196"/>
      <c r="N577" s="196"/>
      <c r="O577" s="196"/>
      <c r="P577" s="196"/>
      <c r="Q577" s="196"/>
      <c r="R577" s="196"/>
      <c r="S577" s="196"/>
      <c r="T577" s="196"/>
      <c r="U577" s="196"/>
      <c r="V577" s="196"/>
      <c r="W577" s="196"/>
      <c r="X577" s="196"/>
      <c r="Y577" s="196"/>
      <c r="Z577" s="196"/>
      <c r="AA577" s="196"/>
      <c r="AB577" s="196"/>
      <c r="AC577" s="196"/>
      <c r="AD577" s="196"/>
      <c r="AE577" s="196"/>
      <c r="AF577" s="196"/>
      <c r="AG577" s="196"/>
      <c r="AH577" s="196"/>
      <c r="AI577" s="196"/>
      <c r="AJ577" s="196"/>
      <c r="AK577" s="196"/>
      <c r="AL577" s="196"/>
      <c r="AM577" s="196"/>
    </row>
    <row r="578">
      <c r="F578" s="203"/>
      <c r="H578" s="196"/>
      <c r="I578" s="196"/>
      <c r="J578" s="196"/>
      <c r="K578" s="196"/>
      <c r="L578" s="196"/>
      <c r="M578" s="196"/>
      <c r="N578" s="196"/>
      <c r="O578" s="196"/>
      <c r="P578" s="196"/>
      <c r="Q578" s="196"/>
      <c r="R578" s="196"/>
      <c r="S578" s="196"/>
      <c r="T578" s="196"/>
      <c r="U578" s="196"/>
      <c r="V578" s="196"/>
      <c r="W578" s="196"/>
      <c r="X578" s="196"/>
      <c r="Y578" s="196"/>
      <c r="Z578" s="196"/>
      <c r="AA578" s="196"/>
      <c r="AB578" s="196"/>
      <c r="AC578" s="196"/>
      <c r="AD578" s="196"/>
      <c r="AE578" s="196"/>
      <c r="AF578" s="196"/>
      <c r="AG578" s="196"/>
      <c r="AH578" s="196"/>
      <c r="AI578" s="196"/>
      <c r="AJ578" s="196"/>
      <c r="AK578" s="196"/>
      <c r="AL578" s="196"/>
      <c r="AM578" s="196"/>
    </row>
    <row r="579">
      <c r="F579" s="203"/>
      <c r="H579" s="196"/>
      <c r="I579" s="196"/>
      <c r="J579" s="196"/>
      <c r="K579" s="196"/>
      <c r="L579" s="196"/>
      <c r="M579" s="196"/>
      <c r="N579" s="196"/>
      <c r="O579" s="196"/>
      <c r="P579" s="196"/>
      <c r="Q579" s="196"/>
      <c r="R579" s="196"/>
      <c r="S579" s="196"/>
      <c r="T579" s="196"/>
      <c r="U579" s="196"/>
      <c r="V579" s="196"/>
      <c r="W579" s="196"/>
      <c r="X579" s="196"/>
      <c r="Y579" s="196"/>
      <c r="Z579" s="196"/>
      <c r="AA579" s="196"/>
      <c r="AB579" s="196"/>
      <c r="AC579" s="196"/>
      <c r="AD579" s="196"/>
      <c r="AE579" s="196"/>
      <c r="AF579" s="196"/>
      <c r="AG579" s="196"/>
      <c r="AH579" s="196"/>
      <c r="AI579" s="196"/>
      <c r="AJ579" s="196"/>
      <c r="AK579" s="196"/>
      <c r="AL579" s="196"/>
      <c r="AM579" s="196"/>
    </row>
    <row r="580">
      <c r="F580" s="203"/>
      <c r="H580" s="196"/>
      <c r="I580" s="196"/>
      <c r="J580" s="196"/>
      <c r="K580" s="196"/>
      <c r="L580" s="196"/>
      <c r="M580" s="196"/>
      <c r="N580" s="196"/>
      <c r="O580" s="196"/>
      <c r="P580" s="196"/>
      <c r="Q580" s="196"/>
      <c r="R580" s="196"/>
      <c r="S580" s="196"/>
      <c r="T580" s="196"/>
      <c r="U580" s="196"/>
      <c r="V580" s="196"/>
      <c r="W580" s="196"/>
      <c r="X580" s="196"/>
      <c r="Y580" s="196"/>
      <c r="Z580" s="196"/>
      <c r="AA580" s="196"/>
      <c r="AB580" s="196"/>
      <c r="AC580" s="196"/>
      <c r="AD580" s="196"/>
      <c r="AE580" s="196"/>
      <c r="AF580" s="196"/>
      <c r="AG580" s="196"/>
      <c r="AH580" s="196"/>
      <c r="AI580" s="196"/>
      <c r="AJ580" s="196"/>
      <c r="AK580" s="196"/>
      <c r="AL580" s="196"/>
      <c r="AM580" s="196"/>
    </row>
    <row r="581">
      <c r="F581" s="203"/>
      <c r="H581" s="196"/>
      <c r="I581" s="196"/>
      <c r="J581" s="196"/>
      <c r="K581" s="196"/>
      <c r="L581" s="196"/>
      <c r="M581" s="196"/>
      <c r="N581" s="196"/>
      <c r="O581" s="196"/>
      <c r="P581" s="196"/>
      <c r="Q581" s="196"/>
      <c r="R581" s="196"/>
      <c r="S581" s="196"/>
      <c r="T581" s="196"/>
      <c r="U581" s="196"/>
      <c r="V581" s="196"/>
      <c r="W581" s="196"/>
      <c r="X581" s="196"/>
      <c r="Y581" s="196"/>
      <c r="Z581" s="196"/>
      <c r="AA581" s="196"/>
      <c r="AB581" s="196"/>
      <c r="AC581" s="196"/>
      <c r="AD581" s="196"/>
      <c r="AE581" s="196"/>
      <c r="AF581" s="196"/>
      <c r="AG581" s="196"/>
      <c r="AH581" s="196"/>
      <c r="AI581" s="196"/>
      <c r="AJ581" s="196"/>
      <c r="AK581" s="196"/>
      <c r="AL581" s="196"/>
      <c r="AM581" s="196"/>
    </row>
    <row r="582">
      <c r="F582" s="203"/>
      <c r="H582" s="196"/>
      <c r="I582" s="196"/>
      <c r="J582" s="196"/>
      <c r="K582" s="196"/>
      <c r="L582" s="196"/>
      <c r="M582" s="196"/>
      <c r="N582" s="196"/>
      <c r="O582" s="196"/>
      <c r="P582" s="196"/>
      <c r="Q582" s="196"/>
      <c r="R582" s="196"/>
      <c r="S582" s="196"/>
      <c r="T582" s="196"/>
      <c r="U582" s="196"/>
      <c r="V582" s="196"/>
      <c r="W582" s="196"/>
      <c r="X582" s="196"/>
      <c r="Y582" s="196"/>
      <c r="Z582" s="196"/>
      <c r="AA582" s="196"/>
      <c r="AB582" s="196"/>
      <c r="AC582" s="196"/>
      <c r="AD582" s="196"/>
      <c r="AE582" s="196"/>
      <c r="AF582" s="196"/>
      <c r="AG582" s="196"/>
      <c r="AH582" s="196"/>
      <c r="AI582" s="196"/>
      <c r="AJ582" s="196"/>
      <c r="AK582" s="196"/>
      <c r="AL582" s="196"/>
      <c r="AM582" s="196"/>
    </row>
    <row r="583">
      <c r="F583" s="203"/>
      <c r="H583" s="196"/>
      <c r="I583" s="196"/>
      <c r="J583" s="196"/>
      <c r="K583" s="196"/>
      <c r="L583" s="196"/>
      <c r="M583" s="196"/>
      <c r="N583" s="196"/>
      <c r="O583" s="196"/>
      <c r="P583" s="196"/>
      <c r="Q583" s="196"/>
      <c r="R583" s="196"/>
      <c r="S583" s="196"/>
      <c r="T583" s="196"/>
      <c r="U583" s="196"/>
      <c r="V583" s="196"/>
      <c r="W583" s="196"/>
      <c r="X583" s="196"/>
      <c r="Y583" s="196"/>
      <c r="Z583" s="196"/>
      <c r="AA583" s="196"/>
      <c r="AB583" s="196"/>
      <c r="AC583" s="196"/>
      <c r="AD583" s="196"/>
      <c r="AE583" s="196"/>
      <c r="AF583" s="196"/>
      <c r="AG583" s="196"/>
      <c r="AH583" s="196"/>
      <c r="AI583" s="196"/>
      <c r="AJ583" s="196"/>
      <c r="AK583" s="196"/>
      <c r="AL583" s="196"/>
      <c r="AM583" s="196"/>
    </row>
    <row r="584">
      <c r="F584" s="203"/>
      <c r="H584" s="196"/>
      <c r="I584" s="196"/>
      <c r="J584" s="196"/>
      <c r="K584" s="196"/>
      <c r="L584" s="196"/>
      <c r="M584" s="196"/>
      <c r="N584" s="196"/>
      <c r="O584" s="196"/>
      <c r="P584" s="196"/>
      <c r="Q584" s="196"/>
      <c r="R584" s="196"/>
      <c r="S584" s="196"/>
      <c r="T584" s="196"/>
      <c r="U584" s="196"/>
      <c r="V584" s="196"/>
      <c r="W584" s="196"/>
      <c r="X584" s="196"/>
      <c r="Y584" s="196"/>
      <c r="Z584" s="196"/>
      <c r="AA584" s="196"/>
      <c r="AB584" s="196"/>
      <c r="AC584" s="196"/>
      <c r="AD584" s="196"/>
      <c r="AE584" s="196"/>
      <c r="AF584" s="196"/>
      <c r="AG584" s="196"/>
      <c r="AH584" s="196"/>
      <c r="AI584" s="196"/>
      <c r="AJ584" s="196"/>
      <c r="AK584" s="196"/>
      <c r="AL584" s="196"/>
      <c r="AM584" s="196"/>
    </row>
    <row r="585">
      <c r="F585" s="203"/>
      <c r="H585" s="196"/>
      <c r="I585" s="196"/>
      <c r="J585" s="196"/>
      <c r="K585" s="196"/>
      <c r="L585" s="196"/>
      <c r="M585" s="196"/>
      <c r="N585" s="196"/>
      <c r="O585" s="196"/>
      <c r="P585" s="196"/>
      <c r="Q585" s="196"/>
      <c r="R585" s="196"/>
      <c r="S585" s="196"/>
      <c r="T585" s="196"/>
      <c r="U585" s="196"/>
      <c r="V585" s="196"/>
      <c r="W585" s="196"/>
      <c r="X585" s="196"/>
      <c r="Y585" s="196"/>
      <c r="Z585" s="196"/>
      <c r="AA585" s="196"/>
      <c r="AB585" s="196"/>
      <c r="AC585" s="196"/>
      <c r="AD585" s="196"/>
      <c r="AE585" s="196"/>
      <c r="AF585" s="196"/>
      <c r="AG585" s="196"/>
      <c r="AH585" s="196"/>
      <c r="AI585" s="196"/>
      <c r="AJ585" s="196"/>
      <c r="AK585" s="196"/>
      <c r="AL585" s="196"/>
      <c r="AM585" s="196"/>
    </row>
    <row r="586">
      <c r="F586" s="203"/>
      <c r="H586" s="196"/>
      <c r="I586" s="196"/>
      <c r="J586" s="196"/>
      <c r="K586" s="196"/>
      <c r="L586" s="196"/>
      <c r="M586" s="196"/>
      <c r="N586" s="196"/>
      <c r="O586" s="196"/>
      <c r="P586" s="196"/>
      <c r="Q586" s="196"/>
      <c r="R586" s="196"/>
      <c r="S586" s="196"/>
      <c r="T586" s="196"/>
      <c r="U586" s="196"/>
      <c r="V586" s="196"/>
      <c r="W586" s="196"/>
      <c r="X586" s="196"/>
      <c r="Y586" s="196"/>
      <c r="Z586" s="196"/>
      <c r="AA586" s="196"/>
      <c r="AB586" s="196"/>
      <c r="AC586" s="196"/>
      <c r="AD586" s="196"/>
      <c r="AE586" s="196"/>
      <c r="AF586" s="196"/>
      <c r="AG586" s="196"/>
      <c r="AH586" s="196"/>
      <c r="AI586" s="196"/>
      <c r="AJ586" s="196"/>
      <c r="AK586" s="196"/>
      <c r="AL586" s="196"/>
      <c r="AM586" s="196"/>
    </row>
    <row r="587">
      <c r="F587" s="203"/>
      <c r="H587" s="196"/>
      <c r="I587" s="196"/>
      <c r="J587" s="196"/>
      <c r="K587" s="196"/>
      <c r="L587" s="196"/>
      <c r="M587" s="196"/>
      <c r="N587" s="196"/>
      <c r="O587" s="196"/>
      <c r="P587" s="196"/>
      <c r="Q587" s="196"/>
      <c r="R587" s="196"/>
      <c r="S587" s="196"/>
      <c r="T587" s="196"/>
      <c r="U587" s="196"/>
      <c r="V587" s="196"/>
      <c r="W587" s="196"/>
      <c r="X587" s="196"/>
      <c r="Y587" s="196"/>
      <c r="Z587" s="196"/>
      <c r="AA587" s="196"/>
      <c r="AB587" s="196"/>
      <c r="AC587" s="196"/>
      <c r="AD587" s="196"/>
      <c r="AE587" s="196"/>
      <c r="AF587" s="196"/>
      <c r="AG587" s="196"/>
      <c r="AH587" s="196"/>
      <c r="AI587" s="196"/>
      <c r="AJ587" s="196"/>
      <c r="AK587" s="196"/>
      <c r="AL587" s="196"/>
      <c r="AM587" s="196"/>
    </row>
    <row r="588">
      <c r="F588" s="203"/>
      <c r="H588" s="196"/>
      <c r="I588" s="196"/>
      <c r="J588" s="196"/>
      <c r="K588" s="196"/>
      <c r="L588" s="196"/>
      <c r="M588" s="196"/>
      <c r="N588" s="196"/>
      <c r="O588" s="196"/>
      <c r="P588" s="196"/>
      <c r="Q588" s="196"/>
      <c r="R588" s="196"/>
      <c r="S588" s="196"/>
      <c r="T588" s="196"/>
      <c r="U588" s="196"/>
      <c r="V588" s="196"/>
      <c r="W588" s="196"/>
      <c r="X588" s="196"/>
      <c r="Y588" s="196"/>
      <c r="Z588" s="196"/>
      <c r="AA588" s="196"/>
      <c r="AB588" s="196"/>
      <c r="AC588" s="196"/>
      <c r="AD588" s="196"/>
      <c r="AE588" s="196"/>
      <c r="AF588" s="196"/>
      <c r="AG588" s="196"/>
      <c r="AH588" s="196"/>
      <c r="AI588" s="196"/>
      <c r="AJ588" s="196"/>
      <c r="AK588" s="196"/>
      <c r="AL588" s="196"/>
      <c r="AM588" s="196"/>
    </row>
    <row r="589">
      <c r="F589" s="203"/>
      <c r="H589" s="196"/>
      <c r="I589" s="196"/>
      <c r="J589" s="196"/>
      <c r="K589" s="196"/>
      <c r="L589" s="196"/>
      <c r="M589" s="196"/>
      <c r="N589" s="196"/>
      <c r="O589" s="196"/>
      <c r="P589" s="196"/>
      <c r="Q589" s="196"/>
      <c r="R589" s="196"/>
      <c r="S589" s="196"/>
      <c r="T589" s="196"/>
      <c r="U589" s="196"/>
      <c r="V589" s="196"/>
      <c r="W589" s="196"/>
      <c r="X589" s="196"/>
      <c r="Y589" s="196"/>
      <c r="Z589" s="196"/>
      <c r="AA589" s="196"/>
      <c r="AB589" s="196"/>
      <c r="AC589" s="196"/>
      <c r="AD589" s="196"/>
      <c r="AE589" s="196"/>
      <c r="AF589" s="196"/>
      <c r="AG589" s="196"/>
      <c r="AH589" s="196"/>
      <c r="AI589" s="196"/>
      <c r="AJ589" s="196"/>
      <c r="AK589" s="196"/>
      <c r="AL589" s="196"/>
      <c r="AM589" s="196"/>
    </row>
    <row r="590">
      <c r="F590" s="203"/>
      <c r="H590" s="196"/>
      <c r="I590" s="196"/>
      <c r="J590" s="196"/>
      <c r="K590" s="196"/>
      <c r="L590" s="196"/>
      <c r="M590" s="196"/>
      <c r="N590" s="196"/>
      <c r="O590" s="196"/>
      <c r="P590" s="196"/>
      <c r="Q590" s="196"/>
      <c r="R590" s="196"/>
      <c r="S590" s="196"/>
      <c r="T590" s="196"/>
      <c r="U590" s="196"/>
      <c r="V590" s="196"/>
      <c r="W590" s="196"/>
      <c r="X590" s="196"/>
      <c r="Y590" s="196"/>
      <c r="Z590" s="196"/>
      <c r="AA590" s="196"/>
      <c r="AB590" s="196"/>
      <c r="AC590" s="196"/>
      <c r="AD590" s="196"/>
      <c r="AE590" s="196"/>
      <c r="AF590" s="196"/>
      <c r="AG590" s="196"/>
      <c r="AH590" s="196"/>
      <c r="AI590" s="196"/>
      <c r="AJ590" s="196"/>
      <c r="AK590" s="196"/>
      <c r="AL590" s="196"/>
      <c r="AM590" s="196"/>
    </row>
    <row r="591">
      <c r="F591" s="203"/>
      <c r="H591" s="196"/>
      <c r="I591" s="196"/>
      <c r="J591" s="196"/>
      <c r="K591" s="196"/>
      <c r="L591" s="196"/>
      <c r="M591" s="196"/>
      <c r="N591" s="196"/>
      <c r="O591" s="196"/>
      <c r="P591" s="196"/>
      <c r="Q591" s="196"/>
      <c r="R591" s="196"/>
      <c r="S591" s="196"/>
      <c r="T591" s="196"/>
      <c r="U591" s="196"/>
      <c r="V591" s="196"/>
      <c r="W591" s="196"/>
      <c r="X591" s="196"/>
      <c r="Y591" s="196"/>
      <c r="Z591" s="196"/>
      <c r="AA591" s="196"/>
      <c r="AB591" s="196"/>
      <c r="AC591" s="196"/>
      <c r="AD591" s="196"/>
      <c r="AE591" s="196"/>
      <c r="AF591" s="196"/>
      <c r="AG591" s="196"/>
      <c r="AH591" s="196"/>
      <c r="AI591" s="196"/>
      <c r="AJ591" s="196"/>
      <c r="AK591" s="196"/>
      <c r="AL591" s="196"/>
      <c r="AM591" s="196"/>
    </row>
    <row r="592">
      <c r="F592" s="203"/>
      <c r="H592" s="196"/>
      <c r="I592" s="196"/>
      <c r="J592" s="196"/>
      <c r="K592" s="196"/>
      <c r="L592" s="196"/>
      <c r="M592" s="196"/>
      <c r="N592" s="196"/>
      <c r="O592" s="196"/>
      <c r="P592" s="196"/>
      <c r="Q592" s="196"/>
      <c r="R592" s="196"/>
      <c r="S592" s="196"/>
      <c r="T592" s="196"/>
      <c r="U592" s="196"/>
      <c r="V592" s="196"/>
      <c r="W592" s="196"/>
      <c r="X592" s="196"/>
      <c r="Y592" s="196"/>
      <c r="Z592" s="196"/>
      <c r="AA592" s="196"/>
      <c r="AB592" s="196"/>
      <c r="AC592" s="196"/>
      <c r="AD592" s="196"/>
      <c r="AE592" s="196"/>
      <c r="AF592" s="196"/>
      <c r="AG592" s="196"/>
      <c r="AH592" s="196"/>
      <c r="AI592" s="196"/>
      <c r="AJ592" s="196"/>
      <c r="AK592" s="196"/>
      <c r="AL592" s="196"/>
      <c r="AM592" s="196"/>
    </row>
    <row r="593">
      <c r="F593" s="203"/>
      <c r="H593" s="196"/>
      <c r="I593" s="196"/>
      <c r="J593" s="196"/>
      <c r="K593" s="196"/>
      <c r="L593" s="196"/>
      <c r="M593" s="196"/>
      <c r="N593" s="196"/>
      <c r="O593" s="196"/>
      <c r="P593" s="196"/>
      <c r="Q593" s="196"/>
      <c r="R593" s="196"/>
      <c r="S593" s="196"/>
      <c r="T593" s="196"/>
      <c r="U593" s="196"/>
      <c r="V593" s="196"/>
      <c r="W593" s="196"/>
      <c r="X593" s="196"/>
      <c r="Y593" s="196"/>
      <c r="Z593" s="196"/>
      <c r="AA593" s="196"/>
      <c r="AB593" s="196"/>
      <c r="AC593" s="196"/>
      <c r="AD593" s="196"/>
      <c r="AE593" s="196"/>
      <c r="AF593" s="196"/>
      <c r="AG593" s="196"/>
      <c r="AH593" s="196"/>
      <c r="AI593" s="196"/>
      <c r="AJ593" s="196"/>
      <c r="AK593" s="196"/>
      <c r="AL593" s="196"/>
      <c r="AM593" s="196"/>
    </row>
    <row r="594">
      <c r="F594" s="203"/>
      <c r="H594" s="196"/>
      <c r="I594" s="196"/>
      <c r="J594" s="196"/>
      <c r="K594" s="196"/>
      <c r="L594" s="196"/>
      <c r="M594" s="196"/>
      <c r="N594" s="196"/>
      <c r="O594" s="196"/>
      <c r="P594" s="196"/>
      <c r="Q594" s="196"/>
      <c r="R594" s="196"/>
      <c r="S594" s="196"/>
      <c r="T594" s="196"/>
      <c r="U594" s="196"/>
      <c r="V594" s="196"/>
      <c r="W594" s="196"/>
      <c r="X594" s="196"/>
      <c r="Y594" s="196"/>
      <c r="Z594" s="196"/>
      <c r="AA594" s="196"/>
      <c r="AB594" s="196"/>
      <c r="AC594" s="196"/>
      <c r="AD594" s="196"/>
      <c r="AE594" s="196"/>
      <c r="AF594" s="196"/>
      <c r="AG594" s="196"/>
      <c r="AH594" s="196"/>
      <c r="AI594" s="196"/>
      <c r="AJ594" s="196"/>
      <c r="AK594" s="196"/>
      <c r="AL594" s="196"/>
      <c r="AM594" s="196"/>
    </row>
    <row r="595">
      <c r="F595" s="203"/>
      <c r="H595" s="196"/>
      <c r="I595" s="196"/>
      <c r="J595" s="196"/>
      <c r="K595" s="196"/>
      <c r="L595" s="196"/>
      <c r="M595" s="196"/>
      <c r="N595" s="196"/>
      <c r="O595" s="196"/>
      <c r="P595" s="196"/>
      <c r="Q595" s="196"/>
      <c r="R595" s="196"/>
      <c r="S595" s="196"/>
      <c r="T595" s="196"/>
      <c r="U595" s="196"/>
      <c r="V595" s="196"/>
      <c r="W595" s="196"/>
      <c r="X595" s="196"/>
      <c r="Y595" s="196"/>
      <c r="Z595" s="196"/>
      <c r="AA595" s="196"/>
      <c r="AB595" s="196"/>
      <c r="AC595" s="196"/>
      <c r="AD595" s="196"/>
      <c r="AE595" s="196"/>
      <c r="AF595" s="196"/>
      <c r="AG595" s="196"/>
      <c r="AH595" s="196"/>
      <c r="AI595" s="196"/>
      <c r="AJ595" s="196"/>
      <c r="AK595" s="196"/>
      <c r="AL595" s="196"/>
      <c r="AM595" s="196"/>
    </row>
    <row r="596">
      <c r="F596" s="203"/>
      <c r="H596" s="196"/>
      <c r="I596" s="196"/>
      <c r="J596" s="196"/>
      <c r="K596" s="196"/>
      <c r="L596" s="196"/>
      <c r="M596" s="196"/>
      <c r="N596" s="196"/>
      <c r="O596" s="196"/>
      <c r="P596" s="196"/>
      <c r="Q596" s="196"/>
      <c r="R596" s="196"/>
      <c r="S596" s="196"/>
      <c r="T596" s="196"/>
      <c r="U596" s="196"/>
      <c r="V596" s="196"/>
      <c r="W596" s="196"/>
      <c r="X596" s="196"/>
      <c r="Y596" s="196"/>
      <c r="Z596" s="196"/>
      <c r="AA596" s="196"/>
      <c r="AB596" s="196"/>
      <c r="AC596" s="196"/>
      <c r="AD596" s="196"/>
      <c r="AE596" s="196"/>
      <c r="AF596" s="196"/>
      <c r="AG596" s="196"/>
      <c r="AH596" s="196"/>
      <c r="AI596" s="196"/>
      <c r="AJ596" s="196"/>
      <c r="AK596" s="196"/>
      <c r="AL596" s="196"/>
      <c r="AM596" s="196"/>
    </row>
    <row r="597">
      <c r="F597" s="203"/>
      <c r="H597" s="196"/>
      <c r="I597" s="196"/>
      <c r="J597" s="196"/>
      <c r="K597" s="196"/>
      <c r="L597" s="196"/>
      <c r="M597" s="196"/>
      <c r="N597" s="196"/>
      <c r="O597" s="196"/>
      <c r="P597" s="196"/>
      <c r="Q597" s="196"/>
      <c r="R597" s="196"/>
      <c r="S597" s="196"/>
      <c r="T597" s="196"/>
      <c r="U597" s="196"/>
      <c r="V597" s="196"/>
      <c r="W597" s="196"/>
      <c r="X597" s="196"/>
      <c r="Y597" s="196"/>
      <c r="Z597" s="196"/>
      <c r="AA597" s="196"/>
      <c r="AB597" s="196"/>
      <c r="AC597" s="196"/>
      <c r="AD597" s="196"/>
      <c r="AE597" s="196"/>
      <c r="AF597" s="196"/>
      <c r="AG597" s="196"/>
      <c r="AH597" s="196"/>
      <c r="AI597" s="196"/>
      <c r="AJ597" s="196"/>
      <c r="AK597" s="196"/>
      <c r="AL597" s="196"/>
      <c r="AM597" s="196"/>
    </row>
    <row r="598">
      <c r="F598" s="203"/>
      <c r="H598" s="196"/>
      <c r="I598" s="196"/>
      <c r="J598" s="196"/>
      <c r="K598" s="196"/>
      <c r="L598" s="196"/>
      <c r="M598" s="196"/>
      <c r="N598" s="196"/>
      <c r="O598" s="196"/>
      <c r="P598" s="196"/>
      <c r="Q598" s="196"/>
      <c r="R598" s="196"/>
      <c r="S598" s="196"/>
      <c r="T598" s="196"/>
      <c r="U598" s="196"/>
      <c r="V598" s="196"/>
      <c r="W598" s="196"/>
      <c r="X598" s="196"/>
      <c r="Y598" s="196"/>
      <c r="Z598" s="196"/>
      <c r="AA598" s="196"/>
      <c r="AB598" s="196"/>
      <c r="AC598" s="196"/>
      <c r="AD598" s="196"/>
      <c r="AE598" s="196"/>
      <c r="AF598" s="196"/>
      <c r="AG598" s="196"/>
      <c r="AH598" s="196"/>
      <c r="AI598" s="196"/>
      <c r="AJ598" s="196"/>
      <c r="AK598" s="196"/>
      <c r="AL598" s="196"/>
      <c r="AM598" s="196"/>
    </row>
    <row r="599">
      <c r="F599" s="203"/>
      <c r="H599" s="196"/>
      <c r="I599" s="196"/>
      <c r="J599" s="196"/>
      <c r="K599" s="196"/>
      <c r="L599" s="196"/>
      <c r="M599" s="196"/>
      <c r="N599" s="196"/>
      <c r="O599" s="196"/>
      <c r="P599" s="196"/>
      <c r="Q599" s="196"/>
      <c r="R599" s="196"/>
      <c r="S599" s="196"/>
      <c r="T599" s="196"/>
      <c r="U599" s="196"/>
      <c r="V599" s="196"/>
      <c r="W599" s="196"/>
      <c r="X599" s="196"/>
      <c r="Y599" s="196"/>
      <c r="Z599" s="196"/>
      <c r="AA599" s="196"/>
      <c r="AB599" s="196"/>
      <c r="AC599" s="196"/>
      <c r="AD599" s="196"/>
      <c r="AE599" s="196"/>
      <c r="AF599" s="196"/>
      <c r="AG599" s="196"/>
      <c r="AH599" s="196"/>
      <c r="AI599" s="196"/>
      <c r="AJ599" s="196"/>
      <c r="AK599" s="196"/>
      <c r="AL599" s="196"/>
      <c r="AM599" s="196"/>
    </row>
    <row r="600">
      <c r="F600" s="203"/>
      <c r="H600" s="196"/>
      <c r="I600" s="196"/>
      <c r="J600" s="196"/>
      <c r="K600" s="196"/>
      <c r="L600" s="196"/>
      <c r="M600" s="196"/>
      <c r="N600" s="196"/>
      <c r="O600" s="196"/>
      <c r="P600" s="196"/>
      <c r="Q600" s="196"/>
      <c r="R600" s="196"/>
      <c r="S600" s="196"/>
      <c r="T600" s="196"/>
      <c r="U600" s="196"/>
      <c r="V600" s="196"/>
      <c r="W600" s="196"/>
      <c r="X600" s="196"/>
      <c r="Y600" s="196"/>
      <c r="Z600" s="196"/>
      <c r="AA600" s="196"/>
      <c r="AB600" s="196"/>
      <c r="AC600" s="196"/>
      <c r="AD600" s="196"/>
      <c r="AE600" s="196"/>
      <c r="AF600" s="196"/>
      <c r="AG600" s="196"/>
      <c r="AH600" s="196"/>
      <c r="AI600" s="196"/>
      <c r="AJ600" s="196"/>
      <c r="AK600" s="196"/>
      <c r="AL600" s="196"/>
      <c r="AM600" s="196"/>
    </row>
    <row r="601">
      <c r="F601" s="203"/>
      <c r="H601" s="196"/>
      <c r="I601" s="196"/>
      <c r="J601" s="196"/>
      <c r="K601" s="196"/>
      <c r="L601" s="196"/>
      <c r="M601" s="196"/>
      <c r="N601" s="196"/>
      <c r="O601" s="196"/>
      <c r="P601" s="196"/>
      <c r="Q601" s="196"/>
      <c r="R601" s="196"/>
      <c r="S601" s="196"/>
      <c r="T601" s="196"/>
      <c r="U601" s="196"/>
      <c r="V601" s="196"/>
      <c r="W601" s="196"/>
      <c r="X601" s="196"/>
      <c r="Y601" s="196"/>
      <c r="Z601" s="196"/>
      <c r="AA601" s="196"/>
      <c r="AB601" s="196"/>
      <c r="AC601" s="196"/>
      <c r="AD601" s="196"/>
      <c r="AE601" s="196"/>
      <c r="AF601" s="196"/>
      <c r="AG601" s="196"/>
      <c r="AH601" s="196"/>
      <c r="AI601" s="196"/>
      <c r="AJ601" s="196"/>
      <c r="AK601" s="196"/>
      <c r="AL601" s="196"/>
      <c r="AM601" s="196"/>
    </row>
    <row r="602">
      <c r="F602" s="203"/>
      <c r="H602" s="196"/>
      <c r="I602" s="196"/>
      <c r="J602" s="196"/>
      <c r="K602" s="196"/>
      <c r="L602" s="196"/>
      <c r="M602" s="196"/>
      <c r="N602" s="196"/>
      <c r="O602" s="196"/>
      <c r="P602" s="196"/>
      <c r="Q602" s="196"/>
      <c r="R602" s="196"/>
      <c r="S602" s="196"/>
      <c r="T602" s="196"/>
      <c r="U602" s="196"/>
      <c r="V602" s="196"/>
      <c r="W602" s="196"/>
      <c r="X602" s="196"/>
      <c r="Y602" s="196"/>
      <c r="Z602" s="196"/>
      <c r="AA602" s="196"/>
      <c r="AB602" s="196"/>
      <c r="AC602" s="196"/>
      <c r="AD602" s="196"/>
      <c r="AE602" s="196"/>
      <c r="AF602" s="196"/>
      <c r="AG602" s="196"/>
      <c r="AH602" s="196"/>
      <c r="AI602" s="196"/>
      <c r="AJ602" s="196"/>
      <c r="AK602" s="196"/>
      <c r="AL602" s="196"/>
      <c r="AM602" s="196"/>
    </row>
    <row r="603">
      <c r="F603" s="203"/>
      <c r="H603" s="196"/>
      <c r="I603" s="196"/>
      <c r="J603" s="196"/>
      <c r="K603" s="196"/>
      <c r="L603" s="196"/>
      <c r="M603" s="196"/>
      <c r="N603" s="196"/>
      <c r="O603" s="196"/>
      <c r="P603" s="196"/>
      <c r="Q603" s="196"/>
      <c r="R603" s="196"/>
      <c r="S603" s="196"/>
      <c r="T603" s="196"/>
      <c r="U603" s="196"/>
      <c r="V603" s="196"/>
      <c r="W603" s="196"/>
      <c r="X603" s="196"/>
      <c r="Y603" s="196"/>
      <c r="Z603" s="196"/>
      <c r="AA603" s="196"/>
      <c r="AB603" s="196"/>
      <c r="AC603" s="196"/>
      <c r="AD603" s="196"/>
      <c r="AE603" s="196"/>
      <c r="AF603" s="196"/>
      <c r="AG603" s="196"/>
      <c r="AH603" s="196"/>
      <c r="AI603" s="196"/>
      <c r="AJ603" s="196"/>
      <c r="AK603" s="196"/>
      <c r="AL603" s="196"/>
      <c r="AM603" s="196"/>
    </row>
    <row r="604">
      <c r="F604" s="203"/>
      <c r="H604" s="196"/>
      <c r="I604" s="196"/>
      <c r="J604" s="196"/>
      <c r="K604" s="196"/>
      <c r="L604" s="196"/>
      <c r="M604" s="196"/>
      <c r="N604" s="196"/>
      <c r="O604" s="196"/>
      <c r="P604" s="196"/>
      <c r="Q604" s="196"/>
      <c r="R604" s="196"/>
      <c r="S604" s="196"/>
      <c r="T604" s="196"/>
      <c r="U604" s="196"/>
      <c r="V604" s="196"/>
      <c r="W604" s="196"/>
      <c r="X604" s="196"/>
      <c r="Y604" s="196"/>
      <c r="Z604" s="196"/>
      <c r="AA604" s="196"/>
      <c r="AB604" s="196"/>
      <c r="AC604" s="196"/>
      <c r="AD604" s="196"/>
      <c r="AE604" s="196"/>
      <c r="AF604" s="196"/>
      <c r="AG604" s="196"/>
      <c r="AH604" s="196"/>
      <c r="AI604" s="196"/>
      <c r="AJ604" s="196"/>
      <c r="AK604" s="196"/>
      <c r="AL604" s="196"/>
      <c r="AM604" s="196"/>
    </row>
    <row r="605">
      <c r="F605" s="203"/>
      <c r="H605" s="196"/>
      <c r="I605" s="196"/>
      <c r="J605" s="196"/>
      <c r="K605" s="196"/>
      <c r="L605" s="196"/>
      <c r="M605" s="196"/>
      <c r="N605" s="196"/>
      <c r="O605" s="196"/>
      <c r="P605" s="196"/>
      <c r="Q605" s="196"/>
      <c r="R605" s="196"/>
      <c r="S605" s="196"/>
      <c r="T605" s="196"/>
      <c r="U605" s="196"/>
      <c r="V605" s="196"/>
      <c r="W605" s="196"/>
      <c r="X605" s="196"/>
      <c r="Y605" s="196"/>
      <c r="Z605" s="196"/>
      <c r="AA605" s="196"/>
      <c r="AB605" s="196"/>
      <c r="AC605" s="196"/>
      <c r="AD605" s="196"/>
      <c r="AE605" s="196"/>
      <c r="AF605" s="196"/>
      <c r="AG605" s="196"/>
      <c r="AH605" s="196"/>
      <c r="AI605" s="196"/>
      <c r="AJ605" s="196"/>
      <c r="AK605" s="196"/>
      <c r="AL605" s="196"/>
      <c r="AM605" s="196"/>
    </row>
    <row r="606">
      <c r="F606" s="203"/>
      <c r="H606" s="196"/>
      <c r="I606" s="196"/>
      <c r="J606" s="196"/>
      <c r="K606" s="196"/>
      <c r="L606" s="196"/>
      <c r="M606" s="196"/>
      <c r="N606" s="196"/>
      <c r="O606" s="196"/>
      <c r="P606" s="196"/>
      <c r="Q606" s="196"/>
      <c r="R606" s="196"/>
      <c r="S606" s="196"/>
      <c r="T606" s="196"/>
      <c r="U606" s="196"/>
      <c r="V606" s="196"/>
      <c r="W606" s="196"/>
      <c r="X606" s="196"/>
      <c r="Y606" s="196"/>
      <c r="Z606" s="196"/>
      <c r="AA606" s="196"/>
      <c r="AB606" s="196"/>
      <c r="AC606" s="196"/>
      <c r="AD606" s="196"/>
      <c r="AE606" s="196"/>
      <c r="AF606" s="196"/>
      <c r="AG606" s="196"/>
      <c r="AH606" s="196"/>
      <c r="AI606" s="196"/>
      <c r="AJ606" s="196"/>
      <c r="AK606" s="196"/>
      <c r="AL606" s="196"/>
      <c r="AM606" s="196"/>
    </row>
    <row r="607">
      <c r="F607" s="203"/>
      <c r="H607" s="196"/>
      <c r="I607" s="196"/>
      <c r="J607" s="196"/>
      <c r="K607" s="196"/>
      <c r="L607" s="196"/>
      <c r="M607" s="196"/>
      <c r="N607" s="196"/>
      <c r="O607" s="196"/>
      <c r="P607" s="196"/>
      <c r="Q607" s="196"/>
      <c r="R607" s="196"/>
      <c r="S607" s="196"/>
      <c r="T607" s="196"/>
      <c r="U607" s="196"/>
      <c r="V607" s="196"/>
      <c r="W607" s="196"/>
      <c r="X607" s="196"/>
      <c r="Y607" s="196"/>
      <c r="Z607" s="196"/>
      <c r="AA607" s="196"/>
      <c r="AB607" s="196"/>
      <c r="AC607" s="196"/>
      <c r="AD607" s="196"/>
      <c r="AE607" s="196"/>
      <c r="AF607" s="196"/>
      <c r="AG607" s="196"/>
      <c r="AH607" s="196"/>
      <c r="AI607" s="196"/>
      <c r="AJ607" s="196"/>
      <c r="AK607" s="196"/>
      <c r="AL607" s="196"/>
      <c r="AM607" s="196"/>
    </row>
    <row r="608">
      <c r="F608" s="203"/>
      <c r="H608" s="196"/>
      <c r="I608" s="196"/>
      <c r="J608" s="196"/>
      <c r="K608" s="196"/>
      <c r="L608" s="196"/>
      <c r="M608" s="196"/>
      <c r="N608" s="196"/>
      <c r="O608" s="196"/>
      <c r="P608" s="196"/>
      <c r="Q608" s="196"/>
      <c r="R608" s="196"/>
      <c r="S608" s="196"/>
      <c r="T608" s="196"/>
      <c r="U608" s="196"/>
      <c r="V608" s="196"/>
      <c r="W608" s="196"/>
      <c r="X608" s="196"/>
      <c r="Y608" s="196"/>
      <c r="Z608" s="196"/>
      <c r="AA608" s="196"/>
      <c r="AB608" s="196"/>
      <c r="AC608" s="196"/>
      <c r="AD608" s="196"/>
      <c r="AE608" s="196"/>
      <c r="AF608" s="196"/>
      <c r="AG608" s="196"/>
      <c r="AH608" s="196"/>
      <c r="AI608" s="196"/>
      <c r="AJ608" s="196"/>
      <c r="AK608" s="196"/>
      <c r="AL608" s="196"/>
      <c r="AM608" s="196"/>
    </row>
    <row r="609">
      <c r="F609" s="203"/>
      <c r="H609" s="196"/>
      <c r="I609" s="196"/>
      <c r="J609" s="196"/>
      <c r="K609" s="196"/>
      <c r="L609" s="196"/>
      <c r="M609" s="196"/>
      <c r="N609" s="196"/>
      <c r="O609" s="196"/>
      <c r="P609" s="196"/>
      <c r="Q609" s="196"/>
      <c r="R609" s="196"/>
      <c r="S609" s="196"/>
      <c r="T609" s="196"/>
      <c r="U609" s="196"/>
      <c r="V609" s="196"/>
      <c r="W609" s="196"/>
      <c r="X609" s="196"/>
      <c r="Y609" s="196"/>
      <c r="Z609" s="196"/>
      <c r="AA609" s="196"/>
      <c r="AB609" s="196"/>
      <c r="AC609" s="196"/>
      <c r="AD609" s="196"/>
      <c r="AE609" s="196"/>
      <c r="AF609" s="196"/>
      <c r="AG609" s="196"/>
      <c r="AH609" s="196"/>
      <c r="AI609" s="196"/>
      <c r="AJ609" s="196"/>
      <c r="AK609" s="196"/>
      <c r="AL609" s="196"/>
      <c r="AM609" s="196"/>
    </row>
    <row r="610">
      <c r="F610" s="203"/>
      <c r="H610" s="196"/>
      <c r="I610" s="196"/>
      <c r="J610" s="196"/>
      <c r="K610" s="196"/>
      <c r="L610" s="196"/>
      <c r="M610" s="196"/>
      <c r="N610" s="196"/>
      <c r="O610" s="196"/>
      <c r="P610" s="196"/>
      <c r="Q610" s="196"/>
      <c r="R610" s="196"/>
      <c r="S610" s="196"/>
      <c r="T610" s="196"/>
      <c r="U610" s="196"/>
      <c r="V610" s="196"/>
      <c r="W610" s="196"/>
      <c r="X610" s="196"/>
      <c r="Y610" s="196"/>
      <c r="Z610" s="196"/>
      <c r="AA610" s="196"/>
      <c r="AB610" s="196"/>
      <c r="AC610" s="196"/>
      <c r="AD610" s="196"/>
      <c r="AE610" s="196"/>
      <c r="AF610" s="196"/>
      <c r="AG610" s="196"/>
      <c r="AH610" s="196"/>
      <c r="AI610" s="196"/>
      <c r="AJ610" s="196"/>
      <c r="AK610" s="196"/>
      <c r="AL610" s="196"/>
      <c r="AM610" s="196"/>
    </row>
    <row r="611">
      <c r="F611" s="203"/>
      <c r="H611" s="196"/>
      <c r="I611" s="196"/>
      <c r="J611" s="196"/>
      <c r="K611" s="196"/>
      <c r="L611" s="196"/>
      <c r="M611" s="196"/>
      <c r="N611" s="196"/>
      <c r="O611" s="196"/>
      <c r="P611" s="196"/>
      <c r="Q611" s="196"/>
      <c r="R611" s="196"/>
      <c r="S611" s="196"/>
      <c r="T611" s="196"/>
      <c r="U611" s="196"/>
      <c r="V611" s="196"/>
      <c r="W611" s="196"/>
      <c r="X611" s="196"/>
      <c r="Y611" s="196"/>
      <c r="Z611" s="196"/>
      <c r="AA611" s="196"/>
      <c r="AB611" s="196"/>
      <c r="AC611" s="196"/>
      <c r="AD611" s="196"/>
      <c r="AE611" s="196"/>
      <c r="AF611" s="196"/>
      <c r="AG611" s="196"/>
      <c r="AH611" s="196"/>
      <c r="AI611" s="196"/>
      <c r="AJ611" s="196"/>
      <c r="AK611" s="196"/>
      <c r="AL611" s="196"/>
      <c r="AM611" s="196"/>
    </row>
    <row r="612">
      <c r="F612" s="203"/>
      <c r="H612" s="196"/>
      <c r="I612" s="196"/>
      <c r="J612" s="196"/>
      <c r="K612" s="196"/>
      <c r="L612" s="196"/>
      <c r="M612" s="196"/>
      <c r="N612" s="196"/>
      <c r="O612" s="196"/>
      <c r="P612" s="196"/>
      <c r="Q612" s="196"/>
      <c r="R612" s="196"/>
      <c r="S612" s="196"/>
      <c r="T612" s="196"/>
      <c r="U612" s="196"/>
      <c r="V612" s="196"/>
      <c r="W612" s="196"/>
      <c r="X612" s="196"/>
      <c r="Y612" s="196"/>
      <c r="Z612" s="196"/>
      <c r="AA612" s="196"/>
      <c r="AB612" s="196"/>
      <c r="AC612" s="196"/>
      <c r="AD612" s="196"/>
      <c r="AE612" s="196"/>
      <c r="AF612" s="196"/>
      <c r="AG612" s="196"/>
      <c r="AH612" s="196"/>
      <c r="AI612" s="196"/>
      <c r="AJ612" s="196"/>
      <c r="AK612" s="196"/>
      <c r="AL612" s="196"/>
      <c r="AM612" s="196"/>
    </row>
    <row r="613">
      <c r="F613" s="203"/>
      <c r="H613" s="196"/>
      <c r="I613" s="196"/>
      <c r="J613" s="196"/>
      <c r="K613" s="196"/>
      <c r="L613" s="196"/>
      <c r="M613" s="196"/>
      <c r="N613" s="196"/>
      <c r="O613" s="196"/>
      <c r="P613" s="196"/>
      <c r="Q613" s="196"/>
      <c r="R613" s="196"/>
      <c r="S613" s="196"/>
      <c r="T613" s="196"/>
      <c r="U613" s="196"/>
      <c r="V613" s="196"/>
      <c r="W613" s="196"/>
      <c r="X613" s="196"/>
      <c r="Y613" s="196"/>
      <c r="Z613" s="196"/>
      <c r="AA613" s="196"/>
      <c r="AB613" s="196"/>
      <c r="AC613" s="196"/>
      <c r="AD613" s="196"/>
      <c r="AE613" s="196"/>
      <c r="AF613" s="196"/>
      <c r="AG613" s="196"/>
      <c r="AH613" s="196"/>
      <c r="AI613" s="196"/>
      <c r="AJ613" s="196"/>
      <c r="AK613" s="196"/>
      <c r="AL613" s="196"/>
      <c r="AM613" s="196"/>
    </row>
    <row r="614">
      <c r="F614" s="203"/>
      <c r="H614" s="196"/>
      <c r="I614" s="196"/>
      <c r="J614" s="196"/>
      <c r="K614" s="196"/>
      <c r="L614" s="196"/>
      <c r="M614" s="196"/>
      <c r="N614" s="196"/>
      <c r="O614" s="196"/>
      <c r="P614" s="196"/>
      <c r="Q614" s="196"/>
      <c r="R614" s="196"/>
      <c r="S614" s="196"/>
      <c r="T614" s="196"/>
      <c r="U614" s="196"/>
      <c r="V614" s="196"/>
      <c r="W614" s="196"/>
      <c r="X614" s="196"/>
      <c r="Y614" s="196"/>
      <c r="Z614" s="196"/>
      <c r="AA614" s="196"/>
      <c r="AB614" s="196"/>
      <c r="AC614" s="196"/>
      <c r="AD614" s="196"/>
      <c r="AE614" s="196"/>
      <c r="AF614" s="196"/>
      <c r="AG614" s="196"/>
      <c r="AH614" s="196"/>
      <c r="AI614" s="196"/>
      <c r="AJ614" s="196"/>
      <c r="AK614" s="196"/>
      <c r="AL614" s="196"/>
      <c r="AM614" s="196"/>
    </row>
    <row r="615">
      <c r="F615" s="203"/>
      <c r="H615" s="196"/>
      <c r="I615" s="196"/>
      <c r="J615" s="196"/>
      <c r="K615" s="196"/>
      <c r="L615" s="196"/>
      <c r="M615" s="196"/>
      <c r="N615" s="196"/>
      <c r="O615" s="196"/>
      <c r="P615" s="196"/>
      <c r="Q615" s="196"/>
      <c r="R615" s="196"/>
      <c r="S615" s="196"/>
      <c r="T615" s="196"/>
      <c r="U615" s="196"/>
      <c r="V615" s="196"/>
      <c r="W615" s="196"/>
      <c r="X615" s="196"/>
      <c r="Y615" s="196"/>
      <c r="Z615" s="196"/>
      <c r="AA615" s="196"/>
      <c r="AB615" s="196"/>
      <c r="AC615" s="196"/>
      <c r="AD615" s="196"/>
      <c r="AE615" s="196"/>
      <c r="AF615" s="196"/>
      <c r="AG615" s="196"/>
      <c r="AH615" s="196"/>
      <c r="AI615" s="196"/>
      <c r="AJ615" s="196"/>
      <c r="AK615" s="196"/>
      <c r="AL615" s="196"/>
      <c r="AM615" s="196"/>
    </row>
    <row r="616">
      <c r="F616" s="203"/>
      <c r="H616" s="196"/>
      <c r="I616" s="196"/>
      <c r="J616" s="196"/>
      <c r="K616" s="196"/>
      <c r="L616" s="196"/>
      <c r="M616" s="196"/>
      <c r="N616" s="196"/>
      <c r="O616" s="196"/>
      <c r="P616" s="196"/>
      <c r="Q616" s="196"/>
      <c r="R616" s="196"/>
      <c r="S616" s="196"/>
      <c r="T616" s="196"/>
      <c r="U616" s="196"/>
      <c r="V616" s="196"/>
      <c r="W616" s="196"/>
      <c r="X616" s="196"/>
      <c r="Y616" s="196"/>
      <c r="Z616" s="196"/>
      <c r="AA616" s="196"/>
      <c r="AB616" s="196"/>
      <c r="AC616" s="196"/>
      <c r="AD616" s="196"/>
      <c r="AE616" s="196"/>
      <c r="AF616" s="196"/>
      <c r="AG616" s="196"/>
      <c r="AH616" s="196"/>
      <c r="AI616" s="196"/>
      <c r="AJ616" s="196"/>
      <c r="AK616" s="196"/>
      <c r="AL616" s="196"/>
      <c r="AM616" s="196"/>
    </row>
    <row r="617">
      <c r="F617" s="203"/>
      <c r="H617" s="196"/>
      <c r="I617" s="196"/>
      <c r="J617" s="196"/>
      <c r="K617" s="196"/>
      <c r="L617" s="196"/>
      <c r="M617" s="196"/>
      <c r="N617" s="196"/>
      <c r="O617" s="196"/>
      <c r="P617" s="196"/>
      <c r="Q617" s="196"/>
      <c r="R617" s="196"/>
      <c r="S617" s="196"/>
      <c r="T617" s="196"/>
      <c r="U617" s="196"/>
      <c r="V617" s="196"/>
      <c r="W617" s="196"/>
      <c r="X617" s="196"/>
      <c r="Y617" s="196"/>
      <c r="Z617" s="196"/>
      <c r="AA617" s="196"/>
      <c r="AB617" s="196"/>
      <c r="AC617" s="196"/>
      <c r="AD617" s="196"/>
      <c r="AE617" s="196"/>
      <c r="AF617" s="196"/>
      <c r="AG617" s="196"/>
      <c r="AH617" s="196"/>
      <c r="AI617" s="196"/>
      <c r="AJ617" s="196"/>
      <c r="AK617" s="196"/>
      <c r="AL617" s="196"/>
      <c r="AM617" s="196"/>
    </row>
    <row r="618">
      <c r="F618" s="203"/>
      <c r="H618" s="196"/>
      <c r="I618" s="196"/>
      <c r="J618" s="196"/>
      <c r="K618" s="196"/>
      <c r="L618" s="196"/>
      <c r="M618" s="196"/>
      <c r="N618" s="196"/>
      <c r="O618" s="196"/>
      <c r="P618" s="196"/>
      <c r="Q618" s="196"/>
      <c r="R618" s="196"/>
      <c r="S618" s="196"/>
      <c r="T618" s="196"/>
      <c r="U618" s="196"/>
      <c r="V618" s="196"/>
      <c r="W618" s="196"/>
      <c r="X618" s="196"/>
      <c r="Y618" s="196"/>
      <c r="Z618" s="196"/>
      <c r="AA618" s="196"/>
      <c r="AB618" s="196"/>
      <c r="AC618" s="196"/>
      <c r="AD618" s="196"/>
      <c r="AE618" s="196"/>
      <c r="AF618" s="196"/>
      <c r="AG618" s="196"/>
      <c r="AH618" s="196"/>
      <c r="AI618" s="196"/>
      <c r="AJ618" s="196"/>
      <c r="AK618" s="196"/>
      <c r="AL618" s="196"/>
      <c r="AM618" s="196"/>
    </row>
    <row r="619">
      <c r="F619" s="203"/>
      <c r="H619" s="196"/>
      <c r="I619" s="196"/>
      <c r="J619" s="196"/>
      <c r="K619" s="196"/>
      <c r="L619" s="196"/>
      <c r="M619" s="196"/>
      <c r="N619" s="196"/>
      <c r="O619" s="196"/>
      <c r="P619" s="196"/>
      <c r="Q619" s="196"/>
      <c r="R619" s="196"/>
      <c r="S619" s="196"/>
      <c r="T619" s="196"/>
      <c r="U619" s="196"/>
      <c r="V619" s="196"/>
      <c r="W619" s="196"/>
      <c r="X619" s="196"/>
      <c r="Y619" s="196"/>
      <c r="Z619" s="196"/>
      <c r="AA619" s="196"/>
      <c r="AB619" s="196"/>
      <c r="AC619" s="196"/>
      <c r="AD619" s="196"/>
      <c r="AE619" s="196"/>
      <c r="AF619" s="196"/>
      <c r="AG619" s="196"/>
      <c r="AH619" s="196"/>
      <c r="AI619" s="196"/>
      <c r="AJ619" s="196"/>
      <c r="AK619" s="196"/>
      <c r="AL619" s="196"/>
      <c r="AM619" s="196"/>
    </row>
    <row r="620">
      <c r="F620" s="203"/>
      <c r="H620" s="196"/>
      <c r="I620" s="196"/>
      <c r="J620" s="196"/>
      <c r="K620" s="196"/>
      <c r="L620" s="196"/>
      <c r="M620" s="196"/>
      <c r="N620" s="196"/>
      <c r="O620" s="196"/>
      <c r="P620" s="196"/>
      <c r="Q620" s="196"/>
      <c r="R620" s="196"/>
      <c r="S620" s="196"/>
      <c r="T620" s="196"/>
      <c r="U620" s="196"/>
      <c r="V620" s="196"/>
      <c r="W620" s="196"/>
      <c r="X620" s="196"/>
      <c r="Y620" s="196"/>
      <c r="Z620" s="196"/>
      <c r="AA620" s="196"/>
      <c r="AB620" s="196"/>
      <c r="AC620" s="196"/>
      <c r="AD620" s="196"/>
      <c r="AE620" s="196"/>
      <c r="AF620" s="196"/>
      <c r="AG620" s="196"/>
      <c r="AH620" s="196"/>
      <c r="AI620" s="196"/>
      <c r="AJ620" s="196"/>
      <c r="AK620" s="196"/>
      <c r="AL620" s="196"/>
      <c r="AM620" s="196"/>
    </row>
    <row r="621">
      <c r="F621" s="203"/>
      <c r="H621" s="196"/>
      <c r="I621" s="196"/>
      <c r="J621" s="196"/>
      <c r="K621" s="196"/>
      <c r="L621" s="196"/>
      <c r="M621" s="196"/>
      <c r="N621" s="196"/>
      <c r="O621" s="196"/>
      <c r="P621" s="196"/>
      <c r="Q621" s="196"/>
      <c r="R621" s="196"/>
      <c r="S621" s="196"/>
      <c r="T621" s="196"/>
      <c r="U621" s="196"/>
      <c r="V621" s="196"/>
      <c r="W621" s="196"/>
      <c r="X621" s="196"/>
      <c r="Y621" s="196"/>
      <c r="Z621" s="196"/>
      <c r="AA621" s="196"/>
      <c r="AB621" s="196"/>
      <c r="AC621" s="196"/>
      <c r="AD621" s="196"/>
      <c r="AE621" s="196"/>
      <c r="AF621" s="196"/>
      <c r="AG621" s="196"/>
      <c r="AH621" s="196"/>
      <c r="AI621" s="196"/>
      <c r="AJ621" s="196"/>
      <c r="AK621" s="196"/>
      <c r="AL621" s="196"/>
      <c r="AM621" s="196"/>
    </row>
    <row r="622">
      <c r="F622" s="203"/>
      <c r="H622" s="196"/>
      <c r="I622" s="196"/>
      <c r="J622" s="196"/>
      <c r="K622" s="196"/>
      <c r="L622" s="196"/>
      <c r="M622" s="196"/>
      <c r="N622" s="196"/>
      <c r="O622" s="196"/>
      <c r="P622" s="196"/>
      <c r="Q622" s="196"/>
      <c r="R622" s="196"/>
      <c r="S622" s="196"/>
      <c r="T622" s="196"/>
      <c r="U622" s="196"/>
      <c r="V622" s="196"/>
      <c r="W622" s="196"/>
      <c r="X622" s="196"/>
      <c r="Y622" s="196"/>
      <c r="Z622" s="196"/>
      <c r="AA622" s="196"/>
      <c r="AB622" s="196"/>
      <c r="AC622" s="196"/>
      <c r="AD622" s="196"/>
      <c r="AE622" s="196"/>
      <c r="AF622" s="196"/>
      <c r="AG622" s="196"/>
      <c r="AH622" s="196"/>
      <c r="AI622" s="196"/>
      <c r="AJ622" s="196"/>
      <c r="AK622" s="196"/>
      <c r="AL622" s="196"/>
      <c r="AM622" s="196"/>
    </row>
    <row r="623">
      <c r="F623" s="203"/>
      <c r="H623" s="196"/>
      <c r="I623" s="196"/>
      <c r="J623" s="196"/>
      <c r="K623" s="196"/>
      <c r="L623" s="196"/>
      <c r="M623" s="196"/>
      <c r="N623" s="196"/>
      <c r="O623" s="196"/>
      <c r="P623" s="196"/>
      <c r="Q623" s="196"/>
      <c r="R623" s="196"/>
      <c r="S623" s="196"/>
      <c r="T623" s="196"/>
      <c r="U623" s="196"/>
      <c r="V623" s="196"/>
      <c r="W623" s="196"/>
      <c r="X623" s="196"/>
      <c r="Y623" s="196"/>
      <c r="Z623" s="196"/>
      <c r="AA623" s="196"/>
      <c r="AB623" s="196"/>
      <c r="AC623" s="196"/>
      <c r="AD623" s="196"/>
      <c r="AE623" s="196"/>
      <c r="AF623" s="196"/>
      <c r="AG623" s="196"/>
      <c r="AH623" s="196"/>
      <c r="AI623" s="196"/>
      <c r="AJ623" s="196"/>
      <c r="AK623" s="196"/>
      <c r="AL623" s="196"/>
      <c r="AM623" s="196"/>
    </row>
    <row r="624">
      <c r="F624" s="203"/>
      <c r="H624" s="196"/>
      <c r="I624" s="196"/>
      <c r="J624" s="196"/>
      <c r="K624" s="196"/>
      <c r="L624" s="196"/>
      <c r="M624" s="196"/>
      <c r="N624" s="196"/>
      <c r="O624" s="196"/>
      <c r="P624" s="196"/>
      <c r="Q624" s="196"/>
      <c r="R624" s="196"/>
      <c r="S624" s="196"/>
      <c r="T624" s="196"/>
      <c r="U624" s="196"/>
      <c r="V624" s="196"/>
      <c r="W624" s="196"/>
      <c r="X624" s="196"/>
      <c r="Y624" s="196"/>
      <c r="Z624" s="196"/>
      <c r="AA624" s="196"/>
      <c r="AB624" s="196"/>
      <c r="AC624" s="196"/>
      <c r="AD624" s="196"/>
      <c r="AE624" s="196"/>
      <c r="AF624" s="196"/>
      <c r="AG624" s="196"/>
      <c r="AH624" s="196"/>
      <c r="AI624" s="196"/>
      <c r="AJ624" s="196"/>
      <c r="AK624" s="196"/>
      <c r="AL624" s="196"/>
      <c r="AM624" s="196"/>
    </row>
    <row r="625">
      <c r="F625" s="203"/>
      <c r="H625" s="196"/>
      <c r="I625" s="196"/>
      <c r="J625" s="196"/>
      <c r="K625" s="196"/>
      <c r="L625" s="196"/>
      <c r="M625" s="196"/>
      <c r="N625" s="196"/>
      <c r="O625" s="196"/>
      <c r="P625" s="196"/>
      <c r="Q625" s="196"/>
      <c r="R625" s="196"/>
      <c r="S625" s="196"/>
      <c r="T625" s="196"/>
      <c r="U625" s="196"/>
      <c r="V625" s="196"/>
      <c r="W625" s="196"/>
      <c r="X625" s="196"/>
      <c r="Y625" s="196"/>
      <c r="Z625" s="196"/>
      <c r="AA625" s="196"/>
      <c r="AB625" s="196"/>
      <c r="AC625" s="196"/>
      <c r="AD625" s="196"/>
      <c r="AE625" s="196"/>
      <c r="AF625" s="196"/>
      <c r="AG625" s="196"/>
      <c r="AH625" s="196"/>
      <c r="AI625" s="196"/>
      <c r="AJ625" s="196"/>
      <c r="AK625" s="196"/>
      <c r="AL625" s="196"/>
      <c r="AM625" s="196"/>
    </row>
    <row r="626">
      <c r="F626" s="203"/>
      <c r="H626" s="196"/>
      <c r="I626" s="196"/>
      <c r="J626" s="196"/>
      <c r="K626" s="196"/>
      <c r="L626" s="196"/>
      <c r="M626" s="196"/>
      <c r="N626" s="196"/>
      <c r="O626" s="196"/>
      <c r="P626" s="196"/>
      <c r="Q626" s="196"/>
      <c r="R626" s="196"/>
      <c r="S626" s="196"/>
      <c r="T626" s="196"/>
      <c r="U626" s="196"/>
      <c r="V626" s="196"/>
      <c r="W626" s="196"/>
      <c r="X626" s="196"/>
      <c r="Y626" s="196"/>
      <c r="Z626" s="196"/>
      <c r="AA626" s="196"/>
      <c r="AB626" s="196"/>
      <c r="AC626" s="196"/>
      <c r="AD626" s="196"/>
      <c r="AE626" s="196"/>
      <c r="AF626" s="196"/>
      <c r="AG626" s="196"/>
      <c r="AH626" s="196"/>
      <c r="AI626" s="196"/>
      <c r="AJ626" s="196"/>
      <c r="AK626" s="196"/>
      <c r="AL626" s="196"/>
      <c r="AM626" s="196"/>
    </row>
    <row r="627">
      <c r="F627" s="203"/>
      <c r="H627" s="196"/>
      <c r="I627" s="196"/>
      <c r="J627" s="196"/>
      <c r="K627" s="196"/>
      <c r="L627" s="196"/>
      <c r="M627" s="196"/>
      <c r="N627" s="196"/>
      <c r="O627" s="196"/>
      <c r="P627" s="196"/>
      <c r="Q627" s="196"/>
      <c r="R627" s="196"/>
      <c r="S627" s="196"/>
      <c r="T627" s="196"/>
      <c r="U627" s="196"/>
      <c r="V627" s="196"/>
      <c r="W627" s="196"/>
      <c r="X627" s="196"/>
      <c r="Y627" s="196"/>
      <c r="Z627" s="196"/>
      <c r="AA627" s="196"/>
      <c r="AB627" s="196"/>
      <c r="AC627" s="196"/>
      <c r="AD627" s="196"/>
      <c r="AE627" s="196"/>
      <c r="AF627" s="196"/>
      <c r="AG627" s="196"/>
      <c r="AH627" s="196"/>
      <c r="AI627" s="196"/>
      <c r="AJ627" s="196"/>
      <c r="AK627" s="196"/>
      <c r="AL627" s="196"/>
      <c r="AM627" s="196"/>
    </row>
    <row r="628">
      <c r="F628" s="203"/>
      <c r="H628" s="196"/>
      <c r="I628" s="196"/>
      <c r="J628" s="196"/>
      <c r="K628" s="196"/>
      <c r="L628" s="196"/>
      <c r="M628" s="196"/>
      <c r="N628" s="196"/>
      <c r="O628" s="196"/>
      <c r="P628" s="196"/>
      <c r="Q628" s="196"/>
      <c r="R628" s="196"/>
      <c r="S628" s="196"/>
      <c r="T628" s="196"/>
      <c r="U628" s="196"/>
      <c r="V628" s="196"/>
      <c r="W628" s="196"/>
      <c r="X628" s="196"/>
      <c r="Y628" s="196"/>
      <c r="Z628" s="196"/>
      <c r="AA628" s="196"/>
      <c r="AB628" s="196"/>
      <c r="AC628" s="196"/>
      <c r="AD628" s="196"/>
      <c r="AE628" s="196"/>
      <c r="AF628" s="196"/>
      <c r="AG628" s="196"/>
      <c r="AH628" s="196"/>
      <c r="AI628" s="196"/>
      <c r="AJ628" s="196"/>
      <c r="AK628" s="196"/>
      <c r="AL628" s="196"/>
      <c r="AM628" s="196"/>
    </row>
    <row r="629">
      <c r="F629" s="203"/>
      <c r="H629" s="196"/>
      <c r="I629" s="196"/>
      <c r="J629" s="196"/>
      <c r="K629" s="196"/>
      <c r="L629" s="196"/>
      <c r="M629" s="196"/>
      <c r="N629" s="196"/>
      <c r="O629" s="196"/>
      <c r="P629" s="196"/>
      <c r="Q629" s="196"/>
      <c r="R629" s="196"/>
      <c r="S629" s="196"/>
      <c r="T629" s="196"/>
      <c r="U629" s="196"/>
      <c r="V629" s="196"/>
      <c r="W629" s="196"/>
      <c r="X629" s="196"/>
      <c r="Y629" s="196"/>
      <c r="Z629" s="196"/>
      <c r="AA629" s="196"/>
      <c r="AB629" s="196"/>
      <c r="AC629" s="196"/>
      <c r="AD629" s="196"/>
      <c r="AE629" s="196"/>
      <c r="AF629" s="196"/>
      <c r="AG629" s="196"/>
      <c r="AH629" s="196"/>
      <c r="AI629" s="196"/>
      <c r="AJ629" s="196"/>
      <c r="AK629" s="196"/>
      <c r="AL629" s="196"/>
      <c r="AM629" s="196"/>
    </row>
    <row r="630">
      <c r="F630" s="203"/>
      <c r="H630" s="196"/>
      <c r="I630" s="196"/>
      <c r="J630" s="196"/>
      <c r="K630" s="196"/>
      <c r="L630" s="196"/>
      <c r="M630" s="196"/>
      <c r="N630" s="196"/>
      <c r="O630" s="196"/>
      <c r="P630" s="196"/>
      <c r="Q630" s="196"/>
      <c r="R630" s="196"/>
      <c r="S630" s="196"/>
      <c r="T630" s="196"/>
      <c r="U630" s="196"/>
      <c r="V630" s="196"/>
      <c r="W630" s="196"/>
      <c r="X630" s="196"/>
      <c r="Y630" s="196"/>
      <c r="Z630" s="196"/>
      <c r="AA630" s="196"/>
      <c r="AB630" s="196"/>
      <c r="AC630" s="196"/>
      <c r="AD630" s="196"/>
      <c r="AE630" s="196"/>
      <c r="AF630" s="196"/>
      <c r="AG630" s="196"/>
      <c r="AH630" s="196"/>
      <c r="AI630" s="196"/>
      <c r="AJ630" s="196"/>
      <c r="AK630" s="196"/>
      <c r="AL630" s="196"/>
      <c r="AM630" s="196"/>
    </row>
    <row r="631">
      <c r="F631" s="203"/>
      <c r="H631" s="196"/>
      <c r="I631" s="196"/>
      <c r="J631" s="196"/>
      <c r="K631" s="196"/>
      <c r="L631" s="196"/>
      <c r="M631" s="196"/>
      <c r="N631" s="196"/>
      <c r="O631" s="196"/>
      <c r="P631" s="196"/>
      <c r="Q631" s="196"/>
      <c r="R631" s="196"/>
      <c r="S631" s="196"/>
      <c r="T631" s="196"/>
      <c r="U631" s="196"/>
      <c r="V631" s="196"/>
      <c r="W631" s="196"/>
      <c r="X631" s="196"/>
      <c r="Y631" s="196"/>
      <c r="Z631" s="196"/>
      <c r="AA631" s="196"/>
      <c r="AB631" s="196"/>
      <c r="AC631" s="196"/>
      <c r="AD631" s="196"/>
      <c r="AE631" s="196"/>
      <c r="AF631" s="196"/>
      <c r="AG631" s="196"/>
      <c r="AH631" s="196"/>
      <c r="AI631" s="196"/>
      <c r="AJ631" s="196"/>
      <c r="AK631" s="196"/>
      <c r="AL631" s="196"/>
      <c r="AM631" s="196"/>
    </row>
    <row r="632">
      <c r="F632" s="203"/>
      <c r="H632" s="196"/>
      <c r="I632" s="196"/>
      <c r="J632" s="196"/>
      <c r="K632" s="196"/>
      <c r="L632" s="196"/>
      <c r="M632" s="196"/>
      <c r="N632" s="196"/>
      <c r="O632" s="196"/>
      <c r="P632" s="196"/>
      <c r="Q632" s="196"/>
      <c r="R632" s="196"/>
      <c r="S632" s="196"/>
      <c r="T632" s="196"/>
      <c r="U632" s="196"/>
      <c r="V632" s="196"/>
      <c r="W632" s="196"/>
      <c r="X632" s="196"/>
      <c r="Y632" s="196"/>
      <c r="Z632" s="196"/>
      <c r="AA632" s="196"/>
      <c r="AB632" s="196"/>
      <c r="AC632" s="196"/>
      <c r="AD632" s="196"/>
      <c r="AE632" s="196"/>
      <c r="AF632" s="196"/>
      <c r="AG632" s="196"/>
      <c r="AH632" s="196"/>
      <c r="AI632" s="196"/>
      <c r="AJ632" s="196"/>
      <c r="AK632" s="196"/>
      <c r="AL632" s="196"/>
      <c r="AM632" s="196"/>
    </row>
    <row r="633">
      <c r="F633" s="203"/>
      <c r="H633" s="196"/>
      <c r="I633" s="196"/>
      <c r="J633" s="196"/>
      <c r="K633" s="196"/>
      <c r="L633" s="196"/>
      <c r="M633" s="196"/>
      <c r="N633" s="196"/>
      <c r="O633" s="196"/>
      <c r="P633" s="196"/>
      <c r="Q633" s="196"/>
      <c r="R633" s="196"/>
      <c r="S633" s="196"/>
      <c r="T633" s="196"/>
      <c r="U633" s="196"/>
      <c r="V633" s="196"/>
      <c r="W633" s="196"/>
      <c r="X633" s="196"/>
      <c r="Y633" s="196"/>
      <c r="Z633" s="196"/>
      <c r="AA633" s="196"/>
      <c r="AB633" s="196"/>
      <c r="AC633" s="196"/>
      <c r="AD633" s="196"/>
      <c r="AE633" s="196"/>
      <c r="AF633" s="196"/>
      <c r="AG633" s="196"/>
      <c r="AH633" s="196"/>
      <c r="AI633" s="196"/>
      <c r="AJ633" s="196"/>
      <c r="AK633" s="196"/>
      <c r="AL633" s="196"/>
      <c r="AM633" s="196"/>
    </row>
    <row r="634">
      <c r="F634" s="203"/>
      <c r="H634" s="196"/>
      <c r="I634" s="196"/>
      <c r="J634" s="196"/>
      <c r="K634" s="196"/>
      <c r="L634" s="196"/>
      <c r="M634" s="196"/>
      <c r="N634" s="196"/>
      <c r="O634" s="196"/>
      <c r="P634" s="196"/>
      <c r="Q634" s="196"/>
      <c r="R634" s="196"/>
      <c r="S634" s="196"/>
      <c r="T634" s="196"/>
      <c r="U634" s="196"/>
      <c r="V634" s="196"/>
      <c r="W634" s="196"/>
      <c r="X634" s="196"/>
      <c r="Y634" s="196"/>
      <c r="Z634" s="196"/>
      <c r="AA634" s="196"/>
      <c r="AB634" s="196"/>
      <c r="AC634" s="196"/>
      <c r="AD634" s="196"/>
      <c r="AE634" s="196"/>
      <c r="AF634" s="196"/>
      <c r="AG634" s="196"/>
      <c r="AH634" s="196"/>
      <c r="AI634" s="196"/>
      <c r="AJ634" s="196"/>
      <c r="AK634" s="196"/>
      <c r="AL634" s="196"/>
      <c r="AM634" s="196"/>
    </row>
    <row r="635">
      <c r="F635" s="203"/>
      <c r="H635" s="196"/>
      <c r="I635" s="196"/>
      <c r="J635" s="196"/>
      <c r="K635" s="196"/>
      <c r="L635" s="196"/>
      <c r="M635" s="196"/>
      <c r="N635" s="196"/>
      <c r="O635" s="196"/>
      <c r="P635" s="196"/>
      <c r="Q635" s="196"/>
      <c r="R635" s="196"/>
      <c r="S635" s="196"/>
      <c r="T635" s="196"/>
      <c r="U635" s="196"/>
      <c r="V635" s="196"/>
      <c r="W635" s="196"/>
      <c r="X635" s="196"/>
      <c r="Y635" s="196"/>
      <c r="Z635" s="196"/>
      <c r="AA635" s="196"/>
      <c r="AB635" s="196"/>
      <c r="AC635" s="196"/>
      <c r="AD635" s="196"/>
      <c r="AE635" s="196"/>
      <c r="AF635" s="196"/>
      <c r="AG635" s="196"/>
      <c r="AH635" s="196"/>
      <c r="AI635" s="196"/>
      <c r="AJ635" s="196"/>
      <c r="AK635" s="196"/>
      <c r="AL635" s="196"/>
      <c r="AM635" s="196"/>
    </row>
    <row r="636">
      <c r="F636" s="203"/>
      <c r="H636" s="196"/>
      <c r="I636" s="196"/>
      <c r="J636" s="196"/>
      <c r="K636" s="196"/>
      <c r="L636" s="196"/>
      <c r="M636" s="196"/>
      <c r="N636" s="196"/>
      <c r="O636" s="196"/>
      <c r="P636" s="196"/>
      <c r="Q636" s="196"/>
      <c r="R636" s="196"/>
      <c r="S636" s="196"/>
      <c r="T636" s="196"/>
      <c r="U636" s="196"/>
      <c r="V636" s="196"/>
      <c r="W636" s="196"/>
      <c r="X636" s="196"/>
      <c r="Y636" s="196"/>
      <c r="Z636" s="196"/>
      <c r="AA636" s="196"/>
      <c r="AB636" s="196"/>
      <c r="AC636" s="196"/>
      <c r="AD636" s="196"/>
      <c r="AE636" s="196"/>
      <c r="AF636" s="196"/>
      <c r="AG636" s="196"/>
      <c r="AH636" s="196"/>
      <c r="AI636" s="196"/>
      <c r="AJ636" s="196"/>
      <c r="AK636" s="196"/>
      <c r="AL636" s="196"/>
      <c r="AM636" s="196"/>
    </row>
    <row r="637">
      <c r="F637" s="203"/>
      <c r="H637" s="196"/>
      <c r="I637" s="196"/>
      <c r="J637" s="196"/>
      <c r="K637" s="196"/>
      <c r="L637" s="196"/>
      <c r="M637" s="196"/>
      <c r="N637" s="196"/>
      <c r="O637" s="196"/>
      <c r="P637" s="196"/>
      <c r="Q637" s="196"/>
      <c r="R637" s="196"/>
      <c r="S637" s="196"/>
      <c r="T637" s="196"/>
      <c r="U637" s="196"/>
      <c r="V637" s="196"/>
      <c r="W637" s="196"/>
      <c r="X637" s="196"/>
      <c r="Y637" s="196"/>
      <c r="Z637" s="196"/>
      <c r="AA637" s="196"/>
      <c r="AB637" s="196"/>
      <c r="AC637" s="196"/>
      <c r="AD637" s="196"/>
      <c r="AE637" s="196"/>
      <c r="AF637" s="196"/>
      <c r="AG637" s="196"/>
      <c r="AH637" s="196"/>
      <c r="AI637" s="196"/>
      <c r="AJ637" s="196"/>
      <c r="AK637" s="196"/>
      <c r="AL637" s="196"/>
      <c r="AM637" s="196"/>
    </row>
    <row r="638">
      <c r="F638" s="203"/>
      <c r="H638" s="196"/>
      <c r="I638" s="196"/>
      <c r="J638" s="196"/>
      <c r="K638" s="196"/>
      <c r="L638" s="196"/>
      <c r="M638" s="196"/>
      <c r="N638" s="196"/>
      <c r="O638" s="196"/>
      <c r="P638" s="196"/>
      <c r="Q638" s="196"/>
      <c r="R638" s="196"/>
      <c r="S638" s="196"/>
      <c r="T638" s="196"/>
      <c r="U638" s="196"/>
      <c r="V638" s="196"/>
      <c r="W638" s="196"/>
      <c r="X638" s="196"/>
      <c r="Y638" s="196"/>
      <c r="Z638" s="196"/>
      <c r="AA638" s="196"/>
      <c r="AB638" s="196"/>
      <c r="AC638" s="196"/>
      <c r="AD638" s="196"/>
      <c r="AE638" s="196"/>
      <c r="AF638" s="196"/>
      <c r="AG638" s="196"/>
      <c r="AH638" s="196"/>
      <c r="AI638" s="196"/>
      <c r="AJ638" s="196"/>
      <c r="AK638" s="196"/>
      <c r="AL638" s="196"/>
      <c r="AM638" s="196"/>
    </row>
    <row r="639">
      <c r="F639" s="203"/>
      <c r="H639" s="196"/>
      <c r="I639" s="196"/>
      <c r="J639" s="196"/>
      <c r="K639" s="196"/>
      <c r="L639" s="196"/>
      <c r="M639" s="196"/>
      <c r="N639" s="196"/>
      <c r="O639" s="196"/>
      <c r="P639" s="196"/>
      <c r="Q639" s="196"/>
      <c r="R639" s="196"/>
      <c r="S639" s="196"/>
      <c r="T639" s="196"/>
      <c r="U639" s="196"/>
      <c r="V639" s="196"/>
      <c r="W639" s="196"/>
      <c r="X639" s="196"/>
      <c r="Y639" s="196"/>
      <c r="Z639" s="196"/>
      <c r="AA639" s="196"/>
      <c r="AB639" s="196"/>
      <c r="AC639" s="196"/>
      <c r="AD639" s="196"/>
      <c r="AE639" s="196"/>
      <c r="AF639" s="196"/>
      <c r="AG639" s="196"/>
      <c r="AH639" s="196"/>
      <c r="AI639" s="196"/>
      <c r="AJ639" s="196"/>
      <c r="AK639" s="196"/>
      <c r="AL639" s="196"/>
      <c r="AM639" s="196"/>
    </row>
    <row r="640">
      <c r="F640" s="203"/>
      <c r="H640" s="196"/>
      <c r="I640" s="196"/>
      <c r="J640" s="196"/>
      <c r="K640" s="196"/>
      <c r="L640" s="196"/>
      <c r="M640" s="196"/>
      <c r="N640" s="196"/>
      <c r="O640" s="196"/>
      <c r="P640" s="196"/>
      <c r="Q640" s="196"/>
      <c r="R640" s="196"/>
      <c r="S640" s="196"/>
      <c r="T640" s="196"/>
      <c r="U640" s="196"/>
      <c r="V640" s="196"/>
      <c r="W640" s="196"/>
      <c r="X640" s="196"/>
      <c r="Y640" s="196"/>
      <c r="Z640" s="196"/>
      <c r="AA640" s="196"/>
      <c r="AB640" s="196"/>
      <c r="AC640" s="196"/>
      <c r="AD640" s="196"/>
      <c r="AE640" s="196"/>
      <c r="AF640" s="196"/>
      <c r="AG640" s="196"/>
      <c r="AH640" s="196"/>
      <c r="AI640" s="196"/>
      <c r="AJ640" s="196"/>
      <c r="AK640" s="196"/>
      <c r="AL640" s="196"/>
      <c r="AM640" s="196"/>
    </row>
    <row r="641">
      <c r="F641" s="203"/>
      <c r="H641" s="196"/>
      <c r="I641" s="196"/>
      <c r="J641" s="196"/>
      <c r="K641" s="196"/>
      <c r="L641" s="196"/>
      <c r="M641" s="196"/>
      <c r="N641" s="196"/>
      <c r="O641" s="196"/>
      <c r="P641" s="196"/>
      <c r="Q641" s="196"/>
      <c r="R641" s="196"/>
      <c r="S641" s="196"/>
      <c r="T641" s="196"/>
      <c r="U641" s="196"/>
      <c r="V641" s="196"/>
      <c r="W641" s="196"/>
      <c r="X641" s="196"/>
      <c r="Y641" s="196"/>
      <c r="Z641" s="196"/>
      <c r="AA641" s="196"/>
      <c r="AB641" s="196"/>
      <c r="AC641" s="196"/>
      <c r="AD641" s="196"/>
      <c r="AE641" s="196"/>
      <c r="AF641" s="196"/>
      <c r="AG641" s="196"/>
      <c r="AH641" s="196"/>
      <c r="AI641" s="196"/>
      <c r="AJ641" s="196"/>
      <c r="AK641" s="196"/>
      <c r="AL641" s="196"/>
      <c r="AM641" s="196"/>
    </row>
    <row r="642">
      <c r="F642" s="203"/>
      <c r="H642" s="196"/>
      <c r="I642" s="196"/>
      <c r="J642" s="196"/>
      <c r="K642" s="196"/>
      <c r="L642" s="196"/>
      <c r="M642" s="196"/>
      <c r="N642" s="196"/>
      <c r="O642" s="196"/>
      <c r="P642" s="196"/>
      <c r="Q642" s="196"/>
      <c r="R642" s="196"/>
      <c r="S642" s="196"/>
      <c r="T642" s="196"/>
      <c r="U642" s="196"/>
      <c r="V642" s="196"/>
      <c r="W642" s="196"/>
      <c r="X642" s="196"/>
      <c r="Y642" s="196"/>
      <c r="Z642" s="196"/>
      <c r="AA642" s="196"/>
      <c r="AB642" s="196"/>
      <c r="AC642" s="196"/>
      <c r="AD642" s="196"/>
      <c r="AE642" s="196"/>
      <c r="AF642" s="196"/>
      <c r="AG642" s="196"/>
      <c r="AH642" s="196"/>
      <c r="AI642" s="196"/>
      <c r="AJ642" s="196"/>
      <c r="AK642" s="196"/>
      <c r="AL642" s="196"/>
      <c r="AM642" s="196"/>
    </row>
    <row r="643">
      <c r="F643" s="203"/>
      <c r="H643" s="196"/>
      <c r="I643" s="196"/>
      <c r="J643" s="196"/>
      <c r="K643" s="196"/>
      <c r="L643" s="196"/>
      <c r="M643" s="196"/>
      <c r="N643" s="196"/>
      <c r="O643" s="196"/>
      <c r="P643" s="196"/>
      <c r="Q643" s="196"/>
      <c r="R643" s="196"/>
      <c r="S643" s="196"/>
      <c r="T643" s="196"/>
      <c r="U643" s="196"/>
      <c r="V643" s="196"/>
      <c r="W643" s="196"/>
      <c r="X643" s="196"/>
      <c r="Y643" s="196"/>
      <c r="Z643" s="196"/>
      <c r="AA643" s="196"/>
      <c r="AB643" s="196"/>
      <c r="AC643" s="196"/>
      <c r="AD643" s="196"/>
      <c r="AE643" s="196"/>
      <c r="AF643" s="196"/>
      <c r="AG643" s="196"/>
      <c r="AH643" s="196"/>
      <c r="AI643" s="196"/>
      <c r="AJ643" s="196"/>
      <c r="AK643" s="196"/>
      <c r="AL643" s="196"/>
      <c r="AM643" s="196"/>
    </row>
    <row r="644">
      <c r="F644" s="203"/>
      <c r="H644" s="196"/>
      <c r="I644" s="196"/>
      <c r="J644" s="196"/>
      <c r="K644" s="196"/>
      <c r="L644" s="196"/>
      <c r="M644" s="196"/>
      <c r="N644" s="196"/>
      <c r="O644" s="196"/>
      <c r="P644" s="196"/>
      <c r="Q644" s="196"/>
      <c r="R644" s="196"/>
      <c r="S644" s="196"/>
      <c r="T644" s="196"/>
      <c r="U644" s="196"/>
      <c r="V644" s="196"/>
      <c r="W644" s="196"/>
      <c r="X644" s="196"/>
      <c r="Y644" s="196"/>
      <c r="Z644" s="196"/>
      <c r="AA644" s="196"/>
      <c r="AB644" s="196"/>
      <c r="AC644" s="196"/>
      <c r="AD644" s="196"/>
      <c r="AE644" s="196"/>
      <c r="AF644" s="196"/>
      <c r="AG644" s="196"/>
      <c r="AH644" s="196"/>
      <c r="AI644" s="196"/>
      <c r="AJ644" s="196"/>
      <c r="AK644" s="196"/>
      <c r="AL644" s="196"/>
      <c r="AM644" s="196"/>
    </row>
    <row r="645">
      <c r="F645" s="203"/>
      <c r="H645" s="196"/>
      <c r="I645" s="196"/>
      <c r="J645" s="196"/>
      <c r="K645" s="196"/>
      <c r="L645" s="196"/>
      <c r="M645" s="196"/>
      <c r="N645" s="196"/>
      <c r="O645" s="196"/>
      <c r="P645" s="196"/>
      <c r="Q645" s="196"/>
      <c r="R645" s="196"/>
      <c r="S645" s="196"/>
      <c r="T645" s="196"/>
      <c r="U645" s="196"/>
      <c r="V645" s="196"/>
      <c r="W645" s="196"/>
      <c r="X645" s="196"/>
      <c r="Y645" s="196"/>
      <c r="Z645" s="196"/>
      <c r="AA645" s="196"/>
      <c r="AB645" s="196"/>
      <c r="AC645" s="196"/>
      <c r="AD645" s="196"/>
      <c r="AE645" s="196"/>
      <c r="AF645" s="196"/>
      <c r="AG645" s="196"/>
      <c r="AH645" s="196"/>
      <c r="AI645" s="196"/>
      <c r="AJ645" s="196"/>
      <c r="AK645" s="196"/>
      <c r="AL645" s="196"/>
      <c r="AM645" s="196"/>
    </row>
    <row r="646">
      <c r="F646" s="203"/>
      <c r="H646" s="196"/>
      <c r="I646" s="196"/>
      <c r="J646" s="196"/>
      <c r="K646" s="196"/>
      <c r="L646" s="196"/>
      <c r="M646" s="196"/>
      <c r="N646" s="196"/>
      <c r="O646" s="196"/>
      <c r="P646" s="196"/>
      <c r="Q646" s="196"/>
      <c r="R646" s="196"/>
      <c r="S646" s="196"/>
      <c r="T646" s="196"/>
      <c r="U646" s="196"/>
      <c r="V646" s="196"/>
      <c r="W646" s="196"/>
      <c r="X646" s="196"/>
      <c r="Y646" s="196"/>
      <c r="Z646" s="196"/>
      <c r="AA646" s="196"/>
      <c r="AB646" s="196"/>
      <c r="AC646" s="196"/>
      <c r="AD646" s="196"/>
      <c r="AE646" s="196"/>
      <c r="AF646" s="196"/>
      <c r="AG646" s="196"/>
      <c r="AH646" s="196"/>
      <c r="AI646" s="196"/>
      <c r="AJ646" s="196"/>
      <c r="AK646" s="196"/>
      <c r="AL646" s="196"/>
      <c r="AM646" s="196"/>
    </row>
    <row r="647">
      <c r="F647" s="203"/>
      <c r="H647" s="196"/>
      <c r="I647" s="196"/>
      <c r="J647" s="196"/>
      <c r="K647" s="196"/>
      <c r="L647" s="196"/>
      <c r="M647" s="196"/>
      <c r="N647" s="196"/>
      <c r="O647" s="196"/>
      <c r="P647" s="196"/>
      <c r="Q647" s="196"/>
      <c r="R647" s="196"/>
      <c r="S647" s="196"/>
      <c r="T647" s="196"/>
      <c r="U647" s="196"/>
      <c r="V647" s="196"/>
      <c r="W647" s="196"/>
      <c r="X647" s="196"/>
      <c r="Y647" s="196"/>
      <c r="Z647" s="196"/>
      <c r="AA647" s="196"/>
      <c r="AB647" s="196"/>
      <c r="AC647" s="196"/>
      <c r="AD647" s="196"/>
      <c r="AE647" s="196"/>
      <c r="AF647" s="196"/>
      <c r="AG647" s="196"/>
      <c r="AH647" s="196"/>
      <c r="AI647" s="196"/>
      <c r="AJ647" s="196"/>
      <c r="AK647" s="196"/>
      <c r="AL647" s="196"/>
      <c r="AM647" s="196"/>
    </row>
    <row r="648">
      <c r="F648" s="203"/>
      <c r="H648" s="196"/>
      <c r="I648" s="196"/>
      <c r="J648" s="196"/>
      <c r="K648" s="196"/>
      <c r="L648" s="196"/>
      <c r="M648" s="196"/>
      <c r="N648" s="196"/>
      <c r="O648" s="196"/>
      <c r="P648" s="196"/>
      <c r="Q648" s="196"/>
      <c r="R648" s="196"/>
      <c r="S648" s="196"/>
      <c r="T648" s="196"/>
      <c r="U648" s="196"/>
      <c r="V648" s="196"/>
      <c r="W648" s="196"/>
      <c r="X648" s="196"/>
      <c r="Y648" s="196"/>
      <c r="Z648" s="196"/>
      <c r="AA648" s="196"/>
      <c r="AB648" s="196"/>
      <c r="AC648" s="196"/>
      <c r="AD648" s="196"/>
      <c r="AE648" s="196"/>
      <c r="AF648" s="196"/>
      <c r="AG648" s="196"/>
      <c r="AH648" s="196"/>
      <c r="AI648" s="196"/>
      <c r="AJ648" s="196"/>
      <c r="AK648" s="196"/>
      <c r="AL648" s="196"/>
      <c r="AM648" s="196"/>
    </row>
    <row r="649">
      <c r="F649" s="203"/>
      <c r="H649" s="196"/>
      <c r="I649" s="196"/>
      <c r="J649" s="196"/>
      <c r="K649" s="196"/>
      <c r="L649" s="196"/>
      <c r="M649" s="196"/>
      <c r="N649" s="196"/>
      <c r="O649" s="196"/>
      <c r="P649" s="196"/>
      <c r="Q649" s="196"/>
      <c r="R649" s="196"/>
      <c r="S649" s="196"/>
      <c r="T649" s="196"/>
      <c r="U649" s="196"/>
      <c r="V649" s="196"/>
      <c r="W649" s="196"/>
      <c r="X649" s="196"/>
      <c r="Y649" s="196"/>
      <c r="Z649" s="196"/>
      <c r="AA649" s="196"/>
      <c r="AB649" s="196"/>
      <c r="AC649" s="196"/>
      <c r="AD649" s="196"/>
      <c r="AE649" s="196"/>
      <c r="AF649" s="196"/>
      <c r="AG649" s="196"/>
      <c r="AH649" s="196"/>
      <c r="AI649" s="196"/>
      <c r="AJ649" s="196"/>
      <c r="AK649" s="196"/>
      <c r="AL649" s="196"/>
      <c r="AM649" s="196"/>
    </row>
    <row r="650">
      <c r="F650" s="203"/>
      <c r="H650" s="196"/>
      <c r="I650" s="196"/>
      <c r="J650" s="196"/>
      <c r="K650" s="196"/>
      <c r="L650" s="196"/>
      <c r="M650" s="196"/>
      <c r="N650" s="196"/>
      <c r="O650" s="196"/>
      <c r="P650" s="196"/>
      <c r="Q650" s="196"/>
      <c r="R650" s="196"/>
      <c r="S650" s="196"/>
      <c r="T650" s="196"/>
      <c r="U650" s="196"/>
      <c r="V650" s="196"/>
      <c r="W650" s="196"/>
      <c r="X650" s="196"/>
      <c r="Y650" s="196"/>
      <c r="Z650" s="196"/>
      <c r="AA650" s="196"/>
      <c r="AB650" s="196"/>
      <c r="AC650" s="196"/>
      <c r="AD650" s="196"/>
      <c r="AE650" s="196"/>
      <c r="AF650" s="196"/>
      <c r="AG650" s="196"/>
      <c r="AH650" s="196"/>
      <c r="AI650" s="196"/>
      <c r="AJ650" s="196"/>
      <c r="AK650" s="196"/>
      <c r="AL650" s="196"/>
      <c r="AM650" s="196"/>
    </row>
    <row r="651">
      <c r="F651" s="203"/>
      <c r="H651" s="196"/>
      <c r="I651" s="196"/>
      <c r="J651" s="196"/>
      <c r="K651" s="196"/>
      <c r="L651" s="196"/>
      <c r="M651" s="196"/>
      <c r="N651" s="196"/>
      <c r="O651" s="196"/>
      <c r="P651" s="196"/>
      <c r="Q651" s="196"/>
      <c r="R651" s="196"/>
      <c r="S651" s="196"/>
      <c r="T651" s="196"/>
      <c r="U651" s="196"/>
      <c r="V651" s="196"/>
      <c r="W651" s="196"/>
      <c r="X651" s="196"/>
      <c r="Y651" s="196"/>
      <c r="Z651" s="196"/>
      <c r="AA651" s="196"/>
      <c r="AB651" s="196"/>
      <c r="AC651" s="196"/>
      <c r="AD651" s="196"/>
      <c r="AE651" s="196"/>
      <c r="AF651" s="196"/>
      <c r="AG651" s="196"/>
      <c r="AH651" s="196"/>
      <c r="AI651" s="196"/>
      <c r="AJ651" s="196"/>
      <c r="AK651" s="196"/>
      <c r="AL651" s="196"/>
      <c r="AM651" s="196"/>
    </row>
    <row r="652">
      <c r="F652" s="203"/>
      <c r="H652" s="196"/>
      <c r="I652" s="196"/>
      <c r="J652" s="196"/>
      <c r="K652" s="196"/>
      <c r="L652" s="196"/>
      <c r="M652" s="196"/>
      <c r="N652" s="196"/>
      <c r="O652" s="196"/>
      <c r="P652" s="196"/>
      <c r="Q652" s="196"/>
      <c r="R652" s="196"/>
      <c r="S652" s="196"/>
      <c r="T652" s="196"/>
      <c r="U652" s="196"/>
      <c r="V652" s="196"/>
      <c r="W652" s="196"/>
      <c r="X652" s="196"/>
      <c r="Y652" s="196"/>
      <c r="Z652" s="196"/>
      <c r="AA652" s="196"/>
      <c r="AB652" s="196"/>
      <c r="AC652" s="196"/>
      <c r="AD652" s="196"/>
      <c r="AE652" s="196"/>
      <c r="AF652" s="196"/>
      <c r="AG652" s="196"/>
      <c r="AH652" s="196"/>
      <c r="AI652" s="196"/>
      <c r="AJ652" s="196"/>
      <c r="AK652" s="196"/>
      <c r="AL652" s="196"/>
      <c r="AM652" s="196"/>
    </row>
    <row r="653">
      <c r="F653" s="203"/>
      <c r="H653" s="196"/>
      <c r="I653" s="196"/>
      <c r="J653" s="196"/>
      <c r="K653" s="196"/>
      <c r="L653" s="196"/>
      <c r="M653" s="196"/>
      <c r="N653" s="196"/>
      <c r="O653" s="196"/>
      <c r="P653" s="196"/>
      <c r="Q653" s="196"/>
      <c r="R653" s="196"/>
      <c r="S653" s="196"/>
      <c r="T653" s="196"/>
      <c r="U653" s="196"/>
      <c r="V653" s="196"/>
      <c r="W653" s="196"/>
      <c r="X653" s="196"/>
      <c r="Y653" s="196"/>
      <c r="Z653" s="196"/>
      <c r="AA653" s="196"/>
      <c r="AB653" s="196"/>
      <c r="AC653" s="196"/>
      <c r="AD653" s="196"/>
      <c r="AE653" s="196"/>
      <c r="AF653" s="196"/>
      <c r="AG653" s="196"/>
      <c r="AH653" s="196"/>
      <c r="AI653" s="196"/>
      <c r="AJ653" s="196"/>
      <c r="AK653" s="196"/>
      <c r="AL653" s="196"/>
      <c r="AM653" s="196"/>
    </row>
    <row r="654">
      <c r="F654" s="203"/>
      <c r="H654" s="196"/>
      <c r="I654" s="196"/>
      <c r="J654" s="196"/>
      <c r="K654" s="196"/>
      <c r="L654" s="196"/>
      <c r="M654" s="196"/>
      <c r="N654" s="196"/>
      <c r="O654" s="196"/>
      <c r="P654" s="196"/>
      <c r="Q654" s="196"/>
      <c r="R654" s="196"/>
      <c r="S654" s="196"/>
      <c r="T654" s="196"/>
      <c r="U654" s="196"/>
      <c r="V654" s="196"/>
      <c r="W654" s="196"/>
      <c r="X654" s="196"/>
      <c r="Y654" s="196"/>
      <c r="Z654" s="196"/>
      <c r="AA654" s="196"/>
      <c r="AB654" s="196"/>
      <c r="AC654" s="196"/>
      <c r="AD654" s="196"/>
      <c r="AE654" s="196"/>
      <c r="AF654" s="196"/>
      <c r="AG654" s="196"/>
      <c r="AH654" s="196"/>
      <c r="AI654" s="196"/>
      <c r="AJ654" s="196"/>
      <c r="AK654" s="196"/>
      <c r="AL654" s="196"/>
      <c r="AM654" s="196"/>
    </row>
    <row r="655">
      <c r="F655" s="203"/>
      <c r="H655" s="196"/>
      <c r="I655" s="196"/>
      <c r="J655" s="196"/>
      <c r="K655" s="196"/>
      <c r="L655" s="196"/>
      <c r="M655" s="196"/>
      <c r="N655" s="196"/>
      <c r="O655" s="196"/>
      <c r="P655" s="196"/>
      <c r="Q655" s="196"/>
      <c r="R655" s="196"/>
      <c r="S655" s="196"/>
      <c r="T655" s="196"/>
      <c r="U655" s="196"/>
      <c r="V655" s="196"/>
      <c r="W655" s="196"/>
      <c r="X655" s="196"/>
      <c r="Y655" s="196"/>
      <c r="Z655" s="196"/>
      <c r="AA655" s="196"/>
      <c r="AB655" s="196"/>
      <c r="AC655" s="196"/>
      <c r="AD655" s="196"/>
      <c r="AE655" s="196"/>
      <c r="AF655" s="196"/>
      <c r="AG655" s="196"/>
      <c r="AH655" s="196"/>
      <c r="AI655" s="196"/>
      <c r="AJ655" s="196"/>
      <c r="AK655" s="196"/>
      <c r="AL655" s="196"/>
      <c r="AM655" s="196"/>
    </row>
    <row r="656">
      <c r="F656" s="203"/>
      <c r="H656" s="196"/>
      <c r="I656" s="196"/>
      <c r="J656" s="196"/>
      <c r="K656" s="196"/>
      <c r="L656" s="196"/>
      <c r="M656" s="196"/>
      <c r="N656" s="196"/>
      <c r="O656" s="196"/>
      <c r="P656" s="196"/>
      <c r="Q656" s="196"/>
      <c r="R656" s="196"/>
      <c r="S656" s="196"/>
      <c r="T656" s="196"/>
      <c r="U656" s="196"/>
      <c r="V656" s="196"/>
      <c r="W656" s="196"/>
      <c r="X656" s="196"/>
      <c r="Y656" s="196"/>
      <c r="Z656" s="196"/>
      <c r="AA656" s="196"/>
      <c r="AB656" s="196"/>
      <c r="AC656" s="196"/>
      <c r="AD656" s="196"/>
      <c r="AE656" s="196"/>
      <c r="AF656" s="196"/>
      <c r="AG656" s="196"/>
      <c r="AH656" s="196"/>
      <c r="AI656" s="196"/>
      <c r="AJ656" s="196"/>
      <c r="AK656" s="196"/>
      <c r="AL656" s="196"/>
      <c r="AM656" s="196"/>
    </row>
    <row r="657">
      <c r="F657" s="203"/>
      <c r="H657" s="196"/>
      <c r="I657" s="196"/>
      <c r="J657" s="196"/>
      <c r="K657" s="196"/>
      <c r="L657" s="196"/>
      <c r="M657" s="196"/>
      <c r="N657" s="196"/>
      <c r="O657" s="196"/>
      <c r="P657" s="196"/>
      <c r="Q657" s="196"/>
      <c r="R657" s="196"/>
      <c r="S657" s="196"/>
      <c r="T657" s="196"/>
      <c r="U657" s="196"/>
      <c r="V657" s="196"/>
      <c r="W657" s="196"/>
      <c r="X657" s="196"/>
      <c r="Y657" s="196"/>
      <c r="Z657" s="196"/>
      <c r="AA657" s="196"/>
      <c r="AB657" s="196"/>
      <c r="AC657" s="196"/>
      <c r="AD657" s="196"/>
      <c r="AE657" s="196"/>
      <c r="AF657" s="196"/>
      <c r="AG657" s="196"/>
      <c r="AH657" s="196"/>
      <c r="AI657" s="196"/>
      <c r="AJ657" s="196"/>
      <c r="AK657" s="196"/>
      <c r="AL657" s="196"/>
      <c r="AM657" s="196"/>
    </row>
    <row r="658">
      <c r="F658" s="203"/>
      <c r="H658" s="196"/>
      <c r="I658" s="196"/>
      <c r="J658" s="196"/>
      <c r="K658" s="196"/>
      <c r="L658" s="196"/>
      <c r="M658" s="196"/>
      <c r="N658" s="196"/>
      <c r="O658" s="196"/>
      <c r="P658" s="196"/>
      <c r="Q658" s="196"/>
      <c r="R658" s="196"/>
      <c r="S658" s="196"/>
      <c r="T658" s="196"/>
      <c r="U658" s="196"/>
      <c r="V658" s="196"/>
      <c r="W658" s="196"/>
      <c r="X658" s="196"/>
      <c r="Y658" s="196"/>
      <c r="Z658" s="196"/>
      <c r="AA658" s="196"/>
      <c r="AB658" s="196"/>
      <c r="AC658" s="196"/>
      <c r="AD658" s="196"/>
      <c r="AE658" s="196"/>
      <c r="AF658" s="196"/>
      <c r="AG658" s="196"/>
      <c r="AH658" s="196"/>
      <c r="AI658" s="196"/>
      <c r="AJ658" s="196"/>
      <c r="AK658" s="196"/>
      <c r="AL658" s="196"/>
      <c r="AM658" s="196"/>
    </row>
    <row r="659">
      <c r="F659" s="203"/>
      <c r="H659" s="196"/>
      <c r="I659" s="196"/>
      <c r="J659" s="196"/>
      <c r="K659" s="196"/>
      <c r="L659" s="196"/>
      <c r="M659" s="196"/>
      <c r="N659" s="196"/>
      <c r="O659" s="196"/>
      <c r="P659" s="196"/>
      <c r="Q659" s="196"/>
      <c r="R659" s="196"/>
      <c r="S659" s="196"/>
      <c r="T659" s="196"/>
      <c r="U659" s="196"/>
      <c r="V659" s="196"/>
      <c r="W659" s="196"/>
      <c r="X659" s="196"/>
      <c r="Y659" s="196"/>
      <c r="Z659" s="196"/>
      <c r="AA659" s="196"/>
      <c r="AB659" s="196"/>
      <c r="AC659" s="196"/>
      <c r="AD659" s="196"/>
      <c r="AE659" s="196"/>
      <c r="AF659" s="196"/>
      <c r="AG659" s="196"/>
      <c r="AH659" s="196"/>
      <c r="AI659" s="196"/>
      <c r="AJ659" s="196"/>
      <c r="AK659" s="196"/>
      <c r="AL659" s="196"/>
      <c r="AM659" s="196"/>
    </row>
    <row r="660">
      <c r="F660" s="203"/>
      <c r="H660" s="196"/>
      <c r="I660" s="196"/>
      <c r="J660" s="196"/>
      <c r="K660" s="196"/>
      <c r="L660" s="196"/>
      <c r="M660" s="196"/>
      <c r="N660" s="196"/>
      <c r="O660" s="196"/>
      <c r="P660" s="196"/>
      <c r="Q660" s="196"/>
      <c r="R660" s="196"/>
      <c r="S660" s="196"/>
      <c r="T660" s="196"/>
      <c r="U660" s="196"/>
      <c r="V660" s="196"/>
      <c r="W660" s="196"/>
      <c r="X660" s="196"/>
      <c r="Y660" s="196"/>
      <c r="Z660" s="196"/>
      <c r="AA660" s="196"/>
      <c r="AB660" s="196"/>
      <c r="AC660" s="196"/>
      <c r="AD660" s="196"/>
      <c r="AE660" s="196"/>
      <c r="AF660" s="196"/>
      <c r="AG660" s="196"/>
      <c r="AH660" s="196"/>
      <c r="AI660" s="196"/>
      <c r="AJ660" s="196"/>
      <c r="AK660" s="196"/>
      <c r="AL660" s="196"/>
      <c r="AM660" s="196"/>
    </row>
    <row r="661">
      <c r="F661" s="203"/>
      <c r="H661" s="196"/>
      <c r="I661" s="196"/>
      <c r="J661" s="196"/>
      <c r="K661" s="196"/>
      <c r="L661" s="196"/>
      <c r="M661" s="196"/>
      <c r="N661" s="196"/>
      <c r="O661" s="196"/>
      <c r="P661" s="196"/>
      <c r="Q661" s="196"/>
      <c r="R661" s="196"/>
      <c r="S661" s="196"/>
      <c r="T661" s="196"/>
      <c r="U661" s="196"/>
      <c r="V661" s="196"/>
      <c r="W661" s="196"/>
      <c r="X661" s="196"/>
      <c r="Y661" s="196"/>
      <c r="Z661" s="196"/>
      <c r="AA661" s="196"/>
      <c r="AB661" s="196"/>
      <c r="AC661" s="196"/>
      <c r="AD661" s="196"/>
      <c r="AE661" s="196"/>
      <c r="AF661" s="196"/>
      <c r="AG661" s="196"/>
      <c r="AH661" s="196"/>
      <c r="AI661" s="196"/>
      <c r="AJ661" s="196"/>
      <c r="AK661" s="196"/>
      <c r="AL661" s="196"/>
      <c r="AM661" s="196"/>
    </row>
    <row r="662">
      <c r="F662" s="203"/>
      <c r="H662" s="196"/>
      <c r="I662" s="196"/>
      <c r="J662" s="196"/>
      <c r="K662" s="196"/>
      <c r="L662" s="196"/>
      <c r="M662" s="196"/>
      <c r="N662" s="196"/>
      <c r="O662" s="196"/>
      <c r="P662" s="196"/>
      <c r="Q662" s="196"/>
      <c r="R662" s="196"/>
      <c r="S662" s="196"/>
      <c r="T662" s="196"/>
      <c r="U662" s="196"/>
      <c r="V662" s="196"/>
      <c r="W662" s="196"/>
      <c r="X662" s="196"/>
      <c r="Y662" s="196"/>
      <c r="Z662" s="196"/>
      <c r="AA662" s="196"/>
      <c r="AB662" s="196"/>
      <c r="AC662" s="196"/>
      <c r="AD662" s="196"/>
      <c r="AE662" s="196"/>
      <c r="AF662" s="196"/>
      <c r="AG662" s="196"/>
      <c r="AH662" s="196"/>
      <c r="AI662" s="196"/>
      <c r="AJ662" s="196"/>
      <c r="AK662" s="196"/>
      <c r="AL662" s="196"/>
      <c r="AM662" s="196"/>
    </row>
    <row r="663">
      <c r="F663" s="203"/>
      <c r="H663" s="196"/>
      <c r="I663" s="196"/>
      <c r="J663" s="196"/>
      <c r="K663" s="196"/>
      <c r="L663" s="196"/>
      <c r="M663" s="196"/>
      <c r="N663" s="196"/>
      <c r="O663" s="196"/>
      <c r="P663" s="196"/>
      <c r="Q663" s="196"/>
      <c r="R663" s="196"/>
      <c r="S663" s="196"/>
      <c r="T663" s="196"/>
      <c r="U663" s="196"/>
      <c r="V663" s="196"/>
      <c r="W663" s="196"/>
      <c r="X663" s="196"/>
      <c r="Y663" s="196"/>
      <c r="Z663" s="196"/>
      <c r="AA663" s="196"/>
      <c r="AB663" s="196"/>
      <c r="AC663" s="196"/>
      <c r="AD663" s="196"/>
      <c r="AE663" s="196"/>
      <c r="AF663" s="196"/>
      <c r="AG663" s="196"/>
      <c r="AH663" s="196"/>
      <c r="AI663" s="196"/>
      <c r="AJ663" s="196"/>
      <c r="AK663" s="196"/>
      <c r="AL663" s="196"/>
      <c r="AM663" s="196"/>
    </row>
    <row r="664">
      <c r="F664" s="203"/>
      <c r="H664" s="196"/>
      <c r="I664" s="196"/>
      <c r="J664" s="196"/>
      <c r="K664" s="196"/>
      <c r="L664" s="196"/>
      <c r="M664" s="196"/>
      <c r="N664" s="196"/>
      <c r="O664" s="196"/>
      <c r="P664" s="196"/>
      <c r="Q664" s="196"/>
      <c r="R664" s="196"/>
      <c r="S664" s="196"/>
      <c r="T664" s="196"/>
      <c r="U664" s="196"/>
      <c r="V664" s="196"/>
      <c r="W664" s="196"/>
      <c r="X664" s="196"/>
      <c r="Y664" s="196"/>
      <c r="Z664" s="196"/>
      <c r="AA664" s="196"/>
      <c r="AB664" s="196"/>
      <c r="AC664" s="196"/>
      <c r="AD664" s="196"/>
      <c r="AE664" s="196"/>
      <c r="AF664" s="196"/>
      <c r="AG664" s="196"/>
      <c r="AH664" s="196"/>
      <c r="AI664" s="196"/>
      <c r="AJ664" s="196"/>
      <c r="AK664" s="196"/>
      <c r="AL664" s="196"/>
      <c r="AM664" s="196"/>
    </row>
    <row r="665">
      <c r="F665" s="203"/>
      <c r="H665" s="196"/>
      <c r="I665" s="196"/>
      <c r="J665" s="196"/>
      <c r="K665" s="196"/>
      <c r="L665" s="196"/>
      <c r="M665" s="196"/>
      <c r="N665" s="196"/>
      <c r="O665" s="196"/>
      <c r="P665" s="196"/>
      <c r="Q665" s="196"/>
      <c r="R665" s="196"/>
      <c r="S665" s="196"/>
      <c r="T665" s="196"/>
      <c r="U665" s="196"/>
      <c r="V665" s="196"/>
      <c r="W665" s="196"/>
      <c r="X665" s="196"/>
      <c r="Y665" s="196"/>
      <c r="Z665" s="196"/>
      <c r="AA665" s="196"/>
      <c r="AB665" s="196"/>
      <c r="AC665" s="196"/>
      <c r="AD665" s="196"/>
      <c r="AE665" s="196"/>
      <c r="AF665" s="196"/>
      <c r="AG665" s="196"/>
      <c r="AH665" s="196"/>
      <c r="AI665" s="196"/>
      <c r="AJ665" s="196"/>
      <c r="AK665" s="196"/>
      <c r="AL665" s="196"/>
      <c r="AM665" s="196"/>
    </row>
    <row r="666">
      <c r="F666" s="203"/>
      <c r="H666" s="196"/>
      <c r="I666" s="196"/>
      <c r="J666" s="196"/>
      <c r="K666" s="196"/>
      <c r="L666" s="196"/>
      <c r="M666" s="196"/>
      <c r="N666" s="196"/>
      <c r="O666" s="196"/>
      <c r="P666" s="196"/>
      <c r="Q666" s="196"/>
      <c r="R666" s="196"/>
      <c r="S666" s="196"/>
      <c r="T666" s="196"/>
      <c r="U666" s="196"/>
      <c r="V666" s="196"/>
      <c r="W666" s="196"/>
      <c r="X666" s="196"/>
      <c r="Y666" s="196"/>
      <c r="Z666" s="196"/>
      <c r="AA666" s="196"/>
      <c r="AB666" s="196"/>
      <c r="AC666" s="196"/>
      <c r="AD666" s="196"/>
      <c r="AE666" s="196"/>
      <c r="AF666" s="196"/>
      <c r="AG666" s="196"/>
      <c r="AH666" s="196"/>
      <c r="AI666" s="196"/>
      <c r="AJ666" s="196"/>
      <c r="AK666" s="196"/>
      <c r="AL666" s="196"/>
      <c r="AM666" s="196"/>
    </row>
    <row r="667">
      <c r="F667" s="203"/>
      <c r="H667" s="196"/>
      <c r="I667" s="196"/>
      <c r="J667" s="196"/>
      <c r="K667" s="196"/>
      <c r="L667" s="196"/>
      <c r="M667" s="196"/>
      <c r="N667" s="196"/>
      <c r="O667" s="196"/>
      <c r="P667" s="196"/>
      <c r="Q667" s="196"/>
      <c r="R667" s="196"/>
      <c r="S667" s="196"/>
      <c r="T667" s="196"/>
      <c r="U667" s="196"/>
      <c r="V667" s="196"/>
      <c r="W667" s="196"/>
      <c r="X667" s="196"/>
      <c r="Y667" s="196"/>
      <c r="Z667" s="196"/>
      <c r="AA667" s="196"/>
      <c r="AB667" s="196"/>
      <c r="AC667" s="196"/>
      <c r="AD667" s="196"/>
      <c r="AE667" s="196"/>
      <c r="AF667" s="196"/>
      <c r="AG667" s="196"/>
      <c r="AH667" s="196"/>
      <c r="AI667" s="196"/>
      <c r="AJ667" s="196"/>
      <c r="AK667" s="196"/>
      <c r="AL667" s="196"/>
      <c r="AM667" s="196"/>
    </row>
    <row r="668">
      <c r="F668" s="203"/>
      <c r="H668" s="196"/>
      <c r="I668" s="196"/>
      <c r="J668" s="196"/>
      <c r="K668" s="196"/>
      <c r="L668" s="196"/>
      <c r="M668" s="196"/>
      <c r="N668" s="196"/>
      <c r="O668" s="196"/>
      <c r="P668" s="196"/>
      <c r="Q668" s="196"/>
      <c r="R668" s="196"/>
      <c r="S668" s="196"/>
      <c r="T668" s="196"/>
      <c r="U668" s="196"/>
      <c r="V668" s="196"/>
      <c r="W668" s="196"/>
      <c r="X668" s="196"/>
      <c r="Y668" s="196"/>
      <c r="Z668" s="196"/>
      <c r="AA668" s="196"/>
      <c r="AB668" s="196"/>
      <c r="AC668" s="196"/>
      <c r="AD668" s="196"/>
      <c r="AE668" s="196"/>
      <c r="AF668" s="196"/>
      <c r="AG668" s="196"/>
      <c r="AH668" s="196"/>
      <c r="AI668" s="196"/>
      <c r="AJ668" s="196"/>
      <c r="AK668" s="196"/>
      <c r="AL668" s="196"/>
      <c r="AM668" s="196"/>
    </row>
    <row r="669">
      <c r="F669" s="203"/>
      <c r="H669" s="196"/>
      <c r="I669" s="196"/>
      <c r="J669" s="196"/>
      <c r="K669" s="196"/>
      <c r="L669" s="196"/>
      <c r="M669" s="196"/>
      <c r="N669" s="196"/>
      <c r="O669" s="196"/>
      <c r="P669" s="196"/>
      <c r="Q669" s="196"/>
      <c r="R669" s="196"/>
      <c r="S669" s="196"/>
      <c r="T669" s="196"/>
      <c r="U669" s="196"/>
      <c r="V669" s="196"/>
      <c r="W669" s="196"/>
      <c r="X669" s="196"/>
      <c r="Y669" s="196"/>
      <c r="Z669" s="196"/>
      <c r="AA669" s="196"/>
      <c r="AB669" s="196"/>
      <c r="AC669" s="196"/>
      <c r="AD669" s="196"/>
      <c r="AE669" s="196"/>
      <c r="AF669" s="196"/>
      <c r="AG669" s="196"/>
      <c r="AH669" s="196"/>
      <c r="AI669" s="196"/>
      <c r="AJ669" s="196"/>
      <c r="AK669" s="196"/>
      <c r="AL669" s="196"/>
      <c r="AM669" s="196"/>
    </row>
    <row r="670">
      <c r="F670" s="203"/>
      <c r="H670" s="196"/>
      <c r="I670" s="196"/>
      <c r="J670" s="196"/>
      <c r="K670" s="196"/>
      <c r="L670" s="196"/>
      <c r="M670" s="196"/>
      <c r="N670" s="196"/>
      <c r="O670" s="196"/>
      <c r="P670" s="196"/>
      <c r="Q670" s="196"/>
      <c r="R670" s="196"/>
      <c r="S670" s="196"/>
      <c r="T670" s="196"/>
      <c r="U670" s="196"/>
      <c r="V670" s="196"/>
      <c r="W670" s="196"/>
      <c r="X670" s="196"/>
      <c r="Y670" s="196"/>
      <c r="Z670" s="196"/>
      <c r="AA670" s="196"/>
      <c r="AB670" s="196"/>
      <c r="AC670" s="196"/>
      <c r="AD670" s="196"/>
      <c r="AE670" s="196"/>
      <c r="AF670" s="196"/>
      <c r="AG670" s="196"/>
      <c r="AH670" s="196"/>
      <c r="AI670" s="196"/>
      <c r="AJ670" s="196"/>
      <c r="AK670" s="196"/>
      <c r="AL670" s="196"/>
      <c r="AM670" s="196"/>
    </row>
    <row r="671">
      <c r="F671" s="203"/>
      <c r="H671" s="196"/>
      <c r="I671" s="196"/>
      <c r="J671" s="196"/>
      <c r="K671" s="196"/>
      <c r="L671" s="196"/>
      <c r="M671" s="196"/>
      <c r="N671" s="196"/>
      <c r="O671" s="196"/>
      <c r="P671" s="196"/>
      <c r="Q671" s="196"/>
      <c r="R671" s="196"/>
      <c r="S671" s="196"/>
      <c r="T671" s="196"/>
      <c r="U671" s="196"/>
      <c r="V671" s="196"/>
      <c r="W671" s="196"/>
      <c r="X671" s="196"/>
      <c r="Y671" s="196"/>
      <c r="Z671" s="196"/>
      <c r="AA671" s="196"/>
      <c r="AB671" s="196"/>
      <c r="AC671" s="196"/>
      <c r="AD671" s="196"/>
      <c r="AE671" s="196"/>
      <c r="AF671" s="196"/>
      <c r="AG671" s="196"/>
      <c r="AH671" s="196"/>
      <c r="AI671" s="196"/>
      <c r="AJ671" s="196"/>
      <c r="AK671" s="196"/>
      <c r="AL671" s="196"/>
      <c r="AM671" s="196"/>
    </row>
    <row r="672">
      <c r="F672" s="203"/>
      <c r="H672" s="196"/>
      <c r="I672" s="196"/>
      <c r="J672" s="196"/>
      <c r="K672" s="196"/>
      <c r="L672" s="196"/>
      <c r="M672" s="196"/>
      <c r="N672" s="196"/>
      <c r="O672" s="196"/>
      <c r="P672" s="196"/>
      <c r="Q672" s="196"/>
      <c r="R672" s="196"/>
      <c r="S672" s="196"/>
      <c r="T672" s="196"/>
      <c r="U672" s="196"/>
      <c r="V672" s="196"/>
      <c r="W672" s="196"/>
      <c r="X672" s="196"/>
      <c r="Y672" s="196"/>
      <c r="Z672" s="196"/>
      <c r="AA672" s="196"/>
      <c r="AB672" s="196"/>
      <c r="AC672" s="196"/>
      <c r="AD672" s="196"/>
      <c r="AE672" s="196"/>
      <c r="AF672" s="196"/>
      <c r="AG672" s="196"/>
      <c r="AH672" s="196"/>
      <c r="AI672" s="196"/>
      <c r="AJ672" s="196"/>
      <c r="AK672" s="196"/>
      <c r="AL672" s="196"/>
      <c r="AM672" s="196"/>
    </row>
    <row r="673">
      <c r="F673" s="203"/>
      <c r="H673" s="196"/>
      <c r="I673" s="196"/>
      <c r="J673" s="196"/>
      <c r="K673" s="196"/>
      <c r="L673" s="196"/>
      <c r="M673" s="196"/>
      <c r="N673" s="196"/>
      <c r="O673" s="196"/>
      <c r="P673" s="196"/>
      <c r="Q673" s="196"/>
      <c r="R673" s="196"/>
      <c r="S673" s="196"/>
      <c r="T673" s="196"/>
      <c r="U673" s="196"/>
      <c r="V673" s="196"/>
      <c r="W673" s="196"/>
      <c r="X673" s="196"/>
      <c r="Y673" s="196"/>
      <c r="Z673" s="196"/>
      <c r="AA673" s="196"/>
      <c r="AB673" s="196"/>
      <c r="AC673" s="196"/>
      <c r="AD673" s="196"/>
      <c r="AE673" s="196"/>
      <c r="AF673" s="196"/>
      <c r="AG673" s="196"/>
      <c r="AH673" s="196"/>
      <c r="AI673" s="196"/>
      <c r="AJ673" s="196"/>
      <c r="AK673" s="196"/>
      <c r="AL673" s="196"/>
      <c r="AM673" s="196"/>
    </row>
    <row r="674">
      <c r="F674" s="203"/>
      <c r="H674" s="196"/>
      <c r="I674" s="196"/>
      <c r="J674" s="196"/>
      <c r="K674" s="196"/>
      <c r="L674" s="196"/>
      <c r="M674" s="196"/>
      <c r="N674" s="196"/>
      <c r="O674" s="196"/>
      <c r="P674" s="196"/>
      <c r="Q674" s="196"/>
      <c r="R674" s="196"/>
      <c r="S674" s="196"/>
      <c r="T674" s="196"/>
      <c r="U674" s="196"/>
      <c r="V674" s="196"/>
      <c r="W674" s="196"/>
      <c r="X674" s="196"/>
      <c r="Y674" s="196"/>
      <c r="Z674" s="196"/>
      <c r="AA674" s="196"/>
      <c r="AB674" s="196"/>
      <c r="AC674" s="196"/>
      <c r="AD674" s="196"/>
      <c r="AE674" s="196"/>
      <c r="AF674" s="196"/>
      <c r="AG674" s="196"/>
      <c r="AH674" s="196"/>
      <c r="AI674" s="196"/>
      <c r="AJ674" s="196"/>
      <c r="AK674" s="196"/>
      <c r="AL674" s="196"/>
      <c r="AM674" s="196"/>
    </row>
    <row r="675">
      <c r="F675" s="203"/>
      <c r="H675" s="196"/>
      <c r="I675" s="196"/>
      <c r="J675" s="196"/>
      <c r="K675" s="196"/>
      <c r="L675" s="196"/>
      <c r="M675" s="196"/>
      <c r="N675" s="196"/>
      <c r="O675" s="196"/>
      <c r="P675" s="196"/>
      <c r="Q675" s="196"/>
      <c r="R675" s="196"/>
      <c r="S675" s="196"/>
      <c r="T675" s="196"/>
      <c r="U675" s="196"/>
      <c r="V675" s="196"/>
      <c r="W675" s="196"/>
      <c r="X675" s="196"/>
      <c r="Y675" s="196"/>
      <c r="Z675" s="196"/>
      <c r="AA675" s="196"/>
      <c r="AB675" s="196"/>
      <c r="AC675" s="196"/>
      <c r="AD675" s="196"/>
      <c r="AE675" s="196"/>
      <c r="AF675" s="196"/>
      <c r="AG675" s="196"/>
      <c r="AH675" s="196"/>
      <c r="AI675" s="196"/>
      <c r="AJ675" s="196"/>
      <c r="AK675" s="196"/>
      <c r="AL675" s="196"/>
      <c r="AM675" s="196"/>
    </row>
    <row r="676">
      <c r="F676" s="203"/>
      <c r="H676" s="196"/>
      <c r="I676" s="196"/>
      <c r="J676" s="196"/>
      <c r="K676" s="196"/>
      <c r="L676" s="196"/>
      <c r="M676" s="196"/>
      <c r="N676" s="196"/>
      <c r="O676" s="196"/>
      <c r="P676" s="196"/>
      <c r="Q676" s="196"/>
      <c r="R676" s="196"/>
      <c r="S676" s="196"/>
      <c r="T676" s="196"/>
      <c r="U676" s="196"/>
      <c r="V676" s="196"/>
      <c r="W676" s="196"/>
      <c r="X676" s="196"/>
      <c r="Y676" s="196"/>
      <c r="Z676" s="196"/>
      <c r="AA676" s="196"/>
      <c r="AB676" s="196"/>
      <c r="AC676" s="196"/>
      <c r="AD676" s="196"/>
      <c r="AE676" s="196"/>
      <c r="AF676" s="196"/>
      <c r="AG676" s="196"/>
      <c r="AH676" s="196"/>
      <c r="AI676" s="196"/>
      <c r="AJ676" s="196"/>
      <c r="AK676" s="196"/>
      <c r="AL676" s="196"/>
      <c r="AM676" s="196"/>
    </row>
    <row r="677">
      <c r="F677" s="203"/>
      <c r="H677" s="196"/>
      <c r="I677" s="196"/>
      <c r="J677" s="196"/>
      <c r="K677" s="196"/>
      <c r="L677" s="196"/>
      <c r="M677" s="196"/>
      <c r="N677" s="196"/>
      <c r="O677" s="196"/>
      <c r="P677" s="196"/>
      <c r="Q677" s="196"/>
      <c r="R677" s="196"/>
      <c r="S677" s="196"/>
      <c r="T677" s="196"/>
      <c r="U677" s="196"/>
      <c r="V677" s="196"/>
      <c r="W677" s="196"/>
      <c r="X677" s="196"/>
      <c r="Y677" s="196"/>
      <c r="Z677" s="196"/>
      <c r="AA677" s="196"/>
      <c r="AB677" s="196"/>
      <c r="AC677" s="196"/>
      <c r="AD677" s="196"/>
      <c r="AE677" s="196"/>
      <c r="AF677" s="196"/>
      <c r="AG677" s="196"/>
      <c r="AH677" s="196"/>
      <c r="AI677" s="196"/>
      <c r="AJ677" s="196"/>
      <c r="AK677" s="196"/>
      <c r="AL677" s="196"/>
      <c r="AM677" s="196"/>
    </row>
    <row r="678">
      <c r="F678" s="203"/>
      <c r="H678" s="196"/>
      <c r="I678" s="196"/>
      <c r="J678" s="196"/>
      <c r="K678" s="196"/>
      <c r="L678" s="196"/>
      <c r="M678" s="196"/>
      <c r="N678" s="196"/>
      <c r="O678" s="196"/>
      <c r="P678" s="196"/>
      <c r="Q678" s="196"/>
      <c r="R678" s="196"/>
      <c r="S678" s="196"/>
      <c r="T678" s="196"/>
      <c r="U678" s="196"/>
      <c r="V678" s="196"/>
      <c r="W678" s="196"/>
      <c r="X678" s="196"/>
      <c r="Y678" s="196"/>
      <c r="Z678" s="196"/>
      <c r="AA678" s="196"/>
      <c r="AB678" s="196"/>
      <c r="AC678" s="196"/>
      <c r="AD678" s="196"/>
      <c r="AE678" s="196"/>
      <c r="AF678" s="196"/>
      <c r="AG678" s="196"/>
      <c r="AH678" s="196"/>
      <c r="AI678" s="196"/>
      <c r="AJ678" s="196"/>
      <c r="AK678" s="196"/>
      <c r="AL678" s="196"/>
      <c r="AM678" s="196"/>
    </row>
    <row r="679">
      <c r="F679" s="203"/>
      <c r="H679" s="196"/>
      <c r="I679" s="196"/>
      <c r="J679" s="196"/>
      <c r="K679" s="196"/>
      <c r="L679" s="196"/>
      <c r="M679" s="196"/>
      <c r="N679" s="196"/>
      <c r="O679" s="196"/>
      <c r="P679" s="196"/>
      <c r="Q679" s="196"/>
      <c r="R679" s="196"/>
      <c r="S679" s="196"/>
      <c r="T679" s="196"/>
      <c r="U679" s="196"/>
      <c r="V679" s="196"/>
      <c r="W679" s="196"/>
      <c r="X679" s="196"/>
      <c r="Y679" s="196"/>
      <c r="Z679" s="196"/>
      <c r="AA679" s="196"/>
      <c r="AB679" s="196"/>
      <c r="AC679" s="196"/>
      <c r="AD679" s="196"/>
      <c r="AE679" s="196"/>
      <c r="AF679" s="196"/>
      <c r="AG679" s="196"/>
      <c r="AH679" s="196"/>
      <c r="AI679" s="196"/>
      <c r="AJ679" s="196"/>
      <c r="AK679" s="196"/>
      <c r="AL679" s="196"/>
      <c r="AM679" s="196"/>
    </row>
    <row r="680">
      <c r="F680" s="203"/>
      <c r="H680" s="196"/>
      <c r="I680" s="196"/>
      <c r="J680" s="196"/>
      <c r="K680" s="196"/>
      <c r="L680" s="196"/>
      <c r="M680" s="196"/>
      <c r="N680" s="196"/>
      <c r="O680" s="196"/>
      <c r="P680" s="196"/>
      <c r="Q680" s="196"/>
      <c r="R680" s="196"/>
      <c r="S680" s="196"/>
      <c r="T680" s="196"/>
      <c r="U680" s="196"/>
      <c r="V680" s="196"/>
      <c r="W680" s="196"/>
      <c r="X680" s="196"/>
      <c r="Y680" s="196"/>
      <c r="Z680" s="196"/>
      <c r="AA680" s="196"/>
      <c r="AB680" s="196"/>
      <c r="AC680" s="196"/>
      <c r="AD680" s="196"/>
      <c r="AE680" s="196"/>
      <c r="AF680" s="196"/>
      <c r="AG680" s="196"/>
      <c r="AH680" s="196"/>
      <c r="AI680" s="196"/>
      <c r="AJ680" s="196"/>
      <c r="AK680" s="196"/>
      <c r="AL680" s="196"/>
      <c r="AM680" s="196"/>
    </row>
    <row r="681">
      <c r="F681" s="203"/>
      <c r="H681" s="196"/>
      <c r="I681" s="196"/>
      <c r="J681" s="196"/>
      <c r="K681" s="196"/>
      <c r="L681" s="196"/>
      <c r="M681" s="196"/>
      <c r="N681" s="196"/>
      <c r="O681" s="196"/>
      <c r="P681" s="196"/>
      <c r="Q681" s="196"/>
      <c r="R681" s="196"/>
      <c r="S681" s="196"/>
      <c r="T681" s="196"/>
      <c r="U681" s="196"/>
      <c r="V681" s="196"/>
      <c r="W681" s="196"/>
      <c r="X681" s="196"/>
      <c r="Y681" s="196"/>
      <c r="Z681" s="196"/>
      <c r="AA681" s="196"/>
      <c r="AB681" s="196"/>
      <c r="AC681" s="196"/>
      <c r="AD681" s="196"/>
      <c r="AE681" s="196"/>
      <c r="AF681" s="196"/>
      <c r="AG681" s="196"/>
      <c r="AH681" s="196"/>
      <c r="AI681" s="196"/>
      <c r="AJ681" s="196"/>
      <c r="AK681" s="196"/>
      <c r="AL681" s="196"/>
      <c r="AM681" s="196"/>
    </row>
    <row r="682">
      <c r="F682" s="203"/>
      <c r="H682" s="196"/>
      <c r="I682" s="196"/>
      <c r="J682" s="196"/>
      <c r="K682" s="196"/>
      <c r="L682" s="196"/>
      <c r="M682" s="196"/>
      <c r="N682" s="196"/>
      <c r="O682" s="196"/>
      <c r="P682" s="196"/>
      <c r="Q682" s="196"/>
      <c r="R682" s="196"/>
      <c r="S682" s="196"/>
      <c r="T682" s="196"/>
      <c r="U682" s="196"/>
      <c r="V682" s="196"/>
      <c r="W682" s="196"/>
      <c r="X682" s="196"/>
      <c r="Y682" s="196"/>
      <c r="Z682" s="196"/>
      <c r="AA682" s="196"/>
      <c r="AB682" s="196"/>
      <c r="AC682" s="196"/>
      <c r="AD682" s="196"/>
      <c r="AE682" s="196"/>
      <c r="AF682" s="196"/>
      <c r="AG682" s="196"/>
      <c r="AH682" s="196"/>
      <c r="AI682" s="196"/>
      <c r="AJ682" s="196"/>
      <c r="AK682" s="196"/>
      <c r="AL682" s="196"/>
      <c r="AM682" s="196"/>
    </row>
    <row r="683">
      <c r="F683" s="203"/>
      <c r="H683" s="196"/>
      <c r="I683" s="196"/>
      <c r="J683" s="196"/>
      <c r="K683" s="196"/>
      <c r="L683" s="196"/>
      <c r="M683" s="196"/>
      <c r="N683" s="196"/>
      <c r="O683" s="196"/>
      <c r="P683" s="196"/>
      <c r="Q683" s="196"/>
      <c r="R683" s="196"/>
      <c r="S683" s="196"/>
      <c r="T683" s="196"/>
      <c r="U683" s="196"/>
      <c r="V683" s="196"/>
      <c r="W683" s="196"/>
      <c r="X683" s="196"/>
      <c r="Y683" s="196"/>
      <c r="Z683" s="196"/>
      <c r="AA683" s="196"/>
      <c r="AB683" s="196"/>
      <c r="AC683" s="196"/>
      <c r="AD683" s="196"/>
      <c r="AE683" s="196"/>
      <c r="AF683" s="196"/>
      <c r="AG683" s="196"/>
      <c r="AH683" s="196"/>
      <c r="AI683" s="196"/>
      <c r="AJ683" s="196"/>
      <c r="AK683" s="196"/>
      <c r="AL683" s="196"/>
      <c r="AM683" s="196"/>
    </row>
    <row r="684">
      <c r="F684" s="203"/>
      <c r="H684" s="196"/>
      <c r="I684" s="196"/>
      <c r="J684" s="196"/>
      <c r="K684" s="196"/>
      <c r="L684" s="196"/>
      <c r="M684" s="196"/>
      <c r="N684" s="196"/>
      <c r="O684" s="196"/>
      <c r="P684" s="196"/>
      <c r="Q684" s="196"/>
      <c r="R684" s="196"/>
      <c r="S684" s="196"/>
      <c r="T684" s="196"/>
      <c r="U684" s="196"/>
      <c r="V684" s="196"/>
      <c r="W684" s="196"/>
      <c r="X684" s="196"/>
      <c r="Y684" s="196"/>
      <c r="Z684" s="196"/>
      <c r="AA684" s="196"/>
      <c r="AB684" s="196"/>
      <c r="AC684" s="196"/>
      <c r="AD684" s="196"/>
      <c r="AE684" s="196"/>
      <c r="AF684" s="196"/>
      <c r="AG684" s="196"/>
      <c r="AH684" s="196"/>
      <c r="AI684" s="196"/>
      <c r="AJ684" s="196"/>
      <c r="AK684" s="196"/>
      <c r="AL684" s="196"/>
      <c r="AM684" s="196"/>
    </row>
    <row r="685">
      <c r="F685" s="203"/>
      <c r="H685" s="196"/>
      <c r="I685" s="196"/>
      <c r="J685" s="196"/>
      <c r="K685" s="196"/>
      <c r="L685" s="196"/>
      <c r="M685" s="196"/>
      <c r="N685" s="196"/>
      <c r="O685" s="196"/>
      <c r="P685" s="196"/>
      <c r="Q685" s="196"/>
      <c r="R685" s="196"/>
      <c r="S685" s="196"/>
      <c r="T685" s="196"/>
      <c r="U685" s="196"/>
      <c r="V685" s="196"/>
      <c r="W685" s="196"/>
      <c r="X685" s="196"/>
      <c r="Y685" s="196"/>
      <c r="Z685" s="196"/>
      <c r="AA685" s="196"/>
      <c r="AB685" s="196"/>
      <c r="AC685" s="196"/>
      <c r="AD685" s="196"/>
      <c r="AE685" s="196"/>
      <c r="AF685" s="196"/>
      <c r="AG685" s="196"/>
      <c r="AH685" s="196"/>
      <c r="AI685" s="196"/>
      <c r="AJ685" s="196"/>
      <c r="AK685" s="196"/>
      <c r="AL685" s="196"/>
      <c r="AM685" s="196"/>
    </row>
    <row r="686">
      <c r="F686" s="203"/>
      <c r="H686" s="196"/>
      <c r="I686" s="196"/>
      <c r="J686" s="196"/>
      <c r="K686" s="196"/>
      <c r="L686" s="196"/>
      <c r="M686" s="196"/>
      <c r="N686" s="196"/>
      <c r="O686" s="196"/>
      <c r="P686" s="196"/>
      <c r="Q686" s="196"/>
      <c r="R686" s="196"/>
      <c r="S686" s="196"/>
      <c r="T686" s="196"/>
      <c r="U686" s="196"/>
      <c r="V686" s="196"/>
      <c r="W686" s="196"/>
      <c r="X686" s="196"/>
      <c r="Y686" s="196"/>
      <c r="Z686" s="196"/>
      <c r="AA686" s="196"/>
      <c r="AB686" s="196"/>
      <c r="AC686" s="196"/>
      <c r="AD686" s="196"/>
      <c r="AE686" s="196"/>
      <c r="AF686" s="196"/>
      <c r="AG686" s="196"/>
      <c r="AH686" s="196"/>
      <c r="AI686" s="196"/>
      <c r="AJ686" s="196"/>
      <c r="AK686" s="196"/>
      <c r="AL686" s="196"/>
      <c r="AM686" s="196"/>
    </row>
    <row r="687">
      <c r="F687" s="203"/>
      <c r="H687" s="196"/>
      <c r="I687" s="196"/>
      <c r="J687" s="196"/>
      <c r="K687" s="196"/>
      <c r="L687" s="196"/>
      <c r="M687" s="196"/>
      <c r="N687" s="196"/>
      <c r="O687" s="196"/>
      <c r="P687" s="196"/>
      <c r="Q687" s="196"/>
      <c r="R687" s="196"/>
      <c r="S687" s="196"/>
      <c r="T687" s="196"/>
      <c r="U687" s="196"/>
      <c r="V687" s="196"/>
      <c r="W687" s="196"/>
      <c r="X687" s="196"/>
      <c r="Y687" s="196"/>
      <c r="Z687" s="196"/>
      <c r="AA687" s="196"/>
      <c r="AB687" s="196"/>
      <c r="AC687" s="196"/>
      <c r="AD687" s="196"/>
      <c r="AE687" s="196"/>
      <c r="AF687" s="196"/>
      <c r="AG687" s="196"/>
      <c r="AH687" s="196"/>
      <c r="AI687" s="196"/>
      <c r="AJ687" s="196"/>
      <c r="AK687" s="196"/>
      <c r="AL687" s="196"/>
      <c r="AM687" s="196"/>
    </row>
    <row r="688">
      <c r="F688" s="203"/>
      <c r="H688" s="196"/>
      <c r="I688" s="196"/>
      <c r="J688" s="196"/>
      <c r="K688" s="196"/>
      <c r="L688" s="196"/>
      <c r="M688" s="196"/>
      <c r="N688" s="196"/>
      <c r="O688" s="196"/>
      <c r="P688" s="196"/>
      <c r="Q688" s="196"/>
      <c r="R688" s="196"/>
      <c r="S688" s="196"/>
      <c r="T688" s="196"/>
      <c r="U688" s="196"/>
      <c r="V688" s="196"/>
      <c r="W688" s="196"/>
      <c r="X688" s="196"/>
      <c r="Y688" s="196"/>
      <c r="Z688" s="196"/>
      <c r="AA688" s="196"/>
      <c r="AB688" s="196"/>
      <c r="AC688" s="196"/>
      <c r="AD688" s="196"/>
      <c r="AE688" s="196"/>
      <c r="AF688" s="196"/>
      <c r="AG688" s="196"/>
      <c r="AH688" s="196"/>
      <c r="AI688" s="196"/>
      <c r="AJ688" s="196"/>
      <c r="AK688" s="196"/>
      <c r="AL688" s="196"/>
      <c r="AM688" s="196"/>
    </row>
    <row r="689">
      <c r="F689" s="203"/>
      <c r="H689" s="196"/>
      <c r="I689" s="196"/>
      <c r="J689" s="196"/>
      <c r="K689" s="196"/>
      <c r="L689" s="196"/>
      <c r="M689" s="196"/>
      <c r="N689" s="196"/>
      <c r="O689" s="196"/>
      <c r="P689" s="196"/>
      <c r="Q689" s="196"/>
      <c r="R689" s="196"/>
      <c r="S689" s="196"/>
      <c r="T689" s="196"/>
      <c r="U689" s="196"/>
      <c r="V689" s="196"/>
      <c r="W689" s="196"/>
      <c r="X689" s="196"/>
      <c r="Y689" s="196"/>
      <c r="Z689" s="196"/>
      <c r="AA689" s="196"/>
      <c r="AB689" s="196"/>
      <c r="AC689" s="196"/>
      <c r="AD689" s="196"/>
      <c r="AE689" s="196"/>
      <c r="AF689" s="196"/>
      <c r="AG689" s="196"/>
      <c r="AH689" s="196"/>
      <c r="AI689" s="196"/>
      <c r="AJ689" s="196"/>
      <c r="AK689" s="196"/>
      <c r="AL689" s="196"/>
      <c r="AM689" s="196"/>
    </row>
    <row r="690">
      <c r="F690" s="203"/>
      <c r="H690" s="196"/>
      <c r="I690" s="196"/>
      <c r="J690" s="196"/>
      <c r="K690" s="196"/>
      <c r="L690" s="196"/>
      <c r="M690" s="196"/>
      <c r="N690" s="196"/>
      <c r="O690" s="196"/>
      <c r="P690" s="196"/>
      <c r="Q690" s="196"/>
      <c r="R690" s="196"/>
      <c r="S690" s="196"/>
      <c r="T690" s="196"/>
      <c r="U690" s="196"/>
      <c r="V690" s="196"/>
      <c r="W690" s="196"/>
      <c r="X690" s="196"/>
      <c r="Y690" s="196"/>
      <c r="Z690" s="196"/>
      <c r="AA690" s="196"/>
      <c r="AB690" s="196"/>
      <c r="AC690" s="196"/>
      <c r="AD690" s="196"/>
      <c r="AE690" s="196"/>
      <c r="AF690" s="196"/>
      <c r="AG690" s="196"/>
      <c r="AH690" s="196"/>
      <c r="AI690" s="196"/>
      <c r="AJ690" s="196"/>
      <c r="AK690" s="196"/>
      <c r="AL690" s="196"/>
      <c r="AM690" s="196"/>
    </row>
    <row r="691">
      <c r="F691" s="203"/>
      <c r="H691" s="196"/>
      <c r="I691" s="196"/>
      <c r="J691" s="196"/>
      <c r="K691" s="196"/>
      <c r="L691" s="196"/>
      <c r="M691" s="196"/>
      <c r="N691" s="196"/>
      <c r="O691" s="196"/>
      <c r="P691" s="196"/>
      <c r="Q691" s="196"/>
      <c r="R691" s="196"/>
      <c r="S691" s="196"/>
      <c r="T691" s="196"/>
      <c r="U691" s="196"/>
      <c r="V691" s="196"/>
      <c r="W691" s="196"/>
      <c r="X691" s="196"/>
      <c r="Y691" s="196"/>
      <c r="Z691" s="196"/>
      <c r="AA691" s="196"/>
      <c r="AB691" s="196"/>
      <c r="AC691" s="196"/>
      <c r="AD691" s="196"/>
      <c r="AE691" s="196"/>
      <c r="AF691" s="196"/>
      <c r="AG691" s="196"/>
      <c r="AH691" s="196"/>
      <c r="AI691" s="196"/>
      <c r="AJ691" s="196"/>
      <c r="AK691" s="196"/>
      <c r="AL691" s="196"/>
      <c r="AM691" s="196"/>
    </row>
    <row r="692">
      <c r="F692" s="203"/>
      <c r="H692" s="196"/>
      <c r="I692" s="196"/>
      <c r="J692" s="196"/>
      <c r="K692" s="196"/>
      <c r="L692" s="196"/>
      <c r="M692" s="196"/>
      <c r="N692" s="196"/>
      <c r="O692" s="196"/>
      <c r="P692" s="196"/>
      <c r="Q692" s="196"/>
      <c r="R692" s="196"/>
      <c r="S692" s="196"/>
      <c r="T692" s="196"/>
      <c r="U692" s="196"/>
      <c r="V692" s="196"/>
      <c r="W692" s="196"/>
      <c r="X692" s="196"/>
      <c r="Y692" s="196"/>
      <c r="Z692" s="196"/>
      <c r="AA692" s="196"/>
      <c r="AB692" s="196"/>
      <c r="AC692" s="196"/>
      <c r="AD692" s="196"/>
      <c r="AE692" s="196"/>
      <c r="AF692" s="196"/>
      <c r="AG692" s="196"/>
      <c r="AH692" s="196"/>
      <c r="AI692" s="196"/>
      <c r="AJ692" s="196"/>
      <c r="AK692" s="196"/>
      <c r="AL692" s="196"/>
      <c r="AM692" s="196"/>
    </row>
    <row r="693">
      <c r="F693" s="203"/>
      <c r="H693" s="196"/>
      <c r="I693" s="196"/>
      <c r="J693" s="196"/>
      <c r="K693" s="196"/>
      <c r="L693" s="196"/>
      <c r="M693" s="196"/>
      <c r="N693" s="196"/>
      <c r="O693" s="196"/>
      <c r="P693" s="196"/>
      <c r="Q693" s="196"/>
      <c r="R693" s="196"/>
      <c r="S693" s="196"/>
      <c r="T693" s="196"/>
      <c r="U693" s="196"/>
      <c r="V693" s="196"/>
      <c r="W693" s="196"/>
      <c r="X693" s="196"/>
      <c r="Y693" s="196"/>
      <c r="Z693" s="196"/>
      <c r="AA693" s="196"/>
      <c r="AB693" s="196"/>
      <c r="AC693" s="196"/>
      <c r="AD693" s="196"/>
      <c r="AE693" s="196"/>
      <c r="AF693" s="196"/>
      <c r="AG693" s="196"/>
      <c r="AH693" s="196"/>
      <c r="AI693" s="196"/>
      <c r="AJ693" s="196"/>
      <c r="AK693" s="196"/>
      <c r="AL693" s="196"/>
      <c r="AM693" s="196"/>
    </row>
    <row r="694">
      <c r="F694" s="203"/>
      <c r="H694" s="196"/>
      <c r="I694" s="196"/>
      <c r="J694" s="196"/>
      <c r="K694" s="196"/>
      <c r="L694" s="196"/>
      <c r="M694" s="196"/>
      <c r="N694" s="196"/>
      <c r="O694" s="196"/>
      <c r="P694" s="196"/>
      <c r="Q694" s="196"/>
      <c r="R694" s="196"/>
      <c r="S694" s="196"/>
      <c r="T694" s="196"/>
      <c r="U694" s="196"/>
      <c r="V694" s="196"/>
      <c r="W694" s="196"/>
      <c r="X694" s="196"/>
      <c r="Y694" s="196"/>
      <c r="Z694" s="196"/>
      <c r="AA694" s="196"/>
      <c r="AB694" s="196"/>
      <c r="AC694" s="196"/>
      <c r="AD694" s="196"/>
      <c r="AE694" s="196"/>
      <c r="AF694" s="196"/>
      <c r="AG694" s="196"/>
      <c r="AH694" s="196"/>
      <c r="AI694" s="196"/>
      <c r="AJ694" s="196"/>
      <c r="AK694" s="196"/>
      <c r="AL694" s="196"/>
      <c r="AM694" s="196"/>
    </row>
    <row r="695">
      <c r="F695" s="203"/>
      <c r="H695" s="196"/>
      <c r="I695" s="196"/>
      <c r="J695" s="196"/>
      <c r="K695" s="196"/>
      <c r="L695" s="196"/>
      <c r="M695" s="196"/>
      <c r="N695" s="196"/>
      <c r="O695" s="196"/>
      <c r="P695" s="196"/>
      <c r="Q695" s="196"/>
      <c r="R695" s="196"/>
      <c r="S695" s="196"/>
      <c r="T695" s="196"/>
      <c r="U695" s="196"/>
      <c r="V695" s="196"/>
      <c r="W695" s="196"/>
      <c r="X695" s="196"/>
      <c r="Y695" s="196"/>
      <c r="Z695" s="196"/>
      <c r="AA695" s="196"/>
      <c r="AB695" s="196"/>
      <c r="AC695" s="196"/>
      <c r="AD695" s="196"/>
      <c r="AE695" s="196"/>
      <c r="AF695" s="196"/>
      <c r="AG695" s="196"/>
      <c r="AH695" s="196"/>
      <c r="AI695" s="196"/>
      <c r="AJ695" s="196"/>
      <c r="AK695" s="196"/>
      <c r="AL695" s="196"/>
      <c r="AM695" s="196"/>
    </row>
    <row r="696">
      <c r="F696" s="203"/>
      <c r="H696" s="196"/>
      <c r="I696" s="196"/>
      <c r="J696" s="196"/>
      <c r="K696" s="196"/>
      <c r="L696" s="196"/>
      <c r="M696" s="196"/>
      <c r="N696" s="196"/>
      <c r="O696" s="196"/>
      <c r="P696" s="196"/>
      <c r="Q696" s="196"/>
      <c r="R696" s="196"/>
      <c r="S696" s="196"/>
      <c r="T696" s="196"/>
      <c r="U696" s="196"/>
      <c r="V696" s="196"/>
      <c r="W696" s="196"/>
      <c r="X696" s="196"/>
      <c r="Y696" s="196"/>
      <c r="Z696" s="196"/>
      <c r="AA696" s="196"/>
      <c r="AB696" s="196"/>
      <c r="AC696" s="196"/>
      <c r="AD696" s="196"/>
      <c r="AE696" s="196"/>
      <c r="AF696" s="196"/>
      <c r="AG696" s="196"/>
      <c r="AH696" s="196"/>
      <c r="AI696" s="196"/>
      <c r="AJ696" s="196"/>
      <c r="AK696" s="196"/>
      <c r="AL696" s="196"/>
      <c r="AM696" s="196"/>
    </row>
    <row r="697">
      <c r="F697" s="203"/>
      <c r="H697" s="196"/>
      <c r="I697" s="196"/>
      <c r="J697" s="196"/>
      <c r="K697" s="196"/>
      <c r="L697" s="196"/>
      <c r="M697" s="196"/>
      <c r="N697" s="196"/>
      <c r="O697" s="196"/>
      <c r="P697" s="196"/>
      <c r="Q697" s="196"/>
      <c r="R697" s="196"/>
      <c r="S697" s="196"/>
      <c r="T697" s="196"/>
      <c r="U697" s="196"/>
      <c r="V697" s="196"/>
      <c r="W697" s="196"/>
      <c r="X697" s="196"/>
      <c r="Y697" s="196"/>
      <c r="Z697" s="196"/>
      <c r="AA697" s="196"/>
      <c r="AB697" s="196"/>
      <c r="AC697" s="196"/>
      <c r="AD697" s="196"/>
      <c r="AE697" s="196"/>
      <c r="AF697" s="196"/>
      <c r="AG697" s="196"/>
      <c r="AH697" s="196"/>
      <c r="AI697" s="196"/>
      <c r="AJ697" s="196"/>
      <c r="AK697" s="196"/>
      <c r="AL697" s="196"/>
      <c r="AM697" s="196"/>
    </row>
    <row r="698">
      <c r="F698" s="203"/>
      <c r="H698" s="196"/>
      <c r="I698" s="196"/>
      <c r="J698" s="196"/>
      <c r="K698" s="196"/>
      <c r="L698" s="196"/>
      <c r="M698" s="196"/>
      <c r="N698" s="196"/>
      <c r="O698" s="196"/>
      <c r="P698" s="196"/>
      <c r="Q698" s="196"/>
      <c r="R698" s="196"/>
      <c r="S698" s="196"/>
      <c r="T698" s="196"/>
      <c r="U698" s="196"/>
      <c r="V698" s="196"/>
      <c r="W698" s="196"/>
      <c r="X698" s="196"/>
      <c r="Y698" s="196"/>
      <c r="Z698" s="196"/>
      <c r="AA698" s="196"/>
      <c r="AB698" s="196"/>
      <c r="AC698" s="196"/>
      <c r="AD698" s="196"/>
      <c r="AE698" s="196"/>
      <c r="AF698" s="196"/>
      <c r="AG698" s="196"/>
      <c r="AH698" s="196"/>
      <c r="AI698" s="196"/>
      <c r="AJ698" s="196"/>
      <c r="AK698" s="196"/>
      <c r="AL698" s="196"/>
      <c r="AM698" s="196"/>
    </row>
    <row r="699">
      <c r="F699" s="203"/>
      <c r="H699" s="196"/>
      <c r="I699" s="196"/>
      <c r="J699" s="196"/>
      <c r="K699" s="196"/>
      <c r="L699" s="196"/>
      <c r="M699" s="196"/>
      <c r="N699" s="196"/>
      <c r="O699" s="196"/>
      <c r="P699" s="196"/>
      <c r="Q699" s="196"/>
      <c r="R699" s="196"/>
      <c r="S699" s="196"/>
      <c r="T699" s="196"/>
      <c r="U699" s="196"/>
      <c r="V699" s="196"/>
      <c r="W699" s="196"/>
      <c r="X699" s="196"/>
      <c r="Y699" s="196"/>
      <c r="Z699" s="196"/>
      <c r="AA699" s="196"/>
      <c r="AB699" s="196"/>
      <c r="AC699" s="196"/>
      <c r="AD699" s="196"/>
      <c r="AE699" s="196"/>
      <c r="AF699" s="196"/>
      <c r="AG699" s="196"/>
      <c r="AH699" s="196"/>
      <c r="AI699" s="196"/>
      <c r="AJ699" s="196"/>
      <c r="AK699" s="196"/>
      <c r="AL699" s="196"/>
      <c r="AM699" s="196"/>
    </row>
    <row r="700">
      <c r="F700" s="203"/>
      <c r="H700" s="196"/>
      <c r="I700" s="196"/>
      <c r="J700" s="196"/>
      <c r="K700" s="196"/>
      <c r="L700" s="196"/>
      <c r="M700" s="196"/>
      <c r="N700" s="196"/>
      <c r="O700" s="196"/>
      <c r="P700" s="196"/>
      <c r="Q700" s="196"/>
      <c r="R700" s="196"/>
      <c r="S700" s="196"/>
      <c r="T700" s="196"/>
      <c r="U700" s="196"/>
      <c r="V700" s="196"/>
      <c r="W700" s="196"/>
      <c r="X700" s="196"/>
      <c r="Y700" s="196"/>
      <c r="Z700" s="196"/>
      <c r="AA700" s="196"/>
      <c r="AB700" s="196"/>
      <c r="AC700" s="196"/>
      <c r="AD700" s="196"/>
      <c r="AE700" s="196"/>
      <c r="AF700" s="196"/>
      <c r="AG700" s="196"/>
      <c r="AH700" s="196"/>
      <c r="AI700" s="196"/>
      <c r="AJ700" s="196"/>
      <c r="AK700" s="196"/>
      <c r="AL700" s="196"/>
      <c r="AM700" s="196"/>
    </row>
    <row r="701">
      <c r="F701" s="203"/>
      <c r="H701" s="196"/>
      <c r="I701" s="196"/>
      <c r="J701" s="196"/>
      <c r="K701" s="196"/>
      <c r="L701" s="196"/>
      <c r="M701" s="196"/>
      <c r="N701" s="196"/>
      <c r="O701" s="196"/>
      <c r="P701" s="196"/>
      <c r="Q701" s="196"/>
      <c r="R701" s="196"/>
      <c r="S701" s="196"/>
      <c r="T701" s="196"/>
      <c r="U701" s="196"/>
      <c r="V701" s="196"/>
      <c r="W701" s="196"/>
      <c r="X701" s="196"/>
      <c r="Y701" s="196"/>
      <c r="Z701" s="196"/>
      <c r="AA701" s="196"/>
      <c r="AB701" s="196"/>
      <c r="AC701" s="196"/>
      <c r="AD701" s="196"/>
      <c r="AE701" s="196"/>
      <c r="AF701" s="196"/>
      <c r="AG701" s="196"/>
      <c r="AH701" s="196"/>
      <c r="AI701" s="196"/>
      <c r="AJ701" s="196"/>
      <c r="AK701" s="196"/>
      <c r="AL701" s="196"/>
      <c r="AM701" s="196"/>
    </row>
    <row r="702">
      <c r="F702" s="203"/>
      <c r="H702" s="196"/>
      <c r="I702" s="196"/>
      <c r="J702" s="196"/>
      <c r="K702" s="196"/>
      <c r="L702" s="196"/>
      <c r="M702" s="196"/>
      <c r="N702" s="196"/>
      <c r="O702" s="196"/>
      <c r="P702" s="196"/>
      <c r="Q702" s="196"/>
      <c r="R702" s="196"/>
      <c r="S702" s="196"/>
      <c r="T702" s="196"/>
      <c r="U702" s="196"/>
      <c r="V702" s="196"/>
      <c r="W702" s="196"/>
      <c r="X702" s="196"/>
      <c r="Y702" s="196"/>
      <c r="Z702" s="196"/>
      <c r="AA702" s="196"/>
      <c r="AB702" s="196"/>
      <c r="AC702" s="196"/>
      <c r="AD702" s="196"/>
      <c r="AE702" s="196"/>
      <c r="AF702" s="196"/>
      <c r="AG702" s="196"/>
      <c r="AH702" s="196"/>
      <c r="AI702" s="196"/>
      <c r="AJ702" s="196"/>
      <c r="AK702" s="196"/>
      <c r="AL702" s="196"/>
      <c r="AM702" s="196"/>
    </row>
    <row r="703">
      <c r="F703" s="203"/>
      <c r="H703" s="196"/>
      <c r="I703" s="196"/>
      <c r="J703" s="196"/>
      <c r="K703" s="196"/>
      <c r="L703" s="196"/>
      <c r="M703" s="196"/>
      <c r="N703" s="196"/>
      <c r="O703" s="196"/>
      <c r="P703" s="196"/>
      <c r="Q703" s="196"/>
      <c r="R703" s="196"/>
      <c r="S703" s="196"/>
      <c r="T703" s="196"/>
      <c r="U703" s="196"/>
      <c r="V703" s="196"/>
      <c r="W703" s="196"/>
      <c r="X703" s="196"/>
      <c r="Y703" s="196"/>
      <c r="Z703" s="196"/>
      <c r="AA703" s="196"/>
      <c r="AB703" s="196"/>
      <c r="AC703" s="196"/>
      <c r="AD703" s="196"/>
      <c r="AE703" s="196"/>
      <c r="AF703" s="196"/>
      <c r="AG703" s="196"/>
      <c r="AH703" s="196"/>
      <c r="AI703" s="196"/>
      <c r="AJ703" s="196"/>
      <c r="AK703" s="196"/>
      <c r="AL703" s="196"/>
      <c r="AM703" s="196"/>
    </row>
    <row r="704">
      <c r="F704" s="203"/>
      <c r="H704" s="196"/>
      <c r="I704" s="196"/>
      <c r="J704" s="196"/>
      <c r="K704" s="196"/>
      <c r="L704" s="196"/>
      <c r="M704" s="196"/>
      <c r="N704" s="196"/>
      <c r="O704" s="196"/>
      <c r="P704" s="196"/>
      <c r="Q704" s="196"/>
      <c r="R704" s="196"/>
      <c r="S704" s="196"/>
      <c r="T704" s="196"/>
      <c r="U704" s="196"/>
      <c r="V704" s="196"/>
      <c r="W704" s="196"/>
      <c r="X704" s="196"/>
      <c r="Y704" s="196"/>
      <c r="Z704" s="196"/>
      <c r="AA704" s="196"/>
      <c r="AB704" s="196"/>
      <c r="AC704" s="196"/>
      <c r="AD704" s="196"/>
      <c r="AE704" s="196"/>
      <c r="AF704" s="196"/>
      <c r="AG704" s="196"/>
      <c r="AH704" s="196"/>
      <c r="AI704" s="196"/>
      <c r="AJ704" s="196"/>
      <c r="AK704" s="196"/>
      <c r="AL704" s="196"/>
      <c r="AM704" s="196"/>
    </row>
    <row r="705">
      <c r="F705" s="203"/>
      <c r="H705" s="196"/>
      <c r="I705" s="196"/>
      <c r="J705" s="196"/>
      <c r="K705" s="196"/>
      <c r="L705" s="196"/>
      <c r="M705" s="196"/>
      <c r="N705" s="196"/>
      <c r="O705" s="196"/>
      <c r="P705" s="196"/>
      <c r="Q705" s="196"/>
      <c r="R705" s="196"/>
      <c r="S705" s="196"/>
      <c r="T705" s="196"/>
      <c r="U705" s="196"/>
      <c r="V705" s="196"/>
      <c r="W705" s="196"/>
      <c r="X705" s="196"/>
      <c r="Y705" s="196"/>
      <c r="Z705" s="196"/>
      <c r="AA705" s="196"/>
      <c r="AB705" s="196"/>
      <c r="AC705" s="196"/>
      <c r="AD705" s="196"/>
      <c r="AE705" s="196"/>
      <c r="AF705" s="196"/>
      <c r="AG705" s="196"/>
      <c r="AH705" s="196"/>
      <c r="AI705" s="196"/>
      <c r="AJ705" s="196"/>
      <c r="AK705" s="196"/>
      <c r="AL705" s="196"/>
      <c r="AM705" s="196"/>
    </row>
    <row r="706">
      <c r="F706" s="203"/>
      <c r="H706" s="196"/>
      <c r="I706" s="196"/>
      <c r="J706" s="196"/>
      <c r="K706" s="196"/>
      <c r="L706" s="196"/>
      <c r="M706" s="196"/>
      <c r="N706" s="196"/>
      <c r="O706" s="196"/>
      <c r="P706" s="196"/>
      <c r="Q706" s="196"/>
      <c r="R706" s="196"/>
      <c r="S706" s="196"/>
      <c r="T706" s="196"/>
      <c r="U706" s="196"/>
      <c r="V706" s="196"/>
      <c r="W706" s="196"/>
      <c r="X706" s="196"/>
      <c r="Y706" s="196"/>
      <c r="Z706" s="196"/>
      <c r="AA706" s="196"/>
      <c r="AB706" s="196"/>
      <c r="AC706" s="196"/>
      <c r="AD706" s="196"/>
      <c r="AE706" s="196"/>
      <c r="AF706" s="196"/>
      <c r="AG706" s="196"/>
      <c r="AH706" s="196"/>
      <c r="AI706" s="196"/>
      <c r="AJ706" s="196"/>
      <c r="AK706" s="196"/>
      <c r="AL706" s="196"/>
      <c r="AM706" s="196"/>
    </row>
    <row r="707">
      <c r="F707" s="203"/>
      <c r="H707" s="196"/>
      <c r="I707" s="196"/>
      <c r="J707" s="196"/>
      <c r="K707" s="196"/>
      <c r="L707" s="196"/>
      <c r="M707" s="196"/>
      <c r="N707" s="196"/>
      <c r="O707" s="196"/>
      <c r="P707" s="196"/>
      <c r="Q707" s="196"/>
      <c r="R707" s="196"/>
      <c r="S707" s="196"/>
      <c r="T707" s="196"/>
      <c r="U707" s="196"/>
      <c r="V707" s="196"/>
      <c r="W707" s="196"/>
      <c r="X707" s="196"/>
      <c r="Y707" s="196"/>
      <c r="Z707" s="196"/>
      <c r="AA707" s="196"/>
      <c r="AB707" s="196"/>
      <c r="AC707" s="196"/>
      <c r="AD707" s="196"/>
      <c r="AE707" s="196"/>
      <c r="AF707" s="196"/>
      <c r="AG707" s="196"/>
      <c r="AH707" s="196"/>
      <c r="AI707" s="196"/>
      <c r="AJ707" s="196"/>
      <c r="AK707" s="196"/>
      <c r="AL707" s="196"/>
      <c r="AM707" s="196"/>
    </row>
    <row r="708">
      <c r="F708" s="203"/>
      <c r="H708" s="196"/>
      <c r="I708" s="196"/>
      <c r="J708" s="196"/>
      <c r="K708" s="196"/>
      <c r="L708" s="196"/>
      <c r="M708" s="196"/>
      <c r="N708" s="196"/>
      <c r="O708" s="196"/>
      <c r="P708" s="196"/>
      <c r="Q708" s="196"/>
      <c r="R708" s="196"/>
      <c r="S708" s="196"/>
      <c r="T708" s="196"/>
      <c r="U708" s="196"/>
      <c r="V708" s="196"/>
      <c r="W708" s="196"/>
      <c r="X708" s="196"/>
      <c r="Y708" s="196"/>
      <c r="Z708" s="196"/>
      <c r="AA708" s="196"/>
      <c r="AB708" s="196"/>
      <c r="AC708" s="196"/>
      <c r="AD708" s="196"/>
      <c r="AE708" s="196"/>
      <c r="AF708" s="196"/>
      <c r="AG708" s="196"/>
      <c r="AH708" s="196"/>
      <c r="AI708" s="196"/>
      <c r="AJ708" s="196"/>
      <c r="AK708" s="196"/>
      <c r="AL708" s="196"/>
      <c r="AM708" s="196"/>
    </row>
    <row r="709">
      <c r="F709" s="203"/>
      <c r="H709" s="196"/>
      <c r="I709" s="196"/>
      <c r="J709" s="196"/>
      <c r="K709" s="196"/>
      <c r="L709" s="196"/>
      <c r="M709" s="196"/>
      <c r="N709" s="196"/>
      <c r="O709" s="196"/>
      <c r="P709" s="196"/>
      <c r="Q709" s="196"/>
      <c r="R709" s="196"/>
      <c r="S709" s="196"/>
      <c r="T709" s="196"/>
      <c r="U709" s="196"/>
      <c r="V709" s="196"/>
      <c r="W709" s="196"/>
      <c r="X709" s="196"/>
      <c r="Y709" s="196"/>
      <c r="Z709" s="196"/>
      <c r="AA709" s="196"/>
      <c r="AB709" s="196"/>
      <c r="AC709" s="196"/>
      <c r="AD709" s="196"/>
      <c r="AE709" s="196"/>
      <c r="AF709" s="196"/>
      <c r="AG709" s="196"/>
      <c r="AH709" s="196"/>
      <c r="AI709" s="196"/>
      <c r="AJ709" s="196"/>
      <c r="AK709" s="196"/>
      <c r="AL709" s="196"/>
      <c r="AM709" s="196"/>
    </row>
    <row r="710">
      <c r="F710" s="203"/>
      <c r="H710" s="196"/>
      <c r="I710" s="196"/>
      <c r="J710" s="196"/>
      <c r="K710" s="196"/>
      <c r="L710" s="196"/>
      <c r="M710" s="196"/>
      <c r="N710" s="196"/>
      <c r="O710" s="196"/>
      <c r="P710" s="196"/>
      <c r="Q710" s="196"/>
      <c r="R710" s="196"/>
      <c r="S710" s="196"/>
      <c r="T710" s="196"/>
      <c r="U710" s="196"/>
      <c r="V710" s="196"/>
      <c r="W710" s="196"/>
      <c r="X710" s="196"/>
      <c r="Y710" s="196"/>
      <c r="Z710" s="196"/>
      <c r="AA710" s="196"/>
      <c r="AB710" s="196"/>
      <c r="AC710" s="196"/>
      <c r="AD710" s="196"/>
      <c r="AE710" s="196"/>
      <c r="AF710" s="196"/>
      <c r="AG710" s="196"/>
      <c r="AH710" s="196"/>
      <c r="AI710" s="196"/>
      <c r="AJ710" s="196"/>
      <c r="AK710" s="196"/>
      <c r="AL710" s="196"/>
      <c r="AM710" s="196"/>
    </row>
    <row r="711">
      <c r="F711" s="203"/>
      <c r="H711" s="196"/>
      <c r="I711" s="196"/>
      <c r="J711" s="196"/>
      <c r="K711" s="196"/>
      <c r="L711" s="196"/>
      <c r="M711" s="196"/>
      <c r="N711" s="196"/>
      <c r="O711" s="196"/>
      <c r="P711" s="196"/>
      <c r="Q711" s="196"/>
      <c r="R711" s="196"/>
      <c r="S711" s="196"/>
      <c r="T711" s="196"/>
      <c r="U711" s="196"/>
      <c r="V711" s="196"/>
      <c r="W711" s="196"/>
      <c r="X711" s="196"/>
      <c r="Y711" s="196"/>
      <c r="Z711" s="196"/>
      <c r="AA711" s="196"/>
      <c r="AB711" s="196"/>
      <c r="AC711" s="196"/>
      <c r="AD711" s="196"/>
      <c r="AE711" s="196"/>
      <c r="AF711" s="196"/>
      <c r="AG711" s="196"/>
      <c r="AH711" s="196"/>
      <c r="AI711" s="196"/>
      <c r="AJ711" s="196"/>
      <c r="AK711" s="196"/>
      <c r="AL711" s="196"/>
      <c r="AM711" s="196"/>
    </row>
    <row r="712">
      <c r="F712" s="203"/>
      <c r="H712" s="196"/>
      <c r="I712" s="196"/>
      <c r="J712" s="196"/>
      <c r="K712" s="196"/>
      <c r="L712" s="196"/>
      <c r="M712" s="196"/>
      <c r="N712" s="196"/>
      <c r="O712" s="196"/>
      <c r="P712" s="196"/>
      <c r="Q712" s="196"/>
      <c r="R712" s="196"/>
      <c r="S712" s="196"/>
      <c r="T712" s="196"/>
      <c r="U712" s="196"/>
      <c r="V712" s="196"/>
      <c r="W712" s="196"/>
      <c r="X712" s="196"/>
      <c r="Y712" s="196"/>
      <c r="Z712" s="196"/>
      <c r="AA712" s="196"/>
      <c r="AB712" s="196"/>
      <c r="AC712" s="196"/>
      <c r="AD712" s="196"/>
      <c r="AE712" s="196"/>
      <c r="AF712" s="196"/>
      <c r="AG712" s="196"/>
      <c r="AH712" s="196"/>
      <c r="AI712" s="196"/>
      <c r="AJ712" s="196"/>
      <c r="AK712" s="196"/>
      <c r="AL712" s="196"/>
      <c r="AM712" s="196"/>
    </row>
    <row r="713">
      <c r="F713" s="203"/>
      <c r="H713" s="196"/>
      <c r="I713" s="196"/>
      <c r="J713" s="196"/>
      <c r="K713" s="196"/>
      <c r="L713" s="196"/>
      <c r="M713" s="196"/>
      <c r="N713" s="196"/>
      <c r="O713" s="196"/>
      <c r="P713" s="196"/>
      <c r="Q713" s="196"/>
      <c r="R713" s="196"/>
      <c r="S713" s="196"/>
      <c r="T713" s="196"/>
      <c r="U713" s="196"/>
      <c r="V713" s="196"/>
      <c r="W713" s="196"/>
      <c r="X713" s="196"/>
      <c r="Y713" s="196"/>
      <c r="Z713" s="196"/>
      <c r="AA713" s="196"/>
      <c r="AB713" s="196"/>
      <c r="AC713" s="196"/>
      <c r="AD713" s="196"/>
      <c r="AE713" s="196"/>
      <c r="AF713" s="196"/>
      <c r="AG713" s="196"/>
      <c r="AH713" s="196"/>
      <c r="AI713" s="196"/>
      <c r="AJ713" s="196"/>
      <c r="AK713" s="196"/>
      <c r="AL713" s="196"/>
      <c r="AM713" s="196"/>
    </row>
    <row r="714">
      <c r="F714" s="203"/>
      <c r="H714" s="196"/>
      <c r="I714" s="196"/>
      <c r="J714" s="196"/>
      <c r="K714" s="196"/>
      <c r="L714" s="196"/>
      <c r="M714" s="196"/>
      <c r="N714" s="196"/>
      <c r="O714" s="196"/>
      <c r="P714" s="196"/>
      <c r="Q714" s="196"/>
      <c r="R714" s="196"/>
      <c r="S714" s="196"/>
      <c r="T714" s="196"/>
      <c r="U714" s="196"/>
      <c r="V714" s="196"/>
      <c r="W714" s="196"/>
      <c r="X714" s="196"/>
      <c r="Y714" s="196"/>
      <c r="Z714" s="196"/>
      <c r="AA714" s="196"/>
      <c r="AB714" s="196"/>
      <c r="AC714" s="196"/>
      <c r="AD714" s="196"/>
      <c r="AE714" s="196"/>
      <c r="AF714" s="196"/>
      <c r="AG714" s="196"/>
      <c r="AH714" s="196"/>
      <c r="AI714" s="196"/>
      <c r="AJ714" s="196"/>
      <c r="AK714" s="196"/>
      <c r="AL714" s="196"/>
      <c r="AM714" s="196"/>
    </row>
    <row r="715">
      <c r="F715" s="203"/>
      <c r="H715" s="196"/>
      <c r="I715" s="196"/>
      <c r="J715" s="196"/>
      <c r="K715" s="196"/>
      <c r="L715" s="196"/>
      <c r="M715" s="196"/>
      <c r="N715" s="196"/>
      <c r="O715" s="196"/>
      <c r="P715" s="196"/>
      <c r="Q715" s="196"/>
      <c r="R715" s="196"/>
      <c r="S715" s="196"/>
      <c r="T715" s="196"/>
      <c r="U715" s="196"/>
      <c r="V715" s="196"/>
      <c r="W715" s="196"/>
      <c r="X715" s="196"/>
      <c r="Y715" s="196"/>
      <c r="Z715" s="196"/>
      <c r="AA715" s="196"/>
      <c r="AB715" s="196"/>
      <c r="AC715" s="196"/>
      <c r="AD715" s="196"/>
      <c r="AE715" s="196"/>
      <c r="AF715" s="196"/>
      <c r="AG715" s="196"/>
      <c r="AH715" s="196"/>
      <c r="AI715" s="196"/>
      <c r="AJ715" s="196"/>
      <c r="AK715" s="196"/>
      <c r="AL715" s="196"/>
      <c r="AM715" s="196"/>
    </row>
    <row r="716">
      <c r="F716" s="203"/>
      <c r="H716" s="196"/>
      <c r="I716" s="196"/>
      <c r="J716" s="196"/>
      <c r="K716" s="196"/>
      <c r="L716" s="196"/>
      <c r="M716" s="196"/>
      <c r="N716" s="196"/>
      <c r="O716" s="196"/>
      <c r="P716" s="196"/>
      <c r="Q716" s="196"/>
      <c r="R716" s="196"/>
      <c r="S716" s="196"/>
      <c r="T716" s="196"/>
      <c r="U716" s="196"/>
      <c r="V716" s="196"/>
      <c r="W716" s="196"/>
      <c r="X716" s="196"/>
      <c r="Y716" s="196"/>
      <c r="Z716" s="196"/>
      <c r="AA716" s="196"/>
      <c r="AB716" s="196"/>
      <c r="AC716" s="196"/>
      <c r="AD716" s="196"/>
      <c r="AE716" s="196"/>
      <c r="AF716" s="196"/>
      <c r="AG716" s="196"/>
      <c r="AH716" s="196"/>
      <c r="AI716" s="196"/>
      <c r="AJ716" s="196"/>
      <c r="AK716" s="196"/>
      <c r="AL716" s="196"/>
      <c r="AM716" s="196"/>
    </row>
    <row r="717">
      <c r="F717" s="203"/>
      <c r="H717" s="196"/>
      <c r="I717" s="196"/>
      <c r="J717" s="196"/>
      <c r="K717" s="196"/>
      <c r="L717" s="196"/>
      <c r="M717" s="196"/>
      <c r="N717" s="196"/>
      <c r="O717" s="196"/>
      <c r="P717" s="196"/>
      <c r="Q717" s="196"/>
      <c r="R717" s="196"/>
      <c r="S717" s="196"/>
      <c r="T717" s="196"/>
      <c r="U717" s="196"/>
      <c r="V717" s="196"/>
      <c r="W717" s="196"/>
      <c r="X717" s="196"/>
      <c r="Y717" s="196"/>
      <c r="Z717" s="196"/>
      <c r="AA717" s="196"/>
      <c r="AB717" s="196"/>
      <c r="AC717" s="196"/>
      <c r="AD717" s="196"/>
      <c r="AE717" s="196"/>
      <c r="AF717" s="196"/>
      <c r="AG717" s="196"/>
      <c r="AH717" s="196"/>
      <c r="AI717" s="196"/>
      <c r="AJ717" s="196"/>
      <c r="AK717" s="196"/>
      <c r="AL717" s="196"/>
      <c r="AM717" s="196"/>
    </row>
    <row r="718">
      <c r="F718" s="203"/>
      <c r="H718" s="196"/>
      <c r="I718" s="196"/>
      <c r="J718" s="196"/>
      <c r="K718" s="196"/>
      <c r="L718" s="196"/>
      <c r="M718" s="196"/>
      <c r="N718" s="196"/>
      <c r="O718" s="196"/>
      <c r="P718" s="196"/>
      <c r="Q718" s="196"/>
      <c r="R718" s="196"/>
      <c r="S718" s="196"/>
      <c r="T718" s="196"/>
      <c r="U718" s="196"/>
      <c r="V718" s="196"/>
      <c r="W718" s="196"/>
      <c r="X718" s="196"/>
      <c r="Y718" s="196"/>
      <c r="Z718" s="196"/>
      <c r="AA718" s="196"/>
      <c r="AB718" s="196"/>
      <c r="AC718" s="196"/>
      <c r="AD718" s="196"/>
      <c r="AE718" s="196"/>
      <c r="AF718" s="196"/>
      <c r="AG718" s="196"/>
      <c r="AH718" s="196"/>
      <c r="AI718" s="196"/>
      <c r="AJ718" s="196"/>
      <c r="AK718" s="196"/>
      <c r="AL718" s="196"/>
      <c r="AM718" s="196"/>
    </row>
    <row r="719">
      <c r="F719" s="203"/>
      <c r="H719" s="196"/>
      <c r="I719" s="196"/>
      <c r="J719" s="196"/>
      <c r="K719" s="196"/>
      <c r="L719" s="196"/>
      <c r="M719" s="196"/>
      <c r="N719" s="196"/>
      <c r="O719" s="196"/>
      <c r="P719" s="196"/>
      <c r="Q719" s="196"/>
      <c r="R719" s="196"/>
      <c r="S719" s="196"/>
      <c r="T719" s="196"/>
      <c r="U719" s="196"/>
      <c r="V719" s="196"/>
      <c r="W719" s="196"/>
      <c r="X719" s="196"/>
      <c r="Y719" s="196"/>
      <c r="Z719" s="196"/>
      <c r="AA719" s="196"/>
      <c r="AB719" s="196"/>
      <c r="AC719" s="196"/>
      <c r="AD719" s="196"/>
      <c r="AE719" s="196"/>
      <c r="AF719" s="196"/>
      <c r="AG719" s="196"/>
      <c r="AH719" s="196"/>
      <c r="AI719" s="196"/>
      <c r="AJ719" s="196"/>
      <c r="AK719" s="196"/>
      <c r="AL719" s="196"/>
      <c r="AM719" s="196"/>
    </row>
    <row r="720">
      <c r="F720" s="203"/>
      <c r="H720" s="196"/>
      <c r="I720" s="196"/>
      <c r="J720" s="196"/>
      <c r="K720" s="196"/>
      <c r="L720" s="196"/>
      <c r="M720" s="196"/>
      <c r="N720" s="196"/>
      <c r="O720" s="196"/>
      <c r="P720" s="196"/>
      <c r="Q720" s="196"/>
      <c r="R720" s="196"/>
      <c r="S720" s="196"/>
      <c r="T720" s="196"/>
      <c r="U720" s="196"/>
      <c r="V720" s="196"/>
      <c r="W720" s="196"/>
      <c r="X720" s="196"/>
      <c r="Y720" s="196"/>
      <c r="Z720" s="196"/>
      <c r="AA720" s="196"/>
      <c r="AB720" s="196"/>
      <c r="AC720" s="196"/>
      <c r="AD720" s="196"/>
      <c r="AE720" s="196"/>
      <c r="AF720" s="196"/>
      <c r="AG720" s="196"/>
      <c r="AH720" s="196"/>
      <c r="AI720" s="196"/>
      <c r="AJ720" s="196"/>
      <c r="AK720" s="196"/>
      <c r="AL720" s="196"/>
      <c r="AM720" s="196"/>
    </row>
    <row r="721">
      <c r="F721" s="203"/>
      <c r="H721" s="196"/>
      <c r="I721" s="196"/>
      <c r="J721" s="196"/>
      <c r="K721" s="196"/>
      <c r="L721" s="196"/>
      <c r="M721" s="196"/>
      <c r="N721" s="196"/>
      <c r="O721" s="196"/>
      <c r="P721" s="196"/>
      <c r="Q721" s="196"/>
      <c r="R721" s="196"/>
      <c r="S721" s="196"/>
      <c r="T721" s="196"/>
      <c r="U721" s="196"/>
      <c r="V721" s="196"/>
      <c r="W721" s="196"/>
      <c r="X721" s="196"/>
      <c r="Y721" s="196"/>
      <c r="Z721" s="196"/>
      <c r="AA721" s="196"/>
      <c r="AB721" s="196"/>
      <c r="AC721" s="196"/>
      <c r="AD721" s="196"/>
      <c r="AE721" s="196"/>
      <c r="AF721" s="196"/>
      <c r="AG721" s="196"/>
      <c r="AH721" s="196"/>
      <c r="AI721" s="196"/>
      <c r="AJ721" s="196"/>
      <c r="AK721" s="196"/>
      <c r="AL721" s="196"/>
      <c r="AM721" s="196"/>
    </row>
    <row r="722">
      <c r="F722" s="203"/>
      <c r="H722" s="196"/>
      <c r="I722" s="196"/>
      <c r="J722" s="196"/>
      <c r="K722" s="196"/>
      <c r="L722" s="196"/>
      <c r="M722" s="196"/>
      <c r="N722" s="196"/>
      <c r="O722" s="196"/>
      <c r="P722" s="196"/>
      <c r="Q722" s="196"/>
      <c r="R722" s="196"/>
      <c r="S722" s="196"/>
      <c r="T722" s="196"/>
      <c r="U722" s="196"/>
      <c r="V722" s="196"/>
      <c r="W722" s="196"/>
      <c r="X722" s="196"/>
      <c r="Y722" s="196"/>
      <c r="Z722" s="196"/>
      <c r="AA722" s="196"/>
      <c r="AB722" s="196"/>
      <c r="AC722" s="196"/>
      <c r="AD722" s="196"/>
      <c r="AE722" s="196"/>
      <c r="AF722" s="196"/>
      <c r="AG722" s="196"/>
      <c r="AH722" s="196"/>
      <c r="AI722" s="196"/>
      <c r="AJ722" s="196"/>
      <c r="AK722" s="196"/>
      <c r="AL722" s="196"/>
      <c r="AM722" s="196"/>
    </row>
    <row r="723">
      <c r="F723" s="203"/>
      <c r="H723" s="196"/>
      <c r="I723" s="196"/>
      <c r="J723" s="196"/>
      <c r="K723" s="196"/>
      <c r="L723" s="196"/>
      <c r="M723" s="196"/>
      <c r="N723" s="196"/>
      <c r="O723" s="196"/>
      <c r="P723" s="196"/>
      <c r="Q723" s="196"/>
      <c r="R723" s="196"/>
      <c r="S723" s="196"/>
      <c r="T723" s="196"/>
      <c r="U723" s="196"/>
      <c r="V723" s="196"/>
      <c r="W723" s="196"/>
      <c r="X723" s="196"/>
      <c r="Y723" s="196"/>
      <c r="Z723" s="196"/>
      <c r="AA723" s="196"/>
      <c r="AB723" s="196"/>
      <c r="AC723" s="196"/>
      <c r="AD723" s="196"/>
      <c r="AE723" s="196"/>
      <c r="AF723" s="196"/>
      <c r="AG723" s="196"/>
      <c r="AH723" s="196"/>
      <c r="AI723" s="196"/>
      <c r="AJ723" s="196"/>
      <c r="AK723" s="196"/>
      <c r="AL723" s="196"/>
      <c r="AM723" s="196"/>
    </row>
    <row r="724">
      <c r="F724" s="203"/>
      <c r="H724" s="196"/>
      <c r="I724" s="196"/>
      <c r="J724" s="196"/>
      <c r="K724" s="196"/>
      <c r="L724" s="196"/>
      <c r="M724" s="196"/>
      <c r="N724" s="196"/>
      <c r="O724" s="196"/>
      <c r="P724" s="196"/>
      <c r="Q724" s="196"/>
      <c r="R724" s="196"/>
      <c r="S724" s="196"/>
      <c r="T724" s="196"/>
      <c r="U724" s="196"/>
      <c r="V724" s="196"/>
      <c r="W724" s="196"/>
      <c r="X724" s="196"/>
      <c r="Y724" s="196"/>
      <c r="Z724" s="196"/>
      <c r="AA724" s="196"/>
      <c r="AB724" s="196"/>
      <c r="AC724" s="196"/>
      <c r="AD724" s="196"/>
      <c r="AE724" s="196"/>
      <c r="AF724" s="196"/>
      <c r="AG724" s="196"/>
      <c r="AH724" s="196"/>
      <c r="AI724" s="196"/>
      <c r="AJ724" s="196"/>
      <c r="AK724" s="196"/>
      <c r="AL724" s="196"/>
      <c r="AM724" s="196"/>
    </row>
    <row r="725">
      <c r="F725" s="203"/>
      <c r="H725" s="196"/>
      <c r="I725" s="196"/>
      <c r="J725" s="196"/>
      <c r="K725" s="196"/>
      <c r="L725" s="196"/>
      <c r="M725" s="196"/>
      <c r="N725" s="196"/>
      <c r="O725" s="196"/>
      <c r="P725" s="196"/>
      <c r="Q725" s="196"/>
      <c r="R725" s="196"/>
      <c r="S725" s="196"/>
      <c r="T725" s="196"/>
      <c r="U725" s="196"/>
      <c r="V725" s="196"/>
      <c r="W725" s="196"/>
      <c r="X725" s="196"/>
      <c r="Y725" s="196"/>
      <c r="Z725" s="196"/>
      <c r="AA725" s="196"/>
      <c r="AB725" s="196"/>
      <c r="AC725" s="196"/>
      <c r="AD725" s="196"/>
      <c r="AE725" s="196"/>
      <c r="AF725" s="196"/>
      <c r="AG725" s="196"/>
      <c r="AH725" s="196"/>
      <c r="AI725" s="196"/>
      <c r="AJ725" s="196"/>
      <c r="AK725" s="196"/>
      <c r="AL725" s="196"/>
      <c r="AM725" s="196"/>
    </row>
    <row r="726">
      <c r="F726" s="203"/>
      <c r="H726" s="196"/>
      <c r="I726" s="196"/>
      <c r="J726" s="196"/>
      <c r="K726" s="196"/>
      <c r="L726" s="196"/>
      <c r="M726" s="196"/>
      <c r="N726" s="196"/>
      <c r="O726" s="196"/>
      <c r="P726" s="196"/>
      <c r="Q726" s="196"/>
      <c r="R726" s="196"/>
      <c r="S726" s="196"/>
      <c r="T726" s="196"/>
      <c r="U726" s="196"/>
      <c r="V726" s="196"/>
      <c r="W726" s="196"/>
      <c r="X726" s="196"/>
      <c r="Y726" s="196"/>
      <c r="Z726" s="196"/>
      <c r="AA726" s="196"/>
      <c r="AB726" s="196"/>
      <c r="AC726" s="196"/>
      <c r="AD726" s="196"/>
      <c r="AE726" s="196"/>
      <c r="AF726" s="196"/>
      <c r="AG726" s="196"/>
      <c r="AH726" s="196"/>
      <c r="AI726" s="196"/>
      <c r="AJ726" s="196"/>
      <c r="AK726" s="196"/>
      <c r="AL726" s="196"/>
      <c r="AM726" s="196"/>
    </row>
    <row r="727">
      <c r="F727" s="203"/>
      <c r="H727" s="196"/>
      <c r="I727" s="196"/>
      <c r="J727" s="196"/>
      <c r="K727" s="196"/>
      <c r="L727" s="196"/>
      <c r="M727" s="196"/>
      <c r="N727" s="196"/>
      <c r="O727" s="196"/>
      <c r="P727" s="196"/>
      <c r="Q727" s="196"/>
      <c r="R727" s="196"/>
      <c r="S727" s="196"/>
      <c r="T727" s="196"/>
      <c r="U727" s="196"/>
      <c r="V727" s="196"/>
      <c r="W727" s="196"/>
      <c r="X727" s="196"/>
      <c r="Y727" s="196"/>
      <c r="Z727" s="196"/>
      <c r="AA727" s="196"/>
      <c r="AB727" s="196"/>
      <c r="AC727" s="196"/>
      <c r="AD727" s="196"/>
      <c r="AE727" s="196"/>
      <c r="AF727" s="196"/>
      <c r="AG727" s="196"/>
      <c r="AH727" s="196"/>
      <c r="AI727" s="196"/>
      <c r="AJ727" s="196"/>
      <c r="AK727" s="196"/>
      <c r="AL727" s="196"/>
      <c r="AM727" s="196"/>
    </row>
    <row r="728">
      <c r="F728" s="203"/>
      <c r="H728" s="196"/>
      <c r="I728" s="196"/>
      <c r="J728" s="196"/>
      <c r="K728" s="196"/>
      <c r="L728" s="196"/>
      <c r="M728" s="196"/>
      <c r="N728" s="196"/>
      <c r="O728" s="196"/>
      <c r="P728" s="196"/>
      <c r="Q728" s="196"/>
      <c r="R728" s="196"/>
      <c r="S728" s="196"/>
      <c r="T728" s="196"/>
      <c r="U728" s="196"/>
      <c r="V728" s="196"/>
      <c r="W728" s="196"/>
      <c r="X728" s="196"/>
      <c r="Y728" s="196"/>
      <c r="Z728" s="196"/>
      <c r="AA728" s="196"/>
      <c r="AB728" s="196"/>
      <c r="AC728" s="196"/>
      <c r="AD728" s="196"/>
      <c r="AE728" s="196"/>
      <c r="AF728" s="196"/>
      <c r="AG728" s="196"/>
      <c r="AH728" s="196"/>
      <c r="AI728" s="196"/>
      <c r="AJ728" s="196"/>
      <c r="AK728" s="196"/>
      <c r="AL728" s="196"/>
      <c r="AM728" s="196"/>
    </row>
    <row r="729">
      <c r="F729" s="203"/>
      <c r="H729" s="196"/>
      <c r="I729" s="196"/>
      <c r="J729" s="196"/>
      <c r="K729" s="196"/>
      <c r="L729" s="196"/>
      <c r="M729" s="196"/>
      <c r="N729" s="196"/>
      <c r="O729" s="196"/>
      <c r="P729" s="196"/>
      <c r="Q729" s="196"/>
      <c r="R729" s="196"/>
      <c r="S729" s="196"/>
      <c r="T729" s="196"/>
      <c r="U729" s="196"/>
      <c r="V729" s="196"/>
      <c r="W729" s="196"/>
      <c r="X729" s="196"/>
      <c r="Y729" s="196"/>
      <c r="Z729" s="196"/>
      <c r="AA729" s="196"/>
      <c r="AB729" s="196"/>
      <c r="AC729" s="196"/>
      <c r="AD729" s="196"/>
      <c r="AE729" s="196"/>
      <c r="AF729" s="196"/>
      <c r="AG729" s="196"/>
      <c r="AH729" s="196"/>
      <c r="AI729" s="196"/>
      <c r="AJ729" s="196"/>
      <c r="AK729" s="196"/>
      <c r="AL729" s="196"/>
      <c r="AM729" s="196"/>
    </row>
    <row r="730">
      <c r="F730" s="203"/>
      <c r="H730" s="196"/>
      <c r="I730" s="196"/>
      <c r="J730" s="196"/>
      <c r="K730" s="196"/>
      <c r="L730" s="196"/>
      <c r="M730" s="196"/>
      <c r="N730" s="196"/>
      <c r="O730" s="196"/>
      <c r="P730" s="196"/>
      <c r="Q730" s="196"/>
      <c r="R730" s="196"/>
      <c r="S730" s="196"/>
      <c r="T730" s="196"/>
      <c r="U730" s="196"/>
      <c r="V730" s="196"/>
      <c r="W730" s="196"/>
      <c r="X730" s="196"/>
      <c r="Y730" s="196"/>
      <c r="Z730" s="196"/>
      <c r="AA730" s="196"/>
      <c r="AB730" s="196"/>
      <c r="AC730" s="196"/>
      <c r="AD730" s="196"/>
      <c r="AE730" s="196"/>
      <c r="AF730" s="196"/>
      <c r="AG730" s="196"/>
      <c r="AH730" s="196"/>
      <c r="AI730" s="196"/>
      <c r="AJ730" s="196"/>
      <c r="AK730" s="196"/>
      <c r="AL730" s="196"/>
      <c r="AM730" s="196"/>
    </row>
    <row r="731">
      <c r="F731" s="203"/>
      <c r="H731" s="196"/>
      <c r="I731" s="196"/>
      <c r="J731" s="196"/>
      <c r="K731" s="196"/>
      <c r="L731" s="196"/>
      <c r="M731" s="196"/>
      <c r="N731" s="196"/>
      <c r="O731" s="196"/>
      <c r="P731" s="196"/>
      <c r="Q731" s="196"/>
      <c r="R731" s="196"/>
      <c r="S731" s="196"/>
      <c r="T731" s="196"/>
      <c r="U731" s="196"/>
      <c r="V731" s="196"/>
      <c r="W731" s="196"/>
      <c r="X731" s="196"/>
      <c r="Y731" s="196"/>
      <c r="Z731" s="196"/>
      <c r="AA731" s="196"/>
      <c r="AB731" s="196"/>
      <c r="AC731" s="196"/>
      <c r="AD731" s="196"/>
      <c r="AE731" s="196"/>
      <c r="AF731" s="196"/>
      <c r="AG731" s="196"/>
      <c r="AH731" s="196"/>
      <c r="AI731" s="196"/>
      <c r="AJ731" s="196"/>
      <c r="AK731" s="196"/>
      <c r="AL731" s="196"/>
      <c r="AM731" s="196"/>
    </row>
    <row r="732">
      <c r="F732" s="203"/>
      <c r="H732" s="196"/>
      <c r="I732" s="196"/>
      <c r="J732" s="196"/>
      <c r="K732" s="196"/>
      <c r="L732" s="196"/>
      <c r="M732" s="196"/>
      <c r="N732" s="196"/>
      <c r="O732" s="196"/>
      <c r="P732" s="196"/>
      <c r="Q732" s="196"/>
      <c r="R732" s="196"/>
      <c r="S732" s="196"/>
      <c r="T732" s="196"/>
      <c r="U732" s="196"/>
      <c r="V732" s="196"/>
      <c r="W732" s="196"/>
      <c r="X732" s="196"/>
      <c r="Y732" s="196"/>
      <c r="Z732" s="196"/>
      <c r="AA732" s="196"/>
      <c r="AB732" s="196"/>
      <c r="AC732" s="196"/>
      <c r="AD732" s="196"/>
      <c r="AE732" s="196"/>
      <c r="AF732" s="196"/>
      <c r="AG732" s="196"/>
      <c r="AH732" s="196"/>
      <c r="AI732" s="196"/>
      <c r="AJ732" s="196"/>
      <c r="AK732" s="196"/>
      <c r="AL732" s="196"/>
      <c r="AM732" s="196"/>
    </row>
    <row r="733">
      <c r="F733" s="203"/>
      <c r="H733" s="196"/>
      <c r="I733" s="196"/>
      <c r="J733" s="196"/>
      <c r="K733" s="196"/>
      <c r="L733" s="196"/>
      <c r="M733" s="196"/>
      <c r="N733" s="196"/>
      <c r="O733" s="196"/>
      <c r="P733" s="196"/>
      <c r="Q733" s="196"/>
      <c r="R733" s="196"/>
      <c r="S733" s="196"/>
      <c r="T733" s="196"/>
      <c r="U733" s="196"/>
      <c r="V733" s="196"/>
      <c r="W733" s="196"/>
      <c r="X733" s="196"/>
      <c r="Y733" s="196"/>
      <c r="Z733" s="196"/>
      <c r="AA733" s="196"/>
      <c r="AB733" s="196"/>
      <c r="AC733" s="196"/>
      <c r="AD733" s="196"/>
      <c r="AE733" s="196"/>
      <c r="AF733" s="196"/>
      <c r="AG733" s="196"/>
      <c r="AH733" s="196"/>
      <c r="AI733" s="196"/>
      <c r="AJ733" s="196"/>
      <c r="AK733" s="196"/>
      <c r="AL733" s="196"/>
      <c r="AM733" s="196"/>
    </row>
    <row r="734">
      <c r="F734" s="203"/>
      <c r="H734" s="196"/>
      <c r="I734" s="196"/>
      <c r="J734" s="196"/>
      <c r="K734" s="196"/>
      <c r="L734" s="196"/>
      <c r="M734" s="196"/>
      <c r="N734" s="196"/>
      <c r="O734" s="196"/>
      <c r="P734" s="196"/>
      <c r="Q734" s="196"/>
      <c r="R734" s="196"/>
      <c r="S734" s="196"/>
      <c r="T734" s="196"/>
      <c r="U734" s="196"/>
      <c r="V734" s="196"/>
      <c r="W734" s="196"/>
      <c r="X734" s="196"/>
      <c r="Y734" s="196"/>
      <c r="Z734" s="196"/>
      <c r="AA734" s="196"/>
      <c r="AB734" s="196"/>
      <c r="AC734" s="196"/>
      <c r="AD734" s="196"/>
      <c r="AE734" s="196"/>
      <c r="AF734" s="196"/>
      <c r="AG734" s="196"/>
      <c r="AH734" s="196"/>
      <c r="AI734" s="196"/>
      <c r="AJ734" s="196"/>
      <c r="AK734" s="196"/>
      <c r="AL734" s="196"/>
      <c r="AM734" s="196"/>
    </row>
    <row r="735">
      <c r="F735" s="203"/>
      <c r="H735" s="196"/>
      <c r="I735" s="196"/>
      <c r="J735" s="196"/>
      <c r="K735" s="196"/>
      <c r="L735" s="196"/>
      <c r="M735" s="196"/>
      <c r="N735" s="196"/>
      <c r="O735" s="196"/>
      <c r="P735" s="196"/>
      <c r="Q735" s="196"/>
      <c r="R735" s="196"/>
      <c r="S735" s="196"/>
      <c r="T735" s="196"/>
      <c r="U735" s="196"/>
      <c r="V735" s="196"/>
      <c r="W735" s="196"/>
      <c r="X735" s="196"/>
      <c r="Y735" s="196"/>
      <c r="Z735" s="196"/>
      <c r="AA735" s="196"/>
      <c r="AB735" s="196"/>
      <c r="AC735" s="196"/>
      <c r="AD735" s="196"/>
      <c r="AE735" s="196"/>
      <c r="AF735" s="196"/>
      <c r="AG735" s="196"/>
      <c r="AH735" s="196"/>
      <c r="AI735" s="196"/>
      <c r="AJ735" s="196"/>
      <c r="AK735" s="196"/>
      <c r="AL735" s="196"/>
      <c r="AM735" s="196"/>
    </row>
    <row r="736">
      <c r="F736" s="203"/>
      <c r="H736" s="196"/>
      <c r="I736" s="196"/>
      <c r="J736" s="196"/>
      <c r="K736" s="196"/>
      <c r="L736" s="196"/>
      <c r="M736" s="196"/>
      <c r="N736" s="196"/>
      <c r="O736" s="196"/>
      <c r="P736" s="196"/>
      <c r="Q736" s="196"/>
      <c r="R736" s="196"/>
      <c r="S736" s="196"/>
      <c r="T736" s="196"/>
      <c r="U736" s="196"/>
      <c r="V736" s="196"/>
      <c r="W736" s="196"/>
      <c r="X736" s="196"/>
      <c r="Y736" s="196"/>
      <c r="Z736" s="196"/>
      <c r="AA736" s="196"/>
      <c r="AB736" s="196"/>
      <c r="AC736" s="196"/>
      <c r="AD736" s="196"/>
      <c r="AE736" s="196"/>
      <c r="AF736" s="196"/>
      <c r="AG736" s="196"/>
      <c r="AH736" s="196"/>
      <c r="AI736" s="196"/>
      <c r="AJ736" s="196"/>
      <c r="AK736" s="196"/>
      <c r="AL736" s="196"/>
      <c r="AM736" s="196"/>
    </row>
    <row r="737">
      <c r="F737" s="203"/>
      <c r="H737" s="196"/>
      <c r="I737" s="196"/>
      <c r="J737" s="196"/>
      <c r="K737" s="196"/>
      <c r="L737" s="196"/>
      <c r="M737" s="196"/>
      <c r="N737" s="196"/>
      <c r="O737" s="196"/>
      <c r="P737" s="196"/>
      <c r="Q737" s="196"/>
      <c r="R737" s="196"/>
      <c r="S737" s="196"/>
      <c r="T737" s="196"/>
      <c r="U737" s="196"/>
      <c r="V737" s="196"/>
      <c r="W737" s="196"/>
      <c r="X737" s="196"/>
      <c r="Y737" s="196"/>
      <c r="Z737" s="196"/>
      <c r="AA737" s="196"/>
      <c r="AB737" s="196"/>
      <c r="AC737" s="196"/>
      <c r="AD737" s="196"/>
      <c r="AE737" s="196"/>
      <c r="AF737" s="196"/>
      <c r="AG737" s="196"/>
      <c r="AH737" s="196"/>
      <c r="AI737" s="196"/>
      <c r="AJ737" s="196"/>
      <c r="AK737" s="196"/>
      <c r="AL737" s="196"/>
      <c r="AM737" s="196"/>
    </row>
    <row r="738">
      <c r="F738" s="203"/>
      <c r="H738" s="196"/>
      <c r="I738" s="196"/>
      <c r="J738" s="196"/>
      <c r="K738" s="196"/>
      <c r="L738" s="196"/>
      <c r="M738" s="196"/>
      <c r="N738" s="196"/>
      <c r="O738" s="196"/>
      <c r="P738" s="196"/>
      <c r="Q738" s="196"/>
      <c r="R738" s="196"/>
      <c r="S738" s="196"/>
      <c r="T738" s="196"/>
      <c r="U738" s="196"/>
      <c r="V738" s="196"/>
      <c r="W738" s="196"/>
      <c r="X738" s="196"/>
      <c r="Y738" s="196"/>
      <c r="Z738" s="196"/>
      <c r="AA738" s="196"/>
      <c r="AB738" s="196"/>
      <c r="AC738" s="196"/>
      <c r="AD738" s="196"/>
      <c r="AE738" s="196"/>
      <c r="AF738" s="196"/>
      <c r="AG738" s="196"/>
      <c r="AH738" s="196"/>
      <c r="AI738" s="196"/>
      <c r="AJ738" s="196"/>
      <c r="AK738" s="196"/>
      <c r="AL738" s="196"/>
      <c r="AM738" s="196"/>
    </row>
    <row r="739">
      <c r="F739" s="203"/>
      <c r="H739" s="196"/>
      <c r="I739" s="196"/>
      <c r="J739" s="196"/>
      <c r="K739" s="196"/>
      <c r="L739" s="196"/>
      <c r="M739" s="196"/>
      <c r="N739" s="196"/>
      <c r="O739" s="196"/>
      <c r="P739" s="196"/>
      <c r="Q739" s="196"/>
      <c r="R739" s="196"/>
      <c r="S739" s="196"/>
      <c r="T739" s="196"/>
      <c r="U739" s="196"/>
      <c r="V739" s="196"/>
      <c r="W739" s="196"/>
      <c r="X739" s="196"/>
      <c r="Y739" s="196"/>
      <c r="Z739" s="196"/>
      <c r="AA739" s="196"/>
      <c r="AB739" s="196"/>
      <c r="AC739" s="196"/>
      <c r="AD739" s="196"/>
      <c r="AE739" s="196"/>
      <c r="AF739" s="196"/>
      <c r="AG739" s="196"/>
      <c r="AH739" s="196"/>
      <c r="AI739" s="196"/>
      <c r="AJ739" s="196"/>
      <c r="AK739" s="196"/>
      <c r="AL739" s="196"/>
      <c r="AM739" s="196"/>
    </row>
    <row r="740">
      <c r="F740" s="203"/>
      <c r="H740" s="196"/>
      <c r="I740" s="196"/>
      <c r="J740" s="196"/>
      <c r="K740" s="196"/>
      <c r="L740" s="196"/>
      <c r="M740" s="196"/>
      <c r="N740" s="196"/>
      <c r="O740" s="196"/>
      <c r="P740" s="196"/>
      <c r="Q740" s="196"/>
      <c r="R740" s="196"/>
      <c r="S740" s="196"/>
      <c r="T740" s="196"/>
      <c r="U740" s="196"/>
      <c r="V740" s="196"/>
      <c r="W740" s="196"/>
      <c r="X740" s="196"/>
      <c r="Y740" s="196"/>
      <c r="Z740" s="196"/>
      <c r="AA740" s="196"/>
      <c r="AB740" s="196"/>
      <c r="AC740" s="196"/>
      <c r="AD740" s="196"/>
      <c r="AE740" s="196"/>
      <c r="AF740" s="196"/>
      <c r="AG740" s="196"/>
      <c r="AH740" s="196"/>
      <c r="AI740" s="196"/>
      <c r="AJ740" s="196"/>
      <c r="AK740" s="196"/>
      <c r="AL740" s="196"/>
      <c r="AM740" s="196"/>
    </row>
    <row r="741">
      <c r="F741" s="203"/>
      <c r="H741" s="196"/>
      <c r="I741" s="196"/>
      <c r="J741" s="196"/>
      <c r="K741" s="196"/>
      <c r="L741" s="196"/>
      <c r="M741" s="196"/>
      <c r="N741" s="196"/>
      <c r="O741" s="196"/>
      <c r="P741" s="196"/>
      <c r="Q741" s="196"/>
      <c r="R741" s="196"/>
      <c r="S741" s="196"/>
      <c r="T741" s="196"/>
      <c r="U741" s="196"/>
      <c r="V741" s="196"/>
      <c r="W741" s="196"/>
      <c r="X741" s="196"/>
      <c r="Y741" s="196"/>
      <c r="Z741" s="196"/>
      <c r="AA741" s="196"/>
      <c r="AB741" s="196"/>
      <c r="AC741" s="196"/>
      <c r="AD741" s="196"/>
      <c r="AE741" s="196"/>
      <c r="AF741" s="196"/>
      <c r="AG741" s="196"/>
      <c r="AH741" s="196"/>
      <c r="AI741" s="196"/>
      <c r="AJ741" s="196"/>
      <c r="AK741" s="196"/>
      <c r="AL741" s="196"/>
      <c r="AM741" s="196"/>
    </row>
    <row r="742">
      <c r="F742" s="203"/>
      <c r="H742" s="196"/>
      <c r="I742" s="196"/>
      <c r="J742" s="196"/>
      <c r="K742" s="196"/>
      <c r="L742" s="196"/>
      <c r="M742" s="196"/>
      <c r="N742" s="196"/>
      <c r="O742" s="196"/>
      <c r="P742" s="196"/>
      <c r="Q742" s="196"/>
      <c r="R742" s="196"/>
      <c r="S742" s="196"/>
      <c r="T742" s="196"/>
      <c r="U742" s="196"/>
      <c r="V742" s="196"/>
      <c r="W742" s="196"/>
      <c r="X742" s="196"/>
      <c r="Y742" s="196"/>
      <c r="Z742" s="196"/>
      <c r="AA742" s="196"/>
      <c r="AB742" s="196"/>
      <c r="AC742" s="196"/>
      <c r="AD742" s="196"/>
      <c r="AE742" s="196"/>
      <c r="AF742" s="196"/>
      <c r="AG742" s="196"/>
      <c r="AH742" s="196"/>
      <c r="AI742" s="196"/>
      <c r="AJ742" s="196"/>
      <c r="AK742" s="196"/>
      <c r="AL742" s="196"/>
      <c r="AM742" s="196"/>
    </row>
    <row r="743">
      <c r="F743" s="203"/>
      <c r="H743" s="196"/>
      <c r="I743" s="196"/>
      <c r="J743" s="196"/>
      <c r="K743" s="196"/>
      <c r="L743" s="196"/>
      <c r="M743" s="196"/>
      <c r="N743" s="196"/>
      <c r="O743" s="196"/>
      <c r="P743" s="196"/>
      <c r="Q743" s="196"/>
      <c r="R743" s="196"/>
      <c r="S743" s="196"/>
      <c r="T743" s="196"/>
      <c r="U743" s="196"/>
      <c r="V743" s="196"/>
      <c r="W743" s="196"/>
      <c r="X743" s="196"/>
      <c r="Y743" s="196"/>
      <c r="Z743" s="196"/>
      <c r="AA743" s="196"/>
      <c r="AB743" s="196"/>
      <c r="AC743" s="196"/>
      <c r="AD743" s="196"/>
      <c r="AE743" s="196"/>
      <c r="AF743" s="196"/>
      <c r="AG743" s="196"/>
      <c r="AH743" s="196"/>
      <c r="AI743" s="196"/>
      <c r="AJ743" s="196"/>
      <c r="AK743" s="196"/>
      <c r="AL743" s="196"/>
      <c r="AM743" s="196"/>
    </row>
    <row r="744">
      <c r="F744" s="203"/>
      <c r="H744" s="196"/>
      <c r="I744" s="196"/>
      <c r="J744" s="196"/>
      <c r="K744" s="196"/>
      <c r="L744" s="196"/>
      <c r="M744" s="196"/>
      <c r="N744" s="196"/>
      <c r="O744" s="196"/>
      <c r="P744" s="196"/>
      <c r="Q744" s="196"/>
      <c r="R744" s="196"/>
      <c r="S744" s="196"/>
      <c r="T744" s="196"/>
      <c r="U744" s="196"/>
      <c r="V744" s="196"/>
      <c r="W744" s="196"/>
      <c r="X744" s="196"/>
      <c r="Y744" s="196"/>
      <c r="Z744" s="196"/>
      <c r="AA744" s="196"/>
      <c r="AB744" s="196"/>
      <c r="AC744" s="196"/>
      <c r="AD744" s="196"/>
      <c r="AE744" s="196"/>
      <c r="AF744" s="196"/>
      <c r="AG744" s="196"/>
      <c r="AH744" s="196"/>
      <c r="AI744" s="196"/>
      <c r="AJ744" s="196"/>
      <c r="AK744" s="196"/>
      <c r="AL744" s="196"/>
      <c r="AM744" s="196"/>
    </row>
    <row r="745">
      <c r="F745" s="203"/>
      <c r="H745" s="196"/>
      <c r="I745" s="196"/>
      <c r="J745" s="196"/>
      <c r="K745" s="196"/>
      <c r="L745" s="196"/>
      <c r="M745" s="196"/>
      <c r="N745" s="196"/>
      <c r="O745" s="196"/>
      <c r="P745" s="196"/>
      <c r="Q745" s="196"/>
      <c r="R745" s="196"/>
      <c r="S745" s="196"/>
      <c r="T745" s="196"/>
      <c r="U745" s="196"/>
      <c r="V745" s="196"/>
      <c r="W745" s="196"/>
      <c r="X745" s="196"/>
      <c r="Y745" s="196"/>
      <c r="Z745" s="196"/>
      <c r="AA745" s="196"/>
      <c r="AB745" s="196"/>
      <c r="AC745" s="196"/>
      <c r="AD745" s="196"/>
      <c r="AE745" s="196"/>
      <c r="AF745" s="196"/>
      <c r="AG745" s="196"/>
      <c r="AH745" s="196"/>
      <c r="AI745" s="196"/>
      <c r="AJ745" s="196"/>
      <c r="AK745" s="196"/>
      <c r="AL745" s="196"/>
      <c r="AM745" s="196"/>
    </row>
    <row r="746">
      <c r="F746" s="203"/>
      <c r="H746" s="196"/>
      <c r="I746" s="196"/>
      <c r="J746" s="196"/>
      <c r="K746" s="196"/>
      <c r="L746" s="196"/>
      <c r="M746" s="196"/>
      <c r="N746" s="196"/>
      <c r="O746" s="196"/>
      <c r="P746" s="196"/>
      <c r="Q746" s="196"/>
      <c r="R746" s="196"/>
      <c r="S746" s="196"/>
      <c r="T746" s="196"/>
      <c r="U746" s="196"/>
      <c r="V746" s="196"/>
      <c r="W746" s="196"/>
      <c r="X746" s="196"/>
      <c r="Y746" s="196"/>
      <c r="Z746" s="196"/>
      <c r="AA746" s="196"/>
      <c r="AB746" s="196"/>
      <c r="AC746" s="196"/>
      <c r="AD746" s="196"/>
      <c r="AE746" s="196"/>
      <c r="AF746" s="196"/>
      <c r="AG746" s="196"/>
      <c r="AH746" s="196"/>
      <c r="AI746" s="196"/>
      <c r="AJ746" s="196"/>
      <c r="AK746" s="196"/>
      <c r="AL746" s="196"/>
      <c r="AM746" s="196"/>
    </row>
    <row r="747">
      <c r="F747" s="203"/>
      <c r="H747" s="196"/>
      <c r="I747" s="196"/>
      <c r="J747" s="196"/>
      <c r="K747" s="196"/>
      <c r="L747" s="196"/>
      <c r="M747" s="196"/>
      <c r="N747" s="196"/>
      <c r="O747" s="196"/>
      <c r="P747" s="196"/>
      <c r="Q747" s="196"/>
      <c r="R747" s="196"/>
      <c r="S747" s="196"/>
      <c r="T747" s="196"/>
      <c r="U747" s="196"/>
      <c r="V747" s="196"/>
      <c r="W747" s="196"/>
      <c r="X747" s="196"/>
      <c r="Y747" s="196"/>
      <c r="Z747" s="196"/>
      <c r="AA747" s="196"/>
      <c r="AB747" s="196"/>
      <c r="AC747" s="196"/>
      <c r="AD747" s="196"/>
      <c r="AE747" s="196"/>
      <c r="AF747" s="196"/>
      <c r="AG747" s="196"/>
      <c r="AH747" s="196"/>
      <c r="AI747" s="196"/>
      <c r="AJ747" s="196"/>
      <c r="AK747" s="196"/>
      <c r="AL747" s="196"/>
      <c r="AM747" s="196"/>
    </row>
    <row r="748">
      <c r="F748" s="203"/>
      <c r="H748" s="196"/>
      <c r="I748" s="196"/>
      <c r="J748" s="196"/>
      <c r="K748" s="196"/>
      <c r="L748" s="196"/>
      <c r="M748" s="196"/>
      <c r="N748" s="196"/>
      <c r="O748" s="196"/>
      <c r="P748" s="196"/>
      <c r="Q748" s="196"/>
      <c r="R748" s="196"/>
      <c r="S748" s="196"/>
      <c r="T748" s="196"/>
      <c r="U748" s="196"/>
      <c r="V748" s="196"/>
      <c r="W748" s="196"/>
      <c r="X748" s="196"/>
      <c r="Y748" s="196"/>
      <c r="Z748" s="196"/>
      <c r="AA748" s="196"/>
      <c r="AB748" s="196"/>
      <c r="AC748" s="196"/>
      <c r="AD748" s="196"/>
      <c r="AE748" s="196"/>
      <c r="AF748" s="196"/>
      <c r="AG748" s="196"/>
      <c r="AH748" s="196"/>
      <c r="AI748" s="196"/>
      <c r="AJ748" s="196"/>
      <c r="AK748" s="196"/>
      <c r="AL748" s="196"/>
      <c r="AM748" s="196"/>
    </row>
    <row r="749">
      <c r="F749" s="203"/>
      <c r="H749" s="196"/>
      <c r="I749" s="196"/>
      <c r="J749" s="196"/>
      <c r="K749" s="196"/>
      <c r="L749" s="196"/>
      <c r="M749" s="196"/>
      <c r="N749" s="196"/>
      <c r="O749" s="196"/>
      <c r="P749" s="196"/>
      <c r="Q749" s="196"/>
      <c r="R749" s="196"/>
      <c r="S749" s="196"/>
      <c r="T749" s="196"/>
      <c r="U749" s="196"/>
      <c r="V749" s="196"/>
      <c r="W749" s="196"/>
      <c r="X749" s="196"/>
      <c r="Y749" s="196"/>
      <c r="Z749" s="196"/>
      <c r="AA749" s="196"/>
      <c r="AB749" s="196"/>
      <c r="AC749" s="196"/>
      <c r="AD749" s="196"/>
      <c r="AE749" s="196"/>
      <c r="AF749" s="196"/>
      <c r="AG749" s="196"/>
      <c r="AH749" s="196"/>
      <c r="AI749" s="196"/>
      <c r="AJ749" s="196"/>
      <c r="AK749" s="196"/>
      <c r="AL749" s="196"/>
      <c r="AM749" s="196"/>
    </row>
    <row r="750">
      <c r="F750" s="203"/>
      <c r="H750" s="196"/>
      <c r="I750" s="196"/>
      <c r="J750" s="196"/>
      <c r="K750" s="196"/>
      <c r="L750" s="196"/>
      <c r="M750" s="196"/>
      <c r="N750" s="196"/>
      <c r="O750" s="196"/>
      <c r="P750" s="196"/>
      <c r="Q750" s="196"/>
      <c r="R750" s="196"/>
      <c r="S750" s="196"/>
      <c r="T750" s="196"/>
      <c r="U750" s="196"/>
      <c r="V750" s="196"/>
      <c r="W750" s="196"/>
      <c r="X750" s="196"/>
      <c r="Y750" s="196"/>
      <c r="Z750" s="196"/>
      <c r="AA750" s="196"/>
      <c r="AB750" s="196"/>
      <c r="AC750" s="196"/>
      <c r="AD750" s="196"/>
      <c r="AE750" s="196"/>
      <c r="AF750" s="196"/>
      <c r="AG750" s="196"/>
      <c r="AH750" s="196"/>
      <c r="AI750" s="196"/>
      <c r="AJ750" s="196"/>
      <c r="AK750" s="196"/>
      <c r="AL750" s="196"/>
      <c r="AM750" s="196"/>
    </row>
    <row r="751">
      <c r="F751" s="203"/>
      <c r="H751" s="196"/>
      <c r="I751" s="196"/>
      <c r="J751" s="196"/>
      <c r="K751" s="196"/>
      <c r="L751" s="196"/>
      <c r="M751" s="196"/>
      <c r="N751" s="196"/>
      <c r="O751" s="196"/>
      <c r="P751" s="196"/>
      <c r="Q751" s="196"/>
      <c r="R751" s="196"/>
      <c r="S751" s="196"/>
      <c r="T751" s="196"/>
      <c r="U751" s="196"/>
      <c r="V751" s="196"/>
      <c r="W751" s="196"/>
      <c r="X751" s="196"/>
      <c r="Y751" s="196"/>
      <c r="Z751" s="196"/>
      <c r="AA751" s="196"/>
      <c r="AB751" s="196"/>
      <c r="AC751" s="196"/>
      <c r="AD751" s="196"/>
      <c r="AE751" s="196"/>
      <c r="AF751" s="196"/>
      <c r="AG751" s="196"/>
      <c r="AH751" s="196"/>
      <c r="AI751" s="196"/>
      <c r="AJ751" s="196"/>
      <c r="AK751" s="196"/>
      <c r="AL751" s="196"/>
      <c r="AM751" s="196"/>
    </row>
    <row r="752">
      <c r="F752" s="203"/>
      <c r="H752" s="196"/>
      <c r="I752" s="196"/>
      <c r="J752" s="196"/>
      <c r="K752" s="196"/>
      <c r="L752" s="196"/>
      <c r="M752" s="196"/>
      <c r="N752" s="196"/>
      <c r="O752" s="196"/>
      <c r="P752" s="196"/>
      <c r="Q752" s="196"/>
      <c r="R752" s="196"/>
      <c r="S752" s="196"/>
      <c r="T752" s="196"/>
      <c r="U752" s="196"/>
      <c r="V752" s="196"/>
      <c r="W752" s="196"/>
      <c r="X752" s="196"/>
      <c r="Y752" s="196"/>
      <c r="Z752" s="196"/>
      <c r="AA752" s="196"/>
      <c r="AB752" s="196"/>
      <c r="AC752" s="196"/>
      <c r="AD752" s="196"/>
      <c r="AE752" s="196"/>
      <c r="AF752" s="196"/>
      <c r="AG752" s="196"/>
      <c r="AH752" s="196"/>
      <c r="AI752" s="196"/>
      <c r="AJ752" s="196"/>
      <c r="AK752" s="196"/>
      <c r="AL752" s="196"/>
      <c r="AM752" s="196"/>
    </row>
    <row r="753">
      <c r="F753" s="203"/>
      <c r="H753" s="196"/>
      <c r="I753" s="196"/>
      <c r="J753" s="196"/>
      <c r="K753" s="196"/>
      <c r="L753" s="196"/>
      <c r="M753" s="196"/>
      <c r="N753" s="196"/>
      <c r="O753" s="196"/>
      <c r="P753" s="196"/>
      <c r="Q753" s="196"/>
      <c r="R753" s="196"/>
      <c r="S753" s="196"/>
      <c r="T753" s="196"/>
      <c r="U753" s="196"/>
      <c r="V753" s="196"/>
      <c r="W753" s="196"/>
      <c r="X753" s="196"/>
      <c r="Y753" s="196"/>
      <c r="Z753" s="196"/>
      <c r="AA753" s="196"/>
      <c r="AB753" s="196"/>
      <c r="AC753" s="196"/>
      <c r="AD753" s="196"/>
      <c r="AE753" s="196"/>
      <c r="AF753" s="196"/>
      <c r="AG753" s="196"/>
      <c r="AH753" s="196"/>
      <c r="AI753" s="196"/>
      <c r="AJ753" s="196"/>
      <c r="AK753" s="196"/>
      <c r="AL753" s="196"/>
      <c r="AM753" s="196"/>
    </row>
    <row r="754">
      <c r="F754" s="203"/>
      <c r="H754" s="196"/>
      <c r="I754" s="196"/>
      <c r="J754" s="196"/>
      <c r="K754" s="196"/>
      <c r="L754" s="196"/>
      <c r="M754" s="196"/>
      <c r="N754" s="196"/>
      <c r="O754" s="196"/>
      <c r="P754" s="196"/>
      <c r="Q754" s="196"/>
      <c r="R754" s="196"/>
      <c r="S754" s="196"/>
      <c r="T754" s="196"/>
      <c r="U754" s="196"/>
      <c r="V754" s="196"/>
      <c r="W754" s="196"/>
      <c r="X754" s="196"/>
      <c r="Y754" s="196"/>
      <c r="Z754" s="196"/>
      <c r="AA754" s="196"/>
      <c r="AB754" s="196"/>
      <c r="AC754" s="196"/>
      <c r="AD754" s="196"/>
      <c r="AE754" s="196"/>
      <c r="AF754" s="196"/>
      <c r="AG754" s="196"/>
      <c r="AH754" s="196"/>
      <c r="AI754" s="196"/>
      <c r="AJ754" s="196"/>
      <c r="AK754" s="196"/>
      <c r="AL754" s="196"/>
      <c r="AM754" s="196"/>
    </row>
    <row r="755">
      <c r="F755" s="203"/>
      <c r="H755" s="196"/>
      <c r="I755" s="196"/>
      <c r="J755" s="196"/>
      <c r="K755" s="196"/>
      <c r="L755" s="196"/>
      <c r="M755" s="196"/>
      <c r="N755" s="196"/>
      <c r="O755" s="196"/>
      <c r="P755" s="196"/>
      <c r="Q755" s="196"/>
      <c r="R755" s="196"/>
      <c r="S755" s="196"/>
      <c r="T755" s="196"/>
      <c r="U755" s="196"/>
      <c r="V755" s="196"/>
      <c r="W755" s="196"/>
      <c r="X755" s="196"/>
      <c r="Y755" s="196"/>
      <c r="Z755" s="196"/>
      <c r="AA755" s="196"/>
      <c r="AB755" s="196"/>
      <c r="AC755" s="196"/>
      <c r="AD755" s="196"/>
      <c r="AE755" s="196"/>
      <c r="AF755" s="196"/>
      <c r="AG755" s="196"/>
      <c r="AH755" s="196"/>
      <c r="AI755" s="196"/>
      <c r="AJ755" s="196"/>
      <c r="AK755" s="196"/>
      <c r="AL755" s="196"/>
      <c r="AM755" s="196"/>
    </row>
    <row r="756">
      <c r="F756" s="203"/>
      <c r="H756" s="196"/>
      <c r="I756" s="196"/>
      <c r="J756" s="196"/>
      <c r="K756" s="196"/>
      <c r="L756" s="196"/>
      <c r="M756" s="196"/>
      <c r="N756" s="196"/>
      <c r="O756" s="196"/>
      <c r="P756" s="196"/>
      <c r="Q756" s="196"/>
      <c r="R756" s="196"/>
      <c r="S756" s="196"/>
      <c r="T756" s="196"/>
      <c r="U756" s="196"/>
      <c r="V756" s="196"/>
      <c r="W756" s="196"/>
      <c r="X756" s="196"/>
      <c r="Y756" s="196"/>
      <c r="Z756" s="196"/>
      <c r="AA756" s="196"/>
      <c r="AB756" s="196"/>
      <c r="AC756" s="196"/>
      <c r="AD756" s="196"/>
      <c r="AE756" s="196"/>
      <c r="AF756" s="196"/>
      <c r="AG756" s="196"/>
      <c r="AH756" s="196"/>
      <c r="AI756" s="196"/>
      <c r="AJ756" s="196"/>
      <c r="AK756" s="196"/>
      <c r="AL756" s="196"/>
      <c r="AM756" s="196"/>
    </row>
    <row r="757">
      <c r="F757" s="203"/>
      <c r="H757" s="196"/>
      <c r="I757" s="196"/>
      <c r="J757" s="196"/>
      <c r="K757" s="196"/>
      <c r="L757" s="196"/>
      <c r="M757" s="196"/>
      <c r="N757" s="196"/>
      <c r="O757" s="196"/>
      <c r="P757" s="196"/>
      <c r="Q757" s="196"/>
      <c r="R757" s="196"/>
      <c r="S757" s="196"/>
      <c r="T757" s="196"/>
      <c r="U757" s="196"/>
      <c r="V757" s="196"/>
      <c r="W757" s="196"/>
      <c r="X757" s="196"/>
      <c r="Y757" s="196"/>
      <c r="Z757" s="196"/>
      <c r="AA757" s="196"/>
      <c r="AB757" s="196"/>
      <c r="AC757" s="196"/>
      <c r="AD757" s="196"/>
      <c r="AE757" s="196"/>
      <c r="AF757" s="196"/>
      <c r="AG757" s="196"/>
      <c r="AH757" s="196"/>
      <c r="AI757" s="196"/>
      <c r="AJ757" s="196"/>
      <c r="AK757" s="196"/>
      <c r="AL757" s="196"/>
      <c r="AM757" s="196"/>
    </row>
    <row r="758">
      <c r="F758" s="203"/>
      <c r="H758" s="196"/>
      <c r="I758" s="196"/>
      <c r="J758" s="196"/>
      <c r="K758" s="196"/>
      <c r="L758" s="196"/>
      <c r="M758" s="196"/>
      <c r="N758" s="196"/>
      <c r="O758" s="196"/>
      <c r="P758" s="196"/>
      <c r="Q758" s="196"/>
      <c r="R758" s="196"/>
      <c r="S758" s="196"/>
      <c r="T758" s="196"/>
      <c r="U758" s="196"/>
      <c r="V758" s="196"/>
      <c r="W758" s="196"/>
      <c r="X758" s="196"/>
      <c r="Y758" s="196"/>
      <c r="Z758" s="196"/>
      <c r="AA758" s="196"/>
      <c r="AB758" s="196"/>
      <c r="AC758" s="196"/>
      <c r="AD758" s="196"/>
      <c r="AE758" s="196"/>
      <c r="AF758" s="196"/>
      <c r="AG758" s="196"/>
      <c r="AH758" s="196"/>
      <c r="AI758" s="196"/>
      <c r="AJ758" s="196"/>
      <c r="AK758" s="196"/>
      <c r="AL758" s="196"/>
      <c r="AM758" s="196"/>
    </row>
    <row r="759">
      <c r="F759" s="203"/>
      <c r="H759" s="196"/>
      <c r="I759" s="196"/>
      <c r="J759" s="196"/>
      <c r="K759" s="196"/>
      <c r="L759" s="196"/>
      <c r="M759" s="196"/>
      <c r="N759" s="196"/>
      <c r="O759" s="196"/>
      <c r="P759" s="196"/>
      <c r="Q759" s="196"/>
      <c r="R759" s="196"/>
      <c r="S759" s="196"/>
      <c r="T759" s="196"/>
      <c r="U759" s="196"/>
      <c r="V759" s="196"/>
      <c r="W759" s="196"/>
      <c r="X759" s="196"/>
      <c r="Y759" s="196"/>
      <c r="Z759" s="196"/>
      <c r="AA759" s="196"/>
      <c r="AB759" s="196"/>
      <c r="AC759" s="196"/>
      <c r="AD759" s="196"/>
      <c r="AE759" s="196"/>
      <c r="AF759" s="196"/>
      <c r="AG759" s="196"/>
      <c r="AH759" s="196"/>
      <c r="AI759" s="196"/>
      <c r="AJ759" s="196"/>
      <c r="AK759" s="196"/>
      <c r="AL759" s="196"/>
      <c r="AM759" s="196"/>
    </row>
    <row r="760">
      <c r="F760" s="203"/>
      <c r="H760" s="196"/>
      <c r="I760" s="196"/>
      <c r="J760" s="196"/>
      <c r="K760" s="196"/>
      <c r="L760" s="196"/>
      <c r="M760" s="196"/>
      <c r="N760" s="196"/>
      <c r="O760" s="196"/>
      <c r="P760" s="196"/>
      <c r="Q760" s="196"/>
      <c r="R760" s="196"/>
      <c r="S760" s="196"/>
      <c r="T760" s="196"/>
      <c r="U760" s="196"/>
      <c r="V760" s="196"/>
      <c r="W760" s="196"/>
      <c r="X760" s="196"/>
      <c r="Y760" s="196"/>
      <c r="Z760" s="196"/>
      <c r="AA760" s="196"/>
      <c r="AB760" s="196"/>
      <c r="AC760" s="196"/>
      <c r="AD760" s="196"/>
      <c r="AE760" s="196"/>
      <c r="AF760" s="196"/>
      <c r="AG760" s="196"/>
      <c r="AH760" s="196"/>
      <c r="AI760" s="196"/>
      <c r="AJ760" s="196"/>
      <c r="AK760" s="196"/>
      <c r="AL760" s="196"/>
      <c r="AM760" s="196"/>
    </row>
    <row r="761">
      <c r="F761" s="203"/>
      <c r="H761" s="196"/>
      <c r="I761" s="196"/>
      <c r="J761" s="196"/>
      <c r="K761" s="196"/>
      <c r="L761" s="196"/>
      <c r="M761" s="196"/>
      <c r="N761" s="196"/>
      <c r="O761" s="196"/>
      <c r="P761" s="196"/>
      <c r="Q761" s="196"/>
      <c r="R761" s="196"/>
      <c r="S761" s="196"/>
      <c r="T761" s="196"/>
      <c r="U761" s="196"/>
      <c r="V761" s="196"/>
      <c r="W761" s="196"/>
      <c r="X761" s="196"/>
      <c r="Y761" s="196"/>
      <c r="Z761" s="196"/>
      <c r="AA761" s="196"/>
      <c r="AB761" s="196"/>
      <c r="AC761" s="196"/>
      <c r="AD761" s="196"/>
      <c r="AE761" s="196"/>
      <c r="AF761" s="196"/>
      <c r="AG761" s="196"/>
      <c r="AH761" s="196"/>
      <c r="AI761" s="196"/>
      <c r="AJ761" s="196"/>
      <c r="AK761" s="196"/>
      <c r="AL761" s="196"/>
      <c r="AM761" s="196"/>
    </row>
    <row r="762">
      <c r="F762" s="203"/>
      <c r="H762" s="196"/>
      <c r="I762" s="196"/>
      <c r="J762" s="196"/>
      <c r="K762" s="196"/>
      <c r="L762" s="196"/>
      <c r="M762" s="196"/>
      <c r="N762" s="196"/>
      <c r="O762" s="196"/>
      <c r="P762" s="196"/>
      <c r="Q762" s="196"/>
      <c r="R762" s="196"/>
      <c r="S762" s="196"/>
      <c r="T762" s="196"/>
      <c r="U762" s="196"/>
      <c r="V762" s="196"/>
      <c r="W762" s="196"/>
      <c r="X762" s="196"/>
      <c r="Y762" s="196"/>
      <c r="Z762" s="196"/>
      <c r="AA762" s="196"/>
      <c r="AB762" s="196"/>
      <c r="AC762" s="196"/>
      <c r="AD762" s="196"/>
      <c r="AE762" s="196"/>
      <c r="AF762" s="196"/>
      <c r="AG762" s="196"/>
      <c r="AH762" s="196"/>
      <c r="AI762" s="196"/>
      <c r="AJ762" s="196"/>
      <c r="AK762" s="196"/>
      <c r="AL762" s="196"/>
      <c r="AM762" s="196"/>
    </row>
    <row r="763">
      <c r="F763" s="203"/>
      <c r="H763" s="196"/>
      <c r="I763" s="196"/>
      <c r="J763" s="196"/>
      <c r="K763" s="196"/>
      <c r="L763" s="196"/>
      <c r="M763" s="196"/>
      <c r="N763" s="196"/>
      <c r="O763" s="196"/>
      <c r="P763" s="196"/>
      <c r="Q763" s="196"/>
      <c r="R763" s="196"/>
      <c r="S763" s="196"/>
      <c r="T763" s="196"/>
      <c r="U763" s="196"/>
      <c r="V763" s="196"/>
      <c r="W763" s="196"/>
      <c r="X763" s="196"/>
      <c r="Y763" s="196"/>
      <c r="Z763" s="196"/>
      <c r="AA763" s="196"/>
      <c r="AB763" s="196"/>
      <c r="AC763" s="196"/>
      <c r="AD763" s="196"/>
      <c r="AE763" s="196"/>
      <c r="AF763" s="196"/>
      <c r="AG763" s="196"/>
      <c r="AH763" s="196"/>
      <c r="AI763" s="196"/>
      <c r="AJ763" s="196"/>
      <c r="AK763" s="196"/>
      <c r="AL763" s="196"/>
      <c r="AM763" s="196"/>
    </row>
    <row r="764">
      <c r="F764" s="203"/>
      <c r="H764" s="196"/>
      <c r="I764" s="196"/>
      <c r="J764" s="196"/>
      <c r="K764" s="196"/>
      <c r="L764" s="196"/>
      <c r="M764" s="196"/>
      <c r="N764" s="196"/>
      <c r="O764" s="196"/>
      <c r="P764" s="196"/>
      <c r="Q764" s="196"/>
      <c r="R764" s="196"/>
      <c r="S764" s="196"/>
      <c r="T764" s="196"/>
      <c r="U764" s="196"/>
      <c r="V764" s="196"/>
      <c r="W764" s="196"/>
      <c r="X764" s="196"/>
      <c r="Y764" s="196"/>
      <c r="Z764" s="196"/>
      <c r="AA764" s="196"/>
      <c r="AB764" s="196"/>
      <c r="AC764" s="196"/>
      <c r="AD764" s="196"/>
      <c r="AE764" s="196"/>
      <c r="AF764" s="196"/>
      <c r="AG764" s="196"/>
      <c r="AH764" s="196"/>
      <c r="AI764" s="196"/>
      <c r="AJ764" s="196"/>
      <c r="AK764" s="196"/>
      <c r="AL764" s="196"/>
      <c r="AM764" s="196"/>
    </row>
    <row r="765">
      <c r="F765" s="203"/>
      <c r="H765" s="196"/>
      <c r="I765" s="196"/>
      <c r="J765" s="196"/>
      <c r="K765" s="196"/>
      <c r="L765" s="196"/>
      <c r="M765" s="196"/>
      <c r="N765" s="196"/>
      <c r="O765" s="196"/>
      <c r="P765" s="196"/>
      <c r="Q765" s="196"/>
      <c r="R765" s="196"/>
      <c r="S765" s="196"/>
      <c r="T765" s="196"/>
      <c r="U765" s="196"/>
      <c r="V765" s="196"/>
      <c r="W765" s="196"/>
      <c r="X765" s="196"/>
      <c r="Y765" s="196"/>
      <c r="Z765" s="196"/>
      <c r="AA765" s="196"/>
      <c r="AB765" s="196"/>
      <c r="AC765" s="196"/>
      <c r="AD765" s="196"/>
      <c r="AE765" s="196"/>
      <c r="AF765" s="196"/>
      <c r="AG765" s="196"/>
      <c r="AH765" s="196"/>
      <c r="AI765" s="196"/>
      <c r="AJ765" s="196"/>
      <c r="AK765" s="196"/>
      <c r="AL765" s="196"/>
      <c r="AM765" s="196"/>
    </row>
    <row r="766">
      <c r="F766" s="203"/>
      <c r="H766" s="196"/>
      <c r="I766" s="196"/>
      <c r="J766" s="196"/>
      <c r="K766" s="196"/>
      <c r="L766" s="196"/>
      <c r="M766" s="196"/>
      <c r="N766" s="196"/>
      <c r="O766" s="196"/>
      <c r="P766" s="196"/>
      <c r="Q766" s="196"/>
      <c r="R766" s="196"/>
      <c r="S766" s="196"/>
      <c r="T766" s="196"/>
      <c r="U766" s="196"/>
      <c r="V766" s="196"/>
      <c r="W766" s="196"/>
      <c r="X766" s="196"/>
      <c r="Y766" s="196"/>
      <c r="Z766" s="196"/>
      <c r="AA766" s="196"/>
      <c r="AB766" s="196"/>
      <c r="AC766" s="196"/>
      <c r="AD766" s="196"/>
      <c r="AE766" s="196"/>
      <c r="AF766" s="196"/>
      <c r="AG766" s="196"/>
      <c r="AH766" s="196"/>
      <c r="AI766" s="196"/>
      <c r="AJ766" s="196"/>
      <c r="AK766" s="196"/>
      <c r="AL766" s="196"/>
      <c r="AM766" s="196"/>
    </row>
    <row r="767">
      <c r="F767" s="203"/>
      <c r="H767" s="196"/>
      <c r="I767" s="196"/>
      <c r="J767" s="196"/>
      <c r="K767" s="196"/>
      <c r="L767" s="196"/>
      <c r="M767" s="196"/>
      <c r="N767" s="196"/>
      <c r="O767" s="196"/>
      <c r="P767" s="196"/>
      <c r="Q767" s="196"/>
      <c r="R767" s="196"/>
      <c r="S767" s="196"/>
      <c r="T767" s="196"/>
      <c r="U767" s="196"/>
      <c r="V767" s="196"/>
      <c r="W767" s="196"/>
      <c r="X767" s="196"/>
      <c r="Y767" s="196"/>
      <c r="Z767" s="196"/>
      <c r="AA767" s="196"/>
      <c r="AB767" s="196"/>
      <c r="AC767" s="196"/>
      <c r="AD767" s="196"/>
      <c r="AE767" s="196"/>
      <c r="AF767" s="196"/>
      <c r="AG767" s="196"/>
      <c r="AH767" s="196"/>
      <c r="AI767" s="196"/>
      <c r="AJ767" s="196"/>
      <c r="AK767" s="196"/>
      <c r="AL767" s="196"/>
      <c r="AM767" s="196"/>
    </row>
    <row r="768">
      <c r="F768" s="203"/>
      <c r="H768" s="196"/>
      <c r="I768" s="196"/>
      <c r="J768" s="196"/>
      <c r="K768" s="196"/>
      <c r="L768" s="196"/>
      <c r="M768" s="196"/>
      <c r="N768" s="196"/>
      <c r="O768" s="196"/>
      <c r="P768" s="196"/>
      <c r="Q768" s="196"/>
      <c r="R768" s="196"/>
      <c r="S768" s="196"/>
      <c r="T768" s="196"/>
      <c r="U768" s="196"/>
      <c r="V768" s="196"/>
      <c r="W768" s="196"/>
      <c r="X768" s="196"/>
      <c r="Y768" s="196"/>
      <c r="Z768" s="196"/>
      <c r="AA768" s="196"/>
      <c r="AB768" s="196"/>
      <c r="AC768" s="196"/>
      <c r="AD768" s="196"/>
      <c r="AE768" s="196"/>
      <c r="AF768" s="196"/>
      <c r="AG768" s="196"/>
      <c r="AH768" s="196"/>
      <c r="AI768" s="196"/>
      <c r="AJ768" s="196"/>
      <c r="AK768" s="196"/>
      <c r="AL768" s="196"/>
      <c r="AM768" s="196"/>
    </row>
    <row r="769">
      <c r="F769" s="203"/>
      <c r="H769" s="196"/>
      <c r="I769" s="196"/>
      <c r="J769" s="196"/>
      <c r="K769" s="196"/>
      <c r="L769" s="196"/>
      <c r="M769" s="196"/>
      <c r="N769" s="196"/>
      <c r="O769" s="196"/>
      <c r="P769" s="196"/>
      <c r="Q769" s="196"/>
      <c r="R769" s="196"/>
      <c r="S769" s="196"/>
      <c r="T769" s="196"/>
      <c r="U769" s="196"/>
      <c r="V769" s="196"/>
      <c r="W769" s="196"/>
      <c r="X769" s="196"/>
      <c r="Y769" s="196"/>
      <c r="Z769" s="196"/>
      <c r="AA769" s="196"/>
      <c r="AB769" s="196"/>
      <c r="AC769" s="196"/>
      <c r="AD769" s="196"/>
      <c r="AE769" s="196"/>
      <c r="AF769" s="196"/>
      <c r="AG769" s="196"/>
      <c r="AH769" s="196"/>
      <c r="AI769" s="196"/>
      <c r="AJ769" s="196"/>
      <c r="AK769" s="196"/>
      <c r="AL769" s="196"/>
      <c r="AM769" s="196"/>
    </row>
    <row r="770">
      <c r="F770" s="203"/>
      <c r="H770" s="196"/>
      <c r="I770" s="196"/>
      <c r="J770" s="196"/>
      <c r="K770" s="196"/>
      <c r="L770" s="196"/>
      <c r="M770" s="196"/>
      <c r="N770" s="196"/>
      <c r="O770" s="196"/>
      <c r="P770" s="196"/>
      <c r="Q770" s="196"/>
      <c r="R770" s="196"/>
      <c r="S770" s="196"/>
      <c r="T770" s="196"/>
      <c r="U770" s="196"/>
      <c r="V770" s="196"/>
      <c r="W770" s="196"/>
      <c r="X770" s="196"/>
      <c r="Y770" s="196"/>
      <c r="Z770" s="196"/>
      <c r="AA770" s="196"/>
      <c r="AB770" s="196"/>
      <c r="AC770" s="196"/>
      <c r="AD770" s="196"/>
      <c r="AE770" s="196"/>
      <c r="AF770" s="196"/>
      <c r="AG770" s="196"/>
      <c r="AH770" s="196"/>
      <c r="AI770" s="196"/>
      <c r="AJ770" s="196"/>
      <c r="AK770" s="196"/>
      <c r="AL770" s="196"/>
      <c r="AM770" s="196"/>
    </row>
    <row r="771">
      <c r="F771" s="203"/>
      <c r="H771" s="196"/>
      <c r="I771" s="196"/>
      <c r="J771" s="196"/>
      <c r="K771" s="196"/>
      <c r="L771" s="196"/>
      <c r="M771" s="196"/>
      <c r="N771" s="196"/>
      <c r="O771" s="196"/>
      <c r="P771" s="196"/>
      <c r="Q771" s="196"/>
      <c r="R771" s="196"/>
      <c r="S771" s="196"/>
      <c r="T771" s="196"/>
      <c r="U771" s="196"/>
      <c r="V771" s="196"/>
      <c r="W771" s="196"/>
      <c r="X771" s="196"/>
      <c r="Y771" s="196"/>
      <c r="Z771" s="196"/>
      <c r="AA771" s="196"/>
      <c r="AB771" s="196"/>
      <c r="AC771" s="196"/>
      <c r="AD771" s="196"/>
      <c r="AE771" s="196"/>
      <c r="AF771" s="196"/>
      <c r="AG771" s="196"/>
      <c r="AH771" s="196"/>
      <c r="AI771" s="196"/>
      <c r="AJ771" s="196"/>
      <c r="AK771" s="196"/>
      <c r="AL771" s="196"/>
      <c r="AM771" s="196"/>
    </row>
    <row r="772">
      <c r="F772" s="203"/>
      <c r="H772" s="196"/>
      <c r="I772" s="196"/>
      <c r="J772" s="196"/>
      <c r="K772" s="196"/>
      <c r="L772" s="196"/>
      <c r="M772" s="196"/>
      <c r="N772" s="196"/>
      <c r="O772" s="196"/>
      <c r="P772" s="196"/>
      <c r="Q772" s="196"/>
      <c r="R772" s="196"/>
      <c r="S772" s="196"/>
      <c r="T772" s="196"/>
      <c r="U772" s="196"/>
      <c r="V772" s="196"/>
      <c r="W772" s="196"/>
      <c r="X772" s="196"/>
      <c r="Y772" s="196"/>
      <c r="Z772" s="196"/>
      <c r="AA772" s="196"/>
      <c r="AB772" s="196"/>
      <c r="AC772" s="196"/>
      <c r="AD772" s="196"/>
      <c r="AE772" s="196"/>
      <c r="AF772" s="196"/>
      <c r="AG772" s="196"/>
      <c r="AH772" s="196"/>
      <c r="AI772" s="196"/>
      <c r="AJ772" s="196"/>
      <c r="AK772" s="196"/>
      <c r="AL772" s="196"/>
      <c r="AM772" s="196"/>
    </row>
    <row r="773">
      <c r="F773" s="203"/>
      <c r="H773" s="196"/>
      <c r="I773" s="196"/>
      <c r="J773" s="196"/>
      <c r="K773" s="196"/>
      <c r="L773" s="196"/>
      <c r="M773" s="196"/>
      <c r="N773" s="196"/>
      <c r="O773" s="196"/>
      <c r="P773" s="196"/>
      <c r="Q773" s="196"/>
      <c r="R773" s="196"/>
      <c r="S773" s="196"/>
      <c r="T773" s="196"/>
      <c r="U773" s="196"/>
      <c r="V773" s="196"/>
      <c r="W773" s="196"/>
      <c r="X773" s="196"/>
      <c r="Y773" s="196"/>
      <c r="Z773" s="196"/>
      <c r="AA773" s="196"/>
      <c r="AB773" s="196"/>
      <c r="AC773" s="196"/>
      <c r="AD773" s="196"/>
      <c r="AE773" s="196"/>
      <c r="AF773" s="196"/>
      <c r="AG773" s="196"/>
      <c r="AH773" s="196"/>
      <c r="AI773" s="196"/>
      <c r="AJ773" s="196"/>
      <c r="AK773" s="196"/>
      <c r="AL773" s="196"/>
      <c r="AM773" s="196"/>
    </row>
    <row r="774">
      <c r="F774" s="203"/>
      <c r="H774" s="196"/>
      <c r="I774" s="196"/>
      <c r="J774" s="196"/>
      <c r="K774" s="196"/>
      <c r="L774" s="196"/>
      <c r="M774" s="196"/>
      <c r="N774" s="196"/>
      <c r="O774" s="196"/>
      <c r="P774" s="196"/>
      <c r="Q774" s="196"/>
      <c r="R774" s="196"/>
      <c r="S774" s="196"/>
      <c r="T774" s="196"/>
      <c r="U774" s="196"/>
      <c r="V774" s="196"/>
      <c r="W774" s="196"/>
      <c r="X774" s="196"/>
      <c r="Y774" s="196"/>
      <c r="Z774" s="196"/>
      <c r="AA774" s="196"/>
      <c r="AB774" s="196"/>
      <c r="AC774" s="196"/>
      <c r="AD774" s="196"/>
      <c r="AE774" s="196"/>
      <c r="AF774" s="196"/>
      <c r="AG774" s="196"/>
      <c r="AH774" s="196"/>
      <c r="AI774" s="196"/>
      <c r="AJ774" s="196"/>
      <c r="AK774" s="196"/>
      <c r="AL774" s="196"/>
      <c r="AM774" s="196"/>
    </row>
    <row r="775">
      <c r="F775" s="203"/>
      <c r="H775" s="196"/>
      <c r="I775" s="196"/>
      <c r="J775" s="196"/>
      <c r="K775" s="196"/>
      <c r="L775" s="196"/>
      <c r="M775" s="196"/>
      <c r="N775" s="196"/>
      <c r="O775" s="196"/>
      <c r="P775" s="196"/>
      <c r="Q775" s="196"/>
      <c r="R775" s="196"/>
      <c r="S775" s="196"/>
      <c r="T775" s="196"/>
      <c r="U775" s="196"/>
      <c r="V775" s="196"/>
      <c r="W775" s="196"/>
      <c r="X775" s="196"/>
      <c r="Y775" s="196"/>
      <c r="Z775" s="196"/>
      <c r="AA775" s="196"/>
      <c r="AB775" s="196"/>
      <c r="AC775" s="196"/>
      <c r="AD775" s="196"/>
      <c r="AE775" s="196"/>
      <c r="AF775" s="196"/>
      <c r="AG775" s="196"/>
      <c r="AH775" s="196"/>
      <c r="AI775" s="196"/>
      <c r="AJ775" s="196"/>
      <c r="AK775" s="196"/>
      <c r="AL775" s="196"/>
      <c r="AM775" s="196"/>
    </row>
    <row r="776">
      <c r="F776" s="203"/>
      <c r="H776" s="196"/>
      <c r="I776" s="196"/>
      <c r="J776" s="196"/>
      <c r="K776" s="196"/>
      <c r="L776" s="196"/>
      <c r="M776" s="196"/>
      <c r="N776" s="196"/>
      <c r="O776" s="196"/>
      <c r="P776" s="196"/>
      <c r="Q776" s="196"/>
      <c r="R776" s="196"/>
      <c r="S776" s="196"/>
      <c r="T776" s="196"/>
      <c r="U776" s="196"/>
      <c r="V776" s="196"/>
      <c r="W776" s="196"/>
      <c r="X776" s="196"/>
      <c r="Y776" s="196"/>
      <c r="Z776" s="196"/>
      <c r="AA776" s="196"/>
      <c r="AB776" s="196"/>
      <c r="AC776" s="196"/>
      <c r="AD776" s="196"/>
      <c r="AE776" s="196"/>
      <c r="AF776" s="196"/>
      <c r="AG776" s="196"/>
      <c r="AH776" s="196"/>
      <c r="AI776" s="196"/>
      <c r="AJ776" s="196"/>
      <c r="AK776" s="196"/>
      <c r="AL776" s="196"/>
      <c r="AM776" s="196"/>
    </row>
    <row r="777">
      <c r="F777" s="203"/>
      <c r="H777" s="196"/>
      <c r="I777" s="196"/>
      <c r="J777" s="196"/>
      <c r="K777" s="196"/>
      <c r="L777" s="196"/>
      <c r="M777" s="196"/>
      <c r="N777" s="196"/>
      <c r="O777" s="196"/>
      <c r="P777" s="196"/>
      <c r="Q777" s="196"/>
      <c r="R777" s="196"/>
      <c r="S777" s="196"/>
      <c r="T777" s="196"/>
      <c r="U777" s="196"/>
      <c r="V777" s="196"/>
      <c r="W777" s="196"/>
      <c r="X777" s="196"/>
      <c r="Y777" s="196"/>
      <c r="Z777" s="196"/>
      <c r="AA777" s="196"/>
      <c r="AB777" s="196"/>
      <c r="AC777" s="196"/>
      <c r="AD777" s="196"/>
      <c r="AE777" s="196"/>
      <c r="AF777" s="196"/>
      <c r="AG777" s="196"/>
      <c r="AH777" s="196"/>
      <c r="AI777" s="196"/>
      <c r="AJ777" s="196"/>
      <c r="AK777" s="196"/>
      <c r="AL777" s="196"/>
      <c r="AM777" s="196"/>
    </row>
    <row r="778">
      <c r="F778" s="203"/>
      <c r="H778" s="196"/>
      <c r="I778" s="196"/>
      <c r="J778" s="196"/>
      <c r="K778" s="196"/>
      <c r="L778" s="196"/>
      <c r="M778" s="196"/>
      <c r="N778" s="196"/>
      <c r="O778" s="196"/>
      <c r="P778" s="196"/>
      <c r="Q778" s="196"/>
      <c r="R778" s="196"/>
      <c r="S778" s="196"/>
      <c r="T778" s="196"/>
      <c r="U778" s="196"/>
      <c r="V778" s="196"/>
      <c r="W778" s="196"/>
      <c r="X778" s="196"/>
      <c r="Y778" s="196"/>
      <c r="Z778" s="196"/>
      <c r="AA778" s="196"/>
      <c r="AB778" s="196"/>
      <c r="AC778" s="196"/>
      <c r="AD778" s="196"/>
      <c r="AE778" s="196"/>
      <c r="AF778" s="196"/>
      <c r="AG778" s="196"/>
      <c r="AH778" s="196"/>
      <c r="AI778" s="196"/>
      <c r="AJ778" s="196"/>
      <c r="AK778" s="196"/>
      <c r="AL778" s="196"/>
      <c r="AM778" s="196"/>
    </row>
    <row r="779">
      <c r="F779" s="203"/>
      <c r="H779" s="196"/>
      <c r="I779" s="196"/>
      <c r="J779" s="196"/>
      <c r="K779" s="196"/>
      <c r="L779" s="196"/>
      <c r="M779" s="196"/>
      <c r="N779" s="196"/>
      <c r="O779" s="196"/>
      <c r="P779" s="196"/>
      <c r="Q779" s="196"/>
      <c r="R779" s="196"/>
      <c r="S779" s="196"/>
      <c r="T779" s="196"/>
      <c r="U779" s="196"/>
      <c r="V779" s="196"/>
      <c r="W779" s="196"/>
      <c r="X779" s="196"/>
      <c r="Y779" s="196"/>
      <c r="Z779" s="196"/>
      <c r="AA779" s="196"/>
      <c r="AB779" s="196"/>
      <c r="AC779" s="196"/>
      <c r="AD779" s="196"/>
      <c r="AE779" s="196"/>
      <c r="AF779" s="196"/>
      <c r="AG779" s="196"/>
      <c r="AH779" s="196"/>
      <c r="AI779" s="196"/>
      <c r="AJ779" s="196"/>
      <c r="AK779" s="196"/>
      <c r="AL779" s="196"/>
      <c r="AM779" s="196"/>
    </row>
    <row r="780">
      <c r="F780" s="203"/>
      <c r="H780" s="196"/>
      <c r="I780" s="196"/>
      <c r="J780" s="196"/>
      <c r="K780" s="196"/>
      <c r="L780" s="196"/>
      <c r="M780" s="196"/>
      <c r="N780" s="196"/>
      <c r="O780" s="196"/>
      <c r="P780" s="196"/>
      <c r="Q780" s="196"/>
      <c r="R780" s="196"/>
      <c r="S780" s="196"/>
      <c r="T780" s="196"/>
      <c r="U780" s="196"/>
      <c r="V780" s="196"/>
      <c r="W780" s="196"/>
      <c r="X780" s="196"/>
      <c r="Y780" s="196"/>
      <c r="Z780" s="196"/>
      <c r="AA780" s="196"/>
      <c r="AB780" s="196"/>
      <c r="AC780" s="196"/>
      <c r="AD780" s="196"/>
      <c r="AE780" s="196"/>
      <c r="AF780" s="196"/>
      <c r="AG780" s="196"/>
      <c r="AH780" s="196"/>
      <c r="AI780" s="196"/>
      <c r="AJ780" s="196"/>
      <c r="AK780" s="196"/>
      <c r="AL780" s="196"/>
      <c r="AM780" s="196"/>
    </row>
    <row r="781">
      <c r="F781" s="203"/>
      <c r="H781" s="196"/>
      <c r="I781" s="196"/>
      <c r="J781" s="196"/>
      <c r="K781" s="196"/>
      <c r="L781" s="196"/>
      <c r="M781" s="196"/>
      <c r="N781" s="196"/>
      <c r="O781" s="196"/>
      <c r="P781" s="196"/>
      <c r="Q781" s="196"/>
      <c r="R781" s="196"/>
      <c r="S781" s="196"/>
      <c r="T781" s="196"/>
      <c r="U781" s="196"/>
      <c r="V781" s="196"/>
      <c r="W781" s="196"/>
      <c r="X781" s="196"/>
      <c r="Y781" s="196"/>
      <c r="Z781" s="196"/>
      <c r="AA781" s="196"/>
      <c r="AB781" s="196"/>
      <c r="AC781" s="196"/>
      <c r="AD781" s="196"/>
      <c r="AE781" s="196"/>
      <c r="AF781" s="196"/>
      <c r="AG781" s="196"/>
      <c r="AH781" s="196"/>
      <c r="AI781" s="196"/>
      <c r="AJ781" s="196"/>
      <c r="AK781" s="196"/>
      <c r="AL781" s="196"/>
      <c r="AM781" s="196"/>
    </row>
    <row r="782">
      <c r="F782" s="203"/>
      <c r="H782" s="196"/>
      <c r="I782" s="196"/>
      <c r="J782" s="196"/>
      <c r="K782" s="196"/>
      <c r="L782" s="196"/>
      <c r="M782" s="196"/>
      <c r="N782" s="196"/>
      <c r="O782" s="196"/>
      <c r="P782" s="196"/>
      <c r="Q782" s="196"/>
      <c r="R782" s="196"/>
      <c r="S782" s="196"/>
      <c r="T782" s="196"/>
      <c r="U782" s="196"/>
      <c r="V782" s="196"/>
      <c r="W782" s="196"/>
      <c r="X782" s="196"/>
      <c r="Y782" s="196"/>
      <c r="Z782" s="196"/>
      <c r="AA782" s="196"/>
      <c r="AB782" s="196"/>
      <c r="AC782" s="196"/>
      <c r="AD782" s="196"/>
      <c r="AE782" s="196"/>
      <c r="AF782" s="196"/>
      <c r="AG782" s="196"/>
      <c r="AH782" s="196"/>
      <c r="AI782" s="196"/>
      <c r="AJ782" s="196"/>
      <c r="AK782" s="196"/>
      <c r="AL782" s="196"/>
      <c r="AM782" s="196"/>
    </row>
    <row r="783">
      <c r="F783" s="203"/>
      <c r="H783" s="196"/>
      <c r="I783" s="196"/>
      <c r="J783" s="196"/>
      <c r="K783" s="196"/>
      <c r="L783" s="196"/>
      <c r="M783" s="196"/>
      <c r="N783" s="196"/>
      <c r="O783" s="196"/>
      <c r="P783" s="196"/>
      <c r="Q783" s="196"/>
      <c r="R783" s="196"/>
      <c r="S783" s="196"/>
      <c r="T783" s="196"/>
      <c r="U783" s="196"/>
      <c r="V783" s="196"/>
      <c r="W783" s="196"/>
      <c r="X783" s="196"/>
      <c r="Y783" s="196"/>
      <c r="Z783" s="196"/>
      <c r="AA783" s="196"/>
      <c r="AB783" s="196"/>
      <c r="AC783" s="196"/>
      <c r="AD783" s="196"/>
      <c r="AE783" s="196"/>
      <c r="AF783" s="196"/>
      <c r="AG783" s="196"/>
      <c r="AH783" s="196"/>
      <c r="AI783" s="196"/>
      <c r="AJ783" s="196"/>
      <c r="AK783" s="196"/>
      <c r="AL783" s="196"/>
      <c r="AM783" s="196"/>
    </row>
    <row r="784">
      <c r="F784" s="203"/>
      <c r="H784" s="196"/>
      <c r="I784" s="196"/>
      <c r="J784" s="196"/>
      <c r="K784" s="196"/>
      <c r="L784" s="196"/>
      <c r="M784" s="196"/>
      <c r="N784" s="196"/>
      <c r="O784" s="196"/>
      <c r="P784" s="196"/>
      <c r="Q784" s="196"/>
      <c r="R784" s="196"/>
      <c r="S784" s="196"/>
      <c r="T784" s="196"/>
      <c r="U784" s="196"/>
      <c r="V784" s="196"/>
      <c r="W784" s="196"/>
      <c r="X784" s="196"/>
      <c r="Y784" s="196"/>
      <c r="Z784" s="196"/>
      <c r="AA784" s="196"/>
      <c r="AB784" s="196"/>
      <c r="AC784" s="196"/>
      <c r="AD784" s="196"/>
      <c r="AE784" s="196"/>
      <c r="AF784" s="196"/>
      <c r="AG784" s="196"/>
      <c r="AH784" s="196"/>
      <c r="AI784" s="196"/>
      <c r="AJ784" s="196"/>
      <c r="AK784" s="196"/>
      <c r="AL784" s="196"/>
      <c r="AM784" s="196"/>
    </row>
    <row r="785">
      <c r="F785" s="203"/>
      <c r="H785" s="196"/>
      <c r="I785" s="196"/>
      <c r="J785" s="196"/>
      <c r="K785" s="196"/>
      <c r="L785" s="196"/>
      <c r="M785" s="196"/>
      <c r="N785" s="196"/>
      <c r="O785" s="196"/>
      <c r="P785" s="196"/>
      <c r="Q785" s="196"/>
      <c r="R785" s="196"/>
      <c r="S785" s="196"/>
      <c r="T785" s="196"/>
      <c r="U785" s="196"/>
      <c r="V785" s="196"/>
      <c r="W785" s="196"/>
      <c r="X785" s="196"/>
      <c r="Y785" s="196"/>
      <c r="Z785" s="196"/>
      <c r="AA785" s="196"/>
      <c r="AB785" s="196"/>
      <c r="AC785" s="196"/>
      <c r="AD785" s="196"/>
      <c r="AE785" s="196"/>
      <c r="AF785" s="196"/>
      <c r="AG785" s="196"/>
      <c r="AH785" s="196"/>
      <c r="AI785" s="196"/>
      <c r="AJ785" s="196"/>
      <c r="AK785" s="196"/>
      <c r="AL785" s="196"/>
      <c r="AM785" s="196"/>
    </row>
    <row r="786">
      <c r="F786" s="203"/>
      <c r="H786" s="196"/>
      <c r="I786" s="196"/>
      <c r="J786" s="196"/>
      <c r="K786" s="196"/>
      <c r="L786" s="196"/>
      <c r="M786" s="196"/>
      <c r="N786" s="196"/>
      <c r="O786" s="196"/>
      <c r="P786" s="196"/>
      <c r="Q786" s="196"/>
      <c r="R786" s="196"/>
      <c r="S786" s="196"/>
      <c r="T786" s="196"/>
      <c r="U786" s="196"/>
      <c r="V786" s="196"/>
      <c r="W786" s="196"/>
      <c r="X786" s="196"/>
      <c r="Y786" s="196"/>
      <c r="Z786" s="196"/>
      <c r="AA786" s="196"/>
      <c r="AB786" s="196"/>
      <c r="AC786" s="196"/>
      <c r="AD786" s="196"/>
      <c r="AE786" s="196"/>
      <c r="AF786" s="196"/>
      <c r="AG786" s="196"/>
      <c r="AH786" s="196"/>
      <c r="AI786" s="196"/>
      <c r="AJ786" s="196"/>
      <c r="AK786" s="196"/>
      <c r="AL786" s="196"/>
      <c r="AM786" s="196"/>
    </row>
    <row r="787">
      <c r="F787" s="203"/>
      <c r="H787" s="196"/>
      <c r="I787" s="196"/>
      <c r="J787" s="196"/>
      <c r="K787" s="196"/>
      <c r="L787" s="196"/>
      <c r="M787" s="196"/>
      <c r="N787" s="196"/>
      <c r="O787" s="196"/>
      <c r="P787" s="196"/>
      <c r="Q787" s="196"/>
      <c r="R787" s="196"/>
      <c r="S787" s="196"/>
      <c r="T787" s="196"/>
      <c r="U787" s="196"/>
      <c r="V787" s="196"/>
      <c r="W787" s="196"/>
      <c r="X787" s="196"/>
      <c r="Y787" s="196"/>
      <c r="Z787" s="196"/>
      <c r="AA787" s="196"/>
      <c r="AB787" s="196"/>
      <c r="AC787" s="196"/>
      <c r="AD787" s="196"/>
      <c r="AE787" s="196"/>
      <c r="AF787" s="196"/>
      <c r="AG787" s="196"/>
      <c r="AH787" s="196"/>
      <c r="AI787" s="196"/>
      <c r="AJ787" s="196"/>
      <c r="AK787" s="196"/>
      <c r="AL787" s="196"/>
      <c r="AM787" s="196"/>
    </row>
    <row r="788">
      <c r="F788" s="203"/>
      <c r="H788" s="196"/>
      <c r="I788" s="196"/>
      <c r="J788" s="196"/>
      <c r="K788" s="196"/>
      <c r="L788" s="196"/>
      <c r="M788" s="196"/>
      <c r="N788" s="196"/>
      <c r="O788" s="196"/>
      <c r="P788" s="196"/>
      <c r="Q788" s="196"/>
      <c r="R788" s="196"/>
      <c r="S788" s="196"/>
      <c r="T788" s="196"/>
      <c r="U788" s="196"/>
      <c r="V788" s="196"/>
      <c r="W788" s="196"/>
      <c r="X788" s="196"/>
      <c r="Y788" s="196"/>
      <c r="Z788" s="196"/>
      <c r="AA788" s="196"/>
      <c r="AB788" s="196"/>
      <c r="AC788" s="196"/>
      <c r="AD788" s="196"/>
      <c r="AE788" s="196"/>
      <c r="AF788" s="196"/>
      <c r="AG788" s="196"/>
      <c r="AH788" s="196"/>
      <c r="AI788" s="196"/>
      <c r="AJ788" s="196"/>
      <c r="AK788" s="196"/>
      <c r="AL788" s="196"/>
      <c r="AM788" s="196"/>
    </row>
    <row r="789">
      <c r="F789" s="203"/>
      <c r="H789" s="196"/>
      <c r="I789" s="196"/>
      <c r="J789" s="196"/>
      <c r="K789" s="196"/>
      <c r="L789" s="196"/>
      <c r="M789" s="196"/>
      <c r="N789" s="196"/>
      <c r="O789" s="196"/>
      <c r="P789" s="196"/>
      <c r="Q789" s="196"/>
      <c r="R789" s="196"/>
      <c r="S789" s="196"/>
      <c r="T789" s="196"/>
      <c r="U789" s="196"/>
      <c r="V789" s="196"/>
      <c r="W789" s="196"/>
      <c r="X789" s="196"/>
      <c r="Y789" s="196"/>
      <c r="Z789" s="196"/>
      <c r="AA789" s="196"/>
      <c r="AB789" s="196"/>
      <c r="AC789" s="196"/>
      <c r="AD789" s="196"/>
      <c r="AE789" s="196"/>
      <c r="AF789" s="196"/>
      <c r="AG789" s="196"/>
      <c r="AH789" s="196"/>
      <c r="AI789" s="196"/>
      <c r="AJ789" s="196"/>
      <c r="AK789" s="196"/>
      <c r="AL789" s="196"/>
      <c r="AM789" s="196"/>
    </row>
    <row r="790">
      <c r="F790" s="203"/>
      <c r="H790" s="196"/>
      <c r="I790" s="196"/>
      <c r="J790" s="196"/>
      <c r="K790" s="196"/>
      <c r="L790" s="196"/>
      <c r="M790" s="196"/>
      <c r="N790" s="196"/>
      <c r="O790" s="196"/>
      <c r="P790" s="196"/>
      <c r="Q790" s="196"/>
      <c r="R790" s="196"/>
      <c r="S790" s="196"/>
      <c r="T790" s="196"/>
      <c r="U790" s="196"/>
      <c r="V790" s="196"/>
      <c r="W790" s="196"/>
      <c r="X790" s="196"/>
      <c r="Y790" s="196"/>
      <c r="Z790" s="196"/>
      <c r="AA790" s="196"/>
      <c r="AB790" s="196"/>
      <c r="AC790" s="196"/>
      <c r="AD790" s="196"/>
      <c r="AE790" s="196"/>
      <c r="AF790" s="196"/>
      <c r="AG790" s="196"/>
      <c r="AH790" s="196"/>
      <c r="AI790" s="196"/>
      <c r="AJ790" s="196"/>
      <c r="AK790" s="196"/>
      <c r="AL790" s="196"/>
      <c r="AM790" s="196"/>
    </row>
    <row r="791">
      <c r="F791" s="203"/>
      <c r="H791" s="196"/>
      <c r="I791" s="196"/>
      <c r="J791" s="196"/>
      <c r="K791" s="196"/>
      <c r="L791" s="196"/>
      <c r="M791" s="196"/>
      <c r="N791" s="196"/>
      <c r="O791" s="196"/>
      <c r="P791" s="196"/>
      <c r="Q791" s="196"/>
      <c r="R791" s="196"/>
      <c r="S791" s="196"/>
      <c r="T791" s="196"/>
      <c r="U791" s="196"/>
      <c r="V791" s="196"/>
      <c r="W791" s="196"/>
      <c r="X791" s="196"/>
      <c r="Y791" s="196"/>
      <c r="Z791" s="196"/>
      <c r="AA791" s="196"/>
      <c r="AB791" s="196"/>
      <c r="AC791" s="196"/>
      <c r="AD791" s="196"/>
      <c r="AE791" s="196"/>
      <c r="AF791" s="196"/>
      <c r="AG791" s="196"/>
      <c r="AH791" s="196"/>
      <c r="AI791" s="196"/>
      <c r="AJ791" s="196"/>
      <c r="AK791" s="196"/>
      <c r="AL791" s="196"/>
      <c r="AM791" s="196"/>
    </row>
    <row r="792">
      <c r="F792" s="203"/>
      <c r="H792" s="196"/>
      <c r="I792" s="196"/>
      <c r="J792" s="196"/>
      <c r="K792" s="196"/>
      <c r="L792" s="196"/>
      <c r="M792" s="196"/>
      <c r="N792" s="196"/>
      <c r="O792" s="196"/>
      <c r="P792" s="196"/>
      <c r="Q792" s="196"/>
      <c r="R792" s="196"/>
      <c r="S792" s="196"/>
      <c r="T792" s="196"/>
      <c r="U792" s="196"/>
      <c r="V792" s="196"/>
      <c r="W792" s="196"/>
      <c r="X792" s="196"/>
      <c r="Y792" s="196"/>
      <c r="Z792" s="196"/>
      <c r="AA792" s="196"/>
      <c r="AB792" s="196"/>
      <c r="AC792" s="196"/>
      <c r="AD792" s="196"/>
      <c r="AE792" s="196"/>
      <c r="AF792" s="196"/>
      <c r="AG792" s="196"/>
      <c r="AH792" s="196"/>
      <c r="AI792" s="196"/>
      <c r="AJ792" s="196"/>
      <c r="AK792" s="196"/>
      <c r="AL792" s="196"/>
      <c r="AM792" s="196"/>
    </row>
    <row r="793">
      <c r="F793" s="203"/>
      <c r="H793" s="196"/>
      <c r="I793" s="196"/>
      <c r="J793" s="196"/>
      <c r="K793" s="196"/>
      <c r="L793" s="196"/>
      <c r="M793" s="196"/>
      <c r="N793" s="196"/>
      <c r="O793" s="196"/>
      <c r="P793" s="196"/>
      <c r="Q793" s="196"/>
      <c r="R793" s="196"/>
      <c r="S793" s="196"/>
      <c r="T793" s="196"/>
      <c r="U793" s="196"/>
      <c r="V793" s="196"/>
      <c r="W793" s="196"/>
      <c r="X793" s="196"/>
      <c r="Y793" s="196"/>
      <c r="Z793" s="196"/>
      <c r="AA793" s="196"/>
      <c r="AB793" s="196"/>
      <c r="AC793" s="196"/>
      <c r="AD793" s="196"/>
      <c r="AE793" s="196"/>
      <c r="AF793" s="196"/>
      <c r="AG793" s="196"/>
      <c r="AH793" s="196"/>
      <c r="AI793" s="196"/>
      <c r="AJ793" s="196"/>
      <c r="AK793" s="196"/>
      <c r="AL793" s="196"/>
      <c r="AM793" s="196"/>
    </row>
    <row r="794">
      <c r="F794" s="203"/>
      <c r="H794" s="196"/>
      <c r="I794" s="196"/>
      <c r="J794" s="196"/>
      <c r="K794" s="196"/>
      <c r="L794" s="196"/>
      <c r="M794" s="196"/>
      <c r="N794" s="196"/>
      <c r="O794" s="196"/>
      <c r="P794" s="196"/>
      <c r="Q794" s="196"/>
      <c r="R794" s="196"/>
      <c r="S794" s="196"/>
      <c r="T794" s="196"/>
      <c r="U794" s="196"/>
      <c r="V794" s="196"/>
      <c r="W794" s="196"/>
      <c r="X794" s="196"/>
      <c r="Y794" s="196"/>
      <c r="Z794" s="196"/>
      <c r="AA794" s="196"/>
      <c r="AB794" s="196"/>
      <c r="AC794" s="196"/>
      <c r="AD794" s="196"/>
      <c r="AE794" s="196"/>
      <c r="AF794" s="196"/>
      <c r="AG794" s="196"/>
      <c r="AH794" s="196"/>
      <c r="AI794" s="196"/>
      <c r="AJ794" s="196"/>
      <c r="AK794" s="196"/>
      <c r="AL794" s="196"/>
      <c r="AM794" s="196"/>
    </row>
    <row r="795">
      <c r="F795" s="203"/>
      <c r="H795" s="196"/>
      <c r="I795" s="196"/>
      <c r="J795" s="196"/>
      <c r="K795" s="196"/>
      <c r="L795" s="196"/>
      <c r="M795" s="196"/>
      <c r="N795" s="196"/>
      <c r="O795" s="196"/>
      <c r="P795" s="196"/>
      <c r="Q795" s="196"/>
      <c r="R795" s="196"/>
      <c r="S795" s="196"/>
      <c r="T795" s="196"/>
      <c r="U795" s="196"/>
      <c r="V795" s="196"/>
      <c r="W795" s="196"/>
      <c r="X795" s="196"/>
      <c r="Y795" s="196"/>
      <c r="Z795" s="196"/>
      <c r="AA795" s="196"/>
      <c r="AB795" s="196"/>
      <c r="AC795" s="196"/>
      <c r="AD795" s="196"/>
      <c r="AE795" s="196"/>
      <c r="AF795" s="196"/>
      <c r="AG795" s="196"/>
      <c r="AH795" s="196"/>
      <c r="AI795" s="196"/>
      <c r="AJ795" s="196"/>
      <c r="AK795" s="196"/>
      <c r="AL795" s="196"/>
      <c r="AM795" s="196"/>
    </row>
    <row r="796">
      <c r="F796" s="203"/>
      <c r="H796" s="196"/>
      <c r="I796" s="196"/>
      <c r="J796" s="196"/>
      <c r="K796" s="196"/>
      <c r="L796" s="196"/>
      <c r="M796" s="196"/>
      <c r="N796" s="196"/>
      <c r="O796" s="196"/>
      <c r="P796" s="196"/>
      <c r="Q796" s="196"/>
      <c r="R796" s="196"/>
      <c r="S796" s="196"/>
      <c r="T796" s="196"/>
      <c r="U796" s="196"/>
      <c r="V796" s="196"/>
      <c r="W796" s="196"/>
      <c r="X796" s="196"/>
      <c r="Y796" s="196"/>
      <c r="Z796" s="196"/>
      <c r="AA796" s="196"/>
      <c r="AB796" s="196"/>
      <c r="AC796" s="196"/>
      <c r="AD796" s="196"/>
      <c r="AE796" s="196"/>
      <c r="AF796" s="196"/>
      <c r="AG796" s="196"/>
      <c r="AH796" s="196"/>
      <c r="AI796" s="196"/>
      <c r="AJ796" s="196"/>
      <c r="AK796" s="196"/>
      <c r="AL796" s="196"/>
      <c r="AM796" s="196"/>
    </row>
    <row r="797">
      <c r="F797" s="203"/>
      <c r="H797" s="196"/>
      <c r="I797" s="196"/>
      <c r="J797" s="196"/>
      <c r="K797" s="196"/>
      <c r="L797" s="196"/>
      <c r="M797" s="196"/>
      <c r="N797" s="196"/>
      <c r="O797" s="196"/>
      <c r="P797" s="196"/>
      <c r="Q797" s="196"/>
      <c r="R797" s="196"/>
      <c r="S797" s="196"/>
      <c r="T797" s="196"/>
      <c r="U797" s="196"/>
      <c r="V797" s="196"/>
      <c r="W797" s="196"/>
      <c r="X797" s="196"/>
      <c r="Y797" s="196"/>
      <c r="Z797" s="196"/>
      <c r="AA797" s="196"/>
      <c r="AB797" s="196"/>
      <c r="AC797" s="196"/>
      <c r="AD797" s="196"/>
      <c r="AE797" s="196"/>
      <c r="AF797" s="196"/>
      <c r="AG797" s="196"/>
      <c r="AH797" s="196"/>
      <c r="AI797" s="196"/>
      <c r="AJ797" s="196"/>
      <c r="AK797" s="196"/>
      <c r="AL797" s="196"/>
      <c r="AM797" s="196"/>
    </row>
    <row r="798">
      <c r="F798" s="203"/>
      <c r="H798" s="196"/>
      <c r="I798" s="196"/>
      <c r="J798" s="196"/>
      <c r="K798" s="196"/>
      <c r="L798" s="196"/>
      <c r="M798" s="196"/>
      <c r="N798" s="196"/>
      <c r="O798" s="196"/>
      <c r="P798" s="196"/>
      <c r="Q798" s="196"/>
      <c r="R798" s="196"/>
      <c r="S798" s="196"/>
      <c r="T798" s="196"/>
      <c r="U798" s="196"/>
      <c r="V798" s="196"/>
      <c r="W798" s="196"/>
      <c r="X798" s="196"/>
      <c r="Y798" s="196"/>
      <c r="Z798" s="196"/>
      <c r="AA798" s="196"/>
      <c r="AB798" s="196"/>
      <c r="AC798" s="196"/>
      <c r="AD798" s="196"/>
      <c r="AE798" s="196"/>
      <c r="AF798" s="196"/>
      <c r="AG798" s="196"/>
      <c r="AH798" s="196"/>
      <c r="AI798" s="196"/>
      <c r="AJ798" s="196"/>
      <c r="AK798" s="196"/>
      <c r="AL798" s="196"/>
      <c r="AM798" s="196"/>
    </row>
    <row r="799">
      <c r="F799" s="203"/>
      <c r="H799" s="196"/>
      <c r="I799" s="196"/>
      <c r="J799" s="196"/>
      <c r="K799" s="196"/>
      <c r="L799" s="196"/>
      <c r="M799" s="196"/>
      <c r="N799" s="196"/>
      <c r="O799" s="196"/>
      <c r="P799" s="196"/>
      <c r="Q799" s="196"/>
      <c r="R799" s="196"/>
      <c r="S799" s="196"/>
      <c r="T799" s="196"/>
      <c r="U799" s="196"/>
      <c r="V799" s="196"/>
      <c r="W799" s="196"/>
      <c r="X799" s="196"/>
      <c r="Y799" s="196"/>
      <c r="Z799" s="196"/>
      <c r="AA799" s="196"/>
      <c r="AB799" s="196"/>
      <c r="AC799" s="196"/>
      <c r="AD799" s="196"/>
      <c r="AE799" s="196"/>
      <c r="AF799" s="196"/>
      <c r="AG799" s="196"/>
      <c r="AH799" s="196"/>
      <c r="AI799" s="196"/>
      <c r="AJ799" s="196"/>
      <c r="AK799" s="196"/>
      <c r="AL799" s="196"/>
      <c r="AM799" s="196"/>
    </row>
    <row r="800">
      <c r="F800" s="203"/>
      <c r="H800" s="196"/>
      <c r="I800" s="196"/>
      <c r="J800" s="196"/>
      <c r="K800" s="196"/>
      <c r="L800" s="196"/>
      <c r="M800" s="196"/>
      <c r="N800" s="196"/>
      <c r="O800" s="196"/>
      <c r="P800" s="196"/>
      <c r="Q800" s="196"/>
      <c r="R800" s="196"/>
      <c r="S800" s="196"/>
      <c r="T800" s="196"/>
      <c r="U800" s="196"/>
      <c r="V800" s="196"/>
      <c r="W800" s="196"/>
      <c r="X800" s="196"/>
      <c r="Y800" s="196"/>
      <c r="Z800" s="196"/>
      <c r="AA800" s="196"/>
      <c r="AB800" s="196"/>
      <c r="AC800" s="196"/>
      <c r="AD800" s="196"/>
      <c r="AE800" s="196"/>
      <c r="AF800" s="196"/>
      <c r="AG800" s="196"/>
      <c r="AH800" s="196"/>
      <c r="AI800" s="196"/>
      <c r="AJ800" s="196"/>
      <c r="AK800" s="196"/>
      <c r="AL800" s="196"/>
      <c r="AM800" s="196"/>
    </row>
    <row r="801">
      <c r="F801" s="203"/>
      <c r="H801" s="196"/>
      <c r="I801" s="196"/>
      <c r="J801" s="196"/>
      <c r="K801" s="196"/>
      <c r="L801" s="196"/>
      <c r="M801" s="196"/>
      <c r="N801" s="196"/>
      <c r="O801" s="196"/>
      <c r="P801" s="196"/>
      <c r="Q801" s="196"/>
      <c r="R801" s="196"/>
      <c r="S801" s="196"/>
      <c r="T801" s="196"/>
      <c r="U801" s="196"/>
      <c r="V801" s="196"/>
      <c r="W801" s="196"/>
      <c r="X801" s="196"/>
      <c r="Y801" s="196"/>
      <c r="Z801" s="196"/>
      <c r="AA801" s="196"/>
      <c r="AB801" s="196"/>
      <c r="AC801" s="196"/>
      <c r="AD801" s="196"/>
      <c r="AE801" s="196"/>
      <c r="AF801" s="196"/>
      <c r="AG801" s="196"/>
      <c r="AH801" s="196"/>
      <c r="AI801" s="196"/>
      <c r="AJ801" s="196"/>
      <c r="AK801" s="196"/>
      <c r="AL801" s="196"/>
      <c r="AM801" s="196"/>
    </row>
    <row r="802">
      <c r="F802" s="203"/>
      <c r="H802" s="196"/>
      <c r="I802" s="196"/>
      <c r="J802" s="196"/>
      <c r="K802" s="196"/>
      <c r="L802" s="196"/>
      <c r="M802" s="196"/>
      <c r="N802" s="196"/>
      <c r="O802" s="196"/>
      <c r="P802" s="196"/>
      <c r="Q802" s="196"/>
      <c r="R802" s="196"/>
      <c r="S802" s="196"/>
      <c r="T802" s="196"/>
      <c r="U802" s="196"/>
      <c r="V802" s="196"/>
      <c r="W802" s="196"/>
      <c r="X802" s="196"/>
      <c r="Y802" s="196"/>
      <c r="Z802" s="196"/>
      <c r="AA802" s="196"/>
      <c r="AB802" s="196"/>
      <c r="AC802" s="196"/>
      <c r="AD802" s="196"/>
      <c r="AE802" s="196"/>
      <c r="AF802" s="196"/>
      <c r="AG802" s="196"/>
      <c r="AH802" s="196"/>
      <c r="AI802" s="196"/>
      <c r="AJ802" s="196"/>
      <c r="AK802" s="196"/>
      <c r="AL802" s="196"/>
      <c r="AM802" s="196"/>
    </row>
    <row r="803">
      <c r="F803" s="203"/>
      <c r="H803" s="196"/>
      <c r="I803" s="196"/>
      <c r="J803" s="196"/>
      <c r="K803" s="196"/>
      <c r="L803" s="196"/>
      <c r="M803" s="196"/>
      <c r="N803" s="196"/>
      <c r="O803" s="196"/>
      <c r="P803" s="196"/>
      <c r="Q803" s="196"/>
      <c r="R803" s="196"/>
      <c r="S803" s="196"/>
      <c r="T803" s="196"/>
      <c r="U803" s="196"/>
      <c r="V803" s="196"/>
      <c r="W803" s="196"/>
      <c r="X803" s="196"/>
      <c r="Y803" s="196"/>
      <c r="Z803" s="196"/>
      <c r="AA803" s="196"/>
      <c r="AB803" s="196"/>
      <c r="AC803" s="196"/>
      <c r="AD803" s="196"/>
      <c r="AE803" s="196"/>
      <c r="AF803" s="196"/>
      <c r="AG803" s="196"/>
      <c r="AH803" s="196"/>
      <c r="AI803" s="196"/>
      <c r="AJ803" s="196"/>
      <c r="AK803" s="196"/>
      <c r="AL803" s="196"/>
      <c r="AM803" s="196"/>
    </row>
    <row r="804">
      <c r="F804" s="203"/>
      <c r="H804" s="196"/>
      <c r="I804" s="196"/>
      <c r="J804" s="196"/>
      <c r="K804" s="196"/>
      <c r="L804" s="196"/>
      <c r="M804" s="196"/>
      <c r="N804" s="196"/>
      <c r="O804" s="196"/>
      <c r="P804" s="196"/>
      <c r="Q804" s="196"/>
      <c r="R804" s="196"/>
      <c r="S804" s="196"/>
      <c r="T804" s="196"/>
      <c r="U804" s="196"/>
      <c r="V804" s="196"/>
      <c r="W804" s="196"/>
      <c r="X804" s="196"/>
      <c r="Y804" s="196"/>
      <c r="Z804" s="196"/>
      <c r="AA804" s="196"/>
      <c r="AB804" s="196"/>
      <c r="AC804" s="196"/>
      <c r="AD804" s="196"/>
      <c r="AE804" s="196"/>
      <c r="AF804" s="196"/>
      <c r="AG804" s="196"/>
      <c r="AH804" s="196"/>
      <c r="AI804" s="196"/>
      <c r="AJ804" s="196"/>
      <c r="AK804" s="196"/>
      <c r="AL804" s="196"/>
      <c r="AM804" s="196"/>
    </row>
    <row r="805">
      <c r="F805" s="203"/>
      <c r="H805" s="196"/>
      <c r="I805" s="196"/>
      <c r="J805" s="196"/>
      <c r="K805" s="196"/>
      <c r="L805" s="196"/>
      <c r="M805" s="196"/>
      <c r="N805" s="196"/>
      <c r="O805" s="196"/>
      <c r="P805" s="196"/>
      <c r="Q805" s="196"/>
      <c r="R805" s="196"/>
      <c r="S805" s="196"/>
      <c r="T805" s="196"/>
      <c r="U805" s="196"/>
      <c r="V805" s="196"/>
      <c r="W805" s="196"/>
      <c r="X805" s="196"/>
      <c r="Y805" s="196"/>
      <c r="Z805" s="196"/>
      <c r="AA805" s="196"/>
      <c r="AB805" s="196"/>
      <c r="AC805" s="196"/>
      <c r="AD805" s="196"/>
      <c r="AE805" s="196"/>
      <c r="AF805" s="196"/>
      <c r="AG805" s="196"/>
      <c r="AH805" s="196"/>
      <c r="AI805" s="196"/>
      <c r="AJ805" s="196"/>
      <c r="AK805" s="196"/>
      <c r="AL805" s="196"/>
      <c r="AM805" s="196"/>
    </row>
    <row r="806">
      <c r="F806" s="203"/>
      <c r="H806" s="196"/>
      <c r="I806" s="196"/>
      <c r="J806" s="196"/>
      <c r="K806" s="196"/>
      <c r="L806" s="196"/>
      <c r="M806" s="196"/>
      <c r="N806" s="196"/>
      <c r="O806" s="196"/>
      <c r="P806" s="196"/>
      <c r="Q806" s="196"/>
      <c r="R806" s="196"/>
      <c r="S806" s="196"/>
      <c r="T806" s="196"/>
      <c r="U806" s="196"/>
      <c r="V806" s="196"/>
      <c r="W806" s="196"/>
      <c r="X806" s="196"/>
      <c r="Y806" s="196"/>
      <c r="Z806" s="196"/>
      <c r="AA806" s="196"/>
      <c r="AB806" s="196"/>
      <c r="AC806" s="196"/>
      <c r="AD806" s="196"/>
      <c r="AE806" s="196"/>
      <c r="AF806" s="196"/>
      <c r="AG806" s="196"/>
      <c r="AH806" s="196"/>
      <c r="AI806" s="196"/>
      <c r="AJ806" s="196"/>
      <c r="AK806" s="196"/>
      <c r="AL806" s="196"/>
      <c r="AM806" s="196"/>
    </row>
    <row r="807">
      <c r="F807" s="203"/>
      <c r="H807" s="196"/>
      <c r="I807" s="196"/>
      <c r="J807" s="196"/>
      <c r="K807" s="196"/>
      <c r="L807" s="196"/>
      <c r="M807" s="196"/>
      <c r="N807" s="196"/>
      <c r="O807" s="196"/>
      <c r="P807" s="196"/>
      <c r="Q807" s="196"/>
      <c r="R807" s="196"/>
      <c r="S807" s="196"/>
      <c r="T807" s="196"/>
      <c r="U807" s="196"/>
      <c r="V807" s="196"/>
      <c r="W807" s="196"/>
      <c r="X807" s="196"/>
      <c r="Y807" s="196"/>
      <c r="Z807" s="196"/>
      <c r="AA807" s="196"/>
      <c r="AB807" s="196"/>
      <c r="AC807" s="196"/>
      <c r="AD807" s="196"/>
      <c r="AE807" s="196"/>
      <c r="AF807" s="196"/>
      <c r="AG807" s="196"/>
      <c r="AH807" s="196"/>
      <c r="AI807" s="196"/>
      <c r="AJ807" s="196"/>
      <c r="AK807" s="196"/>
      <c r="AL807" s="196"/>
      <c r="AM807" s="196"/>
    </row>
    <row r="808">
      <c r="F808" s="203"/>
      <c r="H808" s="196"/>
      <c r="I808" s="196"/>
      <c r="J808" s="196"/>
      <c r="K808" s="196"/>
      <c r="L808" s="196"/>
      <c r="M808" s="196"/>
      <c r="N808" s="196"/>
      <c r="O808" s="196"/>
      <c r="P808" s="196"/>
      <c r="Q808" s="196"/>
      <c r="R808" s="196"/>
      <c r="S808" s="196"/>
      <c r="T808" s="196"/>
      <c r="U808" s="196"/>
      <c r="V808" s="196"/>
      <c r="W808" s="196"/>
      <c r="X808" s="196"/>
      <c r="Y808" s="196"/>
      <c r="Z808" s="196"/>
      <c r="AA808" s="196"/>
      <c r="AB808" s="196"/>
      <c r="AC808" s="196"/>
      <c r="AD808" s="196"/>
      <c r="AE808" s="196"/>
      <c r="AF808" s="196"/>
      <c r="AG808" s="196"/>
      <c r="AH808" s="196"/>
      <c r="AI808" s="196"/>
      <c r="AJ808" s="196"/>
      <c r="AK808" s="196"/>
      <c r="AL808" s="196"/>
      <c r="AM808" s="196"/>
    </row>
    <row r="809">
      <c r="F809" s="203"/>
      <c r="H809" s="196"/>
      <c r="I809" s="196"/>
      <c r="J809" s="196"/>
      <c r="K809" s="196"/>
      <c r="L809" s="196"/>
      <c r="M809" s="196"/>
      <c r="N809" s="196"/>
      <c r="O809" s="196"/>
      <c r="P809" s="196"/>
      <c r="Q809" s="196"/>
      <c r="R809" s="196"/>
      <c r="S809" s="196"/>
      <c r="T809" s="196"/>
      <c r="U809" s="196"/>
      <c r="V809" s="196"/>
      <c r="W809" s="196"/>
      <c r="X809" s="196"/>
      <c r="Y809" s="196"/>
      <c r="Z809" s="196"/>
      <c r="AA809" s="196"/>
      <c r="AB809" s="196"/>
      <c r="AC809" s="196"/>
      <c r="AD809" s="196"/>
      <c r="AE809" s="196"/>
      <c r="AF809" s="196"/>
      <c r="AG809" s="196"/>
      <c r="AH809" s="196"/>
      <c r="AI809" s="196"/>
      <c r="AJ809" s="196"/>
      <c r="AK809" s="196"/>
      <c r="AL809" s="196"/>
      <c r="AM809" s="196"/>
    </row>
    <row r="810">
      <c r="F810" s="203"/>
      <c r="H810" s="196"/>
      <c r="I810" s="196"/>
      <c r="J810" s="196"/>
      <c r="K810" s="196"/>
      <c r="L810" s="196"/>
      <c r="M810" s="196"/>
      <c r="N810" s="196"/>
      <c r="O810" s="196"/>
      <c r="P810" s="196"/>
      <c r="Q810" s="196"/>
      <c r="R810" s="196"/>
      <c r="S810" s="196"/>
      <c r="T810" s="196"/>
      <c r="U810" s="196"/>
      <c r="V810" s="196"/>
      <c r="W810" s="196"/>
      <c r="X810" s="196"/>
      <c r="Y810" s="196"/>
      <c r="Z810" s="196"/>
      <c r="AA810" s="196"/>
      <c r="AB810" s="196"/>
      <c r="AC810" s="196"/>
      <c r="AD810" s="196"/>
      <c r="AE810" s="196"/>
      <c r="AF810" s="196"/>
      <c r="AG810" s="196"/>
      <c r="AH810" s="196"/>
      <c r="AI810" s="196"/>
      <c r="AJ810" s="196"/>
      <c r="AK810" s="196"/>
      <c r="AL810" s="196"/>
      <c r="AM810" s="196"/>
    </row>
    <row r="811">
      <c r="F811" s="203"/>
      <c r="H811" s="196"/>
      <c r="I811" s="196"/>
      <c r="J811" s="196"/>
      <c r="K811" s="196"/>
      <c r="L811" s="196"/>
      <c r="M811" s="196"/>
      <c r="N811" s="196"/>
      <c r="O811" s="196"/>
      <c r="P811" s="196"/>
      <c r="Q811" s="196"/>
      <c r="R811" s="196"/>
      <c r="S811" s="196"/>
      <c r="T811" s="196"/>
      <c r="U811" s="196"/>
      <c r="V811" s="196"/>
      <c r="W811" s="196"/>
      <c r="X811" s="196"/>
      <c r="Y811" s="196"/>
      <c r="Z811" s="196"/>
      <c r="AA811" s="196"/>
      <c r="AB811" s="196"/>
      <c r="AC811" s="196"/>
      <c r="AD811" s="196"/>
      <c r="AE811" s="196"/>
      <c r="AF811" s="196"/>
      <c r="AG811" s="196"/>
      <c r="AH811" s="196"/>
      <c r="AI811" s="196"/>
      <c r="AJ811" s="196"/>
      <c r="AK811" s="196"/>
      <c r="AL811" s="196"/>
      <c r="AM811" s="196"/>
    </row>
    <row r="812">
      <c r="F812" s="203"/>
      <c r="H812" s="196"/>
      <c r="I812" s="196"/>
      <c r="J812" s="196"/>
      <c r="K812" s="196"/>
      <c r="L812" s="196"/>
      <c r="M812" s="196"/>
      <c r="N812" s="196"/>
      <c r="O812" s="196"/>
      <c r="P812" s="196"/>
      <c r="Q812" s="196"/>
      <c r="R812" s="196"/>
      <c r="S812" s="196"/>
      <c r="T812" s="196"/>
      <c r="U812" s="196"/>
      <c r="V812" s="196"/>
      <c r="W812" s="196"/>
      <c r="X812" s="196"/>
      <c r="Y812" s="196"/>
      <c r="Z812" s="196"/>
      <c r="AA812" s="196"/>
      <c r="AB812" s="196"/>
      <c r="AC812" s="196"/>
      <c r="AD812" s="196"/>
      <c r="AE812" s="196"/>
      <c r="AF812" s="196"/>
      <c r="AG812" s="196"/>
      <c r="AH812" s="196"/>
      <c r="AI812" s="196"/>
      <c r="AJ812" s="196"/>
      <c r="AK812" s="196"/>
      <c r="AL812" s="196"/>
      <c r="AM812" s="196"/>
    </row>
    <row r="813">
      <c r="F813" s="203"/>
      <c r="H813" s="196"/>
      <c r="I813" s="196"/>
      <c r="J813" s="196"/>
      <c r="K813" s="196"/>
      <c r="L813" s="196"/>
      <c r="M813" s="196"/>
      <c r="N813" s="196"/>
      <c r="O813" s="196"/>
      <c r="P813" s="196"/>
      <c r="Q813" s="196"/>
      <c r="R813" s="196"/>
      <c r="S813" s="196"/>
      <c r="T813" s="196"/>
      <c r="U813" s="196"/>
      <c r="V813" s="196"/>
      <c r="W813" s="196"/>
      <c r="X813" s="196"/>
      <c r="Y813" s="196"/>
      <c r="Z813" s="196"/>
      <c r="AA813" s="196"/>
      <c r="AB813" s="196"/>
      <c r="AC813" s="196"/>
      <c r="AD813" s="196"/>
      <c r="AE813" s="196"/>
      <c r="AF813" s="196"/>
      <c r="AG813" s="196"/>
      <c r="AH813" s="196"/>
      <c r="AI813" s="196"/>
      <c r="AJ813" s="196"/>
      <c r="AK813" s="196"/>
      <c r="AL813" s="196"/>
      <c r="AM813" s="196"/>
    </row>
    <row r="814">
      <c r="F814" s="203"/>
      <c r="H814" s="196"/>
      <c r="I814" s="196"/>
      <c r="J814" s="196"/>
      <c r="K814" s="196"/>
      <c r="L814" s="196"/>
      <c r="M814" s="196"/>
      <c r="N814" s="196"/>
      <c r="O814" s="196"/>
      <c r="P814" s="196"/>
      <c r="Q814" s="196"/>
      <c r="R814" s="196"/>
      <c r="S814" s="196"/>
      <c r="T814" s="196"/>
      <c r="U814" s="196"/>
      <c r="V814" s="196"/>
      <c r="W814" s="196"/>
      <c r="X814" s="196"/>
      <c r="Y814" s="196"/>
      <c r="Z814" s="196"/>
      <c r="AA814" s="196"/>
      <c r="AB814" s="196"/>
      <c r="AC814" s="196"/>
      <c r="AD814" s="196"/>
      <c r="AE814" s="196"/>
      <c r="AF814" s="196"/>
      <c r="AG814" s="196"/>
      <c r="AH814" s="196"/>
      <c r="AI814" s="196"/>
      <c r="AJ814" s="196"/>
      <c r="AK814" s="196"/>
      <c r="AL814" s="196"/>
      <c r="AM814" s="196"/>
    </row>
    <row r="815">
      <c r="F815" s="203"/>
      <c r="H815" s="196"/>
      <c r="I815" s="196"/>
      <c r="J815" s="196"/>
      <c r="K815" s="196"/>
      <c r="L815" s="196"/>
      <c r="M815" s="196"/>
      <c r="N815" s="196"/>
      <c r="O815" s="196"/>
      <c r="P815" s="196"/>
      <c r="Q815" s="196"/>
      <c r="R815" s="196"/>
      <c r="S815" s="196"/>
      <c r="T815" s="196"/>
      <c r="U815" s="196"/>
      <c r="V815" s="196"/>
      <c r="W815" s="196"/>
      <c r="X815" s="196"/>
      <c r="Y815" s="196"/>
      <c r="Z815" s="196"/>
      <c r="AA815" s="196"/>
      <c r="AB815" s="196"/>
      <c r="AC815" s="196"/>
      <c r="AD815" s="196"/>
      <c r="AE815" s="196"/>
      <c r="AF815" s="196"/>
      <c r="AG815" s="196"/>
      <c r="AH815" s="196"/>
      <c r="AI815" s="196"/>
      <c r="AJ815" s="196"/>
      <c r="AK815" s="196"/>
      <c r="AL815" s="196"/>
      <c r="AM815" s="196"/>
    </row>
    <row r="816">
      <c r="F816" s="203"/>
      <c r="H816" s="196"/>
      <c r="I816" s="196"/>
      <c r="J816" s="196"/>
      <c r="K816" s="196"/>
      <c r="L816" s="196"/>
      <c r="M816" s="196"/>
      <c r="N816" s="196"/>
      <c r="O816" s="196"/>
      <c r="P816" s="196"/>
      <c r="Q816" s="196"/>
      <c r="R816" s="196"/>
      <c r="S816" s="196"/>
      <c r="T816" s="196"/>
      <c r="U816" s="196"/>
      <c r="V816" s="196"/>
      <c r="W816" s="196"/>
      <c r="X816" s="196"/>
      <c r="Y816" s="196"/>
      <c r="Z816" s="196"/>
      <c r="AA816" s="196"/>
      <c r="AB816" s="196"/>
      <c r="AC816" s="196"/>
      <c r="AD816" s="196"/>
      <c r="AE816" s="196"/>
      <c r="AF816" s="196"/>
      <c r="AG816" s="196"/>
      <c r="AH816" s="196"/>
      <c r="AI816" s="196"/>
      <c r="AJ816" s="196"/>
      <c r="AK816" s="196"/>
      <c r="AL816" s="196"/>
      <c r="AM816" s="196"/>
    </row>
    <row r="817">
      <c r="F817" s="203"/>
      <c r="H817" s="196"/>
      <c r="I817" s="196"/>
      <c r="J817" s="196"/>
      <c r="K817" s="196"/>
      <c r="L817" s="196"/>
      <c r="M817" s="196"/>
      <c r="N817" s="196"/>
      <c r="O817" s="196"/>
      <c r="P817" s="196"/>
      <c r="Q817" s="196"/>
      <c r="R817" s="196"/>
      <c r="S817" s="196"/>
      <c r="T817" s="196"/>
      <c r="U817" s="196"/>
      <c r="V817" s="196"/>
      <c r="W817" s="196"/>
      <c r="X817" s="196"/>
      <c r="Y817" s="196"/>
      <c r="Z817" s="196"/>
      <c r="AA817" s="196"/>
      <c r="AB817" s="196"/>
      <c r="AC817" s="196"/>
      <c r="AD817" s="196"/>
      <c r="AE817" s="196"/>
      <c r="AF817" s="196"/>
      <c r="AG817" s="196"/>
      <c r="AH817" s="196"/>
      <c r="AI817" s="196"/>
      <c r="AJ817" s="196"/>
      <c r="AK817" s="196"/>
      <c r="AL817" s="196"/>
      <c r="AM817" s="196"/>
    </row>
    <row r="818">
      <c r="F818" s="203"/>
      <c r="H818" s="196"/>
      <c r="I818" s="196"/>
      <c r="J818" s="196"/>
      <c r="K818" s="196"/>
      <c r="L818" s="196"/>
      <c r="M818" s="196"/>
      <c r="N818" s="196"/>
      <c r="O818" s="196"/>
      <c r="P818" s="196"/>
      <c r="Q818" s="196"/>
      <c r="R818" s="196"/>
      <c r="S818" s="196"/>
      <c r="T818" s="196"/>
      <c r="U818" s="196"/>
      <c r="V818" s="196"/>
      <c r="W818" s="196"/>
      <c r="X818" s="196"/>
      <c r="Y818" s="196"/>
      <c r="Z818" s="196"/>
      <c r="AA818" s="196"/>
      <c r="AB818" s="196"/>
      <c r="AC818" s="196"/>
      <c r="AD818" s="196"/>
      <c r="AE818" s="196"/>
      <c r="AF818" s="196"/>
      <c r="AG818" s="196"/>
      <c r="AH818" s="196"/>
      <c r="AI818" s="196"/>
      <c r="AJ818" s="196"/>
      <c r="AK818" s="196"/>
      <c r="AL818" s="196"/>
      <c r="AM818" s="196"/>
    </row>
    <row r="819">
      <c r="F819" s="203"/>
      <c r="H819" s="196"/>
      <c r="I819" s="196"/>
      <c r="J819" s="196"/>
      <c r="K819" s="196"/>
      <c r="L819" s="196"/>
      <c r="M819" s="196"/>
      <c r="N819" s="196"/>
      <c r="O819" s="196"/>
      <c r="P819" s="196"/>
      <c r="Q819" s="196"/>
      <c r="R819" s="196"/>
      <c r="S819" s="196"/>
      <c r="T819" s="196"/>
      <c r="U819" s="196"/>
      <c r="V819" s="196"/>
      <c r="W819" s="196"/>
      <c r="X819" s="196"/>
      <c r="Y819" s="196"/>
      <c r="Z819" s="196"/>
      <c r="AA819" s="196"/>
      <c r="AB819" s="196"/>
      <c r="AC819" s="196"/>
      <c r="AD819" s="196"/>
      <c r="AE819" s="196"/>
      <c r="AF819" s="196"/>
      <c r="AG819" s="196"/>
      <c r="AH819" s="196"/>
      <c r="AI819" s="196"/>
      <c r="AJ819" s="196"/>
      <c r="AK819" s="196"/>
      <c r="AL819" s="196"/>
      <c r="AM819" s="196"/>
    </row>
    <row r="820">
      <c r="F820" s="203"/>
      <c r="H820" s="196"/>
      <c r="I820" s="196"/>
      <c r="J820" s="196"/>
      <c r="K820" s="196"/>
      <c r="L820" s="196"/>
      <c r="M820" s="196"/>
      <c r="N820" s="196"/>
      <c r="O820" s="196"/>
      <c r="P820" s="196"/>
      <c r="Q820" s="196"/>
      <c r="R820" s="196"/>
      <c r="S820" s="196"/>
      <c r="T820" s="196"/>
      <c r="U820" s="196"/>
      <c r="V820" s="196"/>
      <c r="W820" s="196"/>
      <c r="X820" s="196"/>
      <c r="Y820" s="196"/>
      <c r="Z820" s="196"/>
      <c r="AA820" s="196"/>
      <c r="AB820" s="196"/>
      <c r="AC820" s="196"/>
      <c r="AD820" s="196"/>
      <c r="AE820" s="196"/>
      <c r="AF820" s="196"/>
      <c r="AG820" s="196"/>
      <c r="AH820" s="196"/>
      <c r="AI820" s="196"/>
      <c r="AJ820" s="196"/>
      <c r="AK820" s="196"/>
      <c r="AL820" s="196"/>
      <c r="AM820" s="196"/>
    </row>
    <row r="821">
      <c r="F821" s="203"/>
      <c r="H821" s="196"/>
      <c r="I821" s="196"/>
      <c r="J821" s="196"/>
      <c r="K821" s="196"/>
      <c r="L821" s="196"/>
      <c r="M821" s="196"/>
      <c r="N821" s="196"/>
      <c r="O821" s="196"/>
      <c r="P821" s="196"/>
      <c r="Q821" s="196"/>
      <c r="R821" s="196"/>
      <c r="S821" s="196"/>
      <c r="T821" s="196"/>
      <c r="U821" s="196"/>
      <c r="V821" s="196"/>
      <c r="W821" s="196"/>
      <c r="X821" s="196"/>
      <c r="Y821" s="196"/>
      <c r="Z821" s="196"/>
      <c r="AA821" s="196"/>
      <c r="AB821" s="196"/>
      <c r="AC821" s="196"/>
      <c r="AD821" s="196"/>
      <c r="AE821" s="196"/>
      <c r="AF821" s="196"/>
      <c r="AG821" s="196"/>
      <c r="AH821" s="196"/>
      <c r="AI821" s="196"/>
      <c r="AJ821" s="196"/>
      <c r="AK821" s="196"/>
      <c r="AL821" s="196"/>
      <c r="AM821" s="196"/>
    </row>
    <row r="822">
      <c r="F822" s="203"/>
      <c r="H822" s="196"/>
      <c r="I822" s="196"/>
      <c r="J822" s="196"/>
      <c r="K822" s="196"/>
      <c r="L822" s="196"/>
      <c r="M822" s="196"/>
      <c r="N822" s="196"/>
      <c r="O822" s="196"/>
      <c r="P822" s="196"/>
      <c r="Q822" s="196"/>
      <c r="R822" s="196"/>
      <c r="S822" s="196"/>
      <c r="T822" s="196"/>
      <c r="U822" s="196"/>
      <c r="V822" s="196"/>
      <c r="W822" s="196"/>
      <c r="X822" s="196"/>
      <c r="Y822" s="196"/>
      <c r="Z822" s="196"/>
      <c r="AA822" s="196"/>
      <c r="AB822" s="196"/>
      <c r="AC822" s="196"/>
      <c r="AD822" s="196"/>
      <c r="AE822" s="196"/>
      <c r="AF822" s="196"/>
      <c r="AG822" s="196"/>
      <c r="AH822" s="196"/>
      <c r="AI822" s="196"/>
      <c r="AJ822" s="196"/>
      <c r="AK822" s="196"/>
      <c r="AL822" s="196"/>
      <c r="AM822" s="196"/>
    </row>
    <row r="823">
      <c r="F823" s="203"/>
      <c r="H823" s="196"/>
      <c r="I823" s="196"/>
      <c r="J823" s="196"/>
      <c r="K823" s="196"/>
      <c r="L823" s="196"/>
      <c r="M823" s="196"/>
      <c r="N823" s="196"/>
      <c r="O823" s="196"/>
      <c r="P823" s="196"/>
      <c r="Q823" s="196"/>
      <c r="R823" s="196"/>
      <c r="S823" s="196"/>
      <c r="T823" s="196"/>
      <c r="U823" s="196"/>
      <c r="V823" s="196"/>
      <c r="W823" s="196"/>
      <c r="X823" s="196"/>
      <c r="Y823" s="196"/>
      <c r="Z823" s="196"/>
      <c r="AA823" s="196"/>
      <c r="AB823" s="196"/>
      <c r="AC823" s="196"/>
      <c r="AD823" s="196"/>
      <c r="AE823" s="196"/>
      <c r="AF823" s="196"/>
      <c r="AG823" s="196"/>
      <c r="AH823" s="196"/>
      <c r="AI823" s="196"/>
      <c r="AJ823" s="196"/>
      <c r="AK823" s="196"/>
      <c r="AL823" s="196"/>
      <c r="AM823" s="196"/>
    </row>
    <row r="824">
      <c r="F824" s="203"/>
      <c r="H824" s="196"/>
      <c r="I824" s="196"/>
      <c r="J824" s="196"/>
      <c r="K824" s="196"/>
      <c r="L824" s="196"/>
      <c r="M824" s="196"/>
      <c r="N824" s="196"/>
      <c r="O824" s="196"/>
      <c r="P824" s="196"/>
      <c r="Q824" s="196"/>
      <c r="R824" s="196"/>
      <c r="S824" s="196"/>
      <c r="T824" s="196"/>
      <c r="U824" s="196"/>
      <c r="V824" s="196"/>
      <c r="W824" s="196"/>
      <c r="X824" s="196"/>
      <c r="Y824" s="196"/>
      <c r="Z824" s="196"/>
      <c r="AA824" s="196"/>
      <c r="AB824" s="196"/>
      <c r="AC824" s="196"/>
      <c r="AD824" s="196"/>
      <c r="AE824" s="196"/>
      <c r="AF824" s="196"/>
      <c r="AG824" s="196"/>
      <c r="AH824" s="196"/>
      <c r="AI824" s="196"/>
      <c r="AJ824" s="196"/>
      <c r="AK824" s="196"/>
      <c r="AL824" s="196"/>
      <c r="AM824" s="196"/>
    </row>
    <row r="825">
      <c r="F825" s="203"/>
      <c r="H825" s="196"/>
      <c r="I825" s="196"/>
      <c r="J825" s="196"/>
      <c r="K825" s="196"/>
      <c r="L825" s="196"/>
      <c r="M825" s="196"/>
      <c r="N825" s="196"/>
      <c r="O825" s="196"/>
      <c r="P825" s="196"/>
      <c r="Q825" s="196"/>
      <c r="R825" s="196"/>
      <c r="S825" s="196"/>
      <c r="T825" s="196"/>
      <c r="U825" s="196"/>
      <c r="V825" s="196"/>
      <c r="W825" s="196"/>
      <c r="X825" s="196"/>
      <c r="Y825" s="196"/>
      <c r="Z825" s="196"/>
      <c r="AA825" s="196"/>
      <c r="AB825" s="196"/>
      <c r="AC825" s="196"/>
      <c r="AD825" s="196"/>
      <c r="AE825" s="196"/>
      <c r="AF825" s="196"/>
      <c r="AG825" s="196"/>
      <c r="AH825" s="196"/>
      <c r="AI825" s="196"/>
      <c r="AJ825" s="196"/>
      <c r="AK825" s="196"/>
      <c r="AL825" s="196"/>
      <c r="AM825" s="196"/>
    </row>
    <row r="826">
      <c r="F826" s="203"/>
      <c r="H826" s="196"/>
      <c r="I826" s="196"/>
      <c r="J826" s="196"/>
      <c r="K826" s="196"/>
      <c r="L826" s="196"/>
      <c r="M826" s="196"/>
      <c r="N826" s="196"/>
      <c r="O826" s="196"/>
      <c r="P826" s="196"/>
      <c r="Q826" s="196"/>
      <c r="R826" s="196"/>
      <c r="S826" s="196"/>
      <c r="T826" s="196"/>
      <c r="U826" s="196"/>
      <c r="V826" s="196"/>
      <c r="W826" s="196"/>
      <c r="X826" s="196"/>
      <c r="Y826" s="196"/>
      <c r="Z826" s="196"/>
      <c r="AA826" s="196"/>
      <c r="AB826" s="196"/>
      <c r="AC826" s="196"/>
      <c r="AD826" s="196"/>
      <c r="AE826" s="196"/>
      <c r="AF826" s="196"/>
      <c r="AG826" s="196"/>
      <c r="AH826" s="196"/>
      <c r="AI826" s="196"/>
      <c r="AJ826" s="196"/>
      <c r="AK826" s="196"/>
      <c r="AL826" s="196"/>
      <c r="AM826" s="196"/>
    </row>
    <row r="827">
      <c r="F827" s="203"/>
      <c r="H827" s="196"/>
      <c r="I827" s="196"/>
      <c r="J827" s="196"/>
      <c r="K827" s="196"/>
      <c r="L827" s="196"/>
      <c r="M827" s="196"/>
      <c r="N827" s="196"/>
      <c r="O827" s="196"/>
      <c r="P827" s="196"/>
      <c r="Q827" s="196"/>
      <c r="R827" s="196"/>
      <c r="S827" s="196"/>
      <c r="T827" s="196"/>
      <c r="U827" s="196"/>
      <c r="V827" s="196"/>
      <c r="W827" s="196"/>
      <c r="X827" s="196"/>
      <c r="Y827" s="196"/>
      <c r="Z827" s="196"/>
      <c r="AA827" s="196"/>
      <c r="AB827" s="196"/>
      <c r="AC827" s="196"/>
      <c r="AD827" s="196"/>
      <c r="AE827" s="196"/>
      <c r="AF827" s="196"/>
      <c r="AG827" s="196"/>
      <c r="AH827" s="196"/>
      <c r="AI827" s="196"/>
      <c r="AJ827" s="196"/>
      <c r="AK827" s="196"/>
      <c r="AL827" s="196"/>
      <c r="AM827" s="196"/>
    </row>
    <row r="828">
      <c r="F828" s="203"/>
      <c r="H828" s="196"/>
      <c r="I828" s="196"/>
      <c r="J828" s="196"/>
      <c r="K828" s="196"/>
      <c r="L828" s="196"/>
      <c r="M828" s="196"/>
      <c r="N828" s="196"/>
      <c r="O828" s="196"/>
      <c r="P828" s="196"/>
      <c r="Q828" s="196"/>
      <c r="R828" s="196"/>
      <c r="S828" s="196"/>
      <c r="T828" s="196"/>
      <c r="U828" s="196"/>
      <c r="V828" s="196"/>
      <c r="W828" s="196"/>
      <c r="X828" s="196"/>
      <c r="Y828" s="196"/>
      <c r="Z828" s="196"/>
      <c r="AA828" s="196"/>
      <c r="AB828" s="196"/>
      <c r="AC828" s="196"/>
      <c r="AD828" s="196"/>
      <c r="AE828" s="196"/>
      <c r="AF828" s="196"/>
      <c r="AG828" s="196"/>
      <c r="AH828" s="196"/>
      <c r="AI828" s="196"/>
      <c r="AJ828" s="196"/>
      <c r="AK828" s="196"/>
      <c r="AL828" s="196"/>
      <c r="AM828" s="196"/>
    </row>
    <row r="829">
      <c r="F829" s="203"/>
      <c r="H829" s="196"/>
      <c r="I829" s="196"/>
      <c r="J829" s="196"/>
      <c r="K829" s="196"/>
      <c r="L829" s="196"/>
      <c r="M829" s="196"/>
      <c r="N829" s="196"/>
      <c r="O829" s="196"/>
      <c r="P829" s="196"/>
      <c r="Q829" s="196"/>
      <c r="R829" s="196"/>
      <c r="S829" s="196"/>
      <c r="T829" s="196"/>
      <c r="U829" s="196"/>
      <c r="V829" s="196"/>
      <c r="W829" s="196"/>
      <c r="X829" s="196"/>
      <c r="Y829" s="196"/>
      <c r="Z829" s="196"/>
      <c r="AA829" s="196"/>
      <c r="AB829" s="196"/>
      <c r="AC829" s="196"/>
      <c r="AD829" s="196"/>
      <c r="AE829" s="196"/>
      <c r="AF829" s="196"/>
      <c r="AG829" s="196"/>
      <c r="AH829" s="196"/>
      <c r="AI829" s="196"/>
      <c r="AJ829" s="196"/>
      <c r="AK829" s="196"/>
      <c r="AL829" s="196"/>
      <c r="AM829" s="196"/>
    </row>
    <row r="830">
      <c r="F830" s="203"/>
      <c r="H830" s="196"/>
      <c r="I830" s="196"/>
      <c r="J830" s="196"/>
      <c r="K830" s="196"/>
      <c r="L830" s="196"/>
      <c r="M830" s="196"/>
      <c r="N830" s="196"/>
      <c r="O830" s="196"/>
      <c r="P830" s="196"/>
      <c r="Q830" s="196"/>
      <c r="R830" s="196"/>
      <c r="S830" s="196"/>
      <c r="T830" s="196"/>
      <c r="U830" s="196"/>
      <c r="V830" s="196"/>
      <c r="W830" s="196"/>
      <c r="X830" s="196"/>
      <c r="Y830" s="196"/>
      <c r="Z830" s="196"/>
      <c r="AA830" s="196"/>
      <c r="AB830" s="196"/>
      <c r="AC830" s="196"/>
      <c r="AD830" s="196"/>
      <c r="AE830" s="196"/>
      <c r="AF830" s="196"/>
      <c r="AG830" s="196"/>
      <c r="AH830" s="196"/>
      <c r="AI830" s="196"/>
      <c r="AJ830" s="196"/>
      <c r="AK830" s="196"/>
      <c r="AL830" s="196"/>
      <c r="AM830" s="196"/>
    </row>
    <row r="831">
      <c r="F831" s="203"/>
      <c r="H831" s="196"/>
      <c r="I831" s="196"/>
      <c r="J831" s="196"/>
      <c r="K831" s="196"/>
      <c r="L831" s="196"/>
      <c r="M831" s="196"/>
      <c r="N831" s="196"/>
      <c r="O831" s="196"/>
      <c r="P831" s="196"/>
      <c r="Q831" s="196"/>
      <c r="R831" s="196"/>
      <c r="S831" s="196"/>
      <c r="T831" s="196"/>
      <c r="U831" s="196"/>
      <c r="V831" s="196"/>
      <c r="W831" s="196"/>
      <c r="X831" s="196"/>
      <c r="Y831" s="196"/>
      <c r="Z831" s="196"/>
      <c r="AA831" s="196"/>
      <c r="AB831" s="196"/>
      <c r="AC831" s="196"/>
      <c r="AD831" s="196"/>
      <c r="AE831" s="196"/>
      <c r="AF831" s="196"/>
      <c r="AG831" s="196"/>
      <c r="AH831" s="196"/>
      <c r="AI831" s="196"/>
      <c r="AJ831" s="196"/>
      <c r="AK831" s="196"/>
      <c r="AL831" s="196"/>
      <c r="AM831" s="196"/>
    </row>
    <row r="832">
      <c r="F832" s="203"/>
      <c r="H832" s="196"/>
      <c r="I832" s="196"/>
      <c r="J832" s="196"/>
      <c r="K832" s="196"/>
      <c r="L832" s="196"/>
      <c r="M832" s="196"/>
      <c r="N832" s="196"/>
      <c r="O832" s="196"/>
      <c r="P832" s="196"/>
      <c r="Q832" s="196"/>
      <c r="R832" s="196"/>
      <c r="S832" s="196"/>
      <c r="T832" s="196"/>
      <c r="U832" s="196"/>
      <c r="V832" s="196"/>
      <c r="W832" s="196"/>
      <c r="X832" s="196"/>
      <c r="Y832" s="196"/>
      <c r="Z832" s="196"/>
      <c r="AA832" s="196"/>
      <c r="AB832" s="196"/>
      <c r="AC832" s="196"/>
      <c r="AD832" s="196"/>
      <c r="AE832" s="196"/>
      <c r="AF832" s="196"/>
      <c r="AG832" s="196"/>
      <c r="AH832" s="196"/>
      <c r="AI832" s="196"/>
      <c r="AJ832" s="196"/>
      <c r="AK832" s="196"/>
      <c r="AL832" s="196"/>
      <c r="AM832" s="196"/>
    </row>
    <row r="833">
      <c r="F833" s="203"/>
      <c r="H833" s="196"/>
      <c r="I833" s="196"/>
      <c r="J833" s="196"/>
      <c r="K833" s="196"/>
      <c r="L833" s="196"/>
      <c r="M833" s="196"/>
      <c r="N833" s="196"/>
      <c r="O833" s="196"/>
      <c r="P833" s="196"/>
      <c r="Q833" s="196"/>
      <c r="R833" s="196"/>
      <c r="S833" s="196"/>
      <c r="T833" s="196"/>
      <c r="U833" s="196"/>
      <c r="V833" s="196"/>
      <c r="W833" s="196"/>
      <c r="X833" s="196"/>
      <c r="Y833" s="196"/>
      <c r="Z833" s="196"/>
      <c r="AA833" s="196"/>
      <c r="AB833" s="196"/>
      <c r="AC833" s="196"/>
      <c r="AD833" s="196"/>
      <c r="AE833" s="196"/>
      <c r="AF833" s="196"/>
      <c r="AG833" s="196"/>
      <c r="AH833" s="196"/>
      <c r="AI833" s="196"/>
      <c r="AJ833" s="196"/>
      <c r="AK833" s="196"/>
      <c r="AL833" s="196"/>
      <c r="AM833" s="196"/>
    </row>
    <row r="834">
      <c r="F834" s="203"/>
      <c r="H834" s="196"/>
      <c r="I834" s="196"/>
      <c r="J834" s="196"/>
      <c r="K834" s="196"/>
      <c r="L834" s="196"/>
      <c r="M834" s="196"/>
      <c r="N834" s="196"/>
      <c r="O834" s="196"/>
      <c r="P834" s="196"/>
      <c r="Q834" s="196"/>
      <c r="R834" s="196"/>
      <c r="S834" s="196"/>
      <c r="T834" s="196"/>
      <c r="U834" s="196"/>
      <c r="V834" s="196"/>
      <c r="W834" s="196"/>
      <c r="X834" s="196"/>
      <c r="Y834" s="196"/>
      <c r="Z834" s="196"/>
      <c r="AA834" s="196"/>
      <c r="AB834" s="196"/>
      <c r="AC834" s="196"/>
      <c r="AD834" s="196"/>
      <c r="AE834" s="196"/>
      <c r="AF834" s="196"/>
      <c r="AG834" s="196"/>
      <c r="AH834" s="196"/>
      <c r="AI834" s="196"/>
      <c r="AJ834" s="196"/>
      <c r="AK834" s="196"/>
      <c r="AL834" s="196"/>
      <c r="AM834" s="196"/>
    </row>
    <row r="835">
      <c r="F835" s="203"/>
      <c r="H835" s="196"/>
      <c r="I835" s="196"/>
      <c r="J835" s="196"/>
      <c r="K835" s="196"/>
      <c r="L835" s="196"/>
      <c r="M835" s="196"/>
      <c r="N835" s="196"/>
      <c r="O835" s="196"/>
      <c r="P835" s="196"/>
      <c r="Q835" s="196"/>
      <c r="R835" s="196"/>
      <c r="S835" s="196"/>
      <c r="T835" s="196"/>
      <c r="U835" s="196"/>
      <c r="V835" s="196"/>
      <c r="W835" s="196"/>
      <c r="X835" s="196"/>
      <c r="Y835" s="196"/>
      <c r="Z835" s="196"/>
      <c r="AA835" s="196"/>
      <c r="AB835" s="196"/>
      <c r="AC835" s="196"/>
      <c r="AD835" s="196"/>
      <c r="AE835" s="196"/>
      <c r="AF835" s="196"/>
      <c r="AG835" s="196"/>
      <c r="AH835" s="196"/>
      <c r="AI835" s="196"/>
      <c r="AJ835" s="196"/>
      <c r="AK835" s="196"/>
      <c r="AL835" s="196"/>
      <c r="AM835" s="196"/>
    </row>
    <row r="836">
      <c r="F836" s="203"/>
      <c r="H836" s="196"/>
      <c r="I836" s="196"/>
      <c r="J836" s="196"/>
      <c r="K836" s="196"/>
      <c r="L836" s="196"/>
      <c r="M836" s="196"/>
      <c r="N836" s="196"/>
      <c r="O836" s="196"/>
      <c r="P836" s="196"/>
      <c r="Q836" s="196"/>
      <c r="R836" s="196"/>
      <c r="S836" s="196"/>
      <c r="T836" s="196"/>
      <c r="U836" s="196"/>
      <c r="V836" s="196"/>
      <c r="W836" s="196"/>
      <c r="X836" s="196"/>
      <c r="Y836" s="196"/>
      <c r="Z836" s="196"/>
      <c r="AA836" s="196"/>
      <c r="AB836" s="196"/>
      <c r="AC836" s="196"/>
      <c r="AD836" s="196"/>
      <c r="AE836" s="196"/>
      <c r="AF836" s="196"/>
      <c r="AG836" s="196"/>
      <c r="AH836" s="196"/>
      <c r="AI836" s="196"/>
      <c r="AJ836" s="196"/>
      <c r="AK836" s="196"/>
      <c r="AL836" s="196"/>
      <c r="AM836" s="196"/>
    </row>
    <row r="837">
      <c r="F837" s="203"/>
      <c r="H837" s="196"/>
      <c r="I837" s="196"/>
      <c r="J837" s="196"/>
      <c r="K837" s="196"/>
      <c r="L837" s="196"/>
      <c r="M837" s="196"/>
      <c r="N837" s="196"/>
      <c r="O837" s="196"/>
      <c r="P837" s="196"/>
      <c r="Q837" s="196"/>
      <c r="R837" s="196"/>
      <c r="S837" s="196"/>
      <c r="T837" s="196"/>
      <c r="U837" s="196"/>
      <c r="V837" s="196"/>
      <c r="W837" s="196"/>
      <c r="X837" s="196"/>
      <c r="Y837" s="196"/>
      <c r="Z837" s="196"/>
      <c r="AA837" s="196"/>
      <c r="AB837" s="196"/>
      <c r="AC837" s="196"/>
      <c r="AD837" s="196"/>
      <c r="AE837" s="196"/>
      <c r="AF837" s="196"/>
      <c r="AG837" s="196"/>
      <c r="AH837" s="196"/>
      <c r="AI837" s="196"/>
      <c r="AJ837" s="196"/>
      <c r="AK837" s="196"/>
      <c r="AL837" s="196"/>
      <c r="AM837" s="196"/>
    </row>
    <row r="838">
      <c r="F838" s="203"/>
      <c r="H838" s="196"/>
      <c r="I838" s="196"/>
      <c r="J838" s="196"/>
      <c r="K838" s="196"/>
      <c r="L838" s="196"/>
      <c r="M838" s="196"/>
      <c r="N838" s="196"/>
      <c r="O838" s="196"/>
      <c r="P838" s="196"/>
      <c r="Q838" s="196"/>
      <c r="R838" s="196"/>
      <c r="S838" s="196"/>
      <c r="T838" s="196"/>
      <c r="U838" s="196"/>
      <c r="V838" s="196"/>
      <c r="W838" s="196"/>
      <c r="X838" s="196"/>
      <c r="Y838" s="196"/>
      <c r="Z838" s="196"/>
      <c r="AA838" s="196"/>
      <c r="AB838" s="196"/>
      <c r="AC838" s="196"/>
      <c r="AD838" s="196"/>
      <c r="AE838" s="196"/>
      <c r="AF838" s="196"/>
      <c r="AG838" s="196"/>
      <c r="AH838" s="196"/>
      <c r="AI838" s="196"/>
      <c r="AJ838" s="196"/>
      <c r="AK838" s="196"/>
      <c r="AL838" s="196"/>
      <c r="AM838" s="196"/>
    </row>
    <row r="839">
      <c r="F839" s="203"/>
      <c r="H839" s="196"/>
      <c r="I839" s="196"/>
      <c r="J839" s="196"/>
      <c r="K839" s="196"/>
      <c r="L839" s="196"/>
      <c r="M839" s="196"/>
      <c r="N839" s="196"/>
      <c r="O839" s="196"/>
      <c r="P839" s="196"/>
      <c r="Q839" s="196"/>
      <c r="R839" s="196"/>
      <c r="S839" s="196"/>
      <c r="T839" s="196"/>
      <c r="U839" s="196"/>
      <c r="V839" s="196"/>
      <c r="W839" s="196"/>
      <c r="X839" s="196"/>
      <c r="Y839" s="196"/>
      <c r="Z839" s="196"/>
      <c r="AA839" s="196"/>
      <c r="AB839" s="196"/>
      <c r="AC839" s="196"/>
      <c r="AD839" s="196"/>
      <c r="AE839" s="196"/>
      <c r="AF839" s="196"/>
      <c r="AG839" s="196"/>
      <c r="AH839" s="196"/>
      <c r="AI839" s="196"/>
      <c r="AJ839" s="196"/>
      <c r="AK839" s="196"/>
      <c r="AL839" s="196"/>
      <c r="AM839" s="196"/>
    </row>
    <row r="840">
      <c r="F840" s="203"/>
      <c r="H840" s="196"/>
      <c r="I840" s="196"/>
      <c r="J840" s="196"/>
      <c r="K840" s="196"/>
      <c r="L840" s="196"/>
      <c r="M840" s="196"/>
      <c r="N840" s="196"/>
      <c r="O840" s="196"/>
      <c r="P840" s="196"/>
      <c r="Q840" s="196"/>
      <c r="R840" s="196"/>
      <c r="S840" s="196"/>
      <c r="T840" s="196"/>
      <c r="U840" s="196"/>
      <c r="V840" s="196"/>
      <c r="W840" s="196"/>
      <c r="X840" s="196"/>
      <c r="Y840" s="196"/>
      <c r="Z840" s="196"/>
      <c r="AA840" s="196"/>
      <c r="AB840" s="196"/>
      <c r="AC840" s="196"/>
      <c r="AD840" s="196"/>
      <c r="AE840" s="196"/>
      <c r="AF840" s="196"/>
      <c r="AG840" s="196"/>
      <c r="AH840" s="196"/>
      <c r="AI840" s="196"/>
      <c r="AJ840" s="196"/>
      <c r="AK840" s="196"/>
      <c r="AL840" s="196"/>
      <c r="AM840" s="196"/>
    </row>
    <row r="841">
      <c r="F841" s="203"/>
      <c r="H841" s="196"/>
      <c r="I841" s="196"/>
      <c r="J841" s="196"/>
      <c r="K841" s="196"/>
      <c r="L841" s="196"/>
      <c r="M841" s="196"/>
      <c r="N841" s="196"/>
      <c r="O841" s="196"/>
      <c r="P841" s="196"/>
      <c r="Q841" s="196"/>
      <c r="R841" s="196"/>
      <c r="S841" s="196"/>
      <c r="T841" s="196"/>
      <c r="U841" s="196"/>
      <c r="V841" s="196"/>
      <c r="W841" s="196"/>
      <c r="X841" s="196"/>
      <c r="Y841" s="196"/>
      <c r="Z841" s="196"/>
      <c r="AA841" s="196"/>
      <c r="AB841" s="196"/>
      <c r="AC841" s="196"/>
      <c r="AD841" s="196"/>
      <c r="AE841" s="196"/>
      <c r="AF841" s="196"/>
      <c r="AG841" s="196"/>
      <c r="AH841" s="196"/>
      <c r="AI841" s="196"/>
      <c r="AJ841" s="196"/>
      <c r="AK841" s="196"/>
      <c r="AL841" s="196"/>
      <c r="AM841" s="196"/>
    </row>
    <row r="842">
      <c r="F842" s="203"/>
      <c r="H842" s="196"/>
      <c r="I842" s="196"/>
      <c r="J842" s="196"/>
      <c r="K842" s="196"/>
      <c r="L842" s="196"/>
      <c r="M842" s="196"/>
      <c r="N842" s="196"/>
      <c r="O842" s="196"/>
      <c r="P842" s="196"/>
      <c r="Q842" s="196"/>
      <c r="R842" s="196"/>
      <c r="S842" s="196"/>
      <c r="T842" s="196"/>
      <c r="U842" s="196"/>
      <c r="V842" s="196"/>
      <c r="W842" s="196"/>
      <c r="X842" s="196"/>
      <c r="Y842" s="196"/>
      <c r="Z842" s="196"/>
      <c r="AA842" s="196"/>
      <c r="AB842" s="196"/>
      <c r="AC842" s="196"/>
      <c r="AD842" s="196"/>
      <c r="AE842" s="196"/>
      <c r="AF842" s="196"/>
      <c r="AG842" s="196"/>
      <c r="AH842" s="196"/>
      <c r="AI842" s="196"/>
      <c r="AJ842" s="196"/>
      <c r="AK842" s="196"/>
      <c r="AL842" s="196"/>
      <c r="AM842" s="196"/>
    </row>
    <row r="843">
      <c r="F843" s="203"/>
      <c r="H843" s="196"/>
      <c r="I843" s="196"/>
      <c r="J843" s="196"/>
      <c r="K843" s="196"/>
      <c r="L843" s="196"/>
      <c r="M843" s="196"/>
      <c r="N843" s="196"/>
      <c r="O843" s="196"/>
      <c r="P843" s="196"/>
      <c r="Q843" s="196"/>
      <c r="R843" s="196"/>
      <c r="S843" s="196"/>
      <c r="T843" s="196"/>
      <c r="U843" s="196"/>
      <c r="V843" s="196"/>
      <c r="W843" s="196"/>
      <c r="X843" s="196"/>
      <c r="Y843" s="196"/>
      <c r="Z843" s="196"/>
      <c r="AA843" s="196"/>
      <c r="AB843" s="196"/>
      <c r="AC843" s="196"/>
      <c r="AD843" s="196"/>
      <c r="AE843" s="196"/>
      <c r="AF843" s="196"/>
      <c r="AG843" s="196"/>
      <c r="AH843" s="196"/>
      <c r="AI843" s="196"/>
      <c r="AJ843" s="196"/>
      <c r="AK843" s="196"/>
      <c r="AL843" s="196"/>
      <c r="AM843" s="196"/>
    </row>
    <row r="844">
      <c r="F844" s="203"/>
      <c r="H844" s="196"/>
      <c r="I844" s="196"/>
      <c r="J844" s="196"/>
      <c r="K844" s="196"/>
      <c r="L844" s="196"/>
      <c r="M844" s="196"/>
      <c r="N844" s="196"/>
      <c r="O844" s="196"/>
      <c r="P844" s="196"/>
      <c r="Q844" s="196"/>
      <c r="R844" s="196"/>
      <c r="S844" s="196"/>
      <c r="T844" s="196"/>
      <c r="U844" s="196"/>
      <c r="V844" s="196"/>
      <c r="W844" s="196"/>
      <c r="X844" s="196"/>
      <c r="Y844" s="196"/>
      <c r="Z844" s="196"/>
      <c r="AA844" s="196"/>
      <c r="AB844" s="196"/>
      <c r="AC844" s="196"/>
      <c r="AD844" s="196"/>
      <c r="AE844" s="196"/>
      <c r="AF844" s="196"/>
      <c r="AG844" s="196"/>
      <c r="AH844" s="196"/>
      <c r="AI844" s="196"/>
      <c r="AJ844" s="196"/>
      <c r="AK844" s="196"/>
      <c r="AL844" s="196"/>
      <c r="AM844" s="196"/>
    </row>
    <row r="845">
      <c r="F845" s="203"/>
      <c r="H845" s="196"/>
      <c r="I845" s="196"/>
      <c r="J845" s="196"/>
      <c r="K845" s="196"/>
      <c r="L845" s="196"/>
      <c r="M845" s="196"/>
      <c r="N845" s="196"/>
      <c r="O845" s="196"/>
      <c r="P845" s="196"/>
      <c r="Q845" s="196"/>
      <c r="R845" s="196"/>
      <c r="S845" s="196"/>
      <c r="T845" s="196"/>
      <c r="U845" s="196"/>
      <c r="V845" s="196"/>
      <c r="W845" s="196"/>
      <c r="X845" s="196"/>
      <c r="Y845" s="196"/>
      <c r="Z845" s="196"/>
      <c r="AA845" s="196"/>
      <c r="AB845" s="196"/>
      <c r="AC845" s="196"/>
      <c r="AD845" s="196"/>
      <c r="AE845" s="196"/>
      <c r="AF845" s="196"/>
      <c r="AG845" s="196"/>
      <c r="AH845" s="196"/>
      <c r="AI845" s="196"/>
      <c r="AJ845" s="196"/>
      <c r="AK845" s="196"/>
      <c r="AL845" s="196"/>
      <c r="AM845" s="196"/>
    </row>
    <row r="846">
      <c r="F846" s="203"/>
      <c r="H846" s="196"/>
      <c r="I846" s="196"/>
      <c r="J846" s="196"/>
      <c r="K846" s="196"/>
      <c r="L846" s="196"/>
      <c r="M846" s="196"/>
      <c r="N846" s="196"/>
      <c r="O846" s="196"/>
      <c r="P846" s="196"/>
      <c r="Q846" s="196"/>
      <c r="R846" s="196"/>
      <c r="S846" s="196"/>
      <c r="T846" s="196"/>
      <c r="U846" s="196"/>
      <c r="V846" s="196"/>
      <c r="W846" s="196"/>
      <c r="X846" s="196"/>
      <c r="Y846" s="196"/>
      <c r="Z846" s="196"/>
      <c r="AA846" s="196"/>
      <c r="AB846" s="196"/>
      <c r="AC846" s="196"/>
      <c r="AD846" s="196"/>
      <c r="AE846" s="196"/>
      <c r="AF846" s="196"/>
      <c r="AG846" s="196"/>
      <c r="AH846" s="196"/>
      <c r="AI846" s="196"/>
      <c r="AJ846" s="196"/>
      <c r="AK846" s="196"/>
      <c r="AL846" s="196"/>
      <c r="AM846" s="196"/>
    </row>
    <row r="847">
      <c r="F847" s="203"/>
      <c r="H847" s="196"/>
      <c r="I847" s="196"/>
      <c r="J847" s="196"/>
      <c r="K847" s="196"/>
      <c r="L847" s="196"/>
      <c r="M847" s="196"/>
      <c r="N847" s="196"/>
      <c r="O847" s="196"/>
      <c r="P847" s="196"/>
      <c r="Q847" s="196"/>
      <c r="R847" s="196"/>
      <c r="S847" s="196"/>
      <c r="T847" s="196"/>
      <c r="U847" s="196"/>
      <c r="V847" s="196"/>
      <c r="W847" s="196"/>
      <c r="X847" s="196"/>
      <c r="Y847" s="196"/>
      <c r="Z847" s="196"/>
      <c r="AA847" s="196"/>
      <c r="AB847" s="196"/>
      <c r="AC847" s="196"/>
      <c r="AD847" s="196"/>
      <c r="AE847" s="196"/>
      <c r="AF847" s="196"/>
      <c r="AG847" s="196"/>
      <c r="AH847" s="196"/>
      <c r="AI847" s="196"/>
      <c r="AJ847" s="196"/>
      <c r="AK847" s="196"/>
      <c r="AL847" s="196"/>
      <c r="AM847" s="196"/>
    </row>
    <row r="848">
      <c r="F848" s="203"/>
      <c r="H848" s="196"/>
      <c r="I848" s="196"/>
      <c r="J848" s="196"/>
      <c r="K848" s="196"/>
      <c r="L848" s="196"/>
      <c r="M848" s="196"/>
      <c r="N848" s="196"/>
      <c r="O848" s="196"/>
      <c r="P848" s="196"/>
      <c r="Q848" s="196"/>
      <c r="R848" s="196"/>
      <c r="S848" s="196"/>
      <c r="T848" s="196"/>
      <c r="U848" s="196"/>
      <c r="V848" s="196"/>
      <c r="W848" s="196"/>
      <c r="X848" s="196"/>
      <c r="Y848" s="196"/>
      <c r="Z848" s="196"/>
      <c r="AA848" s="196"/>
      <c r="AB848" s="196"/>
      <c r="AC848" s="196"/>
      <c r="AD848" s="196"/>
      <c r="AE848" s="196"/>
      <c r="AF848" s="196"/>
      <c r="AG848" s="196"/>
      <c r="AH848" s="196"/>
      <c r="AI848" s="196"/>
      <c r="AJ848" s="196"/>
      <c r="AK848" s="196"/>
      <c r="AL848" s="196"/>
      <c r="AM848" s="196"/>
    </row>
    <row r="849">
      <c r="F849" s="203"/>
      <c r="H849" s="196"/>
      <c r="I849" s="196"/>
      <c r="J849" s="196"/>
      <c r="K849" s="196"/>
      <c r="L849" s="196"/>
      <c r="M849" s="196"/>
      <c r="N849" s="196"/>
      <c r="O849" s="196"/>
      <c r="P849" s="196"/>
      <c r="Q849" s="196"/>
      <c r="R849" s="196"/>
      <c r="S849" s="196"/>
      <c r="T849" s="196"/>
      <c r="U849" s="196"/>
      <c r="V849" s="196"/>
      <c r="W849" s="196"/>
      <c r="X849" s="196"/>
      <c r="Y849" s="196"/>
      <c r="Z849" s="196"/>
      <c r="AA849" s="196"/>
      <c r="AB849" s="196"/>
      <c r="AC849" s="196"/>
      <c r="AD849" s="196"/>
      <c r="AE849" s="196"/>
      <c r="AF849" s="196"/>
      <c r="AG849" s="196"/>
      <c r="AH849" s="196"/>
      <c r="AI849" s="196"/>
      <c r="AJ849" s="196"/>
      <c r="AK849" s="196"/>
      <c r="AL849" s="196"/>
      <c r="AM849" s="196"/>
    </row>
    <row r="850">
      <c r="F850" s="203"/>
      <c r="H850" s="196"/>
      <c r="I850" s="196"/>
      <c r="J850" s="196"/>
      <c r="K850" s="196"/>
      <c r="L850" s="196"/>
      <c r="M850" s="196"/>
      <c r="N850" s="196"/>
      <c r="O850" s="196"/>
      <c r="P850" s="196"/>
      <c r="Q850" s="196"/>
      <c r="R850" s="196"/>
      <c r="S850" s="196"/>
      <c r="T850" s="196"/>
      <c r="U850" s="196"/>
      <c r="V850" s="196"/>
      <c r="W850" s="196"/>
      <c r="X850" s="196"/>
      <c r="Y850" s="196"/>
      <c r="Z850" s="196"/>
      <c r="AA850" s="196"/>
      <c r="AB850" s="196"/>
      <c r="AC850" s="196"/>
      <c r="AD850" s="196"/>
      <c r="AE850" s="196"/>
      <c r="AF850" s="196"/>
      <c r="AG850" s="196"/>
      <c r="AH850" s="196"/>
      <c r="AI850" s="196"/>
      <c r="AJ850" s="196"/>
      <c r="AK850" s="196"/>
      <c r="AL850" s="196"/>
      <c r="AM850" s="196"/>
    </row>
    <row r="851">
      <c r="F851" s="203"/>
      <c r="H851" s="196"/>
      <c r="I851" s="196"/>
      <c r="J851" s="196"/>
      <c r="K851" s="196"/>
      <c r="L851" s="196"/>
      <c r="M851" s="196"/>
      <c r="N851" s="196"/>
      <c r="O851" s="196"/>
      <c r="P851" s="196"/>
      <c r="Q851" s="196"/>
      <c r="R851" s="196"/>
      <c r="S851" s="196"/>
      <c r="T851" s="196"/>
      <c r="U851" s="196"/>
      <c r="V851" s="196"/>
      <c r="W851" s="196"/>
      <c r="X851" s="196"/>
      <c r="Y851" s="196"/>
      <c r="Z851" s="196"/>
      <c r="AA851" s="196"/>
      <c r="AB851" s="196"/>
      <c r="AC851" s="196"/>
      <c r="AD851" s="196"/>
      <c r="AE851" s="196"/>
      <c r="AF851" s="196"/>
      <c r="AG851" s="196"/>
      <c r="AH851" s="196"/>
      <c r="AI851" s="196"/>
      <c r="AJ851" s="196"/>
      <c r="AK851" s="196"/>
      <c r="AL851" s="196"/>
      <c r="AM851" s="196"/>
    </row>
    <row r="852">
      <c r="F852" s="203"/>
      <c r="H852" s="196"/>
      <c r="I852" s="196"/>
      <c r="J852" s="196"/>
      <c r="K852" s="196"/>
      <c r="L852" s="196"/>
      <c r="M852" s="196"/>
      <c r="N852" s="196"/>
      <c r="O852" s="196"/>
      <c r="P852" s="196"/>
      <c r="Q852" s="196"/>
      <c r="R852" s="196"/>
      <c r="S852" s="196"/>
      <c r="T852" s="196"/>
      <c r="U852" s="196"/>
      <c r="V852" s="196"/>
      <c r="W852" s="196"/>
      <c r="X852" s="196"/>
      <c r="Y852" s="196"/>
      <c r="Z852" s="196"/>
      <c r="AA852" s="196"/>
      <c r="AB852" s="196"/>
      <c r="AC852" s="196"/>
      <c r="AD852" s="196"/>
      <c r="AE852" s="196"/>
      <c r="AF852" s="196"/>
      <c r="AG852" s="196"/>
      <c r="AH852" s="196"/>
      <c r="AI852" s="196"/>
      <c r="AJ852" s="196"/>
      <c r="AK852" s="196"/>
      <c r="AL852" s="196"/>
      <c r="AM852" s="196"/>
    </row>
    <row r="853">
      <c r="F853" s="203"/>
      <c r="H853" s="196"/>
      <c r="I853" s="196"/>
      <c r="J853" s="196"/>
      <c r="K853" s="196"/>
      <c r="L853" s="196"/>
      <c r="M853" s="196"/>
      <c r="N853" s="196"/>
      <c r="O853" s="196"/>
      <c r="P853" s="196"/>
      <c r="Q853" s="196"/>
      <c r="R853" s="196"/>
      <c r="S853" s="196"/>
      <c r="T853" s="196"/>
      <c r="U853" s="196"/>
      <c r="V853" s="196"/>
      <c r="W853" s="196"/>
      <c r="X853" s="196"/>
      <c r="Y853" s="196"/>
      <c r="Z853" s="196"/>
      <c r="AA853" s="196"/>
      <c r="AB853" s="196"/>
      <c r="AC853" s="196"/>
      <c r="AD853" s="196"/>
      <c r="AE853" s="196"/>
      <c r="AF853" s="196"/>
      <c r="AG853" s="196"/>
      <c r="AH853" s="196"/>
      <c r="AI853" s="196"/>
      <c r="AJ853" s="196"/>
      <c r="AK853" s="196"/>
      <c r="AL853" s="196"/>
      <c r="AM853" s="196"/>
    </row>
    <row r="854">
      <c r="F854" s="203"/>
      <c r="H854" s="196"/>
      <c r="I854" s="196"/>
      <c r="J854" s="196"/>
      <c r="K854" s="196"/>
      <c r="L854" s="196"/>
      <c r="M854" s="196"/>
      <c r="N854" s="196"/>
      <c r="O854" s="196"/>
      <c r="P854" s="196"/>
      <c r="Q854" s="196"/>
      <c r="R854" s="196"/>
      <c r="S854" s="196"/>
      <c r="T854" s="196"/>
      <c r="U854" s="196"/>
      <c r="V854" s="196"/>
      <c r="W854" s="196"/>
      <c r="X854" s="196"/>
      <c r="Y854" s="196"/>
      <c r="Z854" s="196"/>
      <c r="AA854" s="196"/>
      <c r="AB854" s="196"/>
      <c r="AC854" s="196"/>
      <c r="AD854" s="196"/>
      <c r="AE854" s="196"/>
      <c r="AF854" s="196"/>
      <c r="AG854" s="196"/>
      <c r="AH854" s="196"/>
      <c r="AI854" s="196"/>
      <c r="AJ854" s="196"/>
      <c r="AK854" s="196"/>
      <c r="AL854" s="196"/>
      <c r="AM854" s="196"/>
    </row>
    <row r="855">
      <c r="F855" s="203"/>
      <c r="H855" s="196"/>
      <c r="I855" s="196"/>
      <c r="J855" s="196"/>
      <c r="K855" s="196"/>
      <c r="L855" s="196"/>
      <c r="M855" s="196"/>
      <c r="N855" s="196"/>
      <c r="O855" s="196"/>
      <c r="P855" s="196"/>
      <c r="Q855" s="196"/>
      <c r="R855" s="196"/>
      <c r="S855" s="196"/>
      <c r="T855" s="196"/>
      <c r="U855" s="196"/>
      <c r="V855" s="196"/>
      <c r="W855" s="196"/>
      <c r="X855" s="196"/>
      <c r="Y855" s="196"/>
      <c r="Z855" s="196"/>
      <c r="AA855" s="196"/>
      <c r="AB855" s="196"/>
      <c r="AC855" s="196"/>
      <c r="AD855" s="196"/>
      <c r="AE855" s="196"/>
      <c r="AF855" s="196"/>
      <c r="AG855" s="196"/>
      <c r="AH855" s="196"/>
      <c r="AI855" s="196"/>
      <c r="AJ855" s="196"/>
      <c r="AK855" s="196"/>
      <c r="AL855" s="196"/>
      <c r="AM855" s="196"/>
    </row>
    <row r="856">
      <c r="F856" s="203"/>
      <c r="H856" s="196"/>
      <c r="I856" s="196"/>
      <c r="J856" s="196"/>
      <c r="K856" s="196"/>
      <c r="L856" s="196"/>
      <c r="M856" s="196"/>
      <c r="N856" s="196"/>
      <c r="O856" s="196"/>
      <c r="P856" s="196"/>
      <c r="Q856" s="196"/>
      <c r="R856" s="196"/>
      <c r="S856" s="196"/>
      <c r="T856" s="196"/>
      <c r="U856" s="196"/>
      <c r="V856" s="196"/>
      <c r="W856" s="196"/>
      <c r="X856" s="196"/>
      <c r="Y856" s="196"/>
      <c r="Z856" s="196"/>
      <c r="AA856" s="196"/>
      <c r="AB856" s="196"/>
      <c r="AC856" s="196"/>
      <c r="AD856" s="196"/>
      <c r="AE856" s="196"/>
      <c r="AF856" s="196"/>
      <c r="AG856" s="196"/>
      <c r="AH856" s="196"/>
      <c r="AI856" s="196"/>
      <c r="AJ856" s="196"/>
      <c r="AK856" s="196"/>
      <c r="AL856" s="196"/>
      <c r="AM856" s="196"/>
    </row>
    <row r="857">
      <c r="F857" s="203"/>
      <c r="H857" s="196"/>
      <c r="I857" s="196"/>
      <c r="J857" s="196"/>
      <c r="K857" s="196"/>
      <c r="L857" s="196"/>
      <c r="M857" s="196"/>
      <c r="N857" s="196"/>
      <c r="O857" s="196"/>
      <c r="P857" s="196"/>
      <c r="Q857" s="196"/>
      <c r="R857" s="196"/>
      <c r="S857" s="196"/>
      <c r="T857" s="196"/>
      <c r="U857" s="196"/>
      <c r="V857" s="196"/>
      <c r="W857" s="196"/>
      <c r="X857" s="196"/>
      <c r="Y857" s="196"/>
      <c r="Z857" s="196"/>
      <c r="AA857" s="196"/>
      <c r="AB857" s="196"/>
      <c r="AC857" s="196"/>
      <c r="AD857" s="196"/>
      <c r="AE857" s="196"/>
      <c r="AF857" s="196"/>
      <c r="AG857" s="196"/>
      <c r="AH857" s="196"/>
      <c r="AI857" s="196"/>
      <c r="AJ857" s="196"/>
      <c r="AK857" s="196"/>
      <c r="AL857" s="196"/>
      <c r="AM857" s="196"/>
    </row>
    <row r="858">
      <c r="F858" s="203"/>
      <c r="H858" s="196"/>
      <c r="I858" s="196"/>
      <c r="J858" s="196"/>
      <c r="K858" s="196"/>
      <c r="L858" s="196"/>
      <c r="M858" s="196"/>
      <c r="N858" s="196"/>
      <c r="O858" s="196"/>
      <c r="P858" s="196"/>
      <c r="Q858" s="196"/>
      <c r="R858" s="196"/>
      <c r="S858" s="196"/>
      <c r="T858" s="196"/>
      <c r="U858" s="196"/>
      <c r="V858" s="196"/>
      <c r="W858" s="196"/>
      <c r="X858" s="196"/>
      <c r="Y858" s="196"/>
      <c r="Z858" s="196"/>
      <c r="AA858" s="196"/>
      <c r="AB858" s="196"/>
      <c r="AC858" s="196"/>
      <c r="AD858" s="196"/>
      <c r="AE858" s="196"/>
      <c r="AF858" s="196"/>
      <c r="AG858" s="196"/>
      <c r="AH858" s="196"/>
      <c r="AI858" s="196"/>
      <c r="AJ858" s="196"/>
      <c r="AK858" s="196"/>
      <c r="AL858" s="196"/>
      <c r="AM858" s="196"/>
    </row>
    <row r="859">
      <c r="F859" s="203"/>
      <c r="H859" s="196"/>
      <c r="I859" s="196"/>
      <c r="J859" s="196"/>
      <c r="K859" s="196"/>
      <c r="L859" s="196"/>
      <c r="M859" s="196"/>
      <c r="N859" s="196"/>
      <c r="O859" s="196"/>
      <c r="P859" s="196"/>
      <c r="Q859" s="196"/>
      <c r="R859" s="196"/>
      <c r="S859" s="196"/>
      <c r="T859" s="196"/>
      <c r="U859" s="196"/>
      <c r="V859" s="196"/>
      <c r="W859" s="196"/>
      <c r="X859" s="196"/>
      <c r="Y859" s="196"/>
      <c r="Z859" s="196"/>
      <c r="AA859" s="196"/>
      <c r="AB859" s="196"/>
      <c r="AC859" s="196"/>
      <c r="AD859" s="196"/>
      <c r="AE859" s="196"/>
      <c r="AF859" s="196"/>
      <c r="AG859" s="196"/>
      <c r="AH859" s="196"/>
      <c r="AI859" s="196"/>
      <c r="AJ859" s="196"/>
      <c r="AK859" s="196"/>
      <c r="AL859" s="196"/>
      <c r="AM859" s="196"/>
    </row>
    <row r="860">
      <c r="F860" s="203"/>
      <c r="H860" s="196"/>
      <c r="I860" s="196"/>
      <c r="J860" s="196"/>
      <c r="K860" s="196"/>
      <c r="L860" s="196"/>
      <c r="M860" s="196"/>
      <c r="N860" s="196"/>
      <c r="O860" s="196"/>
      <c r="P860" s="196"/>
      <c r="Q860" s="196"/>
      <c r="R860" s="196"/>
      <c r="S860" s="196"/>
      <c r="T860" s="196"/>
      <c r="U860" s="196"/>
      <c r="V860" s="196"/>
      <c r="W860" s="196"/>
      <c r="X860" s="196"/>
      <c r="Y860" s="196"/>
      <c r="Z860" s="196"/>
      <c r="AA860" s="196"/>
      <c r="AB860" s="196"/>
      <c r="AC860" s="196"/>
      <c r="AD860" s="196"/>
      <c r="AE860" s="196"/>
      <c r="AF860" s="196"/>
      <c r="AG860" s="196"/>
      <c r="AH860" s="196"/>
      <c r="AI860" s="196"/>
      <c r="AJ860" s="196"/>
      <c r="AK860" s="196"/>
      <c r="AL860" s="196"/>
      <c r="AM860" s="196"/>
    </row>
    <row r="861">
      <c r="F861" s="203"/>
      <c r="H861" s="196"/>
      <c r="I861" s="196"/>
      <c r="J861" s="196"/>
      <c r="K861" s="196"/>
      <c r="L861" s="196"/>
      <c r="M861" s="196"/>
      <c r="N861" s="196"/>
      <c r="O861" s="196"/>
      <c r="P861" s="196"/>
      <c r="Q861" s="196"/>
      <c r="R861" s="196"/>
      <c r="S861" s="196"/>
      <c r="T861" s="196"/>
      <c r="U861" s="196"/>
      <c r="V861" s="196"/>
      <c r="W861" s="196"/>
      <c r="X861" s="196"/>
      <c r="Y861" s="196"/>
      <c r="Z861" s="196"/>
      <c r="AA861" s="196"/>
      <c r="AB861" s="196"/>
      <c r="AC861" s="196"/>
      <c r="AD861" s="196"/>
      <c r="AE861" s="196"/>
      <c r="AF861" s="196"/>
      <c r="AG861" s="196"/>
      <c r="AH861" s="196"/>
      <c r="AI861" s="196"/>
      <c r="AJ861" s="196"/>
      <c r="AK861" s="196"/>
      <c r="AL861" s="196"/>
      <c r="AM861" s="196"/>
    </row>
    <row r="862">
      <c r="F862" s="203"/>
      <c r="H862" s="196"/>
      <c r="I862" s="196"/>
      <c r="J862" s="196"/>
      <c r="K862" s="196"/>
      <c r="L862" s="196"/>
      <c r="M862" s="196"/>
      <c r="N862" s="196"/>
      <c r="O862" s="196"/>
      <c r="P862" s="196"/>
      <c r="Q862" s="196"/>
      <c r="R862" s="196"/>
      <c r="S862" s="196"/>
      <c r="T862" s="196"/>
      <c r="U862" s="196"/>
      <c r="V862" s="196"/>
      <c r="W862" s="196"/>
      <c r="X862" s="196"/>
      <c r="Y862" s="196"/>
      <c r="Z862" s="196"/>
      <c r="AA862" s="196"/>
      <c r="AB862" s="196"/>
      <c r="AC862" s="196"/>
      <c r="AD862" s="196"/>
      <c r="AE862" s="196"/>
      <c r="AF862" s="196"/>
      <c r="AG862" s="196"/>
      <c r="AH862" s="196"/>
      <c r="AI862" s="196"/>
      <c r="AJ862" s="196"/>
      <c r="AK862" s="196"/>
      <c r="AL862" s="196"/>
      <c r="AM862" s="196"/>
    </row>
    <row r="863">
      <c r="F863" s="203"/>
      <c r="H863" s="196"/>
      <c r="I863" s="196"/>
      <c r="J863" s="196"/>
      <c r="K863" s="196"/>
      <c r="L863" s="196"/>
      <c r="M863" s="196"/>
      <c r="N863" s="196"/>
      <c r="O863" s="196"/>
      <c r="P863" s="196"/>
      <c r="Q863" s="196"/>
      <c r="R863" s="196"/>
      <c r="S863" s="196"/>
      <c r="T863" s="196"/>
      <c r="U863" s="196"/>
      <c r="V863" s="196"/>
      <c r="W863" s="196"/>
      <c r="X863" s="196"/>
      <c r="Y863" s="196"/>
      <c r="Z863" s="196"/>
      <c r="AA863" s="196"/>
      <c r="AB863" s="196"/>
      <c r="AC863" s="196"/>
      <c r="AD863" s="196"/>
      <c r="AE863" s="196"/>
      <c r="AF863" s="196"/>
      <c r="AG863" s="196"/>
      <c r="AH863" s="196"/>
      <c r="AI863" s="196"/>
      <c r="AJ863" s="196"/>
      <c r="AK863" s="196"/>
      <c r="AL863" s="196"/>
      <c r="AM863" s="196"/>
    </row>
    <row r="864">
      <c r="F864" s="203"/>
      <c r="H864" s="196"/>
      <c r="I864" s="196"/>
      <c r="J864" s="196"/>
      <c r="K864" s="196"/>
      <c r="L864" s="196"/>
      <c r="M864" s="196"/>
      <c r="N864" s="196"/>
      <c r="O864" s="196"/>
      <c r="P864" s="196"/>
      <c r="Q864" s="196"/>
      <c r="R864" s="196"/>
      <c r="S864" s="196"/>
      <c r="T864" s="196"/>
      <c r="U864" s="196"/>
      <c r="V864" s="196"/>
      <c r="W864" s="196"/>
      <c r="X864" s="196"/>
      <c r="Y864" s="196"/>
      <c r="Z864" s="196"/>
      <c r="AA864" s="196"/>
      <c r="AB864" s="196"/>
      <c r="AC864" s="196"/>
      <c r="AD864" s="196"/>
      <c r="AE864" s="196"/>
      <c r="AF864" s="196"/>
      <c r="AG864" s="196"/>
      <c r="AH864" s="196"/>
      <c r="AI864" s="196"/>
      <c r="AJ864" s="196"/>
      <c r="AK864" s="196"/>
      <c r="AL864" s="196"/>
      <c r="AM864" s="196"/>
    </row>
    <row r="865">
      <c r="F865" s="203"/>
      <c r="H865" s="196"/>
      <c r="I865" s="196"/>
      <c r="J865" s="196"/>
      <c r="K865" s="196"/>
      <c r="L865" s="196"/>
      <c r="M865" s="196"/>
      <c r="N865" s="196"/>
      <c r="O865" s="196"/>
      <c r="P865" s="196"/>
      <c r="Q865" s="196"/>
      <c r="R865" s="196"/>
      <c r="S865" s="196"/>
      <c r="T865" s="196"/>
      <c r="U865" s="196"/>
      <c r="V865" s="196"/>
      <c r="W865" s="196"/>
      <c r="X865" s="196"/>
      <c r="Y865" s="196"/>
      <c r="Z865" s="196"/>
      <c r="AA865" s="196"/>
      <c r="AB865" s="196"/>
      <c r="AC865" s="196"/>
      <c r="AD865" s="196"/>
      <c r="AE865" s="196"/>
      <c r="AF865" s="196"/>
      <c r="AG865" s="196"/>
      <c r="AH865" s="196"/>
      <c r="AI865" s="196"/>
      <c r="AJ865" s="196"/>
      <c r="AK865" s="196"/>
      <c r="AL865" s="196"/>
      <c r="AM865" s="196"/>
    </row>
    <row r="866">
      <c r="F866" s="203"/>
      <c r="H866" s="196"/>
      <c r="I866" s="196"/>
      <c r="J866" s="196"/>
      <c r="K866" s="196"/>
      <c r="L866" s="196"/>
      <c r="M866" s="196"/>
      <c r="N866" s="196"/>
      <c r="O866" s="196"/>
      <c r="P866" s="196"/>
      <c r="Q866" s="196"/>
      <c r="R866" s="196"/>
      <c r="S866" s="196"/>
      <c r="T866" s="196"/>
      <c r="U866" s="196"/>
      <c r="V866" s="196"/>
      <c r="W866" s="196"/>
      <c r="X866" s="196"/>
      <c r="Y866" s="196"/>
      <c r="Z866" s="196"/>
      <c r="AA866" s="196"/>
      <c r="AB866" s="196"/>
      <c r="AC866" s="196"/>
      <c r="AD866" s="196"/>
      <c r="AE866" s="196"/>
      <c r="AF866" s="196"/>
      <c r="AG866" s="196"/>
      <c r="AH866" s="196"/>
      <c r="AI866" s="196"/>
      <c r="AJ866" s="196"/>
      <c r="AK866" s="196"/>
      <c r="AL866" s="196"/>
      <c r="AM866" s="196"/>
    </row>
    <row r="867">
      <c r="F867" s="203"/>
      <c r="H867" s="196"/>
      <c r="I867" s="196"/>
      <c r="J867" s="196"/>
      <c r="K867" s="196"/>
      <c r="L867" s="196"/>
      <c r="M867" s="196"/>
      <c r="N867" s="196"/>
      <c r="O867" s="196"/>
      <c r="P867" s="196"/>
      <c r="Q867" s="196"/>
      <c r="R867" s="196"/>
      <c r="S867" s="196"/>
      <c r="T867" s="196"/>
      <c r="U867" s="196"/>
      <c r="V867" s="196"/>
      <c r="W867" s="196"/>
      <c r="X867" s="196"/>
      <c r="Y867" s="196"/>
      <c r="Z867" s="196"/>
      <c r="AA867" s="196"/>
      <c r="AB867" s="196"/>
      <c r="AC867" s="196"/>
      <c r="AD867" s="196"/>
      <c r="AE867" s="196"/>
      <c r="AF867" s="196"/>
      <c r="AG867" s="196"/>
      <c r="AH867" s="196"/>
      <c r="AI867" s="196"/>
      <c r="AJ867" s="196"/>
      <c r="AK867" s="196"/>
      <c r="AL867" s="196"/>
      <c r="AM867" s="196"/>
    </row>
    <row r="868">
      <c r="F868" s="203"/>
      <c r="H868" s="196"/>
      <c r="I868" s="196"/>
      <c r="J868" s="196"/>
      <c r="K868" s="196"/>
      <c r="L868" s="196"/>
      <c r="M868" s="196"/>
      <c r="N868" s="196"/>
      <c r="O868" s="196"/>
      <c r="P868" s="196"/>
      <c r="Q868" s="196"/>
      <c r="R868" s="196"/>
      <c r="S868" s="196"/>
      <c r="T868" s="196"/>
      <c r="U868" s="196"/>
      <c r="V868" s="196"/>
      <c r="W868" s="196"/>
      <c r="X868" s="196"/>
      <c r="Y868" s="196"/>
      <c r="Z868" s="196"/>
      <c r="AA868" s="196"/>
      <c r="AB868" s="196"/>
      <c r="AC868" s="196"/>
      <c r="AD868" s="196"/>
      <c r="AE868" s="196"/>
      <c r="AF868" s="196"/>
      <c r="AG868" s="196"/>
      <c r="AH868" s="196"/>
      <c r="AI868" s="196"/>
      <c r="AJ868" s="196"/>
      <c r="AK868" s="196"/>
      <c r="AL868" s="196"/>
      <c r="AM868" s="196"/>
    </row>
    <row r="869">
      <c r="F869" s="203"/>
      <c r="H869" s="196"/>
      <c r="I869" s="196"/>
      <c r="J869" s="196"/>
      <c r="K869" s="196"/>
      <c r="L869" s="196"/>
      <c r="M869" s="196"/>
      <c r="N869" s="196"/>
      <c r="O869" s="196"/>
      <c r="P869" s="196"/>
      <c r="Q869" s="196"/>
      <c r="R869" s="196"/>
      <c r="S869" s="196"/>
      <c r="T869" s="196"/>
      <c r="U869" s="196"/>
      <c r="V869" s="196"/>
      <c r="W869" s="196"/>
      <c r="X869" s="196"/>
      <c r="Y869" s="196"/>
      <c r="Z869" s="196"/>
      <c r="AA869" s="196"/>
      <c r="AB869" s="196"/>
      <c r="AC869" s="196"/>
      <c r="AD869" s="196"/>
      <c r="AE869" s="196"/>
      <c r="AF869" s="196"/>
      <c r="AG869" s="196"/>
      <c r="AH869" s="196"/>
      <c r="AI869" s="196"/>
      <c r="AJ869" s="196"/>
      <c r="AK869" s="196"/>
      <c r="AL869" s="196"/>
      <c r="AM869" s="196"/>
    </row>
    <row r="870">
      <c r="F870" s="203"/>
      <c r="H870" s="196"/>
      <c r="I870" s="196"/>
      <c r="J870" s="196"/>
      <c r="K870" s="196"/>
      <c r="L870" s="196"/>
      <c r="M870" s="196"/>
      <c r="N870" s="196"/>
      <c r="O870" s="196"/>
      <c r="P870" s="196"/>
      <c r="Q870" s="196"/>
      <c r="R870" s="196"/>
      <c r="S870" s="196"/>
      <c r="T870" s="196"/>
      <c r="U870" s="196"/>
      <c r="V870" s="196"/>
      <c r="W870" s="196"/>
      <c r="X870" s="196"/>
      <c r="Y870" s="196"/>
      <c r="Z870" s="196"/>
      <c r="AA870" s="196"/>
      <c r="AB870" s="196"/>
      <c r="AC870" s="196"/>
      <c r="AD870" s="196"/>
      <c r="AE870" s="196"/>
      <c r="AF870" s="196"/>
      <c r="AG870" s="196"/>
      <c r="AH870" s="196"/>
      <c r="AI870" s="196"/>
      <c r="AJ870" s="196"/>
      <c r="AK870" s="196"/>
      <c r="AL870" s="196"/>
      <c r="AM870" s="196"/>
    </row>
    <row r="871">
      <c r="F871" s="203"/>
      <c r="H871" s="196"/>
      <c r="I871" s="196"/>
      <c r="J871" s="196"/>
      <c r="K871" s="196"/>
      <c r="L871" s="196"/>
      <c r="M871" s="196"/>
      <c r="N871" s="196"/>
      <c r="O871" s="196"/>
      <c r="P871" s="196"/>
      <c r="Q871" s="196"/>
      <c r="R871" s="196"/>
      <c r="S871" s="196"/>
      <c r="T871" s="196"/>
      <c r="U871" s="196"/>
      <c r="V871" s="196"/>
      <c r="W871" s="196"/>
      <c r="X871" s="196"/>
      <c r="Y871" s="196"/>
      <c r="Z871" s="196"/>
      <c r="AA871" s="196"/>
      <c r="AB871" s="196"/>
      <c r="AC871" s="196"/>
      <c r="AD871" s="196"/>
      <c r="AE871" s="196"/>
      <c r="AF871" s="196"/>
      <c r="AG871" s="196"/>
      <c r="AH871" s="196"/>
      <c r="AI871" s="196"/>
      <c r="AJ871" s="196"/>
      <c r="AK871" s="196"/>
      <c r="AL871" s="196"/>
      <c r="AM871" s="196"/>
    </row>
    <row r="872">
      <c r="F872" s="203"/>
      <c r="H872" s="196"/>
      <c r="I872" s="196"/>
      <c r="J872" s="196"/>
      <c r="K872" s="196"/>
      <c r="L872" s="196"/>
      <c r="M872" s="196"/>
      <c r="N872" s="196"/>
      <c r="O872" s="196"/>
      <c r="P872" s="196"/>
      <c r="Q872" s="196"/>
      <c r="R872" s="196"/>
      <c r="S872" s="196"/>
      <c r="T872" s="196"/>
      <c r="U872" s="196"/>
      <c r="V872" s="196"/>
      <c r="W872" s="196"/>
      <c r="X872" s="196"/>
      <c r="Y872" s="196"/>
      <c r="Z872" s="196"/>
      <c r="AA872" s="196"/>
      <c r="AB872" s="196"/>
      <c r="AC872" s="196"/>
      <c r="AD872" s="196"/>
      <c r="AE872" s="196"/>
      <c r="AF872" s="196"/>
      <c r="AG872" s="196"/>
      <c r="AH872" s="196"/>
      <c r="AI872" s="196"/>
      <c r="AJ872" s="196"/>
      <c r="AK872" s="196"/>
      <c r="AL872" s="196"/>
      <c r="AM872" s="196"/>
    </row>
    <row r="873">
      <c r="F873" s="203"/>
      <c r="H873" s="196"/>
      <c r="I873" s="196"/>
      <c r="J873" s="196"/>
      <c r="K873" s="196"/>
      <c r="L873" s="196"/>
      <c r="M873" s="196"/>
      <c r="N873" s="196"/>
      <c r="O873" s="196"/>
      <c r="P873" s="196"/>
      <c r="Q873" s="196"/>
      <c r="R873" s="196"/>
      <c r="S873" s="196"/>
      <c r="T873" s="196"/>
      <c r="U873" s="196"/>
      <c r="V873" s="196"/>
      <c r="W873" s="196"/>
      <c r="X873" s="196"/>
      <c r="Y873" s="196"/>
      <c r="Z873" s="196"/>
      <c r="AA873" s="196"/>
      <c r="AB873" s="196"/>
      <c r="AC873" s="196"/>
      <c r="AD873" s="196"/>
      <c r="AE873" s="196"/>
      <c r="AF873" s="196"/>
      <c r="AG873" s="196"/>
      <c r="AH873" s="196"/>
      <c r="AI873" s="196"/>
      <c r="AJ873" s="196"/>
      <c r="AK873" s="196"/>
      <c r="AL873" s="196"/>
      <c r="AM873" s="196"/>
    </row>
    <row r="874">
      <c r="F874" s="203"/>
      <c r="H874" s="196"/>
      <c r="I874" s="196"/>
      <c r="J874" s="196"/>
      <c r="K874" s="196"/>
      <c r="L874" s="196"/>
      <c r="M874" s="196"/>
      <c r="N874" s="196"/>
      <c r="O874" s="196"/>
      <c r="P874" s="196"/>
      <c r="Q874" s="196"/>
      <c r="R874" s="196"/>
      <c r="S874" s="196"/>
      <c r="T874" s="196"/>
      <c r="U874" s="196"/>
      <c r="V874" s="196"/>
      <c r="W874" s="196"/>
      <c r="X874" s="196"/>
      <c r="Y874" s="196"/>
      <c r="Z874" s="196"/>
      <c r="AA874" s="196"/>
      <c r="AB874" s="196"/>
      <c r="AC874" s="196"/>
      <c r="AD874" s="196"/>
      <c r="AE874" s="196"/>
      <c r="AF874" s="196"/>
      <c r="AG874" s="196"/>
      <c r="AH874" s="196"/>
      <c r="AI874" s="196"/>
      <c r="AJ874" s="196"/>
      <c r="AK874" s="196"/>
      <c r="AL874" s="196"/>
      <c r="AM874" s="196"/>
    </row>
    <row r="875">
      <c r="F875" s="203"/>
      <c r="H875" s="196"/>
      <c r="I875" s="196"/>
      <c r="J875" s="196"/>
      <c r="K875" s="196"/>
      <c r="L875" s="196"/>
      <c r="M875" s="196"/>
      <c r="N875" s="196"/>
      <c r="O875" s="196"/>
      <c r="P875" s="196"/>
      <c r="Q875" s="196"/>
      <c r="R875" s="196"/>
      <c r="S875" s="196"/>
      <c r="T875" s="196"/>
      <c r="U875" s="196"/>
      <c r="V875" s="196"/>
      <c r="W875" s="196"/>
      <c r="X875" s="196"/>
      <c r="Y875" s="196"/>
      <c r="Z875" s="196"/>
      <c r="AA875" s="196"/>
      <c r="AB875" s="196"/>
      <c r="AC875" s="196"/>
      <c r="AD875" s="196"/>
      <c r="AE875" s="196"/>
      <c r="AF875" s="196"/>
      <c r="AG875" s="196"/>
      <c r="AH875" s="196"/>
      <c r="AI875" s="196"/>
      <c r="AJ875" s="196"/>
      <c r="AK875" s="196"/>
      <c r="AL875" s="196"/>
      <c r="AM875" s="196"/>
    </row>
    <row r="876">
      <c r="F876" s="203"/>
      <c r="H876" s="196"/>
      <c r="I876" s="196"/>
      <c r="J876" s="196"/>
      <c r="K876" s="196"/>
      <c r="L876" s="196"/>
      <c r="M876" s="196"/>
      <c r="N876" s="196"/>
      <c r="O876" s="196"/>
      <c r="P876" s="196"/>
      <c r="Q876" s="196"/>
      <c r="R876" s="196"/>
      <c r="S876" s="196"/>
      <c r="T876" s="196"/>
      <c r="U876" s="196"/>
      <c r="V876" s="196"/>
      <c r="W876" s="196"/>
      <c r="X876" s="196"/>
      <c r="Y876" s="196"/>
      <c r="Z876" s="196"/>
      <c r="AA876" s="196"/>
      <c r="AB876" s="196"/>
      <c r="AC876" s="196"/>
      <c r="AD876" s="196"/>
      <c r="AE876" s="196"/>
      <c r="AF876" s="196"/>
      <c r="AG876" s="196"/>
      <c r="AH876" s="196"/>
      <c r="AI876" s="196"/>
      <c r="AJ876" s="196"/>
      <c r="AK876" s="196"/>
      <c r="AL876" s="196"/>
      <c r="AM876" s="196"/>
    </row>
    <row r="877">
      <c r="F877" s="203"/>
      <c r="H877" s="196"/>
      <c r="I877" s="196"/>
      <c r="J877" s="196"/>
      <c r="K877" s="196"/>
      <c r="L877" s="196"/>
      <c r="M877" s="196"/>
      <c r="N877" s="196"/>
      <c r="O877" s="196"/>
      <c r="P877" s="196"/>
      <c r="Q877" s="196"/>
      <c r="R877" s="196"/>
      <c r="S877" s="196"/>
      <c r="T877" s="196"/>
      <c r="U877" s="196"/>
      <c r="V877" s="196"/>
      <c r="W877" s="196"/>
      <c r="X877" s="196"/>
      <c r="Y877" s="196"/>
      <c r="Z877" s="196"/>
      <c r="AA877" s="196"/>
      <c r="AB877" s="196"/>
      <c r="AC877" s="196"/>
      <c r="AD877" s="196"/>
      <c r="AE877" s="196"/>
      <c r="AF877" s="196"/>
      <c r="AG877" s="196"/>
      <c r="AH877" s="196"/>
      <c r="AI877" s="196"/>
      <c r="AJ877" s="196"/>
      <c r="AK877" s="196"/>
      <c r="AL877" s="196"/>
      <c r="AM877" s="196"/>
    </row>
    <row r="878">
      <c r="F878" s="203"/>
      <c r="H878" s="196"/>
      <c r="I878" s="196"/>
      <c r="J878" s="196"/>
      <c r="K878" s="196"/>
      <c r="L878" s="196"/>
      <c r="M878" s="196"/>
      <c r="N878" s="196"/>
      <c r="O878" s="196"/>
      <c r="P878" s="196"/>
      <c r="Q878" s="196"/>
      <c r="R878" s="196"/>
      <c r="S878" s="196"/>
      <c r="T878" s="196"/>
      <c r="U878" s="196"/>
      <c r="V878" s="196"/>
      <c r="W878" s="196"/>
      <c r="X878" s="196"/>
      <c r="Y878" s="196"/>
      <c r="Z878" s="196"/>
      <c r="AA878" s="196"/>
      <c r="AB878" s="196"/>
      <c r="AC878" s="196"/>
      <c r="AD878" s="196"/>
      <c r="AE878" s="196"/>
      <c r="AF878" s="196"/>
      <c r="AG878" s="196"/>
      <c r="AH878" s="196"/>
      <c r="AI878" s="196"/>
      <c r="AJ878" s="196"/>
      <c r="AK878" s="196"/>
      <c r="AL878" s="196"/>
      <c r="AM878" s="196"/>
    </row>
    <row r="879">
      <c r="F879" s="203"/>
      <c r="H879" s="196"/>
      <c r="I879" s="196"/>
      <c r="J879" s="196"/>
      <c r="K879" s="196"/>
      <c r="L879" s="196"/>
      <c r="M879" s="196"/>
      <c r="N879" s="196"/>
      <c r="O879" s="196"/>
      <c r="P879" s="196"/>
      <c r="Q879" s="196"/>
      <c r="R879" s="196"/>
      <c r="S879" s="196"/>
      <c r="T879" s="196"/>
      <c r="U879" s="196"/>
      <c r="V879" s="196"/>
      <c r="W879" s="196"/>
      <c r="X879" s="196"/>
      <c r="Y879" s="196"/>
      <c r="Z879" s="196"/>
      <c r="AA879" s="196"/>
      <c r="AB879" s="196"/>
      <c r="AC879" s="196"/>
      <c r="AD879" s="196"/>
      <c r="AE879" s="196"/>
      <c r="AF879" s="196"/>
      <c r="AG879" s="196"/>
      <c r="AH879" s="196"/>
      <c r="AI879" s="196"/>
      <c r="AJ879" s="196"/>
      <c r="AK879" s="196"/>
      <c r="AL879" s="196"/>
      <c r="AM879" s="196"/>
    </row>
    <row r="880">
      <c r="F880" s="203"/>
      <c r="H880" s="196"/>
      <c r="I880" s="196"/>
      <c r="J880" s="196"/>
      <c r="K880" s="196"/>
      <c r="L880" s="196"/>
      <c r="M880" s="196"/>
      <c r="N880" s="196"/>
      <c r="O880" s="196"/>
      <c r="P880" s="196"/>
      <c r="Q880" s="196"/>
      <c r="R880" s="196"/>
      <c r="S880" s="196"/>
      <c r="T880" s="196"/>
      <c r="U880" s="196"/>
      <c r="V880" s="196"/>
      <c r="W880" s="196"/>
      <c r="X880" s="196"/>
      <c r="Y880" s="196"/>
      <c r="Z880" s="196"/>
      <c r="AA880" s="196"/>
      <c r="AB880" s="196"/>
      <c r="AC880" s="196"/>
      <c r="AD880" s="196"/>
      <c r="AE880" s="196"/>
      <c r="AF880" s="196"/>
      <c r="AG880" s="196"/>
      <c r="AH880" s="196"/>
      <c r="AI880" s="196"/>
      <c r="AJ880" s="196"/>
      <c r="AK880" s="196"/>
      <c r="AL880" s="196"/>
      <c r="AM880" s="196"/>
    </row>
    <row r="881">
      <c r="F881" s="203"/>
      <c r="H881" s="196"/>
      <c r="I881" s="196"/>
      <c r="J881" s="196"/>
      <c r="K881" s="196"/>
      <c r="L881" s="196"/>
      <c r="M881" s="196"/>
      <c r="N881" s="196"/>
      <c r="O881" s="196"/>
      <c r="P881" s="196"/>
      <c r="Q881" s="196"/>
      <c r="R881" s="196"/>
      <c r="S881" s="196"/>
      <c r="T881" s="196"/>
      <c r="U881" s="196"/>
      <c r="V881" s="196"/>
      <c r="W881" s="196"/>
      <c r="X881" s="196"/>
      <c r="Y881" s="196"/>
      <c r="Z881" s="196"/>
      <c r="AA881" s="196"/>
      <c r="AB881" s="196"/>
      <c r="AC881" s="196"/>
      <c r="AD881" s="196"/>
      <c r="AE881" s="196"/>
      <c r="AF881" s="196"/>
      <c r="AG881" s="196"/>
      <c r="AH881" s="196"/>
      <c r="AI881" s="196"/>
      <c r="AJ881" s="196"/>
      <c r="AK881" s="196"/>
      <c r="AL881" s="196"/>
      <c r="AM881" s="196"/>
    </row>
    <row r="882">
      <c r="F882" s="203"/>
      <c r="H882" s="196"/>
      <c r="I882" s="196"/>
      <c r="J882" s="196"/>
      <c r="K882" s="196"/>
      <c r="L882" s="196"/>
      <c r="M882" s="196"/>
      <c r="N882" s="196"/>
      <c r="O882" s="196"/>
      <c r="P882" s="196"/>
      <c r="Q882" s="196"/>
      <c r="R882" s="196"/>
      <c r="S882" s="196"/>
      <c r="T882" s="196"/>
      <c r="U882" s="196"/>
      <c r="V882" s="196"/>
      <c r="W882" s="196"/>
      <c r="X882" s="196"/>
      <c r="Y882" s="196"/>
      <c r="Z882" s="196"/>
      <c r="AA882" s="196"/>
      <c r="AB882" s="196"/>
      <c r="AC882" s="196"/>
      <c r="AD882" s="196"/>
      <c r="AE882" s="196"/>
      <c r="AF882" s="196"/>
      <c r="AG882" s="196"/>
      <c r="AH882" s="196"/>
      <c r="AI882" s="196"/>
      <c r="AJ882" s="196"/>
      <c r="AK882" s="196"/>
      <c r="AL882" s="196"/>
      <c r="AM882" s="196"/>
    </row>
    <row r="883">
      <c r="F883" s="203"/>
      <c r="H883" s="196"/>
      <c r="I883" s="196"/>
      <c r="J883" s="196"/>
      <c r="K883" s="196"/>
      <c r="L883" s="196"/>
      <c r="M883" s="196"/>
      <c r="N883" s="196"/>
      <c r="O883" s="196"/>
      <c r="P883" s="196"/>
      <c r="Q883" s="196"/>
      <c r="R883" s="196"/>
      <c r="S883" s="196"/>
      <c r="T883" s="196"/>
      <c r="U883" s="196"/>
      <c r="V883" s="196"/>
      <c r="W883" s="196"/>
      <c r="X883" s="196"/>
      <c r="Y883" s="196"/>
      <c r="Z883" s="196"/>
      <c r="AA883" s="196"/>
      <c r="AB883" s="196"/>
      <c r="AC883" s="196"/>
      <c r="AD883" s="196"/>
      <c r="AE883" s="196"/>
      <c r="AF883" s="196"/>
      <c r="AG883" s="196"/>
      <c r="AH883" s="196"/>
      <c r="AI883" s="196"/>
      <c r="AJ883" s="196"/>
      <c r="AK883" s="196"/>
      <c r="AL883" s="196"/>
      <c r="AM883" s="196"/>
    </row>
    <row r="884">
      <c r="F884" s="203"/>
      <c r="H884" s="196"/>
      <c r="I884" s="196"/>
      <c r="J884" s="196"/>
      <c r="K884" s="196"/>
      <c r="L884" s="196"/>
      <c r="M884" s="196"/>
      <c r="N884" s="196"/>
      <c r="O884" s="196"/>
      <c r="P884" s="196"/>
      <c r="Q884" s="196"/>
      <c r="R884" s="196"/>
      <c r="S884" s="196"/>
      <c r="T884" s="196"/>
      <c r="U884" s="196"/>
      <c r="V884" s="196"/>
      <c r="W884" s="196"/>
      <c r="X884" s="196"/>
      <c r="Y884" s="196"/>
      <c r="Z884" s="196"/>
      <c r="AA884" s="196"/>
      <c r="AB884" s="196"/>
      <c r="AC884" s="196"/>
      <c r="AD884" s="196"/>
      <c r="AE884" s="196"/>
      <c r="AF884" s="196"/>
      <c r="AG884" s="196"/>
      <c r="AH884" s="196"/>
      <c r="AI884" s="196"/>
      <c r="AJ884" s="196"/>
      <c r="AK884" s="196"/>
      <c r="AL884" s="196"/>
      <c r="AM884" s="196"/>
    </row>
    <row r="885">
      <c r="F885" s="203"/>
      <c r="H885" s="196"/>
      <c r="I885" s="196"/>
      <c r="J885" s="196"/>
      <c r="K885" s="196"/>
      <c r="L885" s="196"/>
      <c r="M885" s="196"/>
      <c r="N885" s="196"/>
      <c r="O885" s="196"/>
      <c r="P885" s="196"/>
      <c r="Q885" s="196"/>
      <c r="R885" s="196"/>
      <c r="S885" s="196"/>
      <c r="T885" s="196"/>
      <c r="U885" s="196"/>
      <c r="V885" s="196"/>
      <c r="W885" s="196"/>
      <c r="X885" s="196"/>
      <c r="Y885" s="196"/>
      <c r="Z885" s="196"/>
      <c r="AA885" s="196"/>
      <c r="AB885" s="196"/>
      <c r="AC885" s="196"/>
      <c r="AD885" s="196"/>
      <c r="AE885" s="196"/>
      <c r="AF885" s="196"/>
      <c r="AG885" s="196"/>
      <c r="AH885" s="196"/>
      <c r="AI885" s="196"/>
      <c r="AJ885" s="196"/>
      <c r="AK885" s="196"/>
      <c r="AL885" s="196"/>
      <c r="AM885" s="196"/>
    </row>
    <row r="886">
      <c r="F886" s="203"/>
      <c r="H886" s="196"/>
      <c r="I886" s="196"/>
      <c r="J886" s="196"/>
      <c r="K886" s="196"/>
      <c r="L886" s="196"/>
      <c r="M886" s="196"/>
      <c r="N886" s="196"/>
      <c r="O886" s="196"/>
      <c r="P886" s="196"/>
      <c r="Q886" s="196"/>
      <c r="R886" s="196"/>
      <c r="S886" s="196"/>
      <c r="T886" s="196"/>
      <c r="U886" s="196"/>
      <c r="V886" s="196"/>
      <c r="W886" s="196"/>
      <c r="X886" s="196"/>
      <c r="Y886" s="196"/>
      <c r="Z886" s="196"/>
      <c r="AA886" s="196"/>
      <c r="AB886" s="196"/>
      <c r="AC886" s="196"/>
      <c r="AD886" s="196"/>
      <c r="AE886" s="196"/>
      <c r="AF886" s="196"/>
      <c r="AG886" s="196"/>
      <c r="AH886" s="196"/>
      <c r="AI886" s="196"/>
      <c r="AJ886" s="196"/>
      <c r="AK886" s="196"/>
      <c r="AL886" s="196"/>
      <c r="AM886" s="196"/>
    </row>
    <row r="887">
      <c r="F887" s="203"/>
      <c r="H887" s="196"/>
      <c r="I887" s="196"/>
      <c r="J887" s="196"/>
      <c r="K887" s="196"/>
      <c r="L887" s="196"/>
      <c r="M887" s="196"/>
      <c r="N887" s="196"/>
      <c r="O887" s="196"/>
      <c r="P887" s="196"/>
      <c r="Q887" s="196"/>
      <c r="R887" s="196"/>
      <c r="S887" s="196"/>
      <c r="T887" s="196"/>
      <c r="U887" s="196"/>
      <c r="V887" s="196"/>
      <c r="W887" s="196"/>
      <c r="X887" s="196"/>
      <c r="Y887" s="196"/>
      <c r="Z887" s="196"/>
      <c r="AA887" s="196"/>
      <c r="AB887" s="196"/>
      <c r="AC887" s="196"/>
      <c r="AD887" s="196"/>
      <c r="AE887" s="196"/>
      <c r="AF887" s="196"/>
      <c r="AG887" s="196"/>
      <c r="AH887" s="196"/>
      <c r="AI887" s="196"/>
      <c r="AJ887" s="196"/>
      <c r="AK887" s="196"/>
      <c r="AL887" s="196"/>
      <c r="AM887" s="196"/>
    </row>
    <row r="888">
      <c r="F888" s="203"/>
      <c r="H888" s="196"/>
      <c r="I888" s="196"/>
      <c r="J888" s="196"/>
      <c r="K888" s="196"/>
      <c r="L888" s="196"/>
      <c r="M888" s="196"/>
      <c r="N888" s="196"/>
      <c r="O888" s="196"/>
      <c r="P888" s="196"/>
      <c r="Q888" s="196"/>
      <c r="R888" s="196"/>
      <c r="S888" s="196"/>
      <c r="T888" s="196"/>
      <c r="U888" s="196"/>
      <c r="V888" s="196"/>
      <c r="W888" s="196"/>
      <c r="X888" s="196"/>
      <c r="Y888" s="196"/>
      <c r="Z888" s="196"/>
      <c r="AA888" s="196"/>
      <c r="AB888" s="196"/>
      <c r="AC888" s="196"/>
      <c r="AD888" s="196"/>
      <c r="AE888" s="196"/>
      <c r="AF888" s="196"/>
      <c r="AG888" s="196"/>
      <c r="AH888" s="196"/>
      <c r="AI888" s="196"/>
      <c r="AJ888" s="196"/>
      <c r="AK888" s="196"/>
      <c r="AL888" s="196"/>
      <c r="AM888" s="196"/>
    </row>
    <row r="889">
      <c r="F889" s="203"/>
      <c r="H889" s="196"/>
      <c r="I889" s="196"/>
      <c r="J889" s="196"/>
      <c r="K889" s="196"/>
      <c r="L889" s="196"/>
      <c r="M889" s="196"/>
      <c r="N889" s="196"/>
      <c r="O889" s="196"/>
      <c r="P889" s="196"/>
      <c r="Q889" s="196"/>
      <c r="R889" s="196"/>
      <c r="S889" s="196"/>
      <c r="T889" s="196"/>
      <c r="U889" s="196"/>
      <c r="V889" s="196"/>
      <c r="W889" s="196"/>
      <c r="X889" s="196"/>
      <c r="Y889" s="196"/>
      <c r="Z889" s="196"/>
      <c r="AA889" s="196"/>
      <c r="AB889" s="196"/>
      <c r="AC889" s="196"/>
      <c r="AD889" s="196"/>
      <c r="AE889" s="196"/>
      <c r="AF889" s="196"/>
      <c r="AG889" s="196"/>
      <c r="AH889" s="196"/>
      <c r="AI889" s="196"/>
      <c r="AJ889" s="196"/>
      <c r="AK889" s="196"/>
      <c r="AL889" s="196"/>
      <c r="AM889" s="196"/>
    </row>
    <row r="890">
      <c r="F890" s="203"/>
      <c r="H890" s="196"/>
      <c r="I890" s="196"/>
      <c r="J890" s="196"/>
      <c r="K890" s="196"/>
      <c r="L890" s="196"/>
      <c r="M890" s="196"/>
      <c r="N890" s="196"/>
      <c r="O890" s="196"/>
      <c r="P890" s="196"/>
      <c r="Q890" s="196"/>
      <c r="R890" s="196"/>
      <c r="S890" s="196"/>
      <c r="T890" s="196"/>
      <c r="U890" s="196"/>
      <c r="V890" s="196"/>
      <c r="W890" s="196"/>
      <c r="X890" s="196"/>
      <c r="Y890" s="196"/>
      <c r="Z890" s="196"/>
      <c r="AA890" s="196"/>
      <c r="AB890" s="196"/>
      <c r="AC890" s="196"/>
      <c r="AD890" s="196"/>
      <c r="AE890" s="196"/>
      <c r="AF890" s="196"/>
      <c r="AG890" s="196"/>
      <c r="AH890" s="196"/>
      <c r="AI890" s="196"/>
      <c r="AJ890" s="196"/>
      <c r="AK890" s="196"/>
      <c r="AL890" s="196"/>
      <c r="AM890" s="196"/>
    </row>
    <row r="891">
      <c r="F891" s="203"/>
      <c r="H891" s="196"/>
      <c r="I891" s="196"/>
      <c r="J891" s="196"/>
      <c r="K891" s="196"/>
      <c r="L891" s="196"/>
      <c r="M891" s="196"/>
      <c r="N891" s="196"/>
      <c r="O891" s="196"/>
      <c r="P891" s="196"/>
      <c r="Q891" s="196"/>
      <c r="R891" s="196"/>
      <c r="S891" s="196"/>
      <c r="T891" s="196"/>
      <c r="U891" s="196"/>
      <c r="V891" s="196"/>
      <c r="W891" s="196"/>
      <c r="X891" s="196"/>
      <c r="Y891" s="196"/>
      <c r="Z891" s="196"/>
      <c r="AA891" s="196"/>
      <c r="AB891" s="196"/>
      <c r="AC891" s="196"/>
      <c r="AD891" s="196"/>
      <c r="AE891" s="196"/>
      <c r="AF891" s="196"/>
      <c r="AG891" s="196"/>
      <c r="AH891" s="196"/>
      <c r="AI891" s="196"/>
      <c r="AJ891" s="196"/>
      <c r="AK891" s="196"/>
      <c r="AL891" s="196"/>
      <c r="AM891" s="196"/>
    </row>
    <row r="892">
      <c r="F892" s="203"/>
      <c r="H892" s="196"/>
      <c r="I892" s="196"/>
      <c r="J892" s="196"/>
      <c r="K892" s="196"/>
      <c r="L892" s="196"/>
      <c r="M892" s="196"/>
      <c r="N892" s="196"/>
      <c r="O892" s="196"/>
      <c r="P892" s="196"/>
      <c r="Q892" s="196"/>
      <c r="R892" s="196"/>
      <c r="S892" s="196"/>
      <c r="T892" s="196"/>
      <c r="U892" s="196"/>
      <c r="V892" s="196"/>
      <c r="W892" s="196"/>
      <c r="X892" s="196"/>
      <c r="Y892" s="196"/>
      <c r="Z892" s="196"/>
      <c r="AA892" s="196"/>
      <c r="AB892" s="196"/>
      <c r="AC892" s="196"/>
      <c r="AD892" s="196"/>
      <c r="AE892" s="196"/>
      <c r="AF892" s="196"/>
      <c r="AG892" s="196"/>
      <c r="AH892" s="196"/>
      <c r="AI892" s="196"/>
      <c r="AJ892" s="196"/>
      <c r="AK892" s="196"/>
      <c r="AL892" s="196"/>
      <c r="AM892" s="196"/>
    </row>
    <row r="893">
      <c r="F893" s="203"/>
      <c r="H893" s="196"/>
      <c r="I893" s="196"/>
      <c r="J893" s="196"/>
      <c r="K893" s="196"/>
      <c r="L893" s="196"/>
      <c r="M893" s="196"/>
      <c r="N893" s="196"/>
      <c r="O893" s="196"/>
      <c r="P893" s="196"/>
      <c r="Q893" s="196"/>
      <c r="R893" s="196"/>
      <c r="S893" s="196"/>
      <c r="T893" s="196"/>
      <c r="U893" s="196"/>
      <c r="V893" s="196"/>
      <c r="W893" s="196"/>
      <c r="X893" s="196"/>
      <c r="Y893" s="196"/>
      <c r="Z893" s="196"/>
      <c r="AA893" s="196"/>
      <c r="AB893" s="196"/>
      <c r="AC893" s="196"/>
      <c r="AD893" s="196"/>
      <c r="AE893" s="196"/>
      <c r="AF893" s="196"/>
      <c r="AG893" s="196"/>
      <c r="AH893" s="196"/>
      <c r="AI893" s="196"/>
      <c r="AJ893" s="196"/>
      <c r="AK893" s="196"/>
      <c r="AL893" s="196"/>
      <c r="AM893" s="196"/>
    </row>
    <row r="894">
      <c r="F894" s="203"/>
      <c r="H894" s="196"/>
      <c r="I894" s="196"/>
      <c r="J894" s="196"/>
      <c r="K894" s="196"/>
      <c r="L894" s="196"/>
      <c r="M894" s="196"/>
      <c r="N894" s="196"/>
      <c r="O894" s="196"/>
      <c r="P894" s="196"/>
      <c r="Q894" s="196"/>
      <c r="R894" s="196"/>
      <c r="S894" s="196"/>
      <c r="T894" s="196"/>
      <c r="U894" s="196"/>
      <c r="V894" s="196"/>
      <c r="W894" s="196"/>
      <c r="X894" s="196"/>
      <c r="Y894" s="196"/>
      <c r="Z894" s="196"/>
      <c r="AA894" s="196"/>
      <c r="AB894" s="196"/>
      <c r="AC894" s="196"/>
      <c r="AD894" s="196"/>
      <c r="AE894" s="196"/>
      <c r="AF894" s="196"/>
      <c r="AG894" s="196"/>
      <c r="AH894" s="196"/>
      <c r="AI894" s="196"/>
      <c r="AJ894" s="196"/>
      <c r="AK894" s="196"/>
      <c r="AL894" s="196"/>
      <c r="AM894" s="196"/>
    </row>
    <row r="895">
      <c r="F895" s="203"/>
      <c r="H895" s="196"/>
      <c r="I895" s="196"/>
      <c r="J895" s="196"/>
      <c r="K895" s="196"/>
      <c r="L895" s="196"/>
      <c r="M895" s="196"/>
      <c r="N895" s="196"/>
      <c r="O895" s="196"/>
      <c r="P895" s="196"/>
      <c r="Q895" s="196"/>
      <c r="R895" s="196"/>
      <c r="S895" s="196"/>
      <c r="T895" s="196"/>
      <c r="U895" s="196"/>
      <c r="V895" s="196"/>
      <c r="W895" s="196"/>
      <c r="X895" s="196"/>
      <c r="Y895" s="196"/>
      <c r="Z895" s="196"/>
      <c r="AA895" s="196"/>
      <c r="AB895" s="196"/>
      <c r="AC895" s="196"/>
      <c r="AD895" s="196"/>
      <c r="AE895" s="196"/>
      <c r="AF895" s="196"/>
      <c r="AG895" s="196"/>
      <c r="AH895" s="196"/>
      <c r="AI895" s="196"/>
      <c r="AJ895" s="196"/>
      <c r="AK895" s="196"/>
      <c r="AL895" s="196"/>
      <c r="AM895" s="196"/>
    </row>
    <row r="896">
      <c r="F896" s="203"/>
      <c r="H896" s="196"/>
      <c r="I896" s="196"/>
      <c r="J896" s="196"/>
      <c r="K896" s="196"/>
      <c r="L896" s="196"/>
      <c r="M896" s="196"/>
      <c r="N896" s="196"/>
      <c r="O896" s="196"/>
      <c r="P896" s="196"/>
      <c r="Q896" s="196"/>
      <c r="R896" s="196"/>
      <c r="S896" s="196"/>
      <c r="T896" s="196"/>
      <c r="U896" s="196"/>
      <c r="V896" s="196"/>
      <c r="W896" s="196"/>
      <c r="X896" s="196"/>
      <c r="Y896" s="196"/>
      <c r="Z896" s="196"/>
      <c r="AA896" s="196"/>
      <c r="AB896" s="196"/>
      <c r="AC896" s="196"/>
      <c r="AD896" s="196"/>
      <c r="AE896" s="196"/>
      <c r="AF896" s="196"/>
      <c r="AG896" s="196"/>
      <c r="AH896" s="196"/>
      <c r="AI896" s="196"/>
      <c r="AJ896" s="196"/>
      <c r="AK896" s="196"/>
      <c r="AL896" s="196"/>
      <c r="AM896" s="196"/>
    </row>
    <row r="897">
      <c r="F897" s="203"/>
      <c r="H897" s="196"/>
      <c r="I897" s="196"/>
      <c r="J897" s="196"/>
      <c r="K897" s="196"/>
      <c r="L897" s="196"/>
      <c r="M897" s="196"/>
      <c r="N897" s="196"/>
      <c r="O897" s="196"/>
      <c r="P897" s="196"/>
      <c r="Q897" s="196"/>
      <c r="R897" s="196"/>
      <c r="S897" s="196"/>
      <c r="T897" s="196"/>
      <c r="U897" s="196"/>
      <c r="V897" s="196"/>
      <c r="W897" s="196"/>
      <c r="X897" s="196"/>
      <c r="Y897" s="196"/>
      <c r="Z897" s="196"/>
      <c r="AA897" s="196"/>
      <c r="AB897" s="196"/>
      <c r="AC897" s="196"/>
      <c r="AD897" s="196"/>
      <c r="AE897" s="196"/>
      <c r="AF897" s="196"/>
      <c r="AG897" s="196"/>
      <c r="AH897" s="196"/>
      <c r="AI897" s="196"/>
      <c r="AJ897" s="196"/>
      <c r="AK897" s="196"/>
      <c r="AL897" s="196"/>
      <c r="AM897" s="196"/>
    </row>
    <row r="898">
      <c r="F898" s="203"/>
      <c r="H898" s="196"/>
      <c r="I898" s="196"/>
      <c r="J898" s="196"/>
      <c r="K898" s="196"/>
      <c r="L898" s="196"/>
      <c r="M898" s="196"/>
      <c r="N898" s="196"/>
      <c r="O898" s="196"/>
      <c r="P898" s="196"/>
      <c r="Q898" s="196"/>
      <c r="R898" s="196"/>
      <c r="S898" s="196"/>
      <c r="T898" s="196"/>
      <c r="U898" s="196"/>
      <c r="V898" s="196"/>
      <c r="W898" s="196"/>
      <c r="X898" s="196"/>
      <c r="Y898" s="196"/>
      <c r="Z898" s="196"/>
      <c r="AA898" s="196"/>
      <c r="AB898" s="196"/>
      <c r="AC898" s="196"/>
      <c r="AD898" s="196"/>
      <c r="AE898" s="196"/>
      <c r="AF898" s="196"/>
      <c r="AG898" s="196"/>
      <c r="AH898" s="196"/>
      <c r="AI898" s="196"/>
      <c r="AJ898" s="196"/>
      <c r="AK898" s="196"/>
      <c r="AL898" s="196"/>
      <c r="AM898" s="196"/>
    </row>
    <row r="899">
      <c r="F899" s="203"/>
      <c r="H899" s="196"/>
      <c r="I899" s="196"/>
      <c r="J899" s="196"/>
      <c r="K899" s="196"/>
      <c r="L899" s="196"/>
      <c r="M899" s="196"/>
      <c r="N899" s="196"/>
      <c r="O899" s="196"/>
      <c r="P899" s="196"/>
      <c r="Q899" s="196"/>
      <c r="R899" s="196"/>
      <c r="S899" s="196"/>
      <c r="T899" s="196"/>
      <c r="U899" s="196"/>
      <c r="V899" s="196"/>
      <c r="W899" s="196"/>
      <c r="X899" s="196"/>
      <c r="Y899" s="196"/>
      <c r="Z899" s="196"/>
      <c r="AA899" s="196"/>
      <c r="AB899" s="196"/>
      <c r="AC899" s="196"/>
      <c r="AD899" s="196"/>
      <c r="AE899" s="196"/>
      <c r="AF899" s="196"/>
      <c r="AG899" s="196"/>
      <c r="AH899" s="196"/>
      <c r="AI899" s="196"/>
      <c r="AJ899" s="196"/>
      <c r="AK899" s="196"/>
      <c r="AL899" s="196"/>
      <c r="AM899" s="196"/>
    </row>
    <row r="900">
      <c r="F900" s="203"/>
      <c r="H900" s="196"/>
      <c r="I900" s="196"/>
      <c r="J900" s="196"/>
      <c r="K900" s="196"/>
      <c r="L900" s="196"/>
      <c r="M900" s="196"/>
      <c r="N900" s="196"/>
      <c r="O900" s="196"/>
      <c r="P900" s="196"/>
      <c r="Q900" s="196"/>
      <c r="R900" s="196"/>
      <c r="S900" s="196"/>
      <c r="T900" s="196"/>
      <c r="U900" s="196"/>
      <c r="V900" s="196"/>
      <c r="W900" s="196"/>
      <c r="X900" s="196"/>
      <c r="Y900" s="196"/>
      <c r="Z900" s="196"/>
      <c r="AA900" s="196"/>
      <c r="AB900" s="196"/>
      <c r="AC900" s="196"/>
      <c r="AD900" s="196"/>
      <c r="AE900" s="196"/>
      <c r="AF900" s="196"/>
      <c r="AG900" s="196"/>
      <c r="AH900" s="196"/>
      <c r="AI900" s="196"/>
      <c r="AJ900" s="196"/>
      <c r="AK900" s="196"/>
      <c r="AL900" s="196"/>
      <c r="AM900" s="196"/>
    </row>
    <row r="901">
      <c r="F901" s="203"/>
      <c r="H901" s="196"/>
      <c r="I901" s="196"/>
      <c r="J901" s="196"/>
      <c r="K901" s="196"/>
      <c r="L901" s="196"/>
      <c r="M901" s="196"/>
      <c r="N901" s="196"/>
      <c r="O901" s="196"/>
      <c r="P901" s="196"/>
      <c r="Q901" s="196"/>
      <c r="R901" s="196"/>
      <c r="S901" s="196"/>
      <c r="T901" s="196"/>
      <c r="U901" s="196"/>
      <c r="V901" s="196"/>
      <c r="W901" s="196"/>
      <c r="X901" s="196"/>
      <c r="Y901" s="196"/>
      <c r="Z901" s="196"/>
      <c r="AA901" s="196"/>
      <c r="AB901" s="196"/>
      <c r="AC901" s="196"/>
      <c r="AD901" s="196"/>
      <c r="AE901" s="196"/>
      <c r="AF901" s="196"/>
      <c r="AG901" s="196"/>
      <c r="AH901" s="196"/>
      <c r="AI901" s="196"/>
      <c r="AJ901" s="196"/>
      <c r="AK901" s="196"/>
      <c r="AL901" s="196"/>
      <c r="AM901" s="196"/>
    </row>
    <row r="902">
      <c r="F902" s="203"/>
      <c r="H902" s="196"/>
      <c r="I902" s="196"/>
      <c r="J902" s="196"/>
      <c r="K902" s="196"/>
      <c r="L902" s="196"/>
      <c r="M902" s="196"/>
      <c r="N902" s="196"/>
      <c r="O902" s="196"/>
      <c r="P902" s="196"/>
      <c r="Q902" s="196"/>
      <c r="R902" s="196"/>
      <c r="S902" s="196"/>
      <c r="T902" s="196"/>
      <c r="U902" s="196"/>
      <c r="V902" s="196"/>
      <c r="W902" s="196"/>
      <c r="X902" s="196"/>
      <c r="Y902" s="196"/>
      <c r="Z902" s="196"/>
      <c r="AA902" s="196"/>
      <c r="AB902" s="196"/>
      <c r="AC902" s="196"/>
      <c r="AD902" s="196"/>
      <c r="AE902" s="196"/>
      <c r="AF902" s="196"/>
      <c r="AG902" s="196"/>
      <c r="AH902" s="196"/>
      <c r="AI902" s="196"/>
      <c r="AJ902" s="196"/>
      <c r="AK902" s="196"/>
      <c r="AL902" s="196"/>
      <c r="AM902" s="196"/>
    </row>
    <row r="903">
      <c r="F903" s="203"/>
      <c r="H903" s="196"/>
      <c r="I903" s="196"/>
      <c r="J903" s="196"/>
      <c r="K903" s="196"/>
      <c r="L903" s="196"/>
      <c r="M903" s="196"/>
      <c r="N903" s="196"/>
      <c r="O903" s="196"/>
      <c r="P903" s="196"/>
      <c r="Q903" s="196"/>
      <c r="R903" s="196"/>
      <c r="S903" s="196"/>
      <c r="T903" s="196"/>
      <c r="U903" s="196"/>
      <c r="V903" s="196"/>
      <c r="W903" s="196"/>
      <c r="X903" s="196"/>
      <c r="Y903" s="196"/>
      <c r="Z903" s="196"/>
      <c r="AA903" s="196"/>
      <c r="AB903" s="196"/>
      <c r="AC903" s="196"/>
      <c r="AD903" s="196"/>
      <c r="AE903" s="196"/>
      <c r="AF903" s="196"/>
      <c r="AG903" s="196"/>
      <c r="AH903" s="196"/>
      <c r="AI903" s="196"/>
      <c r="AJ903" s="196"/>
      <c r="AK903" s="196"/>
      <c r="AL903" s="196"/>
      <c r="AM903" s="196"/>
    </row>
    <row r="904">
      <c r="F904" s="203"/>
      <c r="H904" s="196"/>
      <c r="I904" s="196"/>
      <c r="J904" s="196"/>
      <c r="K904" s="196"/>
      <c r="L904" s="196"/>
      <c r="M904" s="196"/>
      <c r="N904" s="196"/>
      <c r="O904" s="196"/>
      <c r="P904" s="196"/>
      <c r="Q904" s="196"/>
      <c r="R904" s="196"/>
      <c r="S904" s="196"/>
      <c r="T904" s="196"/>
      <c r="U904" s="196"/>
      <c r="V904" s="196"/>
      <c r="W904" s="196"/>
      <c r="X904" s="196"/>
      <c r="Y904" s="196"/>
      <c r="Z904" s="196"/>
      <c r="AA904" s="196"/>
      <c r="AB904" s="196"/>
      <c r="AC904" s="196"/>
      <c r="AD904" s="196"/>
      <c r="AE904" s="196"/>
      <c r="AF904" s="196"/>
      <c r="AG904" s="196"/>
      <c r="AH904" s="196"/>
      <c r="AI904" s="196"/>
      <c r="AJ904" s="196"/>
      <c r="AK904" s="196"/>
      <c r="AL904" s="196"/>
      <c r="AM904" s="196"/>
    </row>
    <row r="905">
      <c r="F905" s="203"/>
      <c r="H905" s="196"/>
      <c r="I905" s="196"/>
      <c r="J905" s="196"/>
      <c r="K905" s="196"/>
      <c r="L905" s="196"/>
      <c r="M905" s="196"/>
      <c r="N905" s="196"/>
      <c r="O905" s="196"/>
      <c r="P905" s="196"/>
      <c r="Q905" s="196"/>
      <c r="R905" s="196"/>
      <c r="S905" s="196"/>
      <c r="T905" s="196"/>
      <c r="U905" s="196"/>
      <c r="V905" s="196"/>
      <c r="W905" s="196"/>
      <c r="X905" s="196"/>
      <c r="Y905" s="196"/>
      <c r="Z905" s="196"/>
      <c r="AA905" s="196"/>
      <c r="AB905" s="196"/>
      <c r="AC905" s="196"/>
      <c r="AD905" s="196"/>
      <c r="AE905" s="196"/>
      <c r="AF905" s="196"/>
      <c r="AG905" s="196"/>
      <c r="AH905" s="196"/>
      <c r="AI905" s="196"/>
      <c r="AJ905" s="196"/>
      <c r="AK905" s="196"/>
      <c r="AL905" s="196"/>
      <c r="AM905" s="196"/>
    </row>
    <row r="906">
      <c r="F906" s="203"/>
      <c r="H906" s="196"/>
      <c r="I906" s="196"/>
      <c r="J906" s="196"/>
      <c r="K906" s="196"/>
      <c r="L906" s="196"/>
      <c r="M906" s="196"/>
      <c r="N906" s="196"/>
      <c r="O906" s="196"/>
      <c r="P906" s="196"/>
      <c r="Q906" s="196"/>
      <c r="R906" s="196"/>
      <c r="S906" s="196"/>
      <c r="T906" s="196"/>
      <c r="U906" s="196"/>
      <c r="V906" s="196"/>
      <c r="W906" s="196"/>
      <c r="X906" s="196"/>
      <c r="Y906" s="196"/>
      <c r="Z906" s="196"/>
      <c r="AA906" s="196"/>
      <c r="AB906" s="196"/>
      <c r="AC906" s="196"/>
      <c r="AD906" s="196"/>
      <c r="AE906" s="196"/>
      <c r="AF906" s="196"/>
      <c r="AG906" s="196"/>
      <c r="AH906" s="196"/>
      <c r="AI906" s="196"/>
      <c r="AJ906" s="196"/>
      <c r="AK906" s="196"/>
      <c r="AL906" s="196"/>
      <c r="AM906" s="196"/>
    </row>
    <row r="907">
      <c r="F907" s="203"/>
      <c r="H907" s="196"/>
      <c r="I907" s="196"/>
      <c r="J907" s="196"/>
      <c r="K907" s="196"/>
      <c r="L907" s="196"/>
      <c r="M907" s="196"/>
      <c r="N907" s="196"/>
      <c r="O907" s="196"/>
      <c r="P907" s="196"/>
      <c r="Q907" s="196"/>
      <c r="R907" s="196"/>
      <c r="S907" s="196"/>
      <c r="T907" s="196"/>
      <c r="U907" s="196"/>
      <c r="V907" s="196"/>
      <c r="W907" s="196"/>
      <c r="X907" s="196"/>
      <c r="Y907" s="196"/>
      <c r="Z907" s="196"/>
      <c r="AA907" s="196"/>
      <c r="AB907" s="196"/>
      <c r="AC907" s="196"/>
      <c r="AD907" s="196"/>
      <c r="AE907" s="196"/>
      <c r="AF907" s="196"/>
      <c r="AG907" s="196"/>
      <c r="AH907" s="196"/>
      <c r="AI907" s="196"/>
      <c r="AJ907" s="196"/>
      <c r="AK907" s="196"/>
      <c r="AL907" s="196"/>
      <c r="AM907" s="196"/>
    </row>
    <row r="908">
      <c r="F908" s="203"/>
      <c r="H908" s="196"/>
      <c r="I908" s="196"/>
      <c r="J908" s="196"/>
      <c r="K908" s="196"/>
      <c r="L908" s="196"/>
      <c r="M908" s="196"/>
      <c r="N908" s="196"/>
      <c r="O908" s="196"/>
      <c r="P908" s="196"/>
      <c r="Q908" s="196"/>
      <c r="R908" s="196"/>
      <c r="S908" s="196"/>
      <c r="T908" s="196"/>
      <c r="U908" s="196"/>
      <c r="V908" s="196"/>
      <c r="W908" s="196"/>
      <c r="X908" s="196"/>
      <c r="Y908" s="196"/>
      <c r="Z908" s="196"/>
      <c r="AA908" s="196"/>
      <c r="AB908" s="196"/>
      <c r="AC908" s="196"/>
      <c r="AD908" s="196"/>
      <c r="AE908" s="196"/>
      <c r="AF908" s="196"/>
      <c r="AG908" s="196"/>
      <c r="AH908" s="196"/>
      <c r="AI908" s="196"/>
      <c r="AJ908" s="196"/>
      <c r="AK908" s="196"/>
      <c r="AL908" s="196"/>
      <c r="AM908" s="196"/>
    </row>
    <row r="909">
      <c r="F909" s="203"/>
      <c r="H909" s="196"/>
      <c r="I909" s="196"/>
      <c r="J909" s="196"/>
      <c r="K909" s="196"/>
      <c r="L909" s="196"/>
      <c r="M909" s="196"/>
      <c r="N909" s="196"/>
      <c r="O909" s="196"/>
      <c r="P909" s="196"/>
      <c r="Q909" s="196"/>
      <c r="R909" s="196"/>
      <c r="S909" s="196"/>
      <c r="T909" s="196"/>
      <c r="U909" s="196"/>
      <c r="V909" s="196"/>
      <c r="W909" s="196"/>
      <c r="X909" s="196"/>
      <c r="Y909" s="196"/>
      <c r="Z909" s="196"/>
      <c r="AA909" s="196"/>
      <c r="AB909" s="196"/>
      <c r="AC909" s="196"/>
      <c r="AD909" s="196"/>
      <c r="AE909" s="196"/>
      <c r="AF909" s="196"/>
      <c r="AG909" s="196"/>
      <c r="AH909" s="196"/>
      <c r="AI909" s="196"/>
      <c r="AJ909" s="196"/>
      <c r="AK909" s="196"/>
      <c r="AL909" s="196"/>
      <c r="AM909" s="196"/>
    </row>
    <row r="910">
      <c r="F910" s="203"/>
      <c r="H910" s="196"/>
      <c r="I910" s="196"/>
      <c r="J910" s="196"/>
      <c r="K910" s="196"/>
      <c r="L910" s="196"/>
      <c r="M910" s="196"/>
      <c r="N910" s="196"/>
      <c r="O910" s="196"/>
      <c r="P910" s="196"/>
      <c r="Q910" s="196"/>
      <c r="R910" s="196"/>
      <c r="S910" s="196"/>
      <c r="T910" s="196"/>
      <c r="U910" s="196"/>
      <c r="V910" s="196"/>
      <c r="W910" s="196"/>
      <c r="X910" s="196"/>
      <c r="Y910" s="196"/>
      <c r="Z910" s="196"/>
      <c r="AA910" s="196"/>
      <c r="AB910" s="196"/>
      <c r="AC910" s="196"/>
      <c r="AD910" s="196"/>
      <c r="AE910" s="196"/>
      <c r="AF910" s="196"/>
      <c r="AG910" s="196"/>
      <c r="AH910" s="196"/>
      <c r="AI910" s="196"/>
      <c r="AJ910" s="196"/>
      <c r="AK910" s="196"/>
      <c r="AL910" s="196"/>
      <c r="AM910" s="196"/>
    </row>
    <row r="911">
      <c r="F911" s="203"/>
      <c r="H911" s="196"/>
      <c r="I911" s="196"/>
      <c r="J911" s="196"/>
      <c r="K911" s="196"/>
      <c r="L911" s="196"/>
      <c r="M911" s="196"/>
      <c r="N911" s="196"/>
      <c r="O911" s="196"/>
      <c r="P911" s="196"/>
      <c r="Q911" s="196"/>
      <c r="R911" s="196"/>
      <c r="S911" s="196"/>
      <c r="T911" s="196"/>
      <c r="U911" s="196"/>
      <c r="V911" s="196"/>
      <c r="W911" s="196"/>
      <c r="X911" s="196"/>
      <c r="Y911" s="196"/>
      <c r="Z911" s="196"/>
      <c r="AA911" s="196"/>
      <c r="AB911" s="196"/>
      <c r="AC911" s="196"/>
      <c r="AD911" s="196"/>
      <c r="AE911" s="196"/>
      <c r="AF911" s="196"/>
      <c r="AG911" s="196"/>
      <c r="AH911" s="196"/>
      <c r="AI911" s="196"/>
      <c r="AJ911" s="196"/>
      <c r="AK911" s="196"/>
      <c r="AL911" s="196"/>
      <c r="AM911" s="196"/>
    </row>
    <row r="912">
      <c r="F912" s="203"/>
      <c r="H912" s="196"/>
      <c r="I912" s="196"/>
      <c r="J912" s="196"/>
      <c r="K912" s="196"/>
      <c r="L912" s="196"/>
      <c r="M912" s="196"/>
      <c r="N912" s="196"/>
      <c r="O912" s="196"/>
      <c r="P912" s="196"/>
      <c r="Q912" s="196"/>
      <c r="R912" s="196"/>
      <c r="S912" s="196"/>
      <c r="T912" s="196"/>
      <c r="U912" s="196"/>
      <c r="V912" s="196"/>
      <c r="W912" s="196"/>
      <c r="X912" s="196"/>
      <c r="Y912" s="196"/>
      <c r="Z912" s="196"/>
      <c r="AA912" s="196"/>
      <c r="AB912" s="196"/>
      <c r="AC912" s="196"/>
      <c r="AD912" s="196"/>
      <c r="AE912" s="196"/>
      <c r="AF912" s="196"/>
      <c r="AG912" s="196"/>
      <c r="AH912" s="196"/>
      <c r="AI912" s="196"/>
      <c r="AJ912" s="196"/>
      <c r="AK912" s="196"/>
      <c r="AL912" s="196"/>
      <c r="AM912" s="196"/>
    </row>
    <row r="913">
      <c r="F913" s="203"/>
      <c r="H913" s="196"/>
      <c r="I913" s="196"/>
      <c r="J913" s="196"/>
      <c r="K913" s="196"/>
      <c r="L913" s="196"/>
      <c r="M913" s="196"/>
      <c r="N913" s="196"/>
      <c r="O913" s="196"/>
      <c r="P913" s="196"/>
      <c r="Q913" s="196"/>
      <c r="R913" s="196"/>
      <c r="S913" s="196"/>
      <c r="T913" s="196"/>
      <c r="U913" s="196"/>
      <c r="V913" s="196"/>
      <c r="W913" s="196"/>
      <c r="X913" s="196"/>
      <c r="Y913" s="196"/>
      <c r="Z913" s="196"/>
      <c r="AA913" s="196"/>
      <c r="AB913" s="196"/>
      <c r="AC913" s="196"/>
      <c r="AD913" s="196"/>
      <c r="AE913" s="196"/>
      <c r="AF913" s="196"/>
      <c r="AG913" s="196"/>
      <c r="AH913" s="196"/>
      <c r="AI913" s="196"/>
      <c r="AJ913" s="196"/>
      <c r="AK913" s="196"/>
      <c r="AL913" s="196"/>
      <c r="AM913" s="196"/>
    </row>
    <row r="914">
      <c r="F914" s="203"/>
      <c r="H914" s="196"/>
      <c r="I914" s="196"/>
      <c r="J914" s="196"/>
      <c r="K914" s="196"/>
      <c r="L914" s="196"/>
      <c r="M914" s="196"/>
      <c r="N914" s="196"/>
      <c r="O914" s="196"/>
      <c r="P914" s="196"/>
      <c r="Q914" s="196"/>
      <c r="R914" s="196"/>
      <c r="S914" s="196"/>
      <c r="T914" s="196"/>
      <c r="U914" s="196"/>
      <c r="V914" s="196"/>
      <c r="W914" s="196"/>
      <c r="X914" s="196"/>
      <c r="Y914" s="196"/>
      <c r="Z914" s="196"/>
      <c r="AA914" s="196"/>
      <c r="AB914" s="196"/>
      <c r="AC914" s="196"/>
      <c r="AD914" s="196"/>
      <c r="AE914" s="196"/>
      <c r="AF914" s="196"/>
      <c r="AG914" s="196"/>
      <c r="AH914" s="196"/>
      <c r="AI914" s="196"/>
      <c r="AJ914" s="196"/>
      <c r="AK914" s="196"/>
      <c r="AL914" s="196"/>
      <c r="AM914" s="196"/>
    </row>
    <row r="915">
      <c r="F915" s="203"/>
      <c r="H915" s="196"/>
      <c r="I915" s="196"/>
      <c r="J915" s="196"/>
      <c r="K915" s="196"/>
      <c r="L915" s="196"/>
      <c r="M915" s="196"/>
      <c r="N915" s="196"/>
      <c r="O915" s="196"/>
      <c r="P915" s="196"/>
      <c r="Q915" s="196"/>
      <c r="R915" s="196"/>
      <c r="S915" s="196"/>
      <c r="T915" s="196"/>
      <c r="U915" s="196"/>
      <c r="V915" s="196"/>
      <c r="W915" s="196"/>
      <c r="X915" s="196"/>
      <c r="Y915" s="196"/>
      <c r="Z915" s="196"/>
      <c r="AA915" s="196"/>
      <c r="AB915" s="196"/>
      <c r="AC915" s="196"/>
      <c r="AD915" s="196"/>
      <c r="AE915" s="196"/>
      <c r="AF915" s="196"/>
      <c r="AG915" s="196"/>
      <c r="AH915" s="196"/>
      <c r="AI915" s="196"/>
      <c r="AJ915" s="196"/>
      <c r="AK915" s="196"/>
      <c r="AL915" s="196"/>
      <c r="AM915" s="196"/>
    </row>
    <row r="916">
      <c r="F916" s="203"/>
      <c r="H916" s="196"/>
      <c r="I916" s="196"/>
      <c r="J916" s="196"/>
      <c r="K916" s="196"/>
      <c r="L916" s="196"/>
      <c r="M916" s="196"/>
      <c r="N916" s="196"/>
      <c r="O916" s="196"/>
      <c r="P916" s="196"/>
      <c r="Q916" s="196"/>
      <c r="R916" s="196"/>
      <c r="S916" s="196"/>
      <c r="T916" s="196"/>
      <c r="U916" s="196"/>
      <c r="V916" s="196"/>
      <c r="W916" s="196"/>
      <c r="X916" s="196"/>
      <c r="Y916" s="196"/>
      <c r="Z916" s="196"/>
      <c r="AA916" s="196"/>
      <c r="AB916" s="196"/>
      <c r="AC916" s="196"/>
      <c r="AD916" s="196"/>
      <c r="AE916" s="196"/>
      <c r="AF916" s="196"/>
      <c r="AG916" s="196"/>
      <c r="AH916" s="196"/>
      <c r="AI916" s="196"/>
      <c r="AJ916" s="196"/>
      <c r="AK916" s="196"/>
      <c r="AL916" s="196"/>
      <c r="AM916" s="196"/>
    </row>
    <row r="917">
      <c r="F917" s="203"/>
      <c r="H917" s="196"/>
      <c r="I917" s="196"/>
      <c r="J917" s="196"/>
      <c r="K917" s="196"/>
      <c r="L917" s="196"/>
      <c r="M917" s="196"/>
      <c r="N917" s="196"/>
      <c r="O917" s="196"/>
      <c r="P917" s="196"/>
      <c r="Q917" s="196"/>
      <c r="R917" s="196"/>
      <c r="S917" s="196"/>
      <c r="T917" s="196"/>
      <c r="U917" s="196"/>
      <c r="V917" s="196"/>
      <c r="W917" s="196"/>
      <c r="X917" s="196"/>
      <c r="Y917" s="196"/>
      <c r="Z917" s="196"/>
      <c r="AA917" s="196"/>
      <c r="AB917" s="196"/>
      <c r="AC917" s="196"/>
      <c r="AD917" s="196"/>
      <c r="AE917" s="196"/>
      <c r="AF917" s="196"/>
      <c r="AG917" s="196"/>
      <c r="AH917" s="196"/>
      <c r="AI917" s="196"/>
      <c r="AJ917" s="196"/>
      <c r="AK917" s="196"/>
      <c r="AL917" s="196"/>
      <c r="AM917" s="196"/>
    </row>
    <row r="918">
      <c r="F918" s="203"/>
      <c r="H918" s="196"/>
      <c r="I918" s="196"/>
      <c r="J918" s="196"/>
      <c r="K918" s="196"/>
      <c r="L918" s="196"/>
      <c r="M918" s="196"/>
      <c r="N918" s="196"/>
      <c r="O918" s="196"/>
      <c r="P918" s="196"/>
      <c r="Q918" s="196"/>
      <c r="R918" s="196"/>
      <c r="S918" s="196"/>
      <c r="T918" s="196"/>
      <c r="U918" s="196"/>
      <c r="V918" s="196"/>
      <c r="W918" s="196"/>
      <c r="X918" s="196"/>
      <c r="Y918" s="196"/>
      <c r="Z918" s="196"/>
      <c r="AA918" s="196"/>
      <c r="AB918" s="196"/>
      <c r="AC918" s="196"/>
      <c r="AD918" s="196"/>
      <c r="AE918" s="196"/>
      <c r="AF918" s="196"/>
      <c r="AG918" s="196"/>
      <c r="AH918" s="196"/>
      <c r="AI918" s="196"/>
      <c r="AJ918" s="196"/>
      <c r="AK918" s="196"/>
      <c r="AL918" s="196"/>
      <c r="AM918" s="196"/>
    </row>
    <row r="919">
      <c r="F919" s="203"/>
      <c r="H919" s="196"/>
      <c r="I919" s="196"/>
      <c r="J919" s="196"/>
      <c r="K919" s="196"/>
      <c r="L919" s="196"/>
      <c r="M919" s="196"/>
      <c r="N919" s="196"/>
      <c r="O919" s="196"/>
      <c r="P919" s="196"/>
      <c r="Q919" s="196"/>
      <c r="R919" s="196"/>
      <c r="S919" s="196"/>
      <c r="T919" s="196"/>
      <c r="U919" s="196"/>
      <c r="V919" s="196"/>
      <c r="W919" s="196"/>
      <c r="X919" s="196"/>
      <c r="Y919" s="196"/>
      <c r="Z919" s="196"/>
      <c r="AA919" s="196"/>
      <c r="AB919" s="196"/>
      <c r="AC919" s="196"/>
      <c r="AD919" s="196"/>
      <c r="AE919" s="196"/>
      <c r="AF919" s="196"/>
      <c r="AG919" s="196"/>
      <c r="AH919" s="196"/>
      <c r="AI919" s="196"/>
      <c r="AJ919" s="196"/>
      <c r="AK919" s="196"/>
      <c r="AL919" s="196"/>
      <c r="AM919" s="196"/>
    </row>
    <row r="920">
      <c r="F920" s="203"/>
      <c r="H920" s="196"/>
      <c r="I920" s="196"/>
      <c r="J920" s="196"/>
      <c r="K920" s="196"/>
      <c r="L920" s="196"/>
      <c r="M920" s="196"/>
      <c r="N920" s="196"/>
      <c r="O920" s="196"/>
      <c r="P920" s="196"/>
      <c r="Q920" s="196"/>
      <c r="R920" s="196"/>
      <c r="S920" s="196"/>
      <c r="T920" s="196"/>
      <c r="U920" s="196"/>
      <c r="V920" s="196"/>
      <c r="W920" s="196"/>
      <c r="X920" s="196"/>
      <c r="Y920" s="196"/>
      <c r="Z920" s="196"/>
      <c r="AA920" s="196"/>
      <c r="AB920" s="196"/>
      <c r="AC920" s="196"/>
      <c r="AD920" s="196"/>
      <c r="AE920" s="196"/>
      <c r="AF920" s="196"/>
      <c r="AG920" s="196"/>
      <c r="AH920" s="196"/>
      <c r="AI920" s="196"/>
      <c r="AJ920" s="196"/>
      <c r="AK920" s="196"/>
      <c r="AL920" s="196"/>
      <c r="AM920" s="196"/>
    </row>
    <row r="921">
      <c r="F921" s="203"/>
      <c r="H921" s="196"/>
      <c r="I921" s="196"/>
      <c r="J921" s="196"/>
      <c r="K921" s="196"/>
      <c r="L921" s="196"/>
      <c r="M921" s="196"/>
      <c r="N921" s="196"/>
      <c r="O921" s="196"/>
      <c r="P921" s="196"/>
      <c r="Q921" s="196"/>
      <c r="R921" s="196"/>
      <c r="S921" s="196"/>
      <c r="T921" s="196"/>
      <c r="U921" s="196"/>
      <c r="V921" s="196"/>
      <c r="W921" s="196"/>
      <c r="X921" s="196"/>
      <c r="Y921" s="196"/>
      <c r="Z921" s="196"/>
      <c r="AA921" s="196"/>
      <c r="AB921" s="196"/>
      <c r="AC921" s="196"/>
      <c r="AD921" s="196"/>
      <c r="AE921" s="196"/>
      <c r="AF921" s="196"/>
      <c r="AG921" s="196"/>
      <c r="AH921" s="196"/>
      <c r="AI921" s="196"/>
      <c r="AJ921" s="196"/>
      <c r="AK921" s="196"/>
      <c r="AL921" s="196"/>
      <c r="AM921" s="196"/>
    </row>
    <row r="922">
      <c r="F922" s="203"/>
      <c r="H922" s="196"/>
      <c r="I922" s="196"/>
      <c r="J922" s="196"/>
      <c r="K922" s="196"/>
      <c r="L922" s="196"/>
      <c r="M922" s="196"/>
      <c r="N922" s="196"/>
      <c r="O922" s="196"/>
      <c r="P922" s="196"/>
      <c r="Q922" s="196"/>
      <c r="R922" s="196"/>
      <c r="S922" s="196"/>
      <c r="T922" s="196"/>
      <c r="U922" s="196"/>
      <c r="V922" s="196"/>
      <c r="W922" s="196"/>
      <c r="X922" s="196"/>
      <c r="Y922" s="196"/>
      <c r="Z922" s="196"/>
      <c r="AA922" s="196"/>
      <c r="AB922" s="196"/>
      <c r="AC922" s="196"/>
      <c r="AD922" s="196"/>
      <c r="AE922" s="196"/>
      <c r="AF922" s="196"/>
      <c r="AG922" s="196"/>
      <c r="AH922" s="196"/>
      <c r="AI922" s="196"/>
      <c r="AJ922" s="196"/>
      <c r="AK922" s="196"/>
      <c r="AL922" s="196"/>
      <c r="AM922" s="196"/>
    </row>
    <row r="923">
      <c r="F923" s="203"/>
      <c r="H923" s="196"/>
      <c r="I923" s="196"/>
      <c r="J923" s="196"/>
      <c r="K923" s="196"/>
      <c r="L923" s="196"/>
      <c r="M923" s="196"/>
      <c r="N923" s="196"/>
      <c r="O923" s="196"/>
      <c r="P923" s="196"/>
      <c r="Q923" s="196"/>
      <c r="R923" s="196"/>
      <c r="S923" s="196"/>
      <c r="T923" s="196"/>
      <c r="U923" s="196"/>
      <c r="V923" s="196"/>
      <c r="W923" s="196"/>
      <c r="X923" s="196"/>
      <c r="Y923" s="196"/>
      <c r="Z923" s="196"/>
      <c r="AA923" s="196"/>
      <c r="AB923" s="196"/>
      <c r="AC923" s="196"/>
      <c r="AD923" s="196"/>
      <c r="AE923" s="196"/>
      <c r="AF923" s="196"/>
      <c r="AG923" s="196"/>
      <c r="AH923" s="196"/>
      <c r="AI923" s="196"/>
      <c r="AJ923" s="196"/>
      <c r="AK923" s="196"/>
      <c r="AL923" s="196"/>
      <c r="AM923" s="196"/>
    </row>
    <row r="924">
      <c r="F924" s="203"/>
      <c r="H924" s="196"/>
      <c r="I924" s="196"/>
      <c r="J924" s="196"/>
      <c r="K924" s="196"/>
      <c r="L924" s="196"/>
      <c r="M924" s="196"/>
      <c r="N924" s="196"/>
      <c r="O924" s="196"/>
      <c r="P924" s="196"/>
      <c r="Q924" s="196"/>
      <c r="R924" s="196"/>
      <c r="S924" s="196"/>
      <c r="T924" s="196"/>
      <c r="U924" s="196"/>
      <c r="V924" s="196"/>
      <c r="W924" s="196"/>
      <c r="X924" s="196"/>
      <c r="Y924" s="196"/>
      <c r="Z924" s="196"/>
      <c r="AA924" s="196"/>
      <c r="AB924" s="196"/>
      <c r="AC924" s="196"/>
      <c r="AD924" s="196"/>
      <c r="AE924" s="196"/>
      <c r="AF924" s="196"/>
      <c r="AG924" s="196"/>
      <c r="AH924" s="196"/>
      <c r="AI924" s="196"/>
      <c r="AJ924" s="196"/>
      <c r="AK924" s="196"/>
      <c r="AL924" s="196"/>
      <c r="AM924" s="196"/>
    </row>
    <row r="925">
      <c r="F925" s="203"/>
      <c r="H925" s="196"/>
      <c r="I925" s="196"/>
      <c r="J925" s="196"/>
      <c r="K925" s="196"/>
      <c r="L925" s="196"/>
      <c r="M925" s="196"/>
      <c r="N925" s="196"/>
      <c r="O925" s="196"/>
      <c r="P925" s="196"/>
      <c r="Q925" s="196"/>
      <c r="R925" s="196"/>
      <c r="S925" s="196"/>
      <c r="T925" s="196"/>
      <c r="U925" s="196"/>
      <c r="V925" s="196"/>
      <c r="W925" s="196"/>
      <c r="X925" s="196"/>
      <c r="Y925" s="196"/>
      <c r="Z925" s="196"/>
      <c r="AA925" s="196"/>
      <c r="AB925" s="196"/>
      <c r="AC925" s="196"/>
      <c r="AD925" s="196"/>
      <c r="AE925" s="196"/>
      <c r="AF925" s="196"/>
      <c r="AG925" s="196"/>
      <c r="AH925" s="196"/>
      <c r="AI925" s="196"/>
      <c r="AJ925" s="196"/>
      <c r="AK925" s="196"/>
      <c r="AL925" s="196"/>
      <c r="AM925" s="196"/>
    </row>
    <row r="926">
      <c r="F926" s="203"/>
      <c r="H926" s="196"/>
      <c r="I926" s="196"/>
      <c r="J926" s="196"/>
      <c r="K926" s="196"/>
      <c r="L926" s="196"/>
      <c r="M926" s="196"/>
      <c r="N926" s="196"/>
      <c r="O926" s="196"/>
      <c r="P926" s="196"/>
      <c r="Q926" s="196"/>
      <c r="R926" s="196"/>
      <c r="S926" s="196"/>
      <c r="T926" s="196"/>
      <c r="U926" s="196"/>
      <c r="V926" s="196"/>
      <c r="W926" s="196"/>
      <c r="X926" s="196"/>
      <c r="Y926" s="196"/>
      <c r="Z926" s="196"/>
      <c r="AA926" s="196"/>
      <c r="AB926" s="196"/>
      <c r="AC926" s="196"/>
      <c r="AD926" s="196"/>
      <c r="AE926" s="196"/>
      <c r="AF926" s="196"/>
      <c r="AG926" s="196"/>
      <c r="AH926" s="196"/>
      <c r="AI926" s="196"/>
      <c r="AJ926" s="196"/>
      <c r="AK926" s="196"/>
      <c r="AL926" s="196"/>
      <c r="AM926" s="196"/>
    </row>
    <row r="927">
      <c r="F927" s="203"/>
      <c r="H927" s="196"/>
      <c r="I927" s="196"/>
      <c r="J927" s="196"/>
      <c r="K927" s="196"/>
      <c r="L927" s="196"/>
      <c r="M927" s="196"/>
      <c r="N927" s="196"/>
      <c r="O927" s="196"/>
      <c r="P927" s="196"/>
      <c r="Q927" s="196"/>
      <c r="R927" s="196"/>
      <c r="S927" s="196"/>
      <c r="T927" s="196"/>
      <c r="U927" s="196"/>
      <c r="V927" s="196"/>
      <c r="W927" s="196"/>
      <c r="X927" s="196"/>
      <c r="Y927" s="196"/>
      <c r="Z927" s="196"/>
      <c r="AA927" s="196"/>
      <c r="AB927" s="196"/>
      <c r="AC927" s="196"/>
      <c r="AD927" s="196"/>
      <c r="AE927" s="196"/>
      <c r="AF927" s="196"/>
      <c r="AG927" s="196"/>
      <c r="AH927" s="196"/>
      <c r="AI927" s="196"/>
      <c r="AJ927" s="196"/>
      <c r="AK927" s="196"/>
      <c r="AL927" s="196"/>
      <c r="AM927" s="196"/>
    </row>
    <row r="928">
      <c r="F928" s="203"/>
      <c r="H928" s="196"/>
      <c r="I928" s="196"/>
      <c r="J928" s="196"/>
      <c r="K928" s="196"/>
      <c r="L928" s="196"/>
      <c r="M928" s="196"/>
      <c r="N928" s="196"/>
      <c r="O928" s="196"/>
      <c r="P928" s="196"/>
      <c r="Q928" s="196"/>
      <c r="R928" s="196"/>
      <c r="S928" s="196"/>
      <c r="T928" s="196"/>
      <c r="U928" s="196"/>
      <c r="V928" s="196"/>
      <c r="W928" s="196"/>
      <c r="X928" s="196"/>
      <c r="Y928" s="196"/>
      <c r="Z928" s="196"/>
      <c r="AA928" s="196"/>
      <c r="AB928" s="196"/>
      <c r="AC928" s="196"/>
      <c r="AD928" s="196"/>
      <c r="AE928" s="196"/>
      <c r="AF928" s="196"/>
      <c r="AG928" s="196"/>
      <c r="AH928" s="196"/>
      <c r="AI928" s="196"/>
      <c r="AJ928" s="196"/>
      <c r="AK928" s="196"/>
      <c r="AL928" s="196"/>
      <c r="AM928" s="196"/>
    </row>
    <row r="929">
      <c r="F929" s="203"/>
      <c r="H929" s="196"/>
      <c r="I929" s="196"/>
      <c r="J929" s="196"/>
      <c r="K929" s="196"/>
      <c r="L929" s="196"/>
      <c r="M929" s="196"/>
      <c r="N929" s="196"/>
      <c r="O929" s="196"/>
      <c r="P929" s="196"/>
      <c r="Q929" s="196"/>
      <c r="R929" s="196"/>
      <c r="S929" s="196"/>
      <c r="T929" s="196"/>
      <c r="U929" s="196"/>
      <c r="V929" s="196"/>
      <c r="W929" s="196"/>
      <c r="X929" s="196"/>
      <c r="Y929" s="196"/>
      <c r="Z929" s="196"/>
      <c r="AA929" s="196"/>
      <c r="AB929" s="196"/>
      <c r="AC929" s="196"/>
      <c r="AD929" s="196"/>
      <c r="AE929" s="196"/>
      <c r="AF929" s="196"/>
      <c r="AG929" s="196"/>
      <c r="AH929" s="196"/>
      <c r="AI929" s="196"/>
      <c r="AJ929" s="196"/>
      <c r="AK929" s="196"/>
      <c r="AL929" s="196"/>
      <c r="AM929" s="196"/>
    </row>
    <row r="930">
      <c r="F930" s="203"/>
      <c r="H930" s="196"/>
      <c r="I930" s="196"/>
      <c r="J930" s="196"/>
      <c r="K930" s="196"/>
      <c r="L930" s="196"/>
      <c r="M930" s="196"/>
      <c r="N930" s="196"/>
      <c r="O930" s="196"/>
      <c r="P930" s="196"/>
      <c r="Q930" s="196"/>
      <c r="R930" s="196"/>
      <c r="S930" s="196"/>
      <c r="T930" s="196"/>
      <c r="U930" s="196"/>
      <c r="V930" s="196"/>
      <c r="W930" s="196"/>
      <c r="X930" s="196"/>
      <c r="Y930" s="196"/>
      <c r="Z930" s="196"/>
      <c r="AA930" s="196"/>
      <c r="AB930" s="196"/>
      <c r="AC930" s="196"/>
      <c r="AD930" s="196"/>
      <c r="AE930" s="196"/>
      <c r="AF930" s="196"/>
      <c r="AG930" s="196"/>
      <c r="AH930" s="196"/>
      <c r="AI930" s="196"/>
      <c r="AJ930" s="196"/>
      <c r="AK930" s="196"/>
      <c r="AL930" s="196"/>
      <c r="AM930" s="196"/>
    </row>
    <row r="931">
      <c r="F931" s="203"/>
      <c r="H931" s="196"/>
      <c r="I931" s="196"/>
      <c r="J931" s="196"/>
      <c r="K931" s="196"/>
      <c r="L931" s="196"/>
      <c r="M931" s="196"/>
      <c r="N931" s="196"/>
      <c r="O931" s="196"/>
      <c r="P931" s="196"/>
      <c r="Q931" s="196"/>
      <c r="R931" s="196"/>
      <c r="S931" s="196"/>
      <c r="T931" s="196"/>
      <c r="U931" s="196"/>
      <c r="V931" s="196"/>
      <c r="W931" s="196"/>
      <c r="X931" s="196"/>
      <c r="Y931" s="196"/>
      <c r="Z931" s="196"/>
      <c r="AA931" s="196"/>
      <c r="AB931" s="196"/>
      <c r="AC931" s="196"/>
      <c r="AD931" s="196"/>
      <c r="AE931" s="196"/>
      <c r="AF931" s="196"/>
      <c r="AG931" s="196"/>
      <c r="AH931" s="196"/>
      <c r="AI931" s="196"/>
      <c r="AJ931" s="196"/>
      <c r="AK931" s="196"/>
      <c r="AL931" s="196"/>
      <c r="AM931" s="196"/>
    </row>
    <row r="932">
      <c r="F932" s="203"/>
      <c r="H932" s="196"/>
      <c r="I932" s="196"/>
      <c r="J932" s="196"/>
      <c r="K932" s="196"/>
      <c r="L932" s="196"/>
      <c r="M932" s="196"/>
      <c r="N932" s="196"/>
      <c r="O932" s="196"/>
      <c r="P932" s="196"/>
      <c r="Q932" s="196"/>
      <c r="R932" s="196"/>
      <c r="S932" s="196"/>
      <c r="T932" s="196"/>
      <c r="U932" s="196"/>
      <c r="V932" s="196"/>
      <c r="W932" s="196"/>
      <c r="X932" s="196"/>
      <c r="Y932" s="196"/>
      <c r="Z932" s="196"/>
      <c r="AA932" s="196"/>
      <c r="AB932" s="196"/>
      <c r="AC932" s="196"/>
      <c r="AD932" s="196"/>
      <c r="AE932" s="196"/>
      <c r="AF932" s="196"/>
      <c r="AG932" s="196"/>
      <c r="AH932" s="196"/>
      <c r="AI932" s="196"/>
      <c r="AJ932" s="196"/>
      <c r="AK932" s="196"/>
      <c r="AL932" s="196"/>
      <c r="AM932" s="196"/>
    </row>
    <row r="933">
      <c r="F933" s="203"/>
      <c r="H933" s="196"/>
      <c r="I933" s="196"/>
      <c r="J933" s="196"/>
      <c r="K933" s="196"/>
      <c r="L933" s="196"/>
      <c r="M933" s="196"/>
      <c r="N933" s="196"/>
      <c r="O933" s="196"/>
      <c r="P933" s="196"/>
      <c r="Q933" s="196"/>
      <c r="R933" s="196"/>
      <c r="S933" s="196"/>
      <c r="T933" s="196"/>
      <c r="U933" s="196"/>
      <c r="V933" s="196"/>
      <c r="W933" s="196"/>
      <c r="X933" s="196"/>
      <c r="Y933" s="196"/>
      <c r="Z933" s="196"/>
      <c r="AA933" s="196"/>
      <c r="AB933" s="196"/>
      <c r="AC933" s="196"/>
      <c r="AD933" s="196"/>
      <c r="AE933" s="196"/>
      <c r="AF933" s="196"/>
      <c r="AG933" s="196"/>
      <c r="AH933" s="196"/>
      <c r="AI933" s="196"/>
      <c r="AJ933" s="196"/>
      <c r="AK933" s="196"/>
      <c r="AL933" s="196"/>
      <c r="AM933" s="196"/>
    </row>
    <row r="934">
      <c r="F934" s="203"/>
      <c r="H934" s="196"/>
      <c r="I934" s="196"/>
      <c r="J934" s="196"/>
      <c r="K934" s="196"/>
      <c r="L934" s="196"/>
      <c r="M934" s="196"/>
      <c r="N934" s="196"/>
      <c r="O934" s="196"/>
      <c r="P934" s="196"/>
      <c r="Q934" s="196"/>
      <c r="R934" s="196"/>
      <c r="S934" s="196"/>
      <c r="T934" s="196"/>
      <c r="U934" s="196"/>
      <c r="V934" s="196"/>
      <c r="W934" s="196"/>
      <c r="X934" s="196"/>
      <c r="Y934" s="196"/>
      <c r="Z934" s="196"/>
      <c r="AA934" s="196"/>
      <c r="AB934" s="196"/>
      <c r="AC934" s="196"/>
      <c r="AD934" s="196"/>
      <c r="AE934" s="196"/>
      <c r="AF934" s="196"/>
      <c r="AG934" s="196"/>
      <c r="AH934" s="196"/>
      <c r="AI934" s="196"/>
      <c r="AJ934" s="196"/>
      <c r="AK934" s="196"/>
      <c r="AL934" s="196"/>
      <c r="AM934" s="196"/>
    </row>
    <row r="935">
      <c r="F935" s="203"/>
      <c r="H935" s="196"/>
      <c r="I935" s="196"/>
      <c r="J935" s="196"/>
      <c r="K935" s="196"/>
      <c r="L935" s="196"/>
      <c r="M935" s="196"/>
      <c r="N935" s="196"/>
      <c r="O935" s="196"/>
      <c r="P935" s="196"/>
      <c r="Q935" s="196"/>
      <c r="R935" s="196"/>
      <c r="S935" s="196"/>
      <c r="T935" s="196"/>
      <c r="U935" s="196"/>
      <c r="V935" s="196"/>
      <c r="W935" s="196"/>
      <c r="X935" s="196"/>
      <c r="Y935" s="196"/>
      <c r="Z935" s="196"/>
      <c r="AA935" s="196"/>
      <c r="AB935" s="196"/>
      <c r="AC935" s="196"/>
      <c r="AD935" s="196"/>
      <c r="AE935" s="196"/>
      <c r="AF935" s="196"/>
      <c r="AG935" s="196"/>
      <c r="AH935" s="196"/>
      <c r="AI935" s="196"/>
      <c r="AJ935" s="196"/>
      <c r="AK935" s="196"/>
      <c r="AL935" s="196"/>
      <c r="AM935" s="196"/>
    </row>
    <row r="936">
      <c r="F936" s="203"/>
      <c r="H936" s="196"/>
      <c r="I936" s="196"/>
      <c r="J936" s="196"/>
      <c r="K936" s="196"/>
      <c r="L936" s="196"/>
      <c r="M936" s="196"/>
      <c r="N936" s="196"/>
      <c r="O936" s="196"/>
      <c r="P936" s="196"/>
      <c r="Q936" s="196"/>
      <c r="R936" s="196"/>
      <c r="S936" s="196"/>
      <c r="T936" s="196"/>
      <c r="U936" s="196"/>
      <c r="V936" s="196"/>
      <c r="W936" s="196"/>
      <c r="X936" s="196"/>
      <c r="Y936" s="196"/>
      <c r="Z936" s="196"/>
      <c r="AA936" s="196"/>
      <c r="AB936" s="196"/>
      <c r="AC936" s="196"/>
      <c r="AD936" s="196"/>
      <c r="AE936" s="196"/>
      <c r="AF936" s="196"/>
      <c r="AG936" s="196"/>
      <c r="AH936" s="196"/>
      <c r="AI936" s="196"/>
      <c r="AJ936" s="196"/>
      <c r="AK936" s="196"/>
      <c r="AL936" s="196"/>
      <c r="AM936" s="196"/>
    </row>
    <row r="937">
      <c r="F937" s="203"/>
      <c r="H937" s="196"/>
      <c r="I937" s="196"/>
      <c r="J937" s="196"/>
      <c r="K937" s="196"/>
      <c r="L937" s="196"/>
      <c r="M937" s="196"/>
      <c r="N937" s="196"/>
      <c r="O937" s="196"/>
      <c r="P937" s="196"/>
      <c r="Q937" s="196"/>
      <c r="R937" s="196"/>
      <c r="S937" s="196"/>
      <c r="T937" s="196"/>
      <c r="U937" s="196"/>
      <c r="V937" s="196"/>
      <c r="W937" s="196"/>
      <c r="X937" s="196"/>
      <c r="Y937" s="196"/>
      <c r="Z937" s="196"/>
      <c r="AA937" s="196"/>
      <c r="AB937" s="196"/>
      <c r="AC937" s="196"/>
      <c r="AD937" s="196"/>
      <c r="AE937" s="196"/>
      <c r="AF937" s="196"/>
      <c r="AG937" s="196"/>
      <c r="AH937" s="196"/>
      <c r="AI937" s="196"/>
      <c r="AJ937" s="196"/>
      <c r="AK937" s="196"/>
      <c r="AL937" s="196"/>
      <c r="AM937" s="196"/>
    </row>
    <row r="938">
      <c r="F938" s="203"/>
      <c r="H938" s="196"/>
      <c r="I938" s="196"/>
      <c r="J938" s="196"/>
      <c r="K938" s="196"/>
      <c r="L938" s="196"/>
      <c r="M938" s="196"/>
      <c r="N938" s="196"/>
      <c r="O938" s="196"/>
      <c r="P938" s="196"/>
      <c r="Q938" s="196"/>
      <c r="R938" s="196"/>
      <c r="S938" s="196"/>
      <c r="T938" s="196"/>
      <c r="U938" s="196"/>
      <c r="V938" s="196"/>
      <c r="W938" s="196"/>
      <c r="X938" s="196"/>
      <c r="Y938" s="196"/>
      <c r="Z938" s="196"/>
      <c r="AA938" s="196"/>
      <c r="AB938" s="196"/>
      <c r="AC938" s="196"/>
      <c r="AD938" s="196"/>
      <c r="AE938" s="196"/>
      <c r="AF938" s="196"/>
      <c r="AG938" s="196"/>
      <c r="AH938" s="196"/>
      <c r="AI938" s="196"/>
      <c r="AJ938" s="196"/>
      <c r="AK938" s="196"/>
      <c r="AL938" s="196"/>
      <c r="AM938" s="196"/>
    </row>
    <row r="939">
      <c r="F939" s="203"/>
      <c r="H939" s="196"/>
      <c r="I939" s="196"/>
      <c r="J939" s="196"/>
      <c r="K939" s="196"/>
      <c r="L939" s="196"/>
      <c r="M939" s="196"/>
      <c r="N939" s="196"/>
      <c r="O939" s="196"/>
      <c r="P939" s="196"/>
      <c r="Q939" s="196"/>
      <c r="R939" s="196"/>
      <c r="S939" s="196"/>
      <c r="T939" s="196"/>
      <c r="U939" s="196"/>
      <c r="V939" s="196"/>
      <c r="W939" s="196"/>
      <c r="X939" s="196"/>
      <c r="Y939" s="196"/>
      <c r="Z939" s="196"/>
      <c r="AA939" s="196"/>
      <c r="AB939" s="196"/>
      <c r="AC939" s="196"/>
      <c r="AD939" s="196"/>
      <c r="AE939" s="196"/>
      <c r="AF939" s="196"/>
      <c r="AG939" s="196"/>
      <c r="AH939" s="196"/>
      <c r="AI939" s="196"/>
      <c r="AJ939" s="196"/>
      <c r="AK939" s="196"/>
      <c r="AL939" s="196"/>
      <c r="AM939" s="196"/>
    </row>
    <row r="940">
      <c r="F940" s="203"/>
      <c r="H940" s="196"/>
      <c r="I940" s="196"/>
      <c r="J940" s="196"/>
      <c r="K940" s="196"/>
      <c r="L940" s="196"/>
      <c r="M940" s="196"/>
      <c r="N940" s="196"/>
      <c r="O940" s="196"/>
      <c r="P940" s="196"/>
      <c r="Q940" s="196"/>
      <c r="R940" s="196"/>
      <c r="S940" s="196"/>
      <c r="T940" s="196"/>
      <c r="U940" s="196"/>
      <c r="V940" s="196"/>
      <c r="W940" s="196"/>
      <c r="X940" s="196"/>
      <c r="Y940" s="196"/>
      <c r="Z940" s="196"/>
      <c r="AA940" s="196"/>
      <c r="AB940" s="196"/>
      <c r="AC940" s="196"/>
      <c r="AD940" s="196"/>
      <c r="AE940" s="196"/>
      <c r="AF940" s="196"/>
      <c r="AG940" s="196"/>
      <c r="AH940" s="196"/>
      <c r="AI940" s="196"/>
      <c r="AJ940" s="196"/>
      <c r="AK940" s="196"/>
      <c r="AL940" s="196"/>
      <c r="AM940" s="196"/>
    </row>
    <row r="941">
      <c r="F941" s="203"/>
      <c r="H941" s="196"/>
      <c r="I941" s="196"/>
      <c r="J941" s="196"/>
      <c r="K941" s="196"/>
      <c r="L941" s="196"/>
      <c r="M941" s="196"/>
      <c r="N941" s="196"/>
      <c r="O941" s="196"/>
      <c r="P941" s="196"/>
      <c r="Q941" s="196"/>
      <c r="R941" s="196"/>
      <c r="S941" s="196"/>
      <c r="T941" s="196"/>
      <c r="U941" s="196"/>
      <c r="V941" s="196"/>
      <c r="W941" s="196"/>
      <c r="X941" s="196"/>
      <c r="Y941" s="196"/>
      <c r="Z941" s="196"/>
      <c r="AA941" s="196"/>
      <c r="AB941" s="196"/>
      <c r="AC941" s="196"/>
      <c r="AD941" s="196"/>
      <c r="AE941" s="196"/>
      <c r="AF941" s="196"/>
      <c r="AG941" s="196"/>
      <c r="AH941" s="196"/>
      <c r="AI941" s="196"/>
      <c r="AJ941" s="196"/>
      <c r="AK941" s="196"/>
      <c r="AL941" s="196"/>
      <c r="AM941" s="196"/>
    </row>
    <row r="942">
      <c r="F942" s="203"/>
      <c r="H942" s="196"/>
      <c r="I942" s="196"/>
      <c r="J942" s="196"/>
      <c r="K942" s="196"/>
      <c r="L942" s="196"/>
      <c r="M942" s="196"/>
      <c r="N942" s="196"/>
      <c r="O942" s="196"/>
      <c r="P942" s="196"/>
      <c r="Q942" s="196"/>
      <c r="R942" s="196"/>
      <c r="S942" s="196"/>
      <c r="T942" s="196"/>
      <c r="U942" s="196"/>
      <c r="V942" s="196"/>
      <c r="W942" s="196"/>
      <c r="X942" s="196"/>
      <c r="Y942" s="196"/>
      <c r="Z942" s="196"/>
      <c r="AA942" s="196"/>
      <c r="AB942" s="196"/>
      <c r="AC942" s="196"/>
      <c r="AD942" s="196"/>
      <c r="AE942" s="196"/>
      <c r="AF942" s="196"/>
      <c r="AG942" s="196"/>
      <c r="AH942" s="196"/>
      <c r="AI942" s="196"/>
      <c r="AJ942" s="196"/>
      <c r="AK942" s="196"/>
      <c r="AL942" s="196"/>
      <c r="AM942" s="196"/>
    </row>
    <row r="943">
      <c r="F943" s="203"/>
      <c r="H943" s="196"/>
      <c r="I943" s="196"/>
      <c r="J943" s="196"/>
      <c r="K943" s="196"/>
      <c r="L943" s="196"/>
      <c r="M943" s="196"/>
      <c r="N943" s="196"/>
      <c r="O943" s="196"/>
      <c r="P943" s="196"/>
      <c r="Q943" s="196"/>
      <c r="R943" s="196"/>
      <c r="S943" s="196"/>
      <c r="T943" s="196"/>
      <c r="U943" s="196"/>
      <c r="V943" s="196"/>
      <c r="W943" s="196"/>
      <c r="X943" s="196"/>
      <c r="Y943" s="196"/>
      <c r="Z943" s="196"/>
      <c r="AA943" s="196"/>
      <c r="AB943" s="196"/>
      <c r="AC943" s="196"/>
      <c r="AD943" s="196"/>
      <c r="AE943" s="196"/>
      <c r="AF943" s="196"/>
      <c r="AG943" s="196"/>
      <c r="AH943" s="196"/>
      <c r="AI943" s="196"/>
      <c r="AJ943" s="196"/>
      <c r="AK943" s="196"/>
      <c r="AL943" s="196"/>
      <c r="AM943" s="196"/>
    </row>
    <row r="944">
      <c r="F944" s="203"/>
      <c r="H944" s="196"/>
      <c r="I944" s="196"/>
      <c r="J944" s="196"/>
      <c r="K944" s="196"/>
      <c r="L944" s="196"/>
      <c r="M944" s="196"/>
      <c r="N944" s="196"/>
      <c r="O944" s="196"/>
      <c r="P944" s="196"/>
      <c r="Q944" s="196"/>
      <c r="R944" s="196"/>
      <c r="S944" s="196"/>
      <c r="T944" s="196"/>
      <c r="U944" s="196"/>
      <c r="V944" s="196"/>
      <c r="W944" s="196"/>
      <c r="X944" s="196"/>
      <c r="Y944" s="196"/>
      <c r="Z944" s="196"/>
      <c r="AA944" s="196"/>
      <c r="AB944" s="196"/>
      <c r="AC944" s="196"/>
      <c r="AD944" s="196"/>
      <c r="AE944" s="196"/>
      <c r="AF944" s="196"/>
      <c r="AG944" s="196"/>
      <c r="AH944" s="196"/>
      <c r="AI944" s="196"/>
      <c r="AJ944" s="196"/>
      <c r="AK944" s="196"/>
      <c r="AL944" s="196"/>
      <c r="AM944" s="196"/>
    </row>
    <row r="945">
      <c r="F945" s="203"/>
      <c r="H945" s="196"/>
      <c r="I945" s="196"/>
      <c r="J945" s="196"/>
      <c r="K945" s="196"/>
      <c r="L945" s="196"/>
      <c r="M945" s="196"/>
      <c r="N945" s="196"/>
      <c r="O945" s="196"/>
      <c r="P945" s="196"/>
      <c r="Q945" s="196"/>
      <c r="R945" s="196"/>
      <c r="S945" s="196"/>
      <c r="T945" s="196"/>
      <c r="U945" s="196"/>
      <c r="V945" s="196"/>
      <c r="W945" s="196"/>
      <c r="X945" s="196"/>
      <c r="Y945" s="196"/>
      <c r="Z945" s="196"/>
      <c r="AA945" s="196"/>
      <c r="AB945" s="196"/>
      <c r="AC945" s="196"/>
      <c r="AD945" s="196"/>
      <c r="AE945" s="196"/>
      <c r="AF945" s="196"/>
      <c r="AG945" s="196"/>
      <c r="AH945" s="196"/>
      <c r="AI945" s="196"/>
      <c r="AJ945" s="196"/>
      <c r="AK945" s="196"/>
      <c r="AL945" s="196"/>
      <c r="AM945" s="196"/>
    </row>
    <row r="946">
      <c r="F946" s="203"/>
      <c r="H946" s="196"/>
      <c r="I946" s="196"/>
      <c r="J946" s="196"/>
      <c r="K946" s="196"/>
      <c r="L946" s="196"/>
      <c r="M946" s="196"/>
      <c r="N946" s="196"/>
      <c r="O946" s="196"/>
      <c r="P946" s="196"/>
      <c r="Q946" s="196"/>
      <c r="R946" s="196"/>
      <c r="S946" s="196"/>
      <c r="T946" s="196"/>
      <c r="U946" s="196"/>
      <c r="V946" s="196"/>
      <c r="W946" s="196"/>
      <c r="X946" s="196"/>
      <c r="Y946" s="196"/>
      <c r="Z946" s="196"/>
      <c r="AA946" s="196"/>
      <c r="AB946" s="196"/>
      <c r="AC946" s="196"/>
      <c r="AD946" s="196"/>
      <c r="AE946" s="196"/>
      <c r="AF946" s="196"/>
      <c r="AG946" s="196"/>
      <c r="AH946" s="196"/>
      <c r="AI946" s="196"/>
      <c r="AJ946" s="196"/>
      <c r="AK946" s="196"/>
      <c r="AL946" s="196"/>
      <c r="AM946" s="196"/>
    </row>
    <row r="947">
      <c r="F947" s="203"/>
      <c r="H947" s="196"/>
      <c r="I947" s="196"/>
      <c r="J947" s="196"/>
      <c r="K947" s="196"/>
      <c r="L947" s="196"/>
      <c r="M947" s="196"/>
      <c r="N947" s="196"/>
      <c r="O947" s="196"/>
      <c r="P947" s="196"/>
      <c r="Q947" s="196"/>
      <c r="R947" s="196"/>
      <c r="S947" s="196"/>
      <c r="T947" s="196"/>
      <c r="U947" s="196"/>
      <c r="V947" s="196"/>
      <c r="W947" s="196"/>
      <c r="X947" s="196"/>
      <c r="Y947" s="196"/>
      <c r="Z947" s="196"/>
      <c r="AA947" s="196"/>
      <c r="AB947" s="196"/>
      <c r="AC947" s="196"/>
      <c r="AD947" s="196"/>
      <c r="AE947" s="196"/>
      <c r="AF947" s="196"/>
      <c r="AG947" s="196"/>
      <c r="AH947" s="196"/>
      <c r="AI947" s="196"/>
      <c r="AJ947" s="196"/>
      <c r="AK947" s="196"/>
      <c r="AL947" s="196"/>
      <c r="AM947" s="196"/>
    </row>
    <row r="948">
      <c r="F948" s="203"/>
      <c r="H948" s="196"/>
      <c r="I948" s="196"/>
      <c r="J948" s="196"/>
      <c r="K948" s="196"/>
      <c r="L948" s="196"/>
      <c r="M948" s="196"/>
      <c r="N948" s="196"/>
      <c r="O948" s="196"/>
      <c r="P948" s="196"/>
      <c r="Q948" s="196"/>
      <c r="R948" s="196"/>
      <c r="S948" s="196"/>
      <c r="T948" s="196"/>
      <c r="U948" s="196"/>
      <c r="V948" s="196"/>
      <c r="W948" s="196"/>
      <c r="X948" s="196"/>
      <c r="Y948" s="196"/>
      <c r="Z948" s="196"/>
      <c r="AA948" s="196"/>
      <c r="AB948" s="196"/>
      <c r="AC948" s="196"/>
      <c r="AD948" s="196"/>
      <c r="AE948" s="196"/>
      <c r="AF948" s="196"/>
      <c r="AG948" s="196"/>
      <c r="AH948" s="196"/>
      <c r="AI948" s="196"/>
      <c r="AJ948" s="196"/>
      <c r="AK948" s="196"/>
      <c r="AL948" s="196"/>
      <c r="AM948" s="196"/>
    </row>
    <row r="949">
      <c r="F949" s="203"/>
      <c r="H949" s="196"/>
      <c r="I949" s="196"/>
      <c r="J949" s="196"/>
      <c r="K949" s="196"/>
      <c r="L949" s="196"/>
      <c r="M949" s="196"/>
      <c r="N949" s="196"/>
      <c r="O949" s="196"/>
      <c r="P949" s="196"/>
      <c r="Q949" s="196"/>
      <c r="R949" s="196"/>
      <c r="S949" s="196"/>
      <c r="T949" s="196"/>
      <c r="U949" s="196"/>
      <c r="V949" s="196"/>
      <c r="W949" s="196"/>
      <c r="X949" s="196"/>
      <c r="Y949" s="196"/>
      <c r="Z949" s="196"/>
      <c r="AA949" s="196"/>
      <c r="AB949" s="196"/>
      <c r="AC949" s="196"/>
      <c r="AD949" s="196"/>
      <c r="AE949" s="196"/>
      <c r="AF949" s="196"/>
      <c r="AG949" s="196"/>
      <c r="AH949" s="196"/>
      <c r="AI949" s="196"/>
      <c r="AJ949" s="196"/>
      <c r="AK949" s="196"/>
      <c r="AL949" s="196"/>
      <c r="AM949" s="196"/>
    </row>
    <row r="950">
      <c r="F950" s="203"/>
      <c r="H950" s="196"/>
      <c r="I950" s="196"/>
      <c r="J950" s="196"/>
      <c r="K950" s="196"/>
      <c r="L950" s="196"/>
      <c r="M950" s="196"/>
      <c r="N950" s="196"/>
      <c r="O950" s="196"/>
      <c r="P950" s="196"/>
      <c r="Q950" s="196"/>
      <c r="R950" s="196"/>
      <c r="S950" s="196"/>
      <c r="T950" s="196"/>
      <c r="U950" s="196"/>
      <c r="V950" s="196"/>
      <c r="W950" s="196"/>
      <c r="X950" s="196"/>
      <c r="Y950" s="196"/>
      <c r="Z950" s="196"/>
      <c r="AA950" s="196"/>
      <c r="AB950" s="196"/>
      <c r="AC950" s="196"/>
      <c r="AD950" s="196"/>
      <c r="AE950" s="196"/>
      <c r="AF950" s="196"/>
      <c r="AG950" s="196"/>
      <c r="AH950" s="196"/>
      <c r="AI950" s="196"/>
      <c r="AJ950" s="196"/>
      <c r="AK950" s="196"/>
      <c r="AL950" s="196"/>
      <c r="AM950" s="196"/>
    </row>
    <row r="951">
      <c r="F951" s="203"/>
      <c r="H951" s="196"/>
      <c r="I951" s="196"/>
      <c r="J951" s="196"/>
      <c r="K951" s="196"/>
      <c r="L951" s="196"/>
      <c r="M951" s="196"/>
      <c r="N951" s="196"/>
      <c r="O951" s="196"/>
      <c r="P951" s="196"/>
      <c r="Q951" s="196"/>
      <c r="R951" s="196"/>
      <c r="S951" s="196"/>
      <c r="T951" s="196"/>
      <c r="U951" s="196"/>
      <c r="V951" s="196"/>
      <c r="W951" s="196"/>
      <c r="X951" s="196"/>
      <c r="Y951" s="196"/>
      <c r="Z951" s="196"/>
      <c r="AA951" s="196"/>
      <c r="AB951" s="196"/>
      <c r="AC951" s="196"/>
      <c r="AD951" s="196"/>
      <c r="AE951" s="196"/>
      <c r="AF951" s="196"/>
      <c r="AG951" s="196"/>
      <c r="AH951" s="196"/>
      <c r="AI951" s="196"/>
      <c r="AJ951" s="196"/>
      <c r="AK951" s="196"/>
      <c r="AL951" s="196"/>
      <c r="AM951" s="196"/>
    </row>
    <row r="952">
      <c r="F952" s="203"/>
      <c r="H952" s="196"/>
      <c r="I952" s="196"/>
      <c r="J952" s="196"/>
      <c r="K952" s="196"/>
      <c r="L952" s="196"/>
      <c r="M952" s="196"/>
      <c r="N952" s="196"/>
      <c r="O952" s="196"/>
      <c r="P952" s="196"/>
      <c r="Q952" s="196"/>
      <c r="R952" s="196"/>
      <c r="S952" s="196"/>
      <c r="T952" s="196"/>
      <c r="U952" s="196"/>
      <c r="V952" s="196"/>
      <c r="W952" s="196"/>
      <c r="X952" s="196"/>
      <c r="Y952" s="196"/>
      <c r="Z952" s="196"/>
      <c r="AA952" s="196"/>
      <c r="AB952" s="196"/>
      <c r="AC952" s="196"/>
      <c r="AD952" s="196"/>
      <c r="AE952" s="196"/>
      <c r="AF952" s="196"/>
      <c r="AG952" s="196"/>
      <c r="AH952" s="196"/>
      <c r="AI952" s="196"/>
      <c r="AJ952" s="196"/>
      <c r="AK952" s="196"/>
      <c r="AL952" s="196"/>
      <c r="AM952" s="196"/>
    </row>
    <row r="953">
      <c r="F953" s="203"/>
      <c r="H953" s="196"/>
      <c r="I953" s="196"/>
      <c r="J953" s="196"/>
      <c r="K953" s="196"/>
      <c r="L953" s="196"/>
      <c r="M953" s="196"/>
      <c r="N953" s="196"/>
      <c r="O953" s="196"/>
      <c r="P953" s="196"/>
      <c r="Q953" s="196"/>
      <c r="R953" s="196"/>
      <c r="S953" s="196"/>
      <c r="T953" s="196"/>
      <c r="U953" s="196"/>
      <c r="V953" s="196"/>
      <c r="W953" s="196"/>
      <c r="X953" s="196"/>
      <c r="Y953" s="196"/>
      <c r="Z953" s="196"/>
      <c r="AA953" s="196"/>
      <c r="AB953" s="196"/>
      <c r="AC953" s="196"/>
      <c r="AD953" s="196"/>
      <c r="AE953" s="196"/>
      <c r="AF953" s="196"/>
      <c r="AG953" s="196"/>
      <c r="AH953" s="196"/>
      <c r="AI953" s="196"/>
      <c r="AJ953" s="196"/>
      <c r="AK953" s="196"/>
      <c r="AL953" s="196"/>
      <c r="AM953" s="196"/>
    </row>
    <row r="954">
      <c r="F954" s="203"/>
      <c r="H954" s="196"/>
      <c r="I954" s="196"/>
      <c r="J954" s="196"/>
      <c r="K954" s="196"/>
      <c r="L954" s="196"/>
      <c r="M954" s="196"/>
      <c r="N954" s="196"/>
      <c r="O954" s="196"/>
      <c r="P954" s="196"/>
      <c r="Q954" s="196"/>
      <c r="R954" s="196"/>
      <c r="S954" s="196"/>
      <c r="T954" s="196"/>
      <c r="U954" s="196"/>
      <c r="V954" s="196"/>
      <c r="W954" s="196"/>
      <c r="X954" s="196"/>
      <c r="Y954" s="196"/>
      <c r="Z954" s="196"/>
      <c r="AA954" s="196"/>
      <c r="AB954" s="196"/>
      <c r="AC954" s="196"/>
      <c r="AD954" s="196"/>
      <c r="AE954" s="196"/>
      <c r="AF954" s="196"/>
      <c r="AG954" s="196"/>
      <c r="AH954" s="196"/>
      <c r="AI954" s="196"/>
      <c r="AJ954" s="196"/>
      <c r="AK954" s="196"/>
      <c r="AL954" s="196"/>
      <c r="AM954" s="196"/>
    </row>
    <row r="955">
      <c r="F955" s="203"/>
      <c r="H955" s="196"/>
      <c r="I955" s="196"/>
      <c r="J955" s="196"/>
      <c r="K955" s="196"/>
      <c r="L955" s="196"/>
      <c r="M955" s="196"/>
      <c r="N955" s="196"/>
      <c r="O955" s="196"/>
      <c r="P955" s="196"/>
      <c r="Q955" s="196"/>
      <c r="R955" s="196"/>
      <c r="S955" s="196"/>
      <c r="T955" s="196"/>
      <c r="U955" s="196"/>
      <c r="V955" s="196"/>
      <c r="W955" s="196"/>
      <c r="X955" s="196"/>
      <c r="Y955" s="196"/>
      <c r="Z955" s="196"/>
      <c r="AA955" s="196"/>
      <c r="AB955" s="196"/>
      <c r="AC955" s="196"/>
      <c r="AD955" s="196"/>
      <c r="AE955" s="196"/>
      <c r="AF955" s="196"/>
      <c r="AG955" s="196"/>
      <c r="AH955" s="196"/>
      <c r="AI955" s="196"/>
      <c r="AJ955" s="196"/>
      <c r="AK955" s="196"/>
      <c r="AL955" s="196"/>
      <c r="AM955" s="196"/>
    </row>
    <row r="956">
      <c r="F956" s="203"/>
      <c r="H956" s="196"/>
      <c r="I956" s="196"/>
      <c r="J956" s="196"/>
      <c r="K956" s="196"/>
      <c r="L956" s="196"/>
      <c r="M956" s="196"/>
      <c r="N956" s="196"/>
      <c r="O956" s="196"/>
      <c r="P956" s="196"/>
      <c r="Q956" s="196"/>
      <c r="R956" s="196"/>
      <c r="S956" s="196"/>
      <c r="T956" s="196"/>
      <c r="U956" s="196"/>
      <c r="V956" s="196"/>
      <c r="W956" s="196"/>
      <c r="X956" s="196"/>
      <c r="Y956" s="196"/>
      <c r="Z956" s="196"/>
      <c r="AA956" s="196"/>
      <c r="AB956" s="196"/>
      <c r="AC956" s="196"/>
      <c r="AD956" s="196"/>
      <c r="AE956" s="196"/>
      <c r="AF956" s="196"/>
      <c r="AG956" s="196"/>
      <c r="AH956" s="196"/>
      <c r="AI956" s="196"/>
      <c r="AJ956" s="196"/>
      <c r="AK956" s="196"/>
      <c r="AL956" s="196"/>
      <c r="AM956" s="196"/>
    </row>
    <row r="957">
      <c r="F957" s="203"/>
      <c r="H957" s="196"/>
      <c r="I957" s="196"/>
      <c r="J957" s="196"/>
      <c r="K957" s="196"/>
      <c r="L957" s="196"/>
      <c r="M957" s="196"/>
      <c r="N957" s="196"/>
      <c r="O957" s="196"/>
      <c r="P957" s="196"/>
      <c r="Q957" s="196"/>
      <c r="R957" s="196"/>
      <c r="S957" s="196"/>
      <c r="T957" s="196"/>
      <c r="U957" s="196"/>
      <c r="V957" s="196"/>
      <c r="W957" s="196"/>
      <c r="X957" s="196"/>
      <c r="Y957" s="196"/>
      <c r="Z957" s="196"/>
      <c r="AA957" s="196"/>
      <c r="AB957" s="196"/>
      <c r="AC957" s="196"/>
      <c r="AD957" s="196"/>
      <c r="AE957" s="196"/>
      <c r="AF957" s="196"/>
      <c r="AG957" s="196"/>
      <c r="AH957" s="196"/>
      <c r="AI957" s="196"/>
      <c r="AJ957" s="196"/>
      <c r="AK957" s="196"/>
      <c r="AL957" s="196"/>
      <c r="AM957" s="196"/>
    </row>
    <row r="958">
      <c r="F958" s="203"/>
      <c r="H958" s="196"/>
      <c r="I958" s="196"/>
      <c r="J958" s="196"/>
      <c r="K958" s="196"/>
      <c r="L958" s="196"/>
      <c r="M958" s="196"/>
      <c r="N958" s="196"/>
      <c r="O958" s="196"/>
      <c r="P958" s="196"/>
      <c r="Q958" s="196"/>
      <c r="R958" s="196"/>
      <c r="S958" s="196"/>
      <c r="T958" s="196"/>
      <c r="U958" s="196"/>
      <c r="V958" s="196"/>
      <c r="W958" s="196"/>
      <c r="X958" s="196"/>
      <c r="Y958" s="196"/>
      <c r="Z958" s="196"/>
      <c r="AA958" s="196"/>
      <c r="AB958" s="196"/>
      <c r="AC958" s="196"/>
      <c r="AD958" s="196"/>
      <c r="AE958" s="196"/>
      <c r="AF958" s="196"/>
      <c r="AG958" s="196"/>
      <c r="AH958" s="196"/>
      <c r="AI958" s="196"/>
      <c r="AJ958" s="196"/>
      <c r="AK958" s="196"/>
      <c r="AL958" s="196"/>
      <c r="AM958" s="196"/>
    </row>
    <row r="959">
      <c r="F959" s="203"/>
      <c r="H959" s="196"/>
      <c r="I959" s="196"/>
      <c r="J959" s="196"/>
      <c r="K959" s="196"/>
      <c r="L959" s="196"/>
      <c r="M959" s="196"/>
      <c r="N959" s="196"/>
      <c r="O959" s="196"/>
      <c r="P959" s="196"/>
      <c r="Q959" s="196"/>
      <c r="R959" s="196"/>
      <c r="S959" s="196"/>
      <c r="T959" s="196"/>
      <c r="U959" s="196"/>
      <c r="V959" s="196"/>
      <c r="W959" s="196"/>
      <c r="X959" s="196"/>
      <c r="Y959" s="196"/>
      <c r="Z959" s="196"/>
      <c r="AA959" s="196"/>
      <c r="AB959" s="196"/>
      <c r="AC959" s="196"/>
      <c r="AD959" s="196"/>
      <c r="AE959" s="196"/>
      <c r="AF959" s="196"/>
      <c r="AG959" s="196"/>
      <c r="AH959" s="196"/>
      <c r="AI959" s="196"/>
      <c r="AJ959" s="196"/>
      <c r="AK959" s="196"/>
      <c r="AL959" s="196"/>
      <c r="AM959" s="196"/>
    </row>
    <row r="960">
      <c r="F960" s="203"/>
      <c r="H960" s="196"/>
      <c r="I960" s="196"/>
      <c r="J960" s="196"/>
      <c r="K960" s="196"/>
      <c r="L960" s="196"/>
      <c r="M960" s="196"/>
      <c r="N960" s="196"/>
      <c r="O960" s="196"/>
      <c r="P960" s="196"/>
      <c r="Q960" s="196"/>
      <c r="R960" s="196"/>
      <c r="S960" s="196"/>
      <c r="T960" s="196"/>
      <c r="U960" s="196"/>
      <c r="V960" s="196"/>
      <c r="W960" s="196"/>
      <c r="X960" s="196"/>
      <c r="Y960" s="196"/>
      <c r="Z960" s="196"/>
      <c r="AA960" s="196"/>
      <c r="AB960" s="196"/>
      <c r="AC960" s="196"/>
      <c r="AD960" s="196"/>
      <c r="AE960" s="196"/>
      <c r="AF960" s="196"/>
      <c r="AG960" s="196"/>
      <c r="AH960" s="196"/>
      <c r="AI960" s="196"/>
      <c r="AJ960" s="196"/>
      <c r="AK960" s="196"/>
      <c r="AL960" s="196"/>
      <c r="AM960" s="196"/>
    </row>
    <row r="961">
      <c r="F961" s="203"/>
      <c r="H961" s="196"/>
      <c r="I961" s="196"/>
      <c r="J961" s="196"/>
      <c r="K961" s="196"/>
      <c r="L961" s="196"/>
      <c r="M961" s="196"/>
      <c r="N961" s="196"/>
      <c r="O961" s="196"/>
      <c r="P961" s="196"/>
      <c r="Q961" s="196"/>
      <c r="R961" s="196"/>
      <c r="S961" s="196"/>
      <c r="T961" s="196"/>
      <c r="U961" s="196"/>
      <c r="V961" s="196"/>
      <c r="W961" s="196"/>
      <c r="X961" s="196"/>
      <c r="Y961" s="196"/>
      <c r="Z961" s="196"/>
      <c r="AA961" s="196"/>
      <c r="AB961" s="196"/>
      <c r="AC961" s="196"/>
      <c r="AD961" s="196"/>
      <c r="AE961" s="196"/>
      <c r="AF961" s="196"/>
      <c r="AG961" s="196"/>
      <c r="AH961" s="196"/>
      <c r="AI961" s="196"/>
      <c r="AJ961" s="196"/>
      <c r="AK961" s="196"/>
      <c r="AL961" s="196"/>
      <c r="AM961" s="196"/>
    </row>
    <row r="962">
      <c r="F962" s="203"/>
      <c r="H962" s="196"/>
      <c r="I962" s="196"/>
      <c r="J962" s="196"/>
      <c r="K962" s="196"/>
      <c r="L962" s="196"/>
      <c r="M962" s="196"/>
      <c r="N962" s="196"/>
      <c r="O962" s="196"/>
      <c r="P962" s="196"/>
      <c r="Q962" s="196"/>
      <c r="R962" s="196"/>
      <c r="S962" s="196"/>
      <c r="T962" s="196"/>
      <c r="U962" s="196"/>
      <c r="V962" s="196"/>
      <c r="W962" s="196"/>
      <c r="X962" s="196"/>
      <c r="Y962" s="196"/>
      <c r="Z962" s="196"/>
      <c r="AA962" s="196"/>
      <c r="AB962" s="196"/>
      <c r="AC962" s="196"/>
      <c r="AD962" s="196"/>
      <c r="AE962" s="196"/>
      <c r="AF962" s="196"/>
      <c r="AG962" s="196"/>
      <c r="AH962" s="196"/>
      <c r="AI962" s="196"/>
      <c r="AJ962" s="196"/>
      <c r="AK962" s="196"/>
      <c r="AL962" s="196"/>
      <c r="AM962" s="196"/>
    </row>
    <row r="963">
      <c r="F963" s="203"/>
      <c r="H963" s="196"/>
      <c r="I963" s="196"/>
      <c r="J963" s="196"/>
      <c r="K963" s="196"/>
      <c r="L963" s="196"/>
      <c r="M963" s="196"/>
      <c r="N963" s="196"/>
      <c r="O963" s="196"/>
      <c r="P963" s="196"/>
      <c r="Q963" s="196"/>
      <c r="R963" s="196"/>
      <c r="S963" s="196"/>
      <c r="T963" s="196"/>
      <c r="U963" s="196"/>
      <c r="V963" s="196"/>
      <c r="W963" s="196"/>
      <c r="X963" s="196"/>
      <c r="Y963" s="196"/>
      <c r="Z963" s="196"/>
      <c r="AA963" s="196"/>
      <c r="AB963" s="196"/>
      <c r="AC963" s="196"/>
      <c r="AD963" s="196"/>
      <c r="AE963" s="196"/>
      <c r="AF963" s="196"/>
      <c r="AG963" s="196"/>
      <c r="AH963" s="196"/>
      <c r="AI963" s="196"/>
      <c r="AJ963" s="196"/>
      <c r="AK963" s="196"/>
      <c r="AL963" s="196"/>
      <c r="AM963" s="196"/>
    </row>
    <row r="964">
      <c r="F964" s="203"/>
      <c r="H964" s="196"/>
      <c r="I964" s="196"/>
      <c r="J964" s="196"/>
      <c r="K964" s="196"/>
      <c r="L964" s="196"/>
      <c r="M964" s="196"/>
      <c r="N964" s="196"/>
      <c r="O964" s="196"/>
      <c r="P964" s="196"/>
      <c r="Q964" s="196"/>
      <c r="R964" s="196"/>
      <c r="S964" s="196"/>
      <c r="T964" s="196"/>
      <c r="U964" s="196"/>
      <c r="V964" s="196"/>
      <c r="W964" s="196"/>
      <c r="X964" s="196"/>
      <c r="Y964" s="196"/>
      <c r="Z964" s="196"/>
      <c r="AA964" s="196"/>
      <c r="AB964" s="196"/>
      <c r="AC964" s="196"/>
      <c r="AD964" s="196"/>
      <c r="AE964" s="196"/>
      <c r="AF964" s="196"/>
      <c r="AG964" s="196"/>
      <c r="AH964" s="196"/>
      <c r="AI964" s="196"/>
      <c r="AJ964" s="196"/>
      <c r="AK964" s="196"/>
      <c r="AL964" s="196"/>
      <c r="AM964" s="196"/>
    </row>
    <row r="965">
      <c r="F965" s="203"/>
      <c r="H965" s="196"/>
      <c r="I965" s="196"/>
      <c r="J965" s="196"/>
      <c r="K965" s="196"/>
      <c r="L965" s="196"/>
      <c r="M965" s="196"/>
      <c r="N965" s="196"/>
      <c r="O965" s="196"/>
      <c r="P965" s="196"/>
      <c r="Q965" s="196"/>
      <c r="R965" s="196"/>
      <c r="S965" s="196"/>
      <c r="T965" s="196"/>
      <c r="U965" s="196"/>
      <c r="V965" s="196"/>
      <c r="W965" s="196"/>
      <c r="X965" s="196"/>
      <c r="Y965" s="196"/>
      <c r="Z965" s="196"/>
      <c r="AA965" s="196"/>
      <c r="AB965" s="196"/>
      <c r="AC965" s="196"/>
      <c r="AD965" s="196"/>
      <c r="AE965" s="196"/>
      <c r="AF965" s="196"/>
      <c r="AG965" s="196"/>
      <c r="AH965" s="196"/>
      <c r="AI965" s="196"/>
      <c r="AJ965" s="196"/>
      <c r="AK965" s="196"/>
      <c r="AL965" s="196"/>
      <c r="AM965" s="196"/>
    </row>
    <row r="966">
      <c r="F966" s="203"/>
      <c r="H966" s="196"/>
      <c r="I966" s="196"/>
      <c r="J966" s="196"/>
      <c r="K966" s="196"/>
      <c r="L966" s="196"/>
      <c r="M966" s="196"/>
      <c r="N966" s="196"/>
      <c r="O966" s="196"/>
      <c r="P966" s="196"/>
      <c r="Q966" s="196"/>
      <c r="R966" s="196"/>
      <c r="S966" s="196"/>
      <c r="T966" s="196"/>
      <c r="U966" s="196"/>
      <c r="V966" s="196"/>
      <c r="W966" s="196"/>
      <c r="X966" s="196"/>
      <c r="Y966" s="196"/>
      <c r="Z966" s="196"/>
      <c r="AA966" s="196"/>
      <c r="AB966" s="196"/>
      <c r="AC966" s="196"/>
      <c r="AD966" s="196"/>
      <c r="AE966" s="196"/>
      <c r="AF966" s="196"/>
      <c r="AG966" s="196"/>
      <c r="AH966" s="196"/>
      <c r="AI966" s="196"/>
      <c r="AJ966" s="196"/>
      <c r="AK966" s="196"/>
      <c r="AL966" s="196"/>
      <c r="AM966" s="196"/>
    </row>
    <row r="967">
      <c r="F967" s="203"/>
      <c r="H967" s="196"/>
      <c r="I967" s="196"/>
      <c r="J967" s="196"/>
      <c r="K967" s="196"/>
      <c r="L967" s="196"/>
      <c r="M967" s="196"/>
      <c r="N967" s="196"/>
      <c r="O967" s="196"/>
      <c r="P967" s="196"/>
      <c r="Q967" s="196"/>
      <c r="R967" s="196"/>
      <c r="S967" s="196"/>
      <c r="T967" s="196"/>
      <c r="U967" s="196"/>
      <c r="V967" s="196"/>
      <c r="W967" s="196"/>
      <c r="X967" s="196"/>
      <c r="Y967" s="196"/>
      <c r="Z967" s="196"/>
      <c r="AA967" s="196"/>
      <c r="AB967" s="196"/>
      <c r="AC967" s="196"/>
      <c r="AD967" s="196"/>
      <c r="AE967" s="196"/>
      <c r="AF967" s="196"/>
      <c r="AG967" s="196"/>
      <c r="AH967" s="196"/>
      <c r="AI967" s="196"/>
      <c r="AJ967" s="196"/>
      <c r="AK967" s="196"/>
      <c r="AL967" s="196"/>
      <c r="AM967" s="196"/>
    </row>
    <row r="968">
      <c r="F968" s="203"/>
      <c r="H968" s="196"/>
      <c r="I968" s="196"/>
      <c r="J968" s="196"/>
      <c r="K968" s="196"/>
      <c r="L968" s="196"/>
      <c r="M968" s="196"/>
      <c r="N968" s="196"/>
      <c r="O968" s="196"/>
      <c r="P968" s="196"/>
      <c r="Q968" s="196"/>
      <c r="R968" s="196"/>
      <c r="S968" s="196"/>
      <c r="T968" s="196"/>
      <c r="U968" s="196"/>
      <c r="V968" s="196"/>
      <c r="W968" s="196"/>
      <c r="X968" s="196"/>
      <c r="Y968" s="196"/>
      <c r="Z968" s="196"/>
      <c r="AA968" s="196"/>
      <c r="AB968" s="196"/>
      <c r="AC968" s="196"/>
      <c r="AD968" s="196"/>
      <c r="AE968" s="196"/>
      <c r="AF968" s="196"/>
      <c r="AG968" s="196"/>
      <c r="AH968" s="196"/>
      <c r="AI968" s="196"/>
      <c r="AJ968" s="196"/>
      <c r="AK968" s="196"/>
      <c r="AL968" s="196"/>
      <c r="AM968" s="196"/>
    </row>
    <row r="969">
      <c r="F969" s="203"/>
      <c r="H969" s="196"/>
      <c r="I969" s="196"/>
      <c r="J969" s="196"/>
      <c r="K969" s="196"/>
      <c r="L969" s="196"/>
      <c r="M969" s="196"/>
      <c r="N969" s="196"/>
      <c r="O969" s="196"/>
      <c r="P969" s="196"/>
      <c r="Q969" s="196"/>
      <c r="R969" s="196"/>
      <c r="S969" s="196"/>
      <c r="T969" s="196"/>
      <c r="U969" s="196"/>
      <c r="V969" s="196"/>
      <c r="W969" s="196"/>
      <c r="X969" s="196"/>
      <c r="Y969" s="196"/>
      <c r="Z969" s="196"/>
      <c r="AA969" s="196"/>
      <c r="AB969" s="196"/>
      <c r="AC969" s="196"/>
      <c r="AD969" s="196"/>
      <c r="AE969" s="196"/>
      <c r="AF969" s="196"/>
      <c r="AG969" s="196"/>
      <c r="AH969" s="196"/>
      <c r="AI969" s="196"/>
      <c r="AJ969" s="196"/>
      <c r="AK969" s="196"/>
      <c r="AL969" s="196"/>
      <c r="AM969" s="196"/>
    </row>
    <row r="970">
      <c r="F970" s="203"/>
      <c r="H970" s="196"/>
      <c r="I970" s="196"/>
      <c r="J970" s="196"/>
      <c r="K970" s="196"/>
      <c r="L970" s="196"/>
      <c r="M970" s="196"/>
      <c r="N970" s="196"/>
      <c r="O970" s="196"/>
      <c r="P970" s="196"/>
      <c r="Q970" s="196"/>
      <c r="R970" s="196"/>
      <c r="S970" s="196"/>
      <c r="T970" s="196"/>
      <c r="U970" s="196"/>
      <c r="V970" s="196"/>
      <c r="W970" s="196"/>
      <c r="X970" s="196"/>
      <c r="Y970" s="196"/>
      <c r="Z970" s="196"/>
      <c r="AA970" s="196"/>
      <c r="AB970" s="196"/>
      <c r="AC970" s="196"/>
      <c r="AD970" s="196"/>
      <c r="AE970" s="196"/>
      <c r="AF970" s="196"/>
      <c r="AG970" s="196"/>
      <c r="AH970" s="196"/>
      <c r="AI970" s="196"/>
      <c r="AJ970" s="196"/>
      <c r="AK970" s="196"/>
      <c r="AL970" s="196"/>
      <c r="AM970" s="196"/>
    </row>
    <row r="971">
      <c r="F971" s="203"/>
      <c r="H971" s="196"/>
      <c r="I971" s="196"/>
      <c r="J971" s="196"/>
      <c r="K971" s="196"/>
      <c r="L971" s="196"/>
      <c r="M971" s="196"/>
      <c r="N971" s="196"/>
      <c r="O971" s="196"/>
      <c r="P971" s="196"/>
      <c r="Q971" s="196"/>
      <c r="R971" s="196"/>
      <c r="S971" s="196"/>
      <c r="T971" s="196"/>
      <c r="U971" s="196"/>
      <c r="V971" s="196"/>
      <c r="W971" s="196"/>
      <c r="X971" s="196"/>
      <c r="Y971" s="196"/>
      <c r="Z971" s="196"/>
      <c r="AA971" s="196"/>
      <c r="AB971" s="196"/>
      <c r="AC971" s="196"/>
      <c r="AD971" s="196"/>
      <c r="AE971" s="196"/>
      <c r="AF971" s="196"/>
      <c r="AG971" s="196"/>
      <c r="AH971" s="196"/>
      <c r="AI971" s="196"/>
      <c r="AJ971" s="196"/>
      <c r="AK971" s="196"/>
      <c r="AL971" s="196"/>
      <c r="AM971" s="196"/>
    </row>
    <row r="972">
      <c r="F972" s="203"/>
      <c r="H972" s="196"/>
      <c r="I972" s="196"/>
      <c r="J972" s="196"/>
      <c r="K972" s="196"/>
      <c r="L972" s="196"/>
      <c r="M972" s="196"/>
      <c r="N972" s="196"/>
      <c r="O972" s="196"/>
      <c r="P972" s="196"/>
      <c r="Q972" s="196"/>
      <c r="R972" s="196"/>
      <c r="S972" s="196"/>
      <c r="T972" s="196"/>
      <c r="U972" s="196"/>
      <c r="V972" s="196"/>
      <c r="W972" s="196"/>
      <c r="X972" s="196"/>
      <c r="Y972" s="196"/>
      <c r="Z972" s="196"/>
      <c r="AA972" s="196"/>
      <c r="AB972" s="196"/>
      <c r="AC972" s="196"/>
      <c r="AD972" s="196"/>
      <c r="AE972" s="196"/>
      <c r="AF972" s="196"/>
      <c r="AG972" s="196"/>
      <c r="AH972" s="196"/>
      <c r="AI972" s="196"/>
      <c r="AJ972" s="196"/>
      <c r="AK972" s="196"/>
      <c r="AL972" s="196"/>
      <c r="AM972" s="196"/>
    </row>
    <row r="973">
      <c r="F973" s="203"/>
      <c r="H973" s="196"/>
      <c r="I973" s="196"/>
      <c r="J973" s="196"/>
      <c r="K973" s="196"/>
      <c r="L973" s="196"/>
      <c r="M973" s="196"/>
      <c r="N973" s="196"/>
      <c r="O973" s="196"/>
      <c r="P973" s="196"/>
      <c r="Q973" s="196"/>
      <c r="R973" s="196"/>
      <c r="S973" s="196"/>
      <c r="T973" s="196"/>
      <c r="U973" s="196"/>
      <c r="V973" s="196"/>
      <c r="W973" s="196"/>
      <c r="X973" s="196"/>
      <c r="Y973" s="196"/>
      <c r="Z973" s="196"/>
      <c r="AA973" s="196"/>
      <c r="AB973" s="196"/>
      <c r="AC973" s="196"/>
      <c r="AD973" s="196"/>
      <c r="AE973" s="196"/>
      <c r="AF973" s="196"/>
      <c r="AG973" s="196"/>
      <c r="AH973" s="196"/>
      <c r="AI973" s="196"/>
      <c r="AJ973" s="196"/>
      <c r="AK973" s="196"/>
      <c r="AL973" s="196"/>
      <c r="AM973" s="196"/>
    </row>
    <row r="974">
      <c r="F974" s="203"/>
      <c r="H974" s="196"/>
      <c r="I974" s="196"/>
      <c r="J974" s="196"/>
      <c r="K974" s="196"/>
      <c r="L974" s="196"/>
      <c r="M974" s="196"/>
      <c r="N974" s="196"/>
      <c r="O974" s="196"/>
      <c r="P974" s="196"/>
      <c r="Q974" s="196"/>
      <c r="R974" s="196"/>
      <c r="S974" s="196"/>
      <c r="T974" s="196"/>
      <c r="U974" s="196"/>
      <c r="V974" s="196"/>
      <c r="W974" s="196"/>
      <c r="X974" s="196"/>
      <c r="Y974" s="196"/>
      <c r="Z974" s="196"/>
      <c r="AA974" s="196"/>
      <c r="AB974" s="196"/>
      <c r="AC974" s="196"/>
      <c r="AD974" s="196"/>
      <c r="AE974" s="196"/>
      <c r="AF974" s="196"/>
      <c r="AG974" s="196"/>
      <c r="AH974" s="196"/>
      <c r="AI974" s="196"/>
      <c r="AJ974" s="196"/>
      <c r="AK974" s="196"/>
      <c r="AL974" s="196"/>
      <c r="AM974" s="196"/>
    </row>
    <row r="975">
      <c r="F975" s="203"/>
      <c r="H975" s="196"/>
      <c r="I975" s="196"/>
      <c r="J975" s="196"/>
      <c r="K975" s="196"/>
      <c r="L975" s="196"/>
      <c r="M975" s="196"/>
      <c r="N975" s="196"/>
      <c r="O975" s="196"/>
      <c r="P975" s="196"/>
      <c r="Q975" s="196"/>
      <c r="R975" s="196"/>
      <c r="S975" s="196"/>
      <c r="T975" s="196"/>
      <c r="U975" s="196"/>
      <c r="V975" s="196"/>
      <c r="W975" s="196"/>
      <c r="X975" s="196"/>
      <c r="Y975" s="196"/>
      <c r="Z975" s="196"/>
      <c r="AA975" s="196"/>
      <c r="AB975" s="196"/>
      <c r="AC975" s="196"/>
      <c r="AD975" s="196"/>
      <c r="AE975" s="196"/>
      <c r="AF975" s="196"/>
      <c r="AG975" s="196"/>
      <c r="AH975" s="196"/>
      <c r="AI975" s="196"/>
      <c r="AJ975" s="196"/>
      <c r="AK975" s="196"/>
      <c r="AL975" s="196"/>
      <c r="AM975" s="196"/>
    </row>
    <row r="976">
      <c r="F976" s="203"/>
      <c r="H976" s="196"/>
      <c r="I976" s="196"/>
      <c r="J976" s="196"/>
      <c r="K976" s="196"/>
      <c r="L976" s="196"/>
      <c r="M976" s="196"/>
      <c r="N976" s="196"/>
      <c r="O976" s="196"/>
      <c r="P976" s="196"/>
      <c r="Q976" s="196"/>
      <c r="R976" s="196"/>
      <c r="S976" s="196"/>
      <c r="T976" s="196"/>
      <c r="U976" s="196"/>
      <c r="V976" s="196"/>
      <c r="W976" s="196"/>
      <c r="X976" s="196"/>
      <c r="Y976" s="196"/>
      <c r="Z976" s="196"/>
      <c r="AA976" s="196"/>
      <c r="AB976" s="196"/>
      <c r="AC976" s="196"/>
      <c r="AD976" s="196"/>
      <c r="AE976" s="196"/>
      <c r="AF976" s="196"/>
      <c r="AG976" s="196"/>
      <c r="AH976" s="196"/>
      <c r="AI976" s="196"/>
      <c r="AJ976" s="196"/>
      <c r="AK976" s="196"/>
      <c r="AL976" s="196"/>
      <c r="AM976" s="196"/>
    </row>
    <row r="977">
      <c r="F977" s="203"/>
      <c r="H977" s="196"/>
      <c r="I977" s="196"/>
      <c r="J977" s="196"/>
      <c r="K977" s="196"/>
      <c r="L977" s="196"/>
      <c r="M977" s="196"/>
      <c r="N977" s="196"/>
      <c r="O977" s="196"/>
      <c r="P977" s="196"/>
      <c r="Q977" s="196"/>
      <c r="R977" s="196"/>
      <c r="S977" s="196"/>
      <c r="T977" s="196"/>
      <c r="U977" s="196"/>
      <c r="V977" s="196"/>
      <c r="W977" s="196"/>
      <c r="X977" s="196"/>
      <c r="Y977" s="196"/>
      <c r="Z977" s="196"/>
      <c r="AA977" s="196"/>
      <c r="AB977" s="196"/>
      <c r="AC977" s="196"/>
      <c r="AD977" s="196"/>
      <c r="AE977" s="196"/>
      <c r="AF977" s="196"/>
      <c r="AG977" s="196"/>
      <c r="AH977" s="196"/>
      <c r="AI977" s="196"/>
      <c r="AJ977" s="196"/>
      <c r="AK977" s="196"/>
      <c r="AL977" s="196"/>
      <c r="AM977" s="196"/>
    </row>
    <row r="978">
      <c r="F978" s="203"/>
      <c r="H978" s="196"/>
      <c r="I978" s="196"/>
      <c r="J978" s="196"/>
      <c r="K978" s="196"/>
      <c r="L978" s="196"/>
      <c r="M978" s="196"/>
      <c r="N978" s="196"/>
      <c r="O978" s="196"/>
      <c r="P978" s="196"/>
      <c r="Q978" s="196"/>
      <c r="R978" s="196"/>
      <c r="S978" s="196"/>
      <c r="T978" s="196"/>
      <c r="U978" s="196"/>
      <c r="V978" s="196"/>
      <c r="W978" s="196"/>
      <c r="X978" s="196"/>
      <c r="Y978" s="196"/>
      <c r="Z978" s="196"/>
      <c r="AA978" s="196"/>
      <c r="AB978" s="196"/>
      <c r="AC978" s="196"/>
      <c r="AD978" s="196"/>
      <c r="AE978" s="196"/>
      <c r="AF978" s="196"/>
      <c r="AG978" s="196"/>
      <c r="AH978" s="196"/>
      <c r="AI978" s="196"/>
      <c r="AJ978" s="196"/>
      <c r="AK978" s="196"/>
      <c r="AL978" s="196"/>
      <c r="AM978" s="196"/>
    </row>
    <row r="979">
      <c r="F979" s="203"/>
      <c r="H979" s="196"/>
      <c r="I979" s="196"/>
      <c r="J979" s="196"/>
      <c r="K979" s="196"/>
      <c r="L979" s="196"/>
      <c r="M979" s="196"/>
      <c r="N979" s="196"/>
      <c r="O979" s="196"/>
      <c r="P979" s="196"/>
      <c r="Q979" s="196"/>
      <c r="R979" s="196"/>
      <c r="S979" s="196"/>
      <c r="T979" s="196"/>
      <c r="U979" s="196"/>
      <c r="V979" s="196"/>
      <c r="W979" s="196"/>
      <c r="X979" s="196"/>
      <c r="Y979" s="196"/>
      <c r="Z979" s="196"/>
      <c r="AA979" s="196"/>
      <c r="AB979" s="196"/>
      <c r="AC979" s="196"/>
      <c r="AD979" s="196"/>
      <c r="AE979" s="196"/>
      <c r="AF979" s="196"/>
      <c r="AG979" s="196"/>
      <c r="AH979" s="196"/>
      <c r="AI979" s="196"/>
      <c r="AJ979" s="196"/>
      <c r="AK979" s="196"/>
      <c r="AL979" s="196"/>
      <c r="AM979" s="196"/>
    </row>
    <row r="980">
      <c r="F980" s="203"/>
      <c r="H980" s="196"/>
      <c r="I980" s="196"/>
      <c r="J980" s="196"/>
      <c r="K980" s="196"/>
      <c r="L980" s="196"/>
      <c r="M980" s="196"/>
      <c r="N980" s="196"/>
      <c r="O980" s="196"/>
      <c r="P980" s="196"/>
      <c r="Q980" s="196"/>
      <c r="R980" s="196"/>
      <c r="S980" s="196"/>
      <c r="T980" s="196"/>
      <c r="U980" s="196"/>
      <c r="V980" s="196"/>
      <c r="W980" s="196"/>
      <c r="X980" s="196"/>
      <c r="Y980" s="196"/>
      <c r="Z980" s="196"/>
      <c r="AA980" s="196"/>
      <c r="AB980" s="196"/>
      <c r="AC980" s="196"/>
      <c r="AD980" s="196"/>
      <c r="AE980" s="196"/>
      <c r="AF980" s="196"/>
      <c r="AG980" s="196"/>
      <c r="AH980" s="196"/>
      <c r="AI980" s="196"/>
      <c r="AJ980" s="196"/>
      <c r="AK980" s="196"/>
      <c r="AL980" s="196"/>
      <c r="AM980" s="196"/>
    </row>
    <row r="981">
      <c r="F981" s="203"/>
      <c r="H981" s="196"/>
      <c r="I981" s="196"/>
      <c r="J981" s="196"/>
      <c r="K981" s="196"/>
      <c r="L981" s="196"/>
      <c r="M981" s="196"/>
      <c r="N981" s="196"/>
      <c r="O981" s="196"/>
      <c r="P981" s="196"/>
      <c r="Q981" s="196"/>
      <c r="R981" s="196"/>
      <c r="S981" s="196"/>
      <c r="T981" s="196"/>
      <c r="U981" s="196"/>
      <c r="V981" s="196"/>
      <c r="W981" s="196"/>
      <c r="X981" s="196"/>
      <c r="Y981" s="196"/>
      <c r="Z981" s="196"/>
      <c r="AA981" s="196"/>
      <c r="AB981" s="196"/>
      <c r="AC981" s="196"/>
      <c r="AD981" s="196"/>
      <c r="AE981" s="196"/>
      <c r="AF981" s="196"/>
      <c r="AG981" s="196"/>
      <c r="AH981" s="196"/>
      <c r="AI981" s="196"/>
      <c r="AJ981" s="196"/>
      <c r="AK981" s="196"/>
      <c r="AL981" s="196"/>
      <c r="AM981" s="196"/>
    </row>
    <row r="982">
      <c r="F982" s="203"/>
      <c r="H982" s="196"/>
      <c r="I982" s="196"/>
      <c r="J982" s="196"/>
      <c r="K982" s="196"/>
      <c r="L982" s="196"/>
      <c r="M982" s="196"/>
      <c r="N982" s="196"/>
      <c r="O982" s="196"/>
      <c r="P982" s="196"/>
      <c r="Q982" s="196"/>
      <c r="R982" s="196"/>
      <c r="S982" s="196"/>
      <c r="T982" s="196"/>
      <c r="U982" s="196"/>
      <c r="V982" s="196"/>
      <c r="W982" s="196"/>
      <c r="X982" s="196"/>
      <c r="Y982" s="196"/>
      <c r="Z982" s="196"/>
      <c r="AA982" s="196"/>
      <c r="AB982" s="196"/>
      <c r="AC982" s="196"/>
      <c r="AD982" s="196"/>
      <c r="AE982" s="196"/>
      <c r="AF982" s="196"/>
      <c r="AG982" s="196"/>
      <c r="AH982" s="196"/>
      <c r="AI982" s="196"/>
      <c r="AJ982" s="196"/>
      <c r="AK982" s="196"/>
      <c r="AL982" s="196"/>
      <c r="AM982" s="196"/>
    </row>
    <row r="983">
      <c r="F983" s="203"/>
      <c r="H983" s="196"/>
      <c r="I983" s="196"/>
      <c r="J983" s="196"/>
      <c r="K983" s="196"/>
      <c r="L983" s="196"/>
      <c r="M983" s="196"/>
      <c r="N983" s="196"/>
      <c r="O983" s="196"/>
      <c r="P983" s="196"/>
      <c r="Q983" s="196"/>
      <c r="R983" s="196"/>
      <c r="S983" s="196"/>
      <c r="T983" s="196"/>
      <c r="U983" s="196"/>
      <c r="V983" s="196"/>
      <c r="W983" s="196"/>
      <c r="X983" s="196"/>
      <c r="Y983" s="196"/>
      <c r="Z983" s="196"/>
      <c r="AA983" s="196"/>
      <c r="AB983" s="196"/>
      <c r="AC983" s="196"/>
      <c r="AD983" s="196"/>
      <c r="AE983" s="196"/>
      <c r="AF983" s="196"/>
      <c r="AG983" s="196"/>
      <c r="AH983" s="196"/>
      <c r="AI983" s="196"/>
      <c r="AJ983" s="196"/>
      <c r="AK983" s="196"/>
      <c r="AL983" s="196"/>
      <c r="AM983" s="196"/>
    </row>
    <row r="984">
      <c r="F984" s="203"/>
      <c r="H984" s="196"/>
      <c r="I984" s="196"/>
      <c r="J984" s="196"/>
      <c r="K984" s="196"/>
      <c r="L984" s="196"/>
      <c r="M984" s="196"/>
      <c r="N984" s="196"/>
      <c r="O984" s="196"/>
      <c r="P984" s="196"/>
      <c r="Q984" s="196"/>
      <c r="R984" s="196"/>
      <c r="S984" s="196"/>
      <c r="T984" s="196"/>
      <c r="U984" s="196"/>
      <c r="V984" s="196"/>
      <c r="W984" s="196"/>
      <c r="X984" s="196"/>
      <c r="Y984" s="196"/>
      <c r="Z984" s="196"/>
      <c r="AA984" s="196"/>
      <c r="AB984" s="196"/>
      <c r="AC984" s="196"/>
      <c r="AD984" s="196"/>
      <c r="AE984" s="196"/>
      <c r="AF984" s="196"/>
      <c r="AG984" s="196"/>
      <c r="AH984" s="196"/>
      <c r="AI984" s="196"/>
      <c r="AJ984" s="196"/>
      <c r="AK984" s="196"/>
      <c r="AL984" s="196"/>
      <c r="AM984" s="196"/>
    </row>
    <row r="985">
      <c r="F985" s="203"/>
      <c r="H985" s="196"/>
      <c r="I985" s="196"/>
      <c r="J985" s="196"/>
      <c r="K985" s="196"/>
      <c r="L985" s="196"/>
      <c r="M985" s="196"/>
      <c r="N985" s="196"/>
      <c r="O985" s="196"/>
      <c r="P985" s="196"/>
      <c r="Q985" s="196"/>
      <c r="R985" s="196"/>
      <c r="S985" s="196"/>
      <c r="T985" s="196"/>
      <c r="U985" s="196"/>
      <c r="V985" s="196"/>
      <c r="W985" s="196"/>
      <c r="X985" s="196"/>
      <c r="Y985" s="196"/>
      <c r="Z985" s="196"/>
      <c r="AA985" s="196"/>
      <c r="AB985" s="196"/>
      <c r="AC985" s="196"/>
      <c r="AD985" s="196"/>
      <c r="AE985" s="196"/>
      <c r="AF985" s="196"/>
      <c r="AG985" s="196"/>
      <c r="AH985" s="196"/>
      <c r="AI985" s="196"/>
      <c r="AJ985" s="196"/>
      <c r="AK985" s="196"/>
      <c r="AL985" s="196"/>
      <c r="AM985" s="196"/>
    </row>
    <row r="986">
      <c r="F986" s="203"/>
      <c r="H986" s="196"/>
      <c r="I986" s="196"/>
      <c r="J986" s="196"/>
      <c r="K986" s="196"/>
      <c r="L986" s="196"/>
      <c r="M986" s="196"/>
      <c r="N986" s="196"/>
      <c r="O986" s="196"/>
      <c r="P986" s="196"/>
      <c r="Q986" s="196"/>
      <c r="R986" s="196"/>
      <c r="S986" s="196"/>
      <c r="T986" s="196"/>
      <c r="U986" s="196"/>
      <c r="V986" s="196"/>
      <c r="W986" s="196"/>
      <c r="X986" s="196"/>
      <c r="Y986" s="196"/>
      <c r="Z986" s="196"/>
      <c r="AA986" s="196"/>
      <c r="AB986" s="196"/>
      <c r="AC986" s="196"/>
      <c r="AD986" s="196"/>
      <c r="AE986" s="196"/>
      <c r="AF986" s="196"/>
      <c r="AG986" s="196"/>
      <c r="AH986" s="196"/>
      <c r="AI986" s="196"/>
      <c r="AJ986" s="196"/>
      <c r="AK986" s="196"/>
      <c r="AL986" s="196"/>
      <c r="AM986" s="196"/>
    </row>
    <row r="987">
      <c r="F987" s="203"/>
      <c r="H987" s="196"/>
      <c r="I987" s="196"/>
      <c r="J987" s="196"/>
      <c r="K987" s="196"/>
      <c r="L987" s="196"/>
      <c r="M987" s="196"/>
      <c r="N987" s="196"/>
      <c r="O987" s="196"/>
      <c r="P987" s="196"/>
      <c r="Q987" s="196"/>
      <c r="R987" s="196"/>
      <c r="S987" s="196"/>
      <c r="T987" s="196"/>
      <c r="U987" s="196"/>
      <c r="V987" s="196"/>
      <c r="W987" s="196"/>
      <c r="X987" s="196"/>
      <c r="Y987" s="196"/>
      <c r="Z987" s="196"/>
      <c r="AA987" s="196"/>
      <c r="AB987" s="196"/>
      <c r="AC987" s="196"/>
      <c r="AD987" s="196"/>
      <c r="AE987" s="196"/>
      <c r="AF987" s="196"/>
      <c r="AG987" s="196"/>
      <c r="AH987" s="196"/>
      <c r="AI987" s="196"/>
      <c r="AJ987" s="196"/>
      <c r="AK987" s="196"/>
      <c r="AL987" s="196"/>
      <c r="AM987" s="196"/>
    </row>
    <row r="988">
      <c r="F988" s="203"/>
      <c r="H988" s="196"/>
      <c r="I988" s="196"/>
      <c r="J988" s="196"/>
      <c r="K988" s="196"/>
      <c r="L988" s="196"/>
      <c r="M988" s="196"/>
      <c r="N988" s="196"/>
      <c r="O988" s="196"/>
      <c r="P988" s="196"/>
      <c r="Q988" s="196"/>
      <c r="R988" s="196"/>
      <c r="S988" s="196"/>
      <c r="T988" s="196"/>
      <c r="U988" s="196"/>
      <c r="V988" s="196"/>
      <c r="W988" s="196"/>
      <c r="X988" s="196"/>
      <c r="Y988" s="196"/>
      <c r="Z988" s="196"/>
      <c r="AA988" s="196"/>
      <c r="AB988" s="196"/>
      <c r="AC988" s="196"/>
      <c r="AD988" s="196"/>
      <c r="AE988" s="196"/>
      <c r="AF988" s="196"/>
      <c r="AG988" s="196"/>
      <c r="AH988" s="196"/>
      <c r="AI988" s="196"/>
      <c r="AJ988" s="196"/>
      <c r="AK988" s="196"/>
      <c r="AL988" s="196"/>
      <c r="AM988" s="196"/>
    </row>
    <row r="989">
      <c r="F989" s="203"/>
      <c r="H989" s="196"/>
      <c r="I989" s="196"/>
      <c r="J989" s="196"/>
      <c r="K989" s="196"/>
      <c r="L989" s="196"/>
      <c r="M989" s="196"/>
      <c r="N989" s="196"/>
      <c r="O989" s="196"/>
      <c r="P989" s="196"/>
      <c r="Q989" s="196"/>
      <c r="R989" s="196"/>
      <c r="S989" s="196"/>
      <c r="T989" s="196"/>
      <c r="U989" s="196"/>
      <c r="V989" s="196"/>
      <c r="W989" s="196"/>
      <c r="X989" s="196"/>
      <c r="Y989" s="196"/>
      <c r="Z989" s="196"/>
      <c r="AA989" s="196"/>
      <c r="AB989" s="196"/>
      <c r="AC989" s="196"/>
      <c r="AD989" s="196"/>
      <c r="AE989" s="196"/>
      <c r="AF989" s="196"/>
      <c r="AG989" s="196"/>
      <c r="AH989" s="196"/>
      <c r="AI989" s="196"/>
      <c r="AJ989" s="196"/>
      <c r="AK989" s="196"/>
      <c r="AL989" s="196"/>
      <c r="AM989" s="196"/>
    </row>
    <row r="990">
      <c r="F990" s="203"/>
      <c r="H990" s="196"/>
      <c r="I990" s="196"/>
      <c r="J990" s="196"/>
      <c r="K990" s="196"/>
      <c r="L990" s="196"/>
      <c r="M990" s="196"/>
      <c r="N990" s="196"/>
      <c r="O990" s="196"/>
      <c r="P990" s="196"/>
      <c r="Q990" s="196"/>
      <c r="R990" s="196"/>
      <c r="S990" s="196"/>
      <c r="T990" s="196"/>
      <c r="U990" s="196"/>
      <c r="V990" s="196"/>
      <c r="W990" s="196"/>
      <c r="X990" s="196"/>
      <c r="Y990" s="196"/>
      <c r="Z990" s="196"/>
      <c r="AA990" s="196"/>
      <c r="AB990" s="196"/>
      <c r="AC990" s="196"/>
      <c r="AD990" s="196"/>
      <c r="AE990" s="196"/>
      <c r="AF990" s="196"/>
      <c r="AG990" s="196"/>
      <c r="AH990" s="196"/>
      <c r="AI990" s="196"/>
      <c r="AJ990" s="196"/>
      <c r="AK990" s="196"/>
      <c r="AL990" s="196"/>
      <c r="AM990" s="196"/>
    </row>
    <row r="991">
      <c r="F991" s="203"/>
      <c r="H991" s="196"/>
      <c r="I991" s="196"/>
      <c r="J991" s="196"/>
      <c r="K991" s="196"/>
      <c r="L991" s="196"/>
      <c r="M991" s="196"/>
      <c r="N991" s="196"/>
      <c r="O991" s="196"/>
      <c r="P991" s="196"/>
      <c r="Q991" s="196"/>
      <c r="R991" s="196"/>
      <c r="S991" s="196"/>
      <c r="T991" s="196"/>
      <c r="U991" s="196"/>
      <c r="V991" s="196"/>
      <c r="W991" s="196"/>
      <c r="X991" s="196"/>
      <c r="Y991" s="196"/>
      <c r="Z991" s="196"/>
      <c r="AA991" s="196"/>
      <c r="AB991" s="196"/>
      <c r="AC991" s="196"/>
      <c r="AD991" s="196"/>
      <c r="AE991" s="196"/>
      <c r="AF991" s="196"/>
      <c r="AG991" s="196"/>
      <c r="AH991" s="196"/>
      <c r="AI991" s="196"/>
      <c r="AJ991" s="196"/>
      <c r="AK991" s="196"/>
      <c r="AL991" s="196"/>
      <c r="AM991" s="196"/>
    </row>
    <row r="992">
      <c r="F992" s="203"/>
      <c r="H992" s="196"/>
      <c r="I992" s="196"/>
      <c r="J992" s="196"/>
      <c r="K992" s="196"/>
      <c r="L992" s="196"/>
      <c r="M992" s="196"/>
      <c r="N992" s="196"/>
      <c r="O992" s="196"/>
      <c r="P992" s="196"/>
      <c r="Q992" s="196"/>
      <c r="R992" s="196"/>
      <c r="S992" s="196"/>
      <c r="T992" s="196"/>
      <c r="U992" s="196"/>
      <c r="V992" s="196"/>
      <c r="W992" s="196"/>
      <c r="X992" s="196"/>
      <c r="Y992" s="196"/>
      <c r="Z992" s="196"/>
      <c r="AA992" s="196"/>
      <c r="AB992" s="196"/>
      <c r="AC992" s="196"/>
      <c r="AD992" s="196"/>
      <c r="AE992" s="196"/>
      <c r="AF992" s="196"/>
      <c r="AG992" s="196"/>
      <c r="AH992" s="196"/>
      <c r="AI992" s="196"/>
      <c r="AJ992" s="196"/>
      <c r="AK992" s="196"/>
      <c r="AL992" s="196"/>
      <c r="AM992" s="196"/>
    </row>
    <row r="993">
      <c r="F993" s="203"/>
      <c r="H993" s="196"/>
      <c r="I993" s="196"/>
      <c r="J993" s="196"/>
      <c r="K993" s="196"/>
      <c r="L993" s="196"/>
      <c r="M993" s="196"/>
      <c r="N993" s="196"/>
      <c r="O993" s="196"/>
      <c r="P993" s="196"/>
      <c r="Q993" s="196"/>
      <c r="R993" s="196"/>
      <c r="S993" s="196"/>
      <c r="T993" s="196"/>
      <c r="U993" s="196"/>
      <c r="V993" s="196"/>
      <c r="W993" s="196"/>
      <c r="X993" s="196"/>
      <c r="Y993" s="196"/>
      <c r="Z993" s="196"/>
      <c r="AA993" s="196"/>
      <c r="AB993" s="196"/>
      <c r="AC993" s="196"/>
      <c r="AD993" s="196"/>
      <c r="AE993" s="196"/>
      <c r="AF993" s="196"/>
      <c r="AG993" s="196"/>
      <c r="AH993" s="196"/>
      <c r="AI993" s="196"/>
      <c r="AJ993" s="196"/>
      <c r="AK993" s="196"/>
      <c r="AL993" s="196"/>
      <c r="AM993" s="196"/>
    </row>
    <row r="994">
      <c r="F994" s="203"/>
      <c r="H994" s="196"/>
      <c r="I994" s="196"/>
      <c r="J994" s="196"/>
      <c r="K994" s="196"/>
      <c r="L994" s="196"/>
      <c r="M994" s="196"/>
      <c r="N994" s="196"/>
      <c r="O994" s="196"/>
      <c r="P994" s="196"/>
      <c r="Q994" s="196"/>
      <c r="R994" s="196"/>
      <c r="S994" s="196"/>
      <c r="T994" s="196"/>
      <c r="U994" s="196"/>
      <c r="V994" s="196"/>
      <c r="W994" s="196"/>
      <c r="X994" s="196"/>
      <c r="Y994" s="196"/>
      <c r="Z994" s="196"/>
      <c r="AA994" s="196"/>
      <c r="AB994" s="196"/>
      <c r="AC994" s="196"/>
      <c r="AD994" s="196"/>
      <c r="AE994" s="196"/>
      <c r="AF994" s="196"/>
      <c r="AG994" s="196"/>
      <c r="AH994" s="196"/>
      <c r="AI994" s="196"/>
      <c r="AJ994" s="196"/>
      <c r="AK994" s="196"/>
      <c r="AL994" s="196"/>
      <c r="AM994" s="196"/>
    </row>
    <row r="995">
      <c r="F995" s="203"/>
      <c r="H995" s="196"/>
      <c r="I995" s="196"/>
      <c r="J995" s="196"/>
      <c r="K995" s="196"/>
      <c r="L995" s="196"/>
      <c r="M995" s="196"/>
      <c r="N995" s="196"/>
      <c r="O995" s="196"/>
      <c r="P995" s="196"/>
      <c r="Q995" s="196"/>
      <c r="R995" s="196"/>
      <c r="S995" s="196"/>
      <c r="T995" s="196"/>
      <c r="U995" s="196"/>
      <c r="V995" s="196"/>
      <c r="W995" s="196"/>
      <c r="X995" s="196"/>
      <c r="Y995" s="196"/>
      <c r="Z995" s="196"/>
      <c r="AA995" s="196"/>
      <c r="AB995" s="196"/>
      <c r="AC995" s="196"/>
      <c r="AD995" s="196"/>
      <c r="AE995" s="196"/>
      <c r="AF995" s="196"/>
      <c r="AG995" s="196"/>
      <c r="AH995" s="196"/>
      <c r="AI995" s="196"/>
      <c r="AJ995" s="196"/>
      <c r="AK995" s="196"/>
      <c r="AL995" s="196"/>
      <c r="AM995" s="196"/>
    </row>
    <row r="996">
      <c r="F996" s="203"/>
      <c r="H996" s="196"/>
      <c r="I996" s="196"/>
      <c r="J996" s="196"/>
      <c r="K996" s="196"/>
      <c r="L996" s="196"/>
      <c r="M996" s="196"/>
      <c r="N996" s="196"/>
      <c r="O996" s="196"/>
      <c r="P996" s="196"/>
      <c r="Q996" s="196"/>
      <c r="R996" s="196"/>
      <c r="S996" s="196"/>
      <c r="T996" s="196"/>
      <c r="U996" s="196"/>
      <c r="V996" s="196"/>
      <c r="W996" s="196"/>
      <c r="X996" s="196"/>
      <c r="Y996" s="196"/>
      <c r="Z996" s="196"/>
      <c r="AA996" s="196"/>
      <c r="AB996" s="196"/>
      <c r="AC996" s="196"/>
      <c r="AD996" s="196"/>
      <c r="AE996" s="196"/>
      <c r="AF996" s="196"/>
      <c r="AG996" s="196"/>
      <c r="AH996" s="196"/>
      <c r="AI996" s="196"/>
      <c r="AJ996" s="196"/>
      <c r="AK996" s="196"/>
      <c r="AL996" s="196"/>
      <c r="AM996" s="196"/>
    </row>
    <row r="997">
      <c r="F997" s="203"/>
      <c r="H997" s="196"/>
      <c r="I997" s="196"/>
      <c r="J997" s="196"/>
      <c r="K997" s="196"/>
      <c r="L997" s="196"/>
      <c r="M997" s="196"/>
      <c r="N997" s="196"/>
      <c r="O997" s="196"/>
      <c r="P997" s="196"/>
      <c r="Q997" s="196"/>
      <c r="R997" s="196"/>
      <c r="S997" s="196"/>
      <c r="T997" s="196"/>
      <c r="U997" s="196"/>
      <c r="V997" s="196"/>
      <c r="W997" s="196"/>
      <c r="X997" s="196"/>
      <c r="Y997" s="196"/>
      <c r="Z997" s="196"/>
      <c r="AA997" s="196"/>
      <c r="AB997" s="196"/>
      <c r="AC997" s="196"/>
      <c r="AD997" s="196"/>
      <c r="AE997" s="196"/>
      <c r="AF997" s="196"/>
      <c r="AG997" s="196"/>
      <c r="AH997" s="196"/>
      <c r="AI997" s="196"/>
      <c r="AJ997" s="196"/>
      <c r="AK997" s="196"/>
      <c r="AL997" s="196"/>
      <c r="AM997" s="196"/>
    </row>
    <row r="998">
      <c r="F998" s="203"/>
      <c r="H998" s="196"/>
      <c r="I998" s="196"/>
      <c r="J998" s="196"/>
      <c r="K998" s="196"/>
      <c r="L998" s="196"/>
      <c r="M998" s="196"/>
      <c r="N998" s="196"/>
      <c r="O998" s="196"/>
      <c r="P998" s="196"/>
      <c r="Q998" s="196"/>
      <c r="R998" s="196"/>
      <c r="S998" s="196"/>
      <c r="T998" s="196"/>
      <c r="U998" s="196"/>
      <c r="V998" s="196"/>
      <c r="W998" s="196"/>
      <c r="X998" s="196"/>
      <c r="Y998" s="196"/>
      <c r="Z998" s="196"/>
      <c r="AA998" s="196"/>
      <c r="AB998" s="196"/>
      <c r="AC998" s="196"/>
      <c r="AD998" s="196"/>
      <c r="AE998" s="196"/>
      <c r="AF998" s="196"/>
      <c r="AG998" s="196"/>
      <c r="AH998" s="196"/>
      <c r="AI998" s="196"/>
      <c r="AJ998" s="196"/>
      <c r="AK998" s="196"/>
      <c r="AL998" s="196"/>
      <c r="AM998" s="196"/>
    </row>
    <row r="999">
      <c r="F999" s="203"/>
      <c r="H999" s="196"/>
      <c r="I999" s="196"/>
      <c r="J999" s="196"/>
      <c r="K999" s="196"/>
      <c r="L999" s="196"/>
      <c r="M999" s="196"/>
      <c r="N999" s="196"/>
      <c r="O999" s="196"/>
      <c r="P999" s="196"/>
      <c r="Q999" s="196"/>
      <c r="R999" s="196"/>
      <c r="S999" s="196"/>
      <c r="T999" s="196"/>
      <c r="U999" s="196"/>
      <c r="V999" s="196"/>
      <c r="W999" s="196"/>
      <c r="X999" s="196"/>
      <c r="Y999" s="196"/>
      <c r="Z999" s="196"/>
      <c r="AA999" s="196"/>
      <c r="AB999" s="196"/>
      <c r="AC999" s="196"/>
      <c r="AD999" s="196"/>
      <c r="AE999" s="196"/>
      <c r="AF999" s="196"/>
      <c r="AG999" s="196"/>
      <c r="AH999" s="196"/>
      <c r="AI999" s="196"/>
      <c r="AJ999" s="196"/>
      <c r="AK999" s="196"/>
      <c r="AL999" s="196"/>
      <c r="AM999" s="196"/>
    </row>
    <row r="1000">
      <c r="F1000" s="203"/>
      <c r="H1000" s="196"/>
      <c r="I1000" s="196"/>
      <c r="J1000" s="196"/>
      <c r="K1000" s="196"/>
      <c r="L1000" s="196"/>
      <c r="M1000" s="196"/>
      <c r="N1000" s="196"/>
      <c r="O1000" s="196"/>
      <c r="P1000" s="196"/>
      <c r="Q1000" s="196"/>
      <c r="R1000" s="196"/>
      <c r="S1000" s="196"/>
      <c r="T1000" s="196"/>
      <c r="U1000" s="196"/>
      <c r="V1000" s="196"/>
      <c r="W1000" s="196"/>
      <c r="X1000" s="196"/>
      <c r="Y1000" s="196"/>
      <c r="Z1000" s="196"/>
      <c r="AA1000" s="196"/>
      <c r="AB1000" s="196"/>
      <c r="AC1000" s="196"/>
      <c r="AD1000" s="196"/>
      <c r="AE1000" s="196"/>
      <c r="AF1000" s="196"/>
      <c r="AG1000" s="196"/>
      <c r="AH1000" s="196"/>
      <c r="AI1000" s="196"/>
      <c r="AJ1000" s="196"/>
      <c r="AK1000" s="196"/>
      <c r="AL1000" s="196"/>
      <c r="AM1000" s="196"/>
    </row>
  </sheetData>
  <conditionalFormatting sqref="F3:G34 F36:F49">
    <cfRule type="colorScale" priority="1">
      <colorScale>
        <cfvo type="min"/>
        <cfvo type="percentile" val="50"/>
        <cfvo type="max"/>
        <color rgb="FFEA4335"/>
        <color rgb="FFFFD666"/>
        <color rgb="FF34A853"/>
      </colorScale>
    </cfRule>
  </conditionalFormatting>
  <conditionalFormatting sqref="G3:G34 G36:G49 G51:G85">
    <cfRule type="colorScale" priority="2">
      <colorScale>
        <cfvo type="min"/>
        <cfvo type="percentile" val="50"/>
        <cfvo type="max"/>
        <color rgb="FFEA4335"/>
        <color rgb="FFFFD666"/>
        <color rgb="FF57BB8A"/>
      </colorScale>
    </cfRule>
  </conditionalFormatting>
  <conditionalFormatting sqref="F51:F67 F69:F85">
    <cfRule type="colorScale" priority="3">
      <colorScale>
        <cfvo type="min"/>
        <cfvo type="percentile" val="50"/>
        <cfvo type="max"/>
        <color rgb="FFFF0000"/>
        <color rgb="FFFFD666"/>
        <color rgb="FF34A853"/>
      </colorScale>
    </cfRule>
  </conditionalFormatting>
  <conditionalFormatting sqref="F36:F49">
    <cfRule type="colorScale" priority="4">
      <colorScale>
        <cfvo type="min"/>
        <cfvo type="percentile" val="50"/>
        <cfvo type="max"/>
        <color rgb="FFEA4335"/>
        <color rgb="FFFFD666"/>
        <color rgb="FF00FF00"/>
      </colorScale>
    </cfRule>
  </conditionalFormatting>
  <hyperlinks>
    <hyperlink display="Factor Alfa" location="'Factor Alfa'!A1" ref="A1"/>
  </hyperlinks>
  <drawing r:id="rId1"/>
  <tableParts count="2"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25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204"/>
    </row>
    <row r="2">
      <c r="B2" s="205"/>
      <c r="C2" s="206"/>
    </row>
    <row r="3">
      <c r="B3" s="205"/>
      <c r="C3" s="207"/>
      <c r="I3" s="208"/>
    </row>
    <row r="4">
      <c r="B4" s="209" t="s">
        <v>2615</v>
      </c>
      <c r="C4" s="210" t="s">
        <v>2616</v>
      </c>
      <c r="I4" s="211"/>
      <c r="J4" s="211"/>
      <c r="K4" s="212"/>
    </row>
    <row r="5">
      <c r="A5" s="213"/>
      <c r="B5" s="214" t="s">
        <v>2617</v>
      </c>
      <c r="C5" s="215">
        <v>0.675</v>
      </c>
      <c r="I5" s="216"/>
      <c r="J5" s="216"/>
      <c r="K5" s="217"/>
    </row>
    <row r="6">
      <c r="A6" s="218"/>
      <c r="B6" s="214" t="s">
        <v>2618</v>
      </c>
      <c r="C6" s="215">
        <v>0.325</v>
      </c>
      <c r="I6" s="216"/>
      <c r="J6" s="216"/>
      <c r="K6" s="217"/>
    </row>
    <row r="7">
      <c r="B7" s="214"/>
      <c r="C7" s="215"/>
      <c r="I7" s="216"/>
      <c r="J7" s="216"/>
      <c r="K7" s="217"/>
    </row>
    <row r="8">
      <c r="B8" s="216"/>
      <c r="C8" s="219"/>
    </row>
    <row r="10">
      <c r="A10" s="220" t="s">
        <v>2619</v>
      </c>
      <c r="B10" s="221" t="s">
        <v>2620</v>
      </c>
      <c r="C10" s="222" t="s">
        <v>2621</v>
      </c>
      <c r="D10" s="223" t="s">
        <v>2622</v>
      </c>
    </row>
    <row r="11">
      <c r="A11" s="224" t="str">
        <f t="shared" ref="A11:B11" si="1">B5</f>
        <v>Soberanos en pesos</v>
      </c>
      <c r="B11" s="225">
        <f t="shared" si="1"/>
        <v>0.675</v>
      </c>
      <c r="C11" s="226">
        <v>0.0</v>
      </c>
      <c r="D11" s="227">
        <f t="shared" ref="D11:D12" si="3">C11+B11</f>
        <v>0.675</v>
      </c>
    </row>
    <row r="12">
      <c r="A12" s="224" t="str">
        <f t="shared" ref="A12:B12" si="2">B6</f>
        <v>Investment grade USD</v>
      </c>
      <c r="B12" s="225">
        <f t="shared" si="2"/>
        <v>0.325</v>
      </c>
      <c r="C12" s="226">
        <v>0.0</v>
      </c>
      <c r="D12" s="227">
        <f t="shared" si="3"/>
        <v>0.325</v>
      </c>
    </row>
    <row r="13">
      <c r="A13" s="224"/>
      <c r="B13" s="225"/>
      <c r="C13" s="226"/>
      <c r="D13" s="227"/>
    </row>
    <row r="14">
      <c r="A14" s="228"/>
      <c r="B14" s="229">
        <f>SUM(Tactical_15[Modelo])</f>
        <v>1</v>
      </c>
      <c r="C14" s="230">
        <f>SUM(Tactical_15[Corredor +/- 10%])</f>
        <v>0</v>
      </c>
      <c r="D14" s="231">
        <f>SUM(Tactical_15[TAA])</f>
        <v>1</v>
      </c>
    </row>
    <row r="15">
      <c r="B15" s="216"/>
      <c r="C15" s="219"/>
    </row>
    <row r="16">
      <c r="C16" s="1" t="s">
        <v>2559</v>
      </c>
    </row>
    <row r="17">
      <c r="A17" s="213"/>
      <c r="B17" s="232" t="str">
        <f>Soberanos!B3</f>
        <v>S12S5</v>
      </c>
      <c r="C17" s="233">
        <f>$D$11*Soberanos!F3</f>
        <v>0.1805763724</v>
      </c>
    </row>
    <row r="18">
      <c r="A18" s="213"/>
      <c r="B18" s="232" t="str">
        <f>Soberanos!B4</f>
        <v>TZXO5</v>
      </c>
      <c r="C18" s="233">
        <f>$D$11*Soberanos!F4</f>
        <v>0.3688052816</v>
      </c>
    </row>
    <row r="19">
      <c r="A19" s="213"/>
      <c r="B19" s="232" t="str">
        <f>Soberanos!B5</f>
        <v>S29G5</v>
      </c>
      <c r="C19" s="233">
        <f>$D$11*Soberanos!F5</f>
        <v>0.125618346</v>
      </c>
    </row>
    <row r="20">
      <c r="A20" s="213"/>
      <c r="B20" s="232" t="str">
        <f>Ons!B9</f>
        <v/>
      </c>
      <c r="C20" s="234"/>
      <c r="G20" s="205"/>
    </row>
    <row r="21">
      <c r="A21" s="213"/>
      <c r="B21" s="232" t="str">
        <f>Ons!B10</f>
        <v/>
      </c>
      <c r="C21" s="234"/>
      <c r="E21" s="192"/>
      <c r="H21" s="235"/>
    </row>
    <row r="22">
      <c r="A22" s="213"/>
      <c r="B22" s="232" t="str">
        <f>Ons!B11</f>
        <v/>
      </c>
      <c r="C22" s="234"/>
      <c r="E22" s="192"/>
      <c r="F22" s="1"/>
      <c r="G22" s="236"/>
    </row>
    <row r="23">
      <c r="A23" s="218"/>
      <c r="B23" s="232" t="s">
        <v>2623</v>
      </c>
      <c r="C23" s="237">
        <f>D12</f>
        <v>0.325</v>
      </c>
      <c r="E23" s="1"/>
      <c r="F23" s="1"/>
      <c r="G23" s="1"/>
    </row>
    <row r="24">
      <c r="C24" s="236">
        <f>SUM(C17:C23)</f>
        <v>1</v>
      </c>
      <c r="E24" s="1"/>
      <c r="F24" s="1"/>
      <c r="G24" s="1"/>
    </row>
    <row r="25">
      <c r="E25" s="1"/>
      <c r="F25" s="1"/>
      <c r="G25" s="1"/>
    </row>
    <row r="26">
      <c r="E26" s="1"/>
      <c r="F26" s="1"/>
      <c r="G26" s="1"/>
    </row>
    <row r="27">
      <c r="B27" s="1"/>
      <c r="C27" s="1"/>
      <c r="D27" s="1"/>
      <c r="E27" s="1"/>
      <c r="F27" s="1"/>
      <c r="G27" s="1"/>
    </row>
    <row r="31">
      <c r="J31" s="238"/>
    </row>
    <row r="32">
      <c r="D32" s="239"/>
    </row>
    <row r="33">
      <c r="A33" s="240" t="s">
        <v>2624</v>
      </c>
      <c r="D33" s="239"/>
      <c r="J33" s="238"/>
    </row>
    <row r="34">
      <c r="D34" s="239"/>
    </row>
    <row r="35">
      <c r="A35" s="172"/>
      <c r="B35" s="172" t="s">
        <v>2625</v>
      </c>
      <c r="C35" s="172"/>
      <c r="D35" s="172" t="s">
        <v>2572</v>
      </c>
      <c r="E35" s="172" t="s">
        <v>2626</v>
      </c>
      <c r="F35" s="172" t="s">
        <v>2627</v>
      </c>
    </row>
    <row r="36">
      <c r="A36" s="172" t="s">
        <v>2628</v>
      </c>
      <c r="B36" s="172" t="s">
        <v>2629</v>
      </c>
      <c r="C36" s="172" t="s">
        <v>2630</v>
      </c>
      <c r="D36" s="241">
        <v>2.0</v>
      </c>
      <c r="E36" s="242">
        <v>0.0412</v>
      </c>
      <c r="F36" s="242">
        <v>0.0236</v>
      </c>
      <c r="K36" s="243"/>
      <c r="L36" s="244"/>
    </row>
    <row r="37">
      <c r="C37" s="1"/>
      <c r="D37" s="1"/>
      <c r="E37" s="245"/>
      <c r="F37" s="1"/>
      <c r="G37" s="1"/>
      <c r="H37" s="1"/>
      <c r="I37" s="1"/>
      <c r="J37" s="1"/>
      <c r="K37" s="243"/>
      <c r="L37" s="244"/>
    </row>
    <row r="38">
      <c r="E38" s="245"/>
      <c r="K38" s="243"/>
      <c r="L38" s="244"/>
    </row>
    <row r="39">
      <c r="E39" s="245"/>
      <c r="K39" s="243"/>
      <c r="L39" s="244"/>
    </row>
    <row r="40">
      <c r="E40" s="245"/>
      <c r="K40" s="246"/>
      <c r="L40" s="244"/>
    </row>
    <row r="41">
      <c r="E41" s="245"/>
      <c r="K41" s="246"/>
      <c r="L41" s="244"/>
    </row>
    <row r="42">
      <c r="E42" s="245"/>
      <c r="K42" s="246"/>
      <c r="L42" s="244"/>
    </row>
    <row r="43">
      <c r="C43" s="1"/>
      <c r="D43" s="1"/>
      <c r="E43" s="245"/>
      <c r="F43" s="1"/>
      <c r="G43" s="1"/>
      <c r="H43" s="1"/>
      <c r="I43" s="1"/>
      <c r="J43" s="1"/>
      <c r="K43" s="246"/>
      <c r="L43" s="244"/>
    </row>
    <row r="44">
      <c r="E44" s="245"/>
      <c r="K44" s="246"/>
      <c r="L44" s="244"/>
    </row>
    <row r="45">
      <c r="E45" s="245"/>
      <c r="K45" s="246"/>
      <c r="L45" s="244"/>
    </row>
    <row r="46">
      <c r="E46" s="245"/>
      <c r="K46" s="246"/>
      <c r="L46" s="244"/>
    </row>
    <row r="47">
      <c r="C47" s="1"/>
      <c r="D47" s="1"/>
      <c r="E47" s="245"/>
      <c r="F47" s="1"/>
      <c r="G47" s="1"/>
      <c r="H47" s="1"/>
      <c r="I47" s="1"/>
      <c r="J47" s="1"/>
      <c r="K47" s="246"/>
      <c r="L47" s="244"/>
    </row>
    <row r="48">
      <c r="C48" s="1"/>
      <c r="D48" s="1"/>
      <c r="E48" s="245"/>
      <c r="F48" s="1"/>
      <c r="G48" s="1"/>
      <c r="H48" s="1"/>
      <c r="I48" s="1"/>
      <c r="J48" s="1"/>
      <c r="K48" s="246"/>
      <c r="L48" s="244"/>
    </row>
    <row r="49">
      <c r="E49" s="245"/>
      <c r="K49" s="246"/>
      <c r="L49" s="244"/>
    </row>
    <row r="50">
      <c r="C50" s="1"/>
      <c r="D50" s="1"/>
      <c r="E50" s="245"/>
      <c r="F50" s="1"/>
      <c r="G50" s="1"/>
      <c r="H50" s="1"/>
      <c r="I50" s="1"/>
      <c r="J50" s="1"/>
      <c r="K50" s="246"/>
      <c r="L50" s="244"/>
    </row>
    <row r="51">
      <c r="C51" s="1"/>
      <c r="D51" s="1"/>
      <c r="E51" s="245"/>
      <c r="F51" s="1"/>
      <c r="G51" s="1"/>
      <c r="H51" s="1"/>
      <c r="I51" s="1"/>
      <c r="J51" s="1"/>
      <c r="K51" s="246"/>
      <c r="L51" s="244"/>
    </row>
    <row r="52">
      <c r="E52" s="245"/>
      <c r="K52" s="246"/>
      <c r="L52" s="244"/>
    </row>
    <row r="53">
      <c r="C53" s="1"/>
      <c r="D53" s="1"/>
      <c r="E53" s="245"/>
      <c r="F53" s="1"/>
      <c r="G53" s="1"/>
      <c r="H53" s="1"/>
      <c r="I53" s="1"/>
      <c r="J53" s="1"/>
      <c r="K53" s="246"/>
      <c r="L53" s="244"/>
    </row>
    <row r="54">
      <c r="E54" s="245"/>
      <c r="K54" s="246"/>
      <c r="L54" s="244"/>
    </row>
    <row r="55">
      <c r="E55" s="245"/>
      <c r="K55" s="246"/>
      <c r="L55" s="244"/>
    </row>
    <row r="56">
      <c r="E56" s="245"/>
      <c r="K56" s="246"/>
      <c r="L56" s="244"/>
    </row>
    <row r="57">
      <c r="C57" s="1"/>
      <c r="D57" s="1"/>
      <c r="E57" s="245"/>
      <c r="F57" s="1"/>
      <c r="G57" s="1"/>
      <c r="H57" s="1"/>
      <c r="I57" s="1"/>
      <c r="J57" s="1"/>
      <c r="K57" s="246"/>
      <c r="L57" s="244"/>
    </row>
    <row r="996">
      <c r="M996" s="236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hyperlinks>
    <hyperlink r:id="rId1" ref="A33"/>
  </hyperlinks>
  <drawing r:id="rId2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25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204"/>
    </row>
    <row r="2">
      <c r="B2" s="205"/>
      <c r="C2" s="206"/>
    </row>
    <row r="3">
      <c r="B3" s="205"/>
      <c r="C3" s="207"/>
      <c r="I3" s="208"/>
    </row>
    <row r="4">
      <c r="B4" s="209" t="s">
        <v>2615</v>
      </c>
      <c r="C4" s="210" t="s">
        <v>2616</v>
      </c>
      <c r="I4" s="211"/>
      <c r="J4" s="211"/>
      <c r="K4" s="212"/>
    </row>
    <row r="5">
      <c r="A5" s="213"/>
      <c r="B5" s="214" t="s">
        <v>2617</v>
      </c>
      <c r="C5" s="215">
        <v>1.0</v>
      </c>
      <c r="I5" s="216"/>
      <c r="J5" s="216"/>
      <c r="K5" s="217"/>
    </row>
    <row r="6">
      <c r="B6" s="214"/>
      <c r="C6" s="215"/>
      <c r="I6" s="216"/>
      <c r="J6" s="216"/>
      <c r="K6" s="217"/>
    </row>
    <row r="7">
      <c r="B7" s="216"/>
      <c r="C7" s="219"/>
    </row>
    <row r="9">
      <c r="A9" s="220" t="s">
        <v>2619</v>
      </c>
      <c r="B9" s="221" t="s">
        <v>2620</v>
      </c>
      <c r="C9" s="222" t="s">
        <v>2621</v>
      </c>
      <c r="D9" s="223" t="s">
        <v>2622</v>
      </c>
    </row>
    <row r="10">
      <c r="A10" s="224" t="str">
        <f t="shared" ref="A10:B10" si="1">B5</f>
        <v>Soberanos en pesos</v>
      </c>
      <c r="B10" s="225">
        <f t="shared" si="1"/>
        <v>1</v>
      </c>
      <c r="C10" s="226">
        <v>0.0</v>
      </c>
      <c r="D10" s="227">
        <f>C10+B10</f>
        <v>1</v>
      </c>
    </row>
    <row r="11">
      <c r="A11" s="224"/>
      <c r="B11" s="225"/>
      <c r="C11" s="226"/>
      <c r="D11" s="227"/>
    </row>
    <row r="12">
      <c r="A12" s="224"/>
      <c r="B12" s="225"/>
      <c r="C12" s="226"/>
      <c r="D12" s="227"/>
    </row>
    <row r="13">
      <c r="A13" s="228"/>
      <c r="B13" s="229">
        <f>SUM(Tactical_19[Modelo])</f>
        <v>1</v>
      </c>
      <c r="C13" s="230">
        <f>SUM(Tactical_19[Corredor +/- 10%])</f>
        <v>0</v>
      </c>
      <c r="D13" s="231">
        <f>SUM(Tactical_19[TAA])</f>
        <v>1</v>
      </c>
    </row>
    <row r="14">
      <c r="B14" s="216"/>
      <c r="C14" s="219"/>
    </row>
    <row r="15">
      <c r="C15" s="1" t="s">
        <v>2559</v>
      </c>
    </row>
    <row r="16">
      <c r="A16" s="213"/>
      <c r="B16" s="232" t="str">
        <f>Soberanos!B3</f>
        <v>S12S5</v>
      </c>
      <c r="C16" s="237">
        <f>$D$10*Soberanos!F3</f>
        <v>0.2675205517</v>
      </c>
    </row>
    <row r="17">
      <c r="A17" s="213"/>
      <c r="B17" s="232" t="str">
        <f>Soberanos!B4</f>
        <v>TZXO5</v>
      </c>
      <c r="C17" s="237">
        <f>$D$10*Soberanos!F4</f>
        <v>0.5463781949</v>
      </c>
    </row>
    <row r="18">
      <c r="A18" s="213"/>
      <c r="B18" s="232" t="str">
        <f>Soberanos!B5</f>
        <v>S29G5</v>
      </c>
      <c r="C18" s="237">
        <f>$D$10*Soberanos!F5</f>
        <v>0.1861012534</v>
      </c>
    </row>
    <row r="19">
      <c r="A19" s="213"/>
      <c r="B19" s="232" t="str">
        <f>Ons!B9</f>
        <v/>
      </c>
      <c r="C19" s="237"/>
      <c r="G19" s="205"/>
    </row>
    <row r="20">
      <c r="A20" s="213"/>
      <c r="B20" s="232" t="str">
        <f>Ons!B10</f>
        <v/>
      </c>
      <c r="C20" s="237"/>
      <c r="E20" s="192"/>
      <c r="H20" s="235"/>
    </row>
    <row r="21">
      <c r="A21" s="213"/>
      <c r="B21" s="232" t="str">
        <f>Ons!B11</f>
        <v/>
      </c>
      <c r="C21" s="237"/>
      <c r="E21" s="192"/>
      <c r="F21" s="1"/>
      <c r="G21" s="236"/>
    </row>
    <row r="22">
      <c r="C22" s="5">
        <f>SUM(C16:C21)</f>
        <v>1</v>
      </c>
      <c r="E22" s="1"/>
      <c r="F22" s="1"/>
      <c r="G22" s="1"/>
    </row>
    <row r="23">
      <c r="E23" s="1"/>
      <c r="F23" s="1"/>
      <c r="G23" s="1"/>
    </row>
    <row r="24">
      <c r="E24" s="1"/>
      <c r="F24" s="1"/>
      <c r="G24" s="1"/>
    </row>
    <row r="25">
      <c r="B25" s="1"/>
      <c r="C25" s="1"/>
      <c r="D25" s="1"/>
      <c r="E25" s="1"/>
      <c r="F25" s="1"/>
      <c r="G25" s="1"/>
    </row>
    <row r="29">
      <c r="J29" s="238"/>
    </row>
    <row r="30">
      <c r="D30" s="239"/>
    </row>
    <row r="31">
      <c r="D31" s="239"/>
      <c r="J31" s="238"/>
    </row>
    <row r="32">
      <c r="D32" s="239"/>
    </row>
    <row r="33">
      <c r="A33" s="172"/>
      <c r="B33" s="172"/>
      <c r="C33" s="172"/>
      <c r="D33" s="172"/>
      <c r="E33" s="172"/>
      <c r="F33" s="172"/>
    </row>
    <row r="34">
      <c r="A34" s="172"/>
      <c r="B34" s="172"/>
      <c r="C34" s="172"/>
      <c r="D34" s="241"/>
      <c r="E34" s="242"/>
      <c r="F34" s="242"/>
      <c r="K34" s="243"/>
      <c r="L34" s="244"/>
    </row>
    <row r="35">
      <c r="C35" s="1"/>
      <c r="D35" s="1"/>
      <c r="E35" s="245"/>
      <c r="F35" s="1"/>
      <c r="G35" s="1"/>
      <c r="H35" s="1"/>
      <c r="I35" s="1"/>
      <c r="J35" s="1"/>
      <c r="K35" s="243"/>
      <c r="L35" s="244"/>
    </row>
    <row r="36">
      <c r="E36" s="245"/>
      <c r="K36" s="243"/>
      <c r="L36" s="244"/>
    </row>
    <row r="37">
      <c r="E37" s="245"/>
      <c r="K37" s="243"/>
      <c r="L37" s="244"/>
    </row>
    <row r="38">
      <c r="E38" s="245"/>
      <c r="K38" s="246"/>
      <c r="L38" s="244"/>
    </row>
    <row r="39">
      <c r="E39" s="245"/>
      <c r="K39" s="246"/>
      <c r="L39" s="244"/>
    </row>
    <row r="40">
      <c r="E40" s="245"/>
      <c r="K40" s="246"/>
      <c r="L40" s="244"/>
    </row>
    <row r="41">
      <c r="C41" s="1"/>
      <c r="D41" s="1"/>
      <c r="E41" s="245"/>
      <c r="F41" s="1"/>
      <c r="G41" s="1"/>
      <c r="H41" s="1"/>
      <c r="I41" s="1"/>
      <c r="J41" s="1"/>
      <c r="K41" s="246"/>
      <c r="L41" s="244"/>
    </row>
    <row r="42">
      <c r="E42" s="245"/>
      <c r="K42" s="246"/>
      <c r="L42" s="244"/>
    </row>
    <row r="43">
      <c r="E43" s="245"/>
      <c r="K43" s="246"/>
      <c r="L43" s="244"/>
    </row>
    <row r="44">
      <c r="E44" s="245"/>
      <c r="K44" s="246"/>
      <c r="L44" s="244"/>
    </row>
    <row r="45">
      <c r="C45" s="1"/>
      <c r="D45" s="1"/>
      <c r="E45" s="245"/>
      <c r="F45" s="1"/>
      <c r="G45" s="1"/>
      <c r="H45" s="1"/>
      <c r="I45" s="1"/>
      <c r="J45" s="1"/>
      <c r="K45" s="246"/>
      <c r="L45" s="244"/>
    </row>
    <row r="46">
      <c r="C46" s="1"/>
      <c r="D46" s="1"/>
      <c r="E46" s="245"/>
      <c r="F46" s="1"/>
      <c r="G46" s="1"/>
      <c r="H46" s="1"/>
      <c r="I46" s="1"/>
      <c r="J46" s="1"/>
      <c r="K46" s="246"/>
      <c r="L46" s="244"/>
    </row>
    <row r="47">
      <c r="E47" s="245"/>
      <c r="K47" s="246"/>
      <c r="L47" s="244"/>
    </row>
    <row r="48">
      <c r="C48" s="1"/>
      <c r="D48" s="1"/>
      <c r="E48" s="245"/>
      <c r="F48" s="1"/>
      <c r="G48" s="1"/>
      <c r="H48" s="1"/>
      <c r="I48" s="1"/>
      <c r="J48" s="1"/>
      <c r="K48" s="246"/>
      <c r="L48" s="244"/>
    </row>
    <row r="49">
      <c r="C49" s="1"/>
      <c r="D49" s="1"/>
      <c r="E49" s="245"/>
      <c r="F49" s="1"/>
      <c r="G49" s="1"/>
      <c r="H49" s="1"/>
      <c r="I49" s="1"/>
      <c r="J49" s="1"/>
      <c r="K49" s="246"/>
      <c r="L49" s="244"/>
    </row>
    <row r="50">
      <c r="E50" s="245"/>
      <c r="K50" s="246"/>
      <c r="L50" s="244"/>
    </row>
    <row r="51">
      <c r="C51" s="1"/>
      <c r="D51" s="1"/>
      <c r="E51" s="245"/>
      <c r="F51" s="1"/>
      <c r="G51" s="1"/>
      <c r="H51" s="1"/>
      <c r="I51" s="1"/>
      <c r="J51" s="1"/>
      <c r="K51" s="246"/>
      <c r="L51" s="244"/>
    </row>
    <row r="52">
      <c r="E52" s="245"/>
      <c r="K52" s="246"/>
      <c r="L52" s="244"/>
    </row>
    <row r="53">
      <c r="E53" s="245"/>
      <c r="K53" s="246"/>
      <c r="L53" s="244"/>
    </row>
    <row r="54">
      <c r="E54" s="245"/>
      <c r="K54" s="246"/>
      <c r="L54" s="244"/>
    </row>
    <row r="55">
      <c r="C55" s="1"/>
      <c r="D55" s="1"/>
      <c r="E55" s="245"/>
      <c r="F55" s="1"/>
      <c r="G55" s="1"/>
      <c r="H55" s="1"/>
      <c r="I55" s="1"/>
      <c r="J55" s="1"/>
      <c r="K55" s="246"/>
      <c r="L55" s="244"/>
    </row>
    <row r="994">
      <c r="M994" s="236"/>
    </row>
  </sheetData>
  <dataValidations>
    <dataValidation type="custom" allowBlank="1" showDropDown="1" sqref="B10:D12">
      <formula1>AND(ISNUMBER(B10),(NOT(OR(NOT(ISERROR(DATEVALUE(B10))), AND(ISNUMBER(B10), LEFT(CELL("format", B10))="D")))))</formula1>
    </dataValidation>
  </dataValidations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0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A1" s="247" t="s">
        <v>2631</v>
      </c>
    </row>
    <row r="2">
      <c r="B2" s="205" t="s">
        <v>2632</v>
      </c>
      <c r="C2" s="206" t="str">
        <f>E22</f>
        <v>#N/A</v>
      </c>
    </row>
    <row r="3">
      <c r="B3" s="205"/>
      <c r="C3" s="207"/>
      <c r="I3" s="208"/>
    </row>
    <row r="4">
      <c r="B4" s="209" t="s">
        <v>2615</v>
      </c>
      <c r="C4" s="210" t="s">
        <v>2616</v>
      </c>
      <c r="I4" s="211"/>
      <c r="J4" s="211"/>
      <c r="K4" s="212"/>
    </row>
    <row r="5">
      <c r="A5" s="248"/>
      <c r="B5" s="214" t="s">
        <v>2633</v>
      </c>
      <c r="C5" s="215">
        <v>1.0</v>
      </c>
      <c r="I5" s="216"/>
      <c r="J5" s="216"/>
      <c r="K5" s="217"/>
    </row>
    <row r="6">
      <c r="B6" s="214"/>
      <c r="C6" s="215"/>
      <c r="I6" s="216"/>
      <c r="J6" s="216"/>
      <c r="K6" s="217"/>
    </row>
    <row r="7">
      <c r="B7" s="216"/>
      <c r="C7" s="219"/>
    </row>
    <row r="9">
      <c r="A9" s="220" t="s">
        <v>2619</v>
      </c>
      <c r="B9" s="221" t="s">
        <v>2620</v>
      </c>
      <c r="C9" s="222" t="s">
        <v>2621</v>
      </c>
      <c r="D9" s="223" t="s">
        <v>2622</v>
      </c>
    </row>
    <row r="10">
      <c r="A10" s="224" t="str">
        <f t="shared" ref="A10:B10" si="1">B5</f>
        <v>ONs</v>
      </c>
      <c r="B10" s="225">
        <f t="shared" si="1"/>
        <v>1</v>
      </c>
      <c r="C10" s="226">
        <v>0.0</v>
      </c>
      <c r="D10" s="227">
        <f>C10+B10</f>
        <v>1</v>
      </c>
    </row>
    <row r="11">
      <c r="A11" s="224"/>
      <c r="B11" s="225"/>
      <c r="C11" s="226"/>
      <c r="D11" s="227"/>
    </row>
    <row r="12">
      <c r="A12" s="224"/>
      <c r="B12" s="225"/>
      <c r="C12" s="226"/>
      <c r="D12" s="227"/>
    </row>
    <row r="13">
      <c r="A13" s="228"/>
      <c r="B13" s="229">
        <f>SUM(Tactical_10[Modelo])</f>
        <v>1</v>
      </c>
      <c r="C13" s="230">
        <f>SUM(Tactical_10[Corredor +/- 10%])</f>
        <v>0</v>
      </c>
      <c r="D13" s="231">
        <f>SUM(Tactical_10[TAA])</f>
        <v>1</v>
      </c>
    </row>
    <row r="14">
      <c r="B14" s="216"/>
      <c r="C14" s="219"/>
    </row>
    <row r="15">
      <c r="C15" s="1" t="s">
        <v>2559</v>
      </c>
      <c r="E15" s="1" t="s">
        <v>2634</v>
      </c>
    </row>
    <row r="16">
      <c r="A16" s="248"/>
      <c r="B16" s="232" t="str">
        <f>Ons!B27</f>
        <v/>
      </c>
      <c r="C16" s="233">
        <f>$D$10*Ons!G27</f>
        <v>0</v>
      </c>
      <c r="E16" s="197" t="str">
        <f>VLOOKUP(B16,Ons!$B$27:$H$30,2,0)*C16</f>
        <v>#N/A</v>
      </c>
    </row>
    <row r="17">
      <c r="A17" s="248"/>
      <c r="B17" s="232" t="str">
        <f>Ons!B28</f>
        <v/>
      </c>
      <c r="C17" s="233">
        <f>$D$10*Ons!G28</f>
        <v>0</v>
      </c>
      <c r="E17" s="197" t="str">
        <f>VLOOKUP(B17,Ons!$B$27:$H$30,2,0)*C17</f>
        <v>#N/A</v>
      </c>
    </row>
    <row r="18">
      <c r="A18" s="248"/>
      <c r="B18" s="232" t="str">
        <f>Ons!B29</f>
        <v/>
      </c>
      <c r="C18" s="233">
        <f>$D$10*Ons!G29</f>
        <v>0</v>
      </c>
      <c r="E18" s="197" t="str">
        <f>VLOOKUP(B18,Ons!$B$27:$H$30,2,0)*C18</f>
        <v>#N/A</v>
      </c>
    </row>
    <row r="19">
      <c r="A19" s="248"/>
      <c r="B19" s="232" t="str">
        <f>Ons!B30</f>
        <v/>
      </c>
      <c r="C19" s="233">
        <f>$D$10*Ons!G30</f>
        <v>0</v>
      </c>
      <c r="E19" s="197" t="str">
        <f>VLOOKUP(B19,Ons!$B$27:$H$30,2,0)*C19</f>
        <v>#N/A</v>
      </c>
      <c r="G19" s="205"/>
    </row>
    <row r="20">
      <c r="A20" s="248"/>
      <c r="B20" s="232" t="str">
        <f>Ons!B10</f>
        <v/>
      </c>
      <c r="C20" s="233">
        <f>$D$10*Ons!G10</f>
        <v>0</v>
      </c>
      <c r="H20" s="235"/>
    </row>
    <row r="21">
      <c r="A21" s="248"/>
      <c r="B21" s="232" t="str">
        <f>Ons!B11</f>
        <v/>
      </c>
      <c r="C21" s="233">
        <f>$D$10*Ons!G11</f>
        <v>0</v>
      </c>
      <c r="E21" s="249"/>
      <c r="F21" s="1"/>
      <c r="G21" s="236"/>
    </row>
    <row r="22">
      <c r="C22" s="236">
        <f>SUM(C16:C21)</f>
        <v>0</v>
      </c>
      <c r="E22" s="235" t="str">
        <f>SUM(E15:E21)</f>
        <v>#N/A</v>
      </c>
      <c r="F22" s="1"/>
      <c r="G22" s="1"/>
    </row>
    <row r="23">
      <c r="E23" s="1"/>
      <c r="F23" s="1"/>
      <c r="G23" s="1"/>
    </row>
    <row r="24">
      <c r="E24" s="1"/>
      <c r="F24" s="1"/>
      <c r="G24" s="1"/>
    </row>
    <row r="25">
      <c r="B25" s="1"/>
      <c r="C25" s="1"/>
      <c r="D25" s="1"/>
      <c r="E25" s="1"/>
      <c r="F25" s="1"/>
      <c r="G25" s="1"/>
    </row>
    <row r="26">
      <c r="G26" s="1" t="s">
        <v>2560</v>
      </c>
    </row>
    <row r="27">
      <c r="F27" s="236">
        <v>0.4120247641792184</v>
      </c>
      <c r="G27" s="250">
        <v>1.0</v>
      </c>
    </row>
    <row r="28">
      <c r="F28" s="236">
        <v>0.24474721551360054</v>
      </c>
      <c r="G28" s="250">
        <v>1.0</v>
      </c>
    </row>
    <row r="29">
      <c r="F29" s="236">
        <v>0.18641139463783038</v>
      </c>
      <c r="G29" s="250">
        <v>1.0</v>
      </c>
      <c r="J29" s="238"/>
    </row>
    <row r="30">
      <c r="F30" s="236">
        <v>0.15681662566935053</v>
      </c>
      <c r="G30" s="197">
        <v>1000.0</v>
      </c>
    </row>
    <row r="31">
      <c r="J31" s="238"/>
    </row>
    <row r="32">
      <c r="D32" s="239"/>
    </row>
    <row r="34">
      <c r="E34" s="245"/>
      <c r="K34" s="243"/>
      <c r="L34" s="244"/>
    </row>
    <row r="35">
      <c r="C35" s="1"/>
      <c r="D35" s="1"/>
      <c r="E35" s="245"/>
      <c r="F35" s="1"/>
      <c r="G35" s="1"/>
      <c r="H35" s="1"/>
      <c r="I35" s="1"/>
      <c r="J35" s="1"/>
      <c r="K35" s="243"/>
      <c r="L35" s="244"/>
    </row>
    <row r="36">
      <c r="E36" s="245"/>
      <c r="K36" s="243"/>
      <c r="L36" s="244"/>
    </row>
    <row r="37">
      <c r="E37" s="245"/>
      <c r="K37" s="243"/>
      <c r="L37" s="244"/>
    </row>
    <row r="38">
      <c r="E38" s="245"/>
      <c r="K38" s="246"/>
      <c r="L38" s="244"/>
    </row>
    <row r="39">
      <c r="E39" s="245"/>
      <c r="K39" s="246"/>
      <c r="L39" s="244"/>
    </row>
    <row r="40">
      <c r="E40" s="245"/>
      <c r="K40" s="246"/>
      <c r="L40" s="244"/>
    </row>
    <row r="41">
      <c r="C41" s="1"/>
      <c r="D41" s="1"/>
      <c r="E41" s="245"/>
      <c r="F41" s="1"/>
      <c r="G41" s="1"/>
      <c r="H41" s="1"/>
      <c r="I41" s="1"/>
      <c r="J41" s="1"/>
      <c r="K41" s="246"/>
      <c r="L41" s="244"/>
    </row>
    <row r="42">
      <c r="E42" s="245"/>
      <c r="K42" s="246"/>
      <c r="L42" s="244"/>
    </row>
    <row r="43">
      <c r="E43" s="245"/>
      <c r="K43" s="246"/>
      <c r="L43" s="244"/>
    </row>
    <row r="44">
      <c r="E44" s="245"/>
      <c r="K44" s="246"/>
      <c r="L44" s="244"/>
    </row>
    <row r="45">
      <c r="C45" s="1"/>
      <c r="D45" s="1"/>
      <c r="E45" s="245"/>
      <c r="F45" s="1"/>
      <c r="G45" s="1"/>
      <c r="H45" s="1"/>
      <c r="I45" s="1"/>
      <c r="J45" s="1"/>
      <c r="K45" s="246"/>
      <c r="L45" s="244"/>
    </row>
    <row r="46">
      <c r="C46" s="1"/>
      <c r="D46" s="1"/>
      <c r="E46" s="245"/>
      <c r="F46" s="1"/>
      <c r="G46" s="1"/>
      <c r="H46" s="1"/>
      <c r="I46" s="1"/>
      <c r="J46" s="1"/>
      <c r="K46" s="246"/>
      <c r="L46" s="244"/>
    </row>
    <row r="47">
      <c r="E47" s="245"/>
      <c r="K47" s="246"/>
      <c r="L47" s="244"/>
    </row>
    <row r="48">
      <c r="C48" s="1"/>
      <c r="D48" s="1"/>
      <c r="E48" s="245"/>
      <c r="F48" s="1"/>
      <c r="G48" s="1"/>
      <c r="H48" s="1"/>
      <c r="I48" s="1"/>
      <c r="J48" s="1"/>
      <c r="K48" s="246"/>
      <c r="L48" s="244"/>
    </row>
    <row r="49">
      <c r="C49" s="1"/>
      <c r="D49" s="1"/>
      <c r="E49" s="245"/>
      <c r="F49" s="1"/>
      <c r="G49" s="1"/>
      <c r="H49" s="1"/>
      <c r="I49" s="1"/>
      <c r="J49" s="1"/>
      <c r="K49" s="246"/>
      <c r="L49" s="244"/>
    </row>
    <row r="50">
      <c r="E50" s="245"/>
      <c r="K50" s="246"/>
      <c r="L50" s="244"/>
    </row>
    <row r="51">
      <c r="C51" s="1"/>
      <c r="D51" s="1"/>
      <c r="E51" s="245"/>
      <c r="F51" s="1"/>
      <c r="G51" s="1"/>
      <c r="H51" s="1"/>
      <c r="I51" s="1"/>
      <c r="J51" s="1"/>
      <c r="K51" s="246"/>
      <c r="L51" s="244"/>
    </row>
    <row r="52">
      <c r="E52" s="245"/>
      <c r="K52" s="246"/>
      <c r="L52" s="244"/>
    </row>
    <row r="53">
      <c r="E53" s="245"/>
      <c r="K53" s="246"/>
      <c r="L53" s="244"/>
    </row>
    <row r="54">
      <c r="E54" s="245"/>
      <c r="K54" s="246"/>
      <c r="L54" s="244"/>
    </row>
    <row r="55">
      <c r="C55" s="1"/>
      <c r="D55" s="1"/>
      <c r="E55" s="245"/>
      <c r="F55" s="1"/>
      <c r="G55" s="1"/>
      <c r="H55" s="1"/>
      <c r="I55" s="1"/>
      <c r="J55" s="1"/>
      <c r="K55" s="246"/>
      <c r="L55" s="244"/>
    </row>
    <row r="994">
      <c r="M994" s="236"/>
    </row>
  </sheetData>
  <mergeCells count="1">
    <mergeCell ref="A1:B1"/>
  </mergeCells>
  <dataValidations>
    <dataValidation type="custom" allowBlank="1" showDropDown="1" sqref="B10:D12">
      <formula1>AND(ISNUMBER(B10),(NOT(OR(NOT(ISERROR(DATEVALUE(B10))), AND(ISNUMBER(B10), LEFT(CELL("format", B10))="D")))))</formula1>
    </dataValidation>
  </dataValidations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0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205" t="s">
        <v>2635</v>
      </c>
      <c r="C1" s="206">
        <v>0.0702</v>
      </c>
    </row>
    <row r="2">
      <c r="B2" s="205" t="s">
        <v>2636</v>
      </c>
      <c r="C2" s="207">
        <v>0.0672</v>
      </c>
    </row>
    <row r="3">
      <c r="B3" s="205" t="s">
        <v>2632</v>
      </c>
      <c r="C3" s="203" t="str">
        <f>E26</f>
        <v>#N/A</v>
      </c>
      <c r="I3" s="208"/>
    </row>
    <row r="4">
      <c r="B4" s="209" t="s">
        <v>2615</v>
      </c>
      <c r="C4" s="210" t="s">
        <v>2616</v>
      </c>
      <c r="I4" s="211"/>
      <c r="J4" s="211"/>
      <c r="K4" s="212"/>
    </row>
    <row r="5">
      <c r="A5" s="248"/>
      <c r="B5" s="214" t="s">
        <v>2633</v>
      </c>
      <c r="C5" s="215">
        <v>1.0</v>
      </c>
      <c r="I5" s="216"/>
      <c r="J5" s="216"/>
      <c r="K5" s="217"/>
    </row>
    <row r="6">
      <c r="A6" s="251"/>
      <c r="B6" s="214" t="s">
        <v>2637</v>
      </c>
      <c r="C6" s="215">
        <v>0.0</v>
      </c>
      <c r="I6" s="216"/>
      <c r="J6" s="216"/>
      <c r="K6" s="217"/>
    </row>
    <row r="7">
      <c r="B7" s="214"/>
      <c r="C7" s="215"/>
      <c r="I7" s="216"/>
      <c r="J7" s="216"/>
      <c r="K7" s="217"/>
    </row>
    <row r="8">
      <c r="B8" s="216"/>
      <c r="C8" s="219"/>
    </row>
    <row r="10">
      <c r="A10" s="220" t="s">
        <v>2619</v>
      </c>
      <c r="B10" s="221" t="s">
        <v>2620</v>
      </c>
      <c r="C10" s="222" t="s">
        <v>2621</v>
      </c>
      <c r="D10" s="223" t="s">
        <v>2622</v>
      </c>
    </row>
    <row r="11">
      <c r="A11" s="224" t="str">
        <f t="shared" ref="A11:B11" si="1">B5</f>
        <v>ONs</v>
      </c>
      <c r="B11" s="225">
        <f t="shared" si="1"/>
        <v>1</v>
      </c>
      <c r="C11" s="226">
        <v>-0.1</v>
      </c>
      <c r="D11" s="227">
        <f t="shared" ref="D11:D12" si="3">C11+B11</f>
        <v>0.9</v>
      </c>
    </row>
    <row r="12">
      <c r="A12" s="224" t="str">
        <f t="shared" ref="A12:B12" si="2">B6</f>
        <v>Soberanos Hard Dollar</v>
      </c>
      <c r="B12" s="225">
        <f t="shared" si="2"/>
        <v>0</v>
      </c>
      <c r="C12" s="226">
        <v>0.1</v>
      </c>
      <c r="D12" s="227">
        <f t="shared" si="3"/>
        <v>0.1</v>
      </c>
    </row>
    <row r="13">
      <c r="A13" s="224"/>
      <c r="B13" s="225"/>
      <c r="C13" s="226"/>
      <c r="D13" s="227"/>
    </row>
    <row r="14">
      <c r="A14" s="228"/>
      <c r="B14" s="229">
        <f>SUM(Tactical[Modelo])</f>
        <v>1</v>
      </c>
      <c r="C14" s="230">
        <f>SUM(Tactical[Corredor +/- 10%])</f>
        <v>0</v>
      </c>
      <c r="D14" s="231">
        <f>SUM(Tactical[TAA])</f>
        <v>1</v>
      </c>
    </row>
    <row r="15">
      <c r="B15" s="216"/>
      <c r="C15" s="219"/>
    </row>
    <row r="16">
      <c r="C16" s="252" t="s">
        <v>2559</v>
      </c>
      <c r="E16" s="1" t="s">
        <v>2638</v>
      </c>
    </row>
    <row r="17">
      <c r="A17" s="248"/>
      <c r="B17" s="232" t="str">
        <f>Ons!B6</f>
        <v>TLCPD</v>
      </c>
      <c r="C17" s="253">
        <f>$D$11*Ons!G6</f>
        <v>0.350006739</v>
      </c>
      <c r="E17" s="236">
        <f>VLOOKUP(B17,Ons!$B$1:$H$37,2,0)*C17</f>
        <v>0.03063741324</v>
      </c>
    </row>
    <row r="18">
      <c r="A18" s="248"/>
      <c r="B18" s="232" t="str">
        <f>Ons!B7</f>
        <v>BACGD</v>
      </c>
      <c r="C18" s="253">
        <f>$D$11*Ons!G7</f>
        <v>0.549993261</v>
      </c>
      <c r="E18" s="236">
        <f>VLOOKUP(B18,Ons!$B$1:$H$37,2,0)*C18</f>
        <v>0.03952723687</v>
      </c>
    </row>
    <row r="19">
      <c r="A19" s="248"/>
      <c r="B19" s="232" t="str">
        <f>Ons!B8</f>
        <v/>
      </c>
      <c r="C19" s="253">
        <f>$D$11*Ons!G8</f>
        <v>0</v>
      </c>
      <c r="E19" s="197" t="str">
        <f>VLOOKUP(B19,Ons!$B$1:$H$37,2,0)*C19</f>
        <v>#N/A</v>
      </c>
    </row>
    <row r="20">
      <c r="A20" s="248"/>
      <c r="B20" s="232" t="str">
        <f>Ons!B9</f>
        <v/>
      </c>
      <c r="C20" s="253">
        <f>$D$11*Ons!G9</f>
        <v>0</v>
      </c>
      <c r="G20" s="205"/>
    </row>
    <row r="21">
      <c r="A21" s="248"/>
      <c r="B21" s="232" t="str">
        <f>Ons!B10</f>
        <v/>
      </c>
      <c r="C21" s="253">
        <f>$D$11*Ons!G10</f>
        <v>0</v>
      </c>
      <c r="H21" s="235"/>
    </row>
    <row r="22">
      <c r="A22" s="248"/>
      <c r="B22" s="232" t="str">
        <f>Ons!B11</f>
        <v/>
      </c>
      <c r="C22" s="253">
        <f>$D$11*Ons!G11</f>
        <v>0</v>
      </c>
      <c r="F22" s="1"/>
      <c r="G22" s="236"/>
    </row>
    <row r="23">
      <c r="A23" s="251"/>
      <c r="B23" s="254" t="str">
        <f>Soberanos!B28</f>
        <v>BPO8D</v>
      </c>
      <c r="C23" s="253">
        <f>$D$12*Soberanos!F28</f>
        <v>0.03492124506</v>
      </c>
      <c r="E23" s="5">
        <f>VLOOKUP(B23,Soberanos!B2:F42,2,0)*C23</f>
        <v>0.00375508418</v>
      </c>
      <c r="F23" s="1"/>
      <c r="G23" s="1"/>
    </row>
    <row r="24">
      <c r="A24" s="251"/>
      <c r="B24" s="232" t="str">
        <f>Soberanos!B29</f>
        <v>AL30D</v>
      </c>
      <c r="C24" s="253">
        <f>$D$12*Soberanos!F29</f>
        <v>0.04428424033</v>
      </c>
      <c r="E24" s="5"/>
      <c r="F24" s="1"/>
      <c r="G24" s="1"/>
    </row>
    <row r="25">
      <c r="A25" s="251"/>
      <c r="B25" s="232" t="str">
        <f>Soberanos!B30</f>
        <v>AE38D</v>
      </c>
      <c r="C25" s="253">
        <f>$D$12*Soberanos!F30</f>
        <v>0.02079451461</v>
      </c>
      <c r="E25" s="255">
        <f>VLOOKUP(B24,Soberanos!B3:F43,2,0)*C24</f>
        <v>0.005891971925</v>
      </c>
      <c r="F25" s="1"/>
      <c r="G25" s="1"/>
    </row>
    <row r="26">
      <c r="C26" s="235">
        <f>SUM(C17:C25)</f>
        <v>1</v>
      </c>
      <c r="E26" s="197" t="str">
        <f>SUM(E17:E25)</f>
        <v>#N/A</v>
      </c>
      <c r="F26" s="1"/>
      <c r="G26" s="1"/>
    </row>
    <row r="27">
      <c r="E27" s="1"/>
      <c r="F27" s="1"/>
      <c r="G27" s="1"/>
    </row>
    <row r="28">
      <c r="E28" s="1"/>
      <c r="F28" s="1"/>
      <c r="G28" s="1"/>
    </row>
    <row r="29">
      <c r="B29" s="1"/>
      <c r="C29" s="1"/>
      <c r="D29" s="1"/>
      <c r="E29" s="1"/>
      <c r="F29" s="1"/>
      <c r="G29" s="1"/>
    </row>
    <row r="33">
      <c r="D33" s="239"/>
      <c r="J33" s="238"/>
    </row>
    <row r="34">
      <c r="D34" s="239"/>
    </row>
    <row r="35">
      <c r="D35" s="239"/>
      <c r="J35" s="238"/>
    </row>
    <row r="36">
      <c r="D36" s="239"/>
    </row>
    <row r="38">
      <c r="E38" s="245"/>
      <c r="K38" s="243"/>
      <c r="L38" s="244"/>
    </row>
    <row r="39">
      <c r="C39" s="1"/>
      <c r="D39" s="1"/>
      <c r="E39" s="245"/>
      <c r="F39" s="1"/>
      <c r="G39" s="1"/>
      <c r="H39" s="1"/>
      <c r="I39" s="1"/>
      <c r="J39" s="1"/>
      <c r="K39" s="243"/>
      <c r="L39" s="244"/>
    </row>
    <row r="40">
      <c r="E40" s="245"/>
      <c r="K40" s="243"/>
      <c r="L40" s="244"/>
    </row>
    <row r="41">
      <c r="E41" s="245"/>
      <c r="K41" s="243"/>
      <c r="L41" s="244"/>
    </row>
    <row r="42">
      <c r="E42" s="245"/>
      <c r="K42" s="246"/>
      <c r="L42" s="244"/>
    </row>
    <row r="43">
      <c r="E43" s="245"/>
      <c r="K43" s="246"/>
      <c r="L43" s="244"/>
    </row>
    <row r="44">
      <c r="E44" s="245"/>
      <c r="K44" s="246"/>
      <c r="L44" s="244"/>
    </row>
    <row r="45">
      <c r="C45" s="1"/>
      <c r="D45" s="1"/>
      <c r="E45" s="245"/>
      <c r="F45" s="1"/>
      <c r="G45" s="1"/>
      <c r="H45" s="1"/>
      <c r="I45" s="1"/>
      <c r="J45" s="1"/>
      <c r="K45" s="246"/>
      <c r="L45" s="244"/>
    </row>
    <row r="46">
      <c r="E46" s="245"/>
      <c r="K46" s="246"/>
      <c r="L46" s="244"/>
    </row>
    <row r="47">
      <c r="E47" s="245"/>
      <c r="K47" s="246"/>
      <c r="L47" s="244"/>
    </row>
    <row r="48">
      <c r="E48" s="245"/>
      <c r="K48" s="246"/>
      <c r="L48" s="244"/>
    </row>
    <row r="49">
      <c r="C49" s="1"/>
      <c r="D49" s="1"/>
      <c r="E49" s="245"/>
      <c r="F49" s="1"/>
      <c r="G49" s="1"/>
      <c r="H49" s="1"/>
      <c r="I49" s="1"/>
      <c r="J49" s="1"/>
      <c r="K49" s="246"/>
      <c r="L49" s="244"/>
    </row>
    <row r="50">
      <c r="C50" s="1"/>
      <c r="D50" s="1"/>
      <c r="E50" s="245"/>
      <c r="F50" s="1"/>
      <c r="G50" s="1"/>
      <c r="H50" s="1"/>
      <c r="I50" s="1"/>
      <c r="J50" s="1"/>
      <c r="K50" s="246"/>
      <c r="L50" s="244"/>
    </row>
    <row r="51">
      <c r="E51" s="245"/>
      <c r="K51" s="246"/>
      <c r="L51" s="244"/>
    </row>
    <row r="52">
      <c r="C52" s="1"/>
      <c r="D52" s="1"/>
      <c r="E52" s="245"/>
      <c r="F52" s="1"/>
      <c r="G52" s="1"/>
      <c r="H52" s="1"/>
      <c r="I52" s="1"/>
      <c r="J52" s="1"/>
      <c r="K52" s="246"/>
      <c r="L52" s="244"/>
    </row>
    <row r="53">
      <c r="C53" s="1"/>
      <c r="D53" s="1"/>
      <c r="E53" s="245"/>
      <c r="F53" s="1"/>
      <c r="G53" s="1"/>
      <c r="H53" s="1"/>
      <c r="I53" s="1"/>
      <c r="J53" s="1"/>
      <c r="K53" s="246"/>
      <c r="L53" s="244"/>
    </row>
    <row r="54">
      <c r="E54" s="245"/>
      <c r="K54" s="246"/>
      <c r="L54" s="244"/>
    </row>
    <row r="55">
      <c r="C55" s="1"/>
      <c r="D55" s="1"/>
      <c r="E55" s="245"/>
      <c r="F55" s="1"/>
      <c r="G55" s="1"/>
      <c r="H55" s="1"/>
      <c r="I55" s="1"/>
      <c r="J55" s="1"/>
      <c r="K55" s="246"/>
      <c r="L55" s="244"/>
    </row>
    <row r="56">
      <c r="E56" s="245"/>
      <c r="K56" s="246"/>
      <c r="L56" s="244"/>
    </row>
    <row r="57">
      <c r="E57" s="245"/>
      <c r="K57" s="246"/>
      <c r="L57" s="244"/>
    </row>
    <row r="58">
      <c r="E58" s="245"/>
      <c r="K58" s="246"/>
      <c r="L58" s="244"/>
    </row>
    <row r="59">
      <c r="C59" s="1"/>
      <c r="D59" s="1"/>
      <c r="E59" s="245"/>
      <c r="F59" s="1"/>
      <c r="G59" s="1"/>
      <c r="H59" s="1"/>
      <c r="I59" s="1"/>
      <c r="J59" s="1"/>
      <c r="K59" s="246"/>
      <c r="L59" s="244"/>
    </row>
    <row r="998">
      <c r="M998" s="236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5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A1" s="256"/>
      <c r="B1" s="257" t="s">
        <v>2635</v>
      </c>
      <c r="C1" s="258">
        <v>0.0709</v>
      </c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</row>
    <row r="2">
      <c r="A2" s="256"/>
      <c r="B2" s="257" t="s">
        <v>2625</v>
      </c>
      <c r="C2" s="259">
        <v>0.0652</v>
      </c>
      <c r="D2" s="256"/>
      <c r="E2" s="256"/>
      <c r="F2" s="256"/>
      <c r="G2" s="256"/>
      <c r="H2" s="256"/>
      <c r="I2" s="256"/>
      <c r="J2" s="256"/>
      <c r="K2" s="256"/>
      <c r="L2" s="256"/>
      <c r="M2" s="256"/>
      <c r="N2" s="256"/>
      <c r="O2" s="256"/>
      <c r="P2" s="256"/>
      <c r="Q2" s="256"/>
      <c r="R2" s="256"/>
      <c r="S2" s="256"/>
      <c r="T2" s="256"/>
      <c r="U2" s="256"/>
      <c r="V2" s="256"/>
      <c r="W2" s="256"/>
      <c r="X2" s="256"/>
      <c r="Y2" s="256"/>
      <c r="Z2" s="256"/>
    </row>
    <row r="3">
      <c r="A3" s="256"/>
      <c r="B3" s="205" t="s">
        <v>2632</v>
      </c>
      <c r="C3" s="197" t="str">
        <f>E27</f>
        <v>#N/A</v>
      </c>
      <c r="D3" s="256"/>
      <c r="E3" s="256"/>
      <c r="F3" s="256"/>
      <c r="G3" s="256"/>
      <c r="H3" s="256"/>
      <c r="I3" s="260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256"/>
      <c r="U3" s="256"/>
      <c r="V3" s="256"/>
      <c r="W3" s="256"/>
      <c r="X3" s="256"/>
      <c r="Y3" s="256"/>
      <c r="Z3" s="256"/>
    </row>
    <row r="4">
      <c r="A4" s="256"/>
      <c r="B4" s="261" t="s">
        <v>2615</v>
      </c>
      <c r="C4" s="262" t="s">
        <v>2616</v>
      </c>
      <c r="D4" s="256"/>
      <c r="E4" s="256"/>
      <c r="F4" s="256"/>
      <c r="G4" s="256"/>
      <c r="H4" s="256"/>
      <c r="I4" s="263"/>
      <c r="J4" s="263"/>
      <c r="K4" s="264"/>
      <c r="L4" s="256"/>
      <c r="M4" s="256"/>
      <c r="N4" s="256"/>
      <c r="O4" s="256"/>
      <c r="P4" s="256"/>
      <c r="Q4" s="256"/>
      <c r="R4" s="256"/>
      <c r="S4" s="256"/>
      <c r="T4" s="256"/>
      <c r="U4" s="256"/>
      <c r="V4" s="256"/>
      <c r="W4" s="256"/>
      <c r="X4" s="256"/>
      <c r="Y4" s="256"/>
      <c r="Z4" s="256"/>
    </row>
    <row r="5">
      <c r="A5" s="248"/>
      <c r="B5" s="265" t="s">
        <v>2633</v>
      </c>
      <c r="C5" s="266">
        <v>0.9249</v>
      </c>
      <c r="D5" s="256"/>
      <c r="E5" s="256"/>
      <c r="F5" s="256"/>
      <c r="G5" s="256"/>
      <c r="H5" s="256"/>
      <c r="I5" s="267"/>
      <c r="J5" s="267"/>
      <c r="K5" s="268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</row>
    <row r="6">
      <c r="A6" s="251"/>
      <c r="B6" s="265" t="s">
        <v>2637</v>
      </c>
      <c r="C6" s="266">
        <v>0.0</v>
      </c>
      <c r="D6" s="256"/>
      <c r="E6" s="256"/>
      <c r="F6" s="256"/>
      <c r="G6" s="256"/>
      <c r="H6" s="256"/>
      <c r="I6" s="267"/>
      <c r="J6" s="267"/>
      <c r="K6" s="268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</row>
    <row r="7">
      <c r="A7" s="269"/>
      <c r="B7" s="265" t="s">
        <v>2584</v>
      </c>
      <c r="C7" s="266">
        <v>0.0751</v>
      </c>
      <c r="D7" s="256"/>
      <c r="E7" s="256"/>
      <c r="F7" s="256"/>
      <c r="G7" s="256"/>
      <c r="H7" s="256"/>
      <c r="I7" s="267"/>
      <c r="J7" s="267"/>
      <c r="K7" s="268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</row>
    <row r="8">
      <c r="A8" s="256"/>
      <c r="B8" s="267"/>
      <c r="C8" s="270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</row>
    <row r="9">
      <c r="A9" s="256"/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</row>
    <row r="10">
      <c r="A10" s="271" t="s">
        <v>2619</v>
      </c>
      <c r="B10" s="272" t="s">
        <v>2620</v>
      </c>
      <c r="C10" s="273" t="s">
        <v>2621</v>
      </c>
      <c r="D10" s="274" t="s">
        <v>2622</v>
      </c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</row>
    <row r="11">
      <c r="A11" s="275" t="str">
        <f t="shared" ref="A11:B11" si="1">B5</f>
        <v>ONs</v>
      </c>
      <c r="B11" s="276">
        <f t="shared" si="1"/>
        <v>0.9249</v>
      </c>
      <c r="C11" s="277">
        <v>-0.1</v>
      </c>
      <c r="D11" s="278">
        <f t="shared" ref="D11:D13" si="3">C11+B11</f>
        <v>0.8249</v>
      </c>
      <c r="E11" s="256"/>
      <c r="F11" s="256"/>
      <c r="G11" s="256"/>
      <c r="H11" s="256"/>
      <c r="I11" s="256"/>
      <c r="J11" s="256"/>
      <c r="K11" s="256"/>
      <c r="L11" s="256"/>
      <c r="M11" s="256"/>
      <c r="N11" s="256"/>
      <c r="O11" s="256"/>
      <c r="P11" s="256"/>
      <c r="Q11" s="256"/>
      <c r="R11" s="256"/>
      <c r="S11" s="256"/>
      <c r="T11" s="256"/>
      <c r="U11" s="256"/>
      <c r="V11" s="256"/>
      <c r="W11" s="256"/>
      <c r="X11" s="256"/>
      <c r="Y11" s="256"/>
      <c r="Z11" s="256"/>
    </row>
    <row r="12">
      <c r="A12" s="275" t="str">
        <f t="shared" ref="A12:B12" si="2">B6</f>
        <v>Soberanos Hard Dollar</v>
      </c>
      <c r="B12" s="276">
        <f t="shared" si="2"/>
        <v>0</v>
      </c>
      <c r="C12" s="277">
        <v>0.1</v>
      </c>
      <c r="D12" s="278">
        <f t="shared" si="3"/>
        <v>0.1</v>
      </c>
      <c r="E12" s="256"/>
      <c r="F12" s="256"/>
      <c r="G12" s="256"/>
      <c r="H12" s="256"/>
      <c r="I12" s="256"/>
      <c r="J12" s="256"/>
      <c r="K12" s="256"/>
      <c r="L12" s="256"/>
      <c r="M12" s="256"/>
      <c r="N12" s="256"/>
      <c r="O12" s="256"/>
      <c r="P12" s="256"/>
      <c r="Q12" s="256"/>
      <c r="R12" s="256"/>
      <c r="S12" s="256"/>
      <c r="T12" s="256"/>
      <c r="U12" s="256"/>
      <c r="V12" s="256"/>
      <c r="W12" s="256"/>
      <c r="X12" s="256"/>
      <c r="Y12" s="256"/>
      <c r="Z12" s="256"/>
    </row>
    <row r="13">
      <c r="A13" s="275" t="s">
        <v>654</v>
      </c>
      <c r="B13" s="276">
        <f>C7</f>
        <v>0.0751</v>
      </c>
      <c r="C13" s="277">
        <v>0.0</v>
      </c>
      <c r="D13" s="278">
        <f t="shared" si="3"/>
        <v>0.0751</v>
      </c>
      <c r="E13" s="256"/>
      <c r="F13" s="256"/>
      <c r="G13" s="256"/>
      <c r="H13" s="256"/>
      <c r="I13" s="256"/>
      <c r="J13" s="256"/>
      <c r="K13" s="256"/>
      <c r="L13" s="256"/>
      <c r="M13" s="256"/>
      <c r="N13" s="256"/>
      <c r="O13" s="256"/>
      <c r="P13" s="256"/>
      <c r="Q13" s="256"/>
      <c r="R13" s="256"/>
      <c r="S13" s="256"/>
      <c r="T13" s="256"/>
      <c r="U13" s="256"/>
      <c r="V13" s="256"/>
      <c r="W13" s="256"/>
      <c r="X13" s="256"/>
      <c r="Y13" s="256"/>
      <c r="Z13" s="256"/>
    </row>
    <row r="14">
      <c r="A14" s="279"/>
      <c r="B14" s="280">
        <f>SUM(Tactical_2[Modelo])</f>
        <v>1</v>
      </c>
      <c r="C14" s="281">
        <f>SUM(Tactical_2[Corredor +/- 10%])</f>
        <v>0</v>
      </c>
      <c r="D14" s="282">
        <f>SUM(Tactical_2[TAA])</f>
        <v>1</v>
      </c>
      <c r="E14" s="256"/>
      <c r="F14" s="256"/>
      <c r="G14" s="256"/>
      <c r="H14" s="256"/>
      <c r="I14" s="256"/>
      <c r="J14" s="256"/>
      <c r="K14" s="256"/>
      <c r="L14" s="256"/>
      <c r="M14" s="256"/>
      <c r="N14" s="256"/>
      <c r="O14" s="256"/>
      <c r="P14" s="256"/>
      <c r="Q14" s="256"/>
      <c r="R14" s="256"/>
      <c r="S14" s="256"/>
      <c r="T14" s="256"/>
      <c r="U14" s="256"/>
      <c r="V14" s="256"/>
      <c r="W14" s="256"/>
      <c r="X14" s="256"/>
      <c r="Y14" s="256"/>
      <c r="Z14" s="256"/>
    </row>
    <row r="15">
      <c r="A15" s="256"/>
      <c r="B15" s="267"/>
      <c r="C15" s="270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</row>
    <row r="16">
      <c r="A16" s="256"/>
      <c r="B16" s="256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</row>
    <row r="17">
      <c r="A17" s="256"/>
      <c r="B17" s="256"/>
      <c r="C17" s="256"/>
      <c r="D17" s="256"/>
      <c r="E17" s="256"/>
      <c r="F17" s="256"/>
      <c r="G17" s="256"/>
      <c r="H17" s="256"/>
      <c r="I17" s="256"/>
      <c r="J17" s="256"/>
      <c r="K17" s="256"/>
      <c r="L17" s="256"/>
      <c r="M17" s="256"/>
      <c r="N17" s="256"/>
      <c r="O17" s="256"/>
      <c r="P17" s="256"/>
      <c r="Q17" s="256"/>
      <c r="R17" s="256"/>
      <c r="S17" s="256"/>
      <c r="T17" s="256"/>
      <c r="U17" s="256"/>
      <c r="V17" s="256"/>
      <c r="W17" s="256"/>
      <c r="X17" s="256"/>
      <c r="Y17" s="256"/>
      <c r="Z17" s="256"/>
    </row>
    <row r="18">
      <c r="A18" s="248"/>
      <c r="B18" s="283" t="str">
        <f>Ons!B6</f>
        <v>TLCPD</v>
      </c>
      <c r="C18" s="284">
        <f>$D$11*Ons!G6</f>
        <v>0.3208006211</v>
      </c>
      <c r="D18" s="256"/>
      <c r="E18" s="236">
        <f>VLOOKUP(B18,Ons!$B$1:$H$37,2,0)*C18</f>
        <v>0.02808089132</v>
      </c>
      <c r="F18" s="256"/>
      <c r="G18" s="256"/>
      <c r="H18" s="256"/>
      <c r="I18" s="256"/>
      <c r="J18" s="256"/>
      <c r="K18" s="256"/>
      <c r="L18" s="256"/>
      <c r="M18" s="256"/>
      <c r="N18" s="256"/>
      <c r="O18" s="256"/>
      <c r="P18" s="256"/>
      <c r="Q18" s="256"/>
      <c r="R18" s="256"/>
      <c r="S18" s="256"/>
      <c r="T18" s="256"/>
      <c r="U18" s="256"/>
      <c r="V18" s="256"/>
      <c r="W18" s="256"/>
      <c r="X18" s="256"/>
      <c r="Y18" s="256"/>
      <c r="Z18" s="256"/>
    </row>
    <row r="19">
      <c r="A19" s="248"/>
      <c r="B19" s="283" t="str">
        <f>Ons!B7</f>
        <v>BACGD</v>
      </c>
      <c r="C19" s="284">
        <f>$D$11*Ons!G7</f>
        <v>0.5040993789</v>
      </c>
      <c r="D19" s="256"/>
      <c r="E19" s="236">
        <f>VLOOKUP(B19,Ons!$B$1:$H$37,2,0)*C19</f>
        <v>0.03622890854</v>
      </c>
      <c r="F19" s="256"/>
      <c r="G19" s="256"/>
      <c r="H19" s="256"/>
      <c r="I19" s="256"/>
      <c r="J19" s="256"/>
      <c r="K19" s="256"/>
      <c r="L19" s="256"/>
      <c r="M19" s="256"/>
      <c r="N19" s="256"/>
      <c r="O19" s="256"/>
      <c r="P19" s="256"/>
      <c r="Q19" s="256"/>
      <c r="R19" s="256"/>
      <c r="S19" s="256"/>
      <c r="T19" s="256"/>
      <c r="U19" s="256"/>
      <c r="V19" s="256"/>
      <c r="W19" s="256"/>
      <c r="X19" s="256"/>
      <c r="Y19" s="256"/>
      <c r="Z19" s="256"/>
    </row>
    <row r="20">
      <c r="A20" s="248"/>
      <c r="B20" s="283" t="str">
        <f>Ons!B8</f>
        <v/>
      </c>
      <c r="C20" s="284">
        <f>$D$11*Ons!G8</f>
        <v>0</v>
      </c>
      <c r="D20" s="256"/>
      <c r="E20" s="197" t="str">
        <f>VLOOKUP(B20,Ons!$B$1:$H$37,2,0)*C20</f>
        <v>#N/A</v>
      </c>
      <c r="F20" s="256"/>
      <c r="G20" s="257"/>
      <c r="H20" s="256"/>
      <c r="I20" s="256"/>
      <c r="J20" s="256"/>
      <c r="K20" s="256"/>
      <c r="L20" s="256"/>
      <c r="M20" s="256"/>
      <c r="N20" s="256"/>
      <c r="O20" s="256"/>
      <c r="P20" s="256"/>
      <c r="Q20" s="256"/>
      <c r="R20" s="256"/>
      <c r="S20" s="256"/>
      <c r="T20" s="256"/>
      <c r="U20" s="256"/>
      <c r="V20" s="256"/>
      <c r="W20" s="256"/>
      <c r="X20" s="256"/>
      <c r="Y20" s="256"/>
      <c r="Z20" s="256"/>
    </row>
    <row r="21">
      <c r="A21" s="248"/>
      <c r="B21" s="283" t="str">
        <f>Ons!B9</f>
        <v/>
      </c>
      <c r="C21" s="284"/>
      <c r="D21" s="285"/>
      <c r="E21" s="285"/>
      <c r="F21" s="256"/>
      <c r="G21" s="256"/>
      <c r="H21" s="286"/>
      <c r="I21" s="256"/>
      <c r="J21" s="256"/>
      <c r="K21" s="256"/>
      <c r="L21" s="256"/>
      <c r="M21" s="256"/>
      <c r="N21" s="256"/>
      <c r="O21" s="256"/>
      <c r="P21" s="256"/>
      <c r="Q21" s="256"/>
      <c r="R21" s="256"/>
      <c r="S21" s="256"/>
      <c r="T21" s="256"/>
      <c r="U21" s="256"/>
      <c r="V21" s="256"/>
      <c r="W21" s="256"/>
      <c r="X21" s="256"/>
      <c r="Y21" s="256"/>
      <c r="Z21" s="256"/>
    </row>
    <row r="22">
      <c r="A22" s="248"/>
      <c r="B22" s="283" t="str">
        <f>Ons!B10</f>
        <v/>
      </c>
      <c r="C22" s="284"/>
      <c r="D22" s="287"/>
      <c r="E22" s="288"/>
      <c r="F22" s="287"/>
      <c r="G22" s="287"/>
      <c r="H22" s="256"/>
      <c r="I22" s="256"/>
      <c r="J22" s="256"/>
      <c r="K22" s="256"/>
      <c r="L22" s="256"/>
      <c r="M22" s="256"/>
      <c r="N22" s="256"/>
      <c r="O22" s="256"/>
      <c r="P22" s="256"/>
      <c r="Q22" s="256"/>
      <c r="R22" s="256"/>
      <c r="S22" s="256"/>
      <c r="T22" s="256"/>
      <c r="U22" s="256"/>
      <c r="V22" s="256"/>
      <c r="W22" s="256"/>
      <c r="X22" s="256"/>
      <c r="Y22" s="256"/>
      <c r="Z22" s="256"/>
    </row>
    <row r="23">
      <c r="A23" s="248"/>
      <c r="B23" s="283" t="str">
        <f>Ons!B11</f>
        <v/>
      </c>
      <c r="C23" s="284"/>
      <c r="D23" s="287"/>
      <c r="F23" s="287"/>
      <c r="G23" s="287"/>
      <c r="H23" s="256"/>
      <c r="I23" s="256"/>
      <c r="J23" s="256"/>
      <c r="K23" s="256"/>
      <c r="L23" s="256"/>
      <c r="M23" s="256"/>
      <c r="N23" s="256"/>
      <c r="O23" s="256"/>
      <c r="P23" s="256"/>
      <c r="Q23" s="256"/>
      <c r="R23" s="256"/>
      <c r="S23" s="256"/>
      <c r="T23" s="256"/>
      <c r="U23" s="256"/>
      <c r="V23" s="256"/>
      <c r="W23" s="256"/>
      <c r="X23" s="256"/>
      <c r="Y23" s="256"/>
      <c r="Z23" s="256"/>
    </row>
    <row r="24">
      <c r="A24" s="251"/>
      <c r="B24" s="289" t="str">
        <f>Soberanos!B28</f>
        <v>BPO8D</v>
      </c>
      <c r="C24" s="290">
        <f>$D$12*Soberanos!F28</f>
        <v>0.03492124506</v>
      </c>
      <c r="D24" s="287"/>
      <c r="E24" s="5"/>
      <c r="F24" s="287"/>
      <c r="G24" s="287"/>
      <c r="H24" s="256"/>
      <c r="I24" s="256"/>
      <c r="J24" s="256"/>
      <c r="K24" s="256"/>
      <c r="L24" s="256"/>
      <c r="M24" s="256"/>
      <c r="N24" s="256"/>
      <c r="O24" s="256"/>
      <c r="P24" s="256"/>
      <c r="Q24" s="256"/>
      <c r="R24" s="256"/>
      <c r="S24" s="256"/>
      <c r="T24" s="256"/>
      <c r="U24" s="256"/>
      <c r="V24" s="256"/>
      <c r="W24" s="256"/>
      <c r="X24" s="256"/>
      <c r="Y24" s="256"/>
      <c r="Z24" s="256"/>
    </row>
    <row r="25">
      <c r="A25" s="251"/>
      <c r="B25" s="283" t="str">
        <f>Soberanos!B29</f>
        <v>AL30D</v>
      </c>
      <c r="C25" s="290">
        <f>$D$12*Soberanos!F29</f>
        <v>0.04428424033</v>
      </c>
      <c r="D25" s="287"/>
      <c r="E25" s="5"/>
      <c r="F25" s="287"/>
      <c r="G25" s="287"/>
      <c r="H25" s="256"/>
      <c r="I25" s="256"/>
      <c r="J25" s="256"/>
      <c r="K25" s="256"/>
      <c r="L25" s="256"/>
      <c r="M25" s="256"/>
      <c r="N25" s="256"/>
      <c r="O25" s="256"/>
      <c r="P25" s="256"/>
      <c r="Q25" s="256"/>
      <c r="R25" s="256"/>
      <c r="S25" s="256"/>
      <c r="T25" s="256"/>
      <c r="U25" s="256"/>
      <c r="V25" s="256"/>
      <c r="W25" s="256"/>
      <c r="X25" s="256"/>
      <c r="Y25" s="256"/>
      <c r="Z25" s="256"/>
    </row>
    <row r="26">
      <c r="A26" s="251"/>
      <c r="B26" s="283" t="str">
        <f>Soberanos!B30</f>
        <v>AE38D</v>
      </c>
      <c r="C26" s="290">
        <f>$D$12*Soberanos!F30</f>
        <v>0.02079451461</v>
      </c>
      <c r="D26" s="287"/>
      <c r="E26" s="5"/>
      <c r="F26" s="287"/>
      <c r="G26" s="287"/>
      <c r="H26" s="256"/>
      <c r="I26" s="256"/>
      <c r="J26" s="256"/>
      <c r="K26" s="256"/>
      <c r="L26" s="256"/>
      <c r="M26" s="256"/>
      <c r="N26" s="256"/>
      <c r="O26" s="256"/>
      <c r="P26" s="256"/>
      <c r="Q26" s="256"/>
      <c r="R26" s="256"/>
      <c r="S26" s="256"/>
      <c r="T26" s="256"/>
      <c r="U26" s="256"/>
      <c r="V26" s="256"/>
      <c r="W26" s="256"/>
      <c r="X26" s="256"/>
      <c r="Y26" s="256"/>
      <c r="Z26" s="256"/>
    </row>
    <row r="27">
      <c r="A27" s="269"/>
      <c r="B27" s="291" t="s">
        <v>654</v>
      </c>
      <c r="C27" s="292">
        <f>D13</f>
        <v>0.0751</v>
      </c>
      <c r="D27" s="287"/>
      <c r="E27" s="197" t="str">
        <f>SUM(E18:E25)</f>
        <v>#N/A</v>
      </c>
      <c r="F27" s="287"/>
      <c r="G27" s="287"/>
      <c r="H27" s="256"/>
      <c r="I27" s="256"/>
      <c r="J27" s="256"/>
      <c r="K27" s="256"/>
      <c r="L27" s="256"/>
      <c r="M27" s="256"/>
      <c r="N27" s="256"/>
      <c r="O27" s="256"/>
      <c r="P27" s="256"/>
      <c r="Q27" s="256"/>
      <c r="R27" s="256"/>
      <c r="S27" s="256"/>
      <c r="T27" s="256"/>
      <c r="U27" s="256"/>
      <c r="V27" s="256"/>
      <c r="W27" s="256"/>
      <c r="X27" s="256"/>
      <c r="Y27" s="256"/>
      <c r="Z27" s="256"/>
    </row>
    <row r="28">
      <c r="B28" s="256"/>
      <c r="C28" s="286">
        <f>SUM(C18:C27)</f>
        <v>1</v>
      </c>
      <c r="D28" s="287"/>
      <c r="E28" s="288"/>
      <c r="F28" s="287"/>
      <c r="G28" s="287"/>
      <c r="H28" s="256"/>
      <c r="I28" s="256"/>
      <c r="J28" s="256"/>
      <c r="K28" s="256"/>
      <c r="L28" s="256"/>
      <c r="M28" s="256"/>
      <c r="N28" s="256"/>
      <c r="O28" s="256"/>
      <c r="P28" s="256"/>
      <c r="Q28" s="256"/>
      <c r="R28" s="256"/>
      <c r="S28" s="256"/>
      <c r="T28" s="256"/>
      <c r="U28" s="256"/>
      <c r="V28" s="256"/>
      <c r="W28" s="256"/>
      <c r="X28" s="256"/>
      <c r="Y28" s="256"/>
      <c r="Z28" s="256"/>
    </row>
    <row r="29">
      <c r="B29" s="287"/>
      <c r="C29" s="287"/>
      <c r="D29" s="287"/>
      <c r="E29" s="288"/>
      <c r="F29" s="287"/>
      <c r="G29" s="287"/>
      <c r="H29" s="256"/>
      <c r="I29" s="256"/>
      <c r="J29" s="256"/>
      <c r="K29" s="256"/>
      <c r="L29" s="256"/>
      <c r="M29" s="256"/>
      <c r="N29" s="256"/>
      <c r="O29" s="256"/>
      <c r="P29" s="256"/>
      <c r="Q29" s="256"/>
      <c r="R29" s="256"/>
      <c r="S29" s="256"/>
      <c r="T29" s="256"/>
      <c r="U29" s="256"/>
      <c r="V29" s="256"/>
      <c r="W29" s="256"/>
      <c r="X29" s="256"/>
      <c r="Y29" s="256"/>
      <c r="Z29" s="256"/>
    </row>
    <row r="30">
      <c r="A30" s="256"/>
      <c r="B30" s="256"/>
      <c r="C30" s="287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</row>
    <row r="31">
      <c r="A31" s="256"/>
      <c r="B31" s="256"/>
      <c r="C31" s="256"/>
      <c r="D31" s="256"/>
      <c r="E31" s="256"/>
      <c r="F31" s="256"/>
      <c r="G31" s="256"/>
      <c r="H31" s="256"/>
      <c r="I31" s="256"/>
      <c r="J31" s="256"/>
      <c r="K31" s="256"/>
      <c r="L31" s="256"/>
      <c r="M31" s="256"/>
      <c r="N31" s="256"/>
      <c r="O31" s="256"/>
      <c r="P31" s="256"/>
      <c r="Q31" s="256"/>
      <c r="R31" s="256"/>
      <c r="S31" s="256"/>
      <c r="T31" s="256"/>
      <c r="U31" s="256"/>
      <c r="V31" s="256"/>
      <c r="W31" s="256"/>
      <c r="X31" s="256"/>
      <c r="Y31" s="256"/>
      <c r="Z31" s="256"/>
    </row>
    <row r="32">
      <c r="A32" s="256"/>
      <c r="B32" s="256"/>
      <c r="C32" s="256"/>
      <c r="D32" s="256"/>
      <c r="E32" s="256"/>
      <c r="F32" s="256"/>
      <c r="G32" s="256"/>
      <c r="H32" s="256"/>
      <c r="I32" s="256"/>
      <c r="J32" s="256"/>
      <c r="K32" s="256"/>
      <c r="L32" s="256"/>
      <c r="M32" s="256"/>
      <c r="N32" s="256"/>
      <c r="O32" s="256"/>
      <c r="P32" s="256"/>
      <c r="Q32" s="256"/>
      <c r="R32" s="256"/>
      <c r="S32" s="256"/>
      <c r="T32" s="256"/>
      <c r="U32" s="256"/>
      <c r="V32" s="256"/>
      <c r="W32" s="256"/>
      <c r="X32" s="256"/>
      <c r="Y32" s="256"/>
      <c r="Z32" s="256"/>
    </row>
    <row r="33">
      <c r="A33" s="256"/>
      <c r="B33" s="256"/>
      <c r="C33" s="256"/>
      <c r="D33" s="293"/>
      <c r="E33" s="256"/>
      <c r="F33" s="256"/>
      <c r="G33" s="256"/>
      <c r="H33" s="256"/>
      <c r="I33" s="256"/>
      <c r="J33" s="294"/>
      <c r="K33" s="256"/>
      <c r="L33" s="256"/>
      <c r="M33" s="256"/>
      <c r="N33" s="256"/>
      <c r="O33" s="256"/>
      <c r="P33" s="256"/>
      <c r="Q33" s="256"/>
      <c r="R33" s="256"/>
      <c r="S33" s="256"/>
      <c r="T33" s="256"/>
      <c r="U33" s="256"/>
      <c r="V33" s="256"/>
      <c r="W33" s="256"/>
      <c r="X33" s="256"/>
      <c r="Y33" s="256"/>
      <c r="Z33" s="256"/>
    </row>
    <row r="34">
      <c r="A34" s="256"/>
      <c r="B34" s="256"/>
      <c r="C34" s="256"/>
      <c r="D34" s="293"/>
      <c r="E34" s="256"/>
      <c r="F34" s="256"/>
      <c r="G34" s="256"/>
      <c r="H34" s="256"/>
      <c r="I34" s="256"/>
      <c r="J34" s="256"/>
      <c r="K34" s="256"/>
      <c r="L34" s="256"/>
      <c r="M34" s="256"/>
      <c r="N34" s="256"/>
      <c r="O34" s="256"/>
      <c r="P34" s="256"/>
      <c r="Q34" s="256"/>
      <c r="R34" s="256"/>
      <c r="S34" s="256"/>
      <c r="T34" s="256"/>
      <c r="U34" s="256"/>
      <c r="V34" s="256"/>
      <c r="W34" s="256"/>
      <c r="X34" s="256"/>
      <c r="Y34" s="256"/>
      <c r="Z34" s="256"/>
    </row>
    <row r="35">
      <c r="A35" s="256"/>
      <c r="B35" s="256"/>
      <c r="C35" s="256"/>
      <c r="D35" s="293"/>
      <c r="E35" s="256"/>
      <c r="F35" s="256"/>
      <c r="G35" s="256"/>
      <c r="H35" s="256"/>
      <c r="I35" s="256"/>
      <c r="J35" s="294"/>
      <c r="K35" s="256"/>
      <c r="L35" s="256"/>
      <c r="M35" s="256"/>
      <c r="N35" s="256"/>
      <c r="O35" s="256"/>
      <c r="P35" s="256"/>
      <c r="Q35" s="256"/>
      <c r="R35" s="256"/>
      <c r="S35" s="256"/>
      <c r="T35" s="256"/>
      <c r="U35" s="256"/>
      <c r="V35" s="256"/>
      <c r="W35" s="256"/>
      <c r="X35" s="256"/>
      <c r="Y35" s="256"/>
      <c r="Z35" s="256"/>
    </row>
    <row r="36">
      <c r="A36" s="256"/>
      <c r="B36" s="256"/>
      <c r="C36" s="256"/>
      <c r="D36" s="293"/>
      <c r="E36" s="256"/>
      <c r="F36" s="256"/>
      <c r="G36" s="256"/>
      <c r="H36" s="256"/>
      <c r="I36" s="256"/>
      <c r="J36" s="256"/>
      <c r="K36" s="256"/>
      <c r="L36" s="256"/>
      <c r="M36" s="256"/>
      <c r="N36" s="256"/>
      <c r="O36" s="256"/>
      <c r="P36" s="256"/>
      <c r="Q36" s="256"/>
      <c r="R36" s="256"/>
      <c r="S36" s="256"/>
      <c r="T36" s="256"/>
      <c r="U36" s="256"/>
      <c r="V36" s="256"/>
      <c r="W36" s="256"/>
      <c r="X36" s="256"/>
      <c r="Y36" s="256"/>
      <c r="Z36" s="256"/>
    </row>
    <row r="37">
      <c r="A37" s="256"/>
      <c r="B37" s="256"/>
      <c r="C37" s="256"/>
      <c r="D37" s="256"/>
      <c r="E37" s="256"/>
      <c r="F37" s="256"/>
      <c r="G37" s="256"/>
      <c r="H37" s="256"/>
      <c r="I37" s="256"/>
      <c r="J37" s="256"/>
      <c r="K37" s="256"/>
      <c r="L37" s="256"/>
      <c r="M37" s="256"/>
      <c r="N37" s="256"/>
      <c r="O37" s="256"/>
      <c r="P37" s="256"/>
      <c r="Q37" s="256"/>
      <c r="R37" s="256"/>
      <c r="S37" s="256"/>
      <c r="T37" s="256"/>
      <c r="U37" s="256"/>
      <c r="V37" s="256"/>
      <c r="W37" s="256"/>
      <c r="X37" s="256"/>
      <c r="Y37" s="256"/>
      <c r="Z37" s="256"/>
    </row>
    <row r="38">
      <c r="A38" s="256"/>
      <c r="B38" s="256"/>
      <c r="C38" s="256"/>
      <c r="D38" s="256"/>
      <c r="E38" s="295"/>
      <c r="F38" s="256"/>
      <c r="G38" s="256"/>
      <c r="H38" s="256"/>
      <c r="I38" s="256"/>
      <c r="J38" s="256"/>
      <c r="K38" s="288"/>
      <c r="L38" s="296"/>
      <c r="M38" s="256"/>
      <c r="N38" s="256"/>
      <c r="O38" s="256"/>
      <c r="P38" s="256"/>
      <c r="Q38" s="256"/>
      <c r="R38" s="256"/>
      <c r="S38" s="256"/>
      <c r="T38" s="256"/>
      <c r="U38" s="256"/>
      <c r="V38" s="256"/>
      <c r="W38" s="256"/>
      <c r="X38" s="256"/>
      <c r="Y38" s="256"/>
      <c r="Z38" s="256"/>
    </row>
    <row r="39">
      <c r="A39" s="256"/>
      <c r="B39" s="256"/>
      <c r="C39" s="287"/>
      <c r="D39" s="287"/>
      <c r="E39" s="295"/>
      <c r="F39" s="287"/>
      <c r="G39" s="287"/>
      <c r="H39" s="287"/>
      <c r="I39" s="287"/>
      <c r="J39" s="287"/>
      <c r="K39" s="288"/>
      <c r="L39" s="296"/>
      <c r="M39" s="256"/>
      <c r="N39" s="256"/>
      <c r="O39" s="256"/>
      <c r="P39" s="256"/>
      <c r="Q39" s="256"/>
      <c r="R39" s="256"/>
      <c r="S39" s="256"/>
      <c r="T39" s="256"/>
      <c r="U39" s="256"/>
      <c r="V39" s="256"/>
      <c r="W39" s="256"/>
      <c r="X39" s="256"/>
      <c r="Y39" s="256"/>
      <c r="Z39" s="256"/>
    </row>
    <row r="40">
      <c r="A40" s="256"/>
      <c r="B40" s="256"/>
      <c r="C40" s="256"/>
      <c r="D40" s="256"/>
      <c r="E40" s="295"/>
      <c r="F40" s="256"/>
      <c r="G40" s="256"/>
      <c r="H40" s="256"/>
      <c r="I40" s="256"/>
      <c r="J40" s="256"/>
      <c r="K40" s="288"/>
      <c r="L40" s="296"/>
      <c r="M40" s="256"/>
      <c r="N40" s="256"/>
      <c r="O40" s="256"/>
      <c r="P40" s="256"/>
      <c r="Q40" s="256"/>
      <c r="R40" s="256"/>
      <c r="S40" s="256"/>
      <c r="T40" s="256"/>
      <c r="U40" s="256"/>
      <c r="V40" s="256"/>
      <c r="W40" s="256"/>
      <c r="X40" s="256"/>
      <c r="Y40" s="256"/>
      <c r="Z40" s="256"/>
    </row>
    <row r="41">
      <c r="A41" s="256"/>
      <c r="B41" s="256"/>
      <c r="C41" s="256"/>
      <c r="D41" s="256"/>
      <c r="E41" s="295"/>
      <c r="F41" s="256"/>
      <c r="G41" s="256"/>
      <c r="H41" s="256"/>
      <c r="I41" s="256"/>
      <c r="J41" s="256"/>
      <c r="K41" s="288"/>
      <c r="L41" s="296"/>
      <c r="M41" s="256"/>
      <c r="N41" s="256"/>
      <c r="O41" s="256"/>
      <c r="P41" s="256"/>
      <c r="Q41" s="256"/>
      <c r="R41" s="256"/>
      <c r="S41" s="256"/>
      <c r="T41" s="256"/>
      <c r="U41" s="256"/>
      <c r="V41" s="256"/>
      <c r="W41" s="256"/>
      <c r="X41" s="256"/>
      <c r="Y41" s="256"/>
      <c r="Z41" s="256"/>
    </row>
    <row r="42">
      <c r="A42" s="256"/>
      <c r="B42" s="256"/>
      <c r="C42" s="256"/>
      <c r="D42" s="256"/>
      <c r="E42" s="295"/>
      <c r="F42" s="256"/>
      <c r="G42" s="256"/>
      <c r="H42" s="256"/>
      <c r="I42" s="256"/>
      <c r="J42" s="256"/>
      <c r="K42" s="297"/>
      <c r="L42" s="296"/>
      <c r="M42" s="256"/>
      <c r="N42" s="256"/>
      <c r="O42" s="256"/>
      <c r="P42" s="256"/>
      <c r="Q42" s="256"/>
      <c r="R42" s="256"/>
      <c r="S42" s="256"/>
      <c r="T42" s="256"/>
      <c r="U42" s="256"/>
      <c r="V42" s="256"/>
      <c r="W42" s="256"/>
      <c r="X42" s="256"/>
      <c r="Y42" s="256"/>
      <c r="Z42" s="256"/>
    </row>
    <row r="43">
      <c r="A43" s="256"/>
      <c r="B43" s="256"/>
      <c r="C43" s="256"/>
      <c r="D43" s="256"/>
      <c r="E43" s="295"/>
      <c r="F43" s="256"/>
      <c r="G43" s="256"/>
      <c r="H43" s="256"/>
      <c r="I43" s="256"/>
      <c r="J43" s="256"/>
      <c r="K43" s="297"/>
      <c r="L43" s="296"/>
      <c r="M43" s="256"/>
      <c r="N43" s="256"/>
      <c r="O43" s="256"/>
      <c r="P43" s="256"/>
      <c r="Q43" s="256"/>
      <c r="R43" s="256"/>
      <c r="S43" s="256"/>
      <c r="T43" s="256"/>
      <c r="U43" s="256"/>
      <c r="V43" s="256"/>
      <c r="W43" s="256"/>
      <c r="X43" s="256"/>
      <c r="Y43" s="256"/>
      <c r="Z43" s="256"/>
    </row>
    <row r="44">
      <c r="A44" s="256"/>
      <c r="B44" s="256"/>
      <c r="C44" s="256"/>
      <c r="D44" s="256"/>
      <c r="E44" s="295"/>
      <c r="F44" s="256"/>
      <c r="G44" s="256"/>
      <c r="H44" s="256"/>
      <c r="I44" s="256"/>
      <c r="J44" s="256"/>
      <c r="K44" s="297"/>
      <c r="L44" s="296"/>
      <c r="M44" s="256"/>
      <c r="N44" s="256"/>
      <c r="O44" s="256"/>
      <c r="P44" s="256"/>
      <c r="Q44" s="256"/>
      <c r="R44" s="256"/>
      <c r="S44" s="256"/>
      <c r="T44" s="256"/>
      <c r="U44" s="256"/>
      <c r="V44" s="256"/>
      <c r="W44" s="256"/>
      <c r="X44" s="256"/>
      <c r="Y44" s="256"/>
      <c r="Z44" s="256"/>
    </row>
    <row r="45">
      <c r="A45" s="256"/>
      <c r="B45" s="256"/>
      <c r="C45" s="287"/>
      <c r="D45" s="287"/>
      <c r="E45" s="295"/>
      <c r="F45" s="287"/>
      <c r="G45" s="287"/>
      <c r="H45" s="287"/>
      <c r="I45" s="287"/>
      <c r="J45" s="287"/>
      <c r="K45" s="297"/>
      <c r="L45" s="296"/>
      <c r="M45" s="256"/>
      <c r="N45" s="256"/>
      <c r="O45" s="256"/>
      <c r="P45" s="256"/>
      <c r="Q45" s="256"/>
      <c r="R45" s="256"/>
      <c r="S45" s="256"/>
      <c r="T45" s="256"/>
      <c r="U45" s="256"/>
      <c r="V45" s="256"/>
      <c r="W45" s="256"/>
      <c r="X45" s="256"/>
      <c r="Y45" s="256"/>
      <c r="Z45" s="256"/>
    </row>
    <row r="46">
      <c r="A46" s="256"/>
      <c r="B46" s="256"/>
      <c r="C46" s="256"/>
      <c r="D46" s="256"/>
      <c r="E46" s="295"/>
      <c r="F46" s="256"/>
      <c r="G46" s="256"/>
      <c r="H46" s="256"/>
      <c r="I46" s="256"/>
      <c r="J46" s="256"/>
      <c r="K46" s="297"/>
      <c r="L46" s="296"/>
      <c r="M46" s="256"/>
      <c r="N46" s="256"/>
      <c r="O46" s="256"/>
      <c r="P46" s="256"/>
      <c r="Q46" s="256"/>
      <c r="R46" s="256"/>
      <c r="S46" s="256"/>
      <c r="T46" s="256"/>
      <c r="U46" s="256"/>
      <c r="V46" s="256"/>
      <c r="W46" s="256"/>
      <c r="X46" s="256"/>
      <c r="Y46" s="256"/>
      <c r="Z46" s="256"/>
    </row>
    <row r="47">
      <c r="A47" s="256"/>
      <c r="B47" s="256"/>
      <c r="C47" s="256"/>
      <c r="D47" s="256"/>
      <c r="E47" s="295"/>
      <c r="F47" s="256"/>
      <c r="G47" s="256"/>
      <c r="H47" s="256"/>
      <c r="I47" s="256"/>
      <c r="J47" s="256"/>
      <c r="K47" s="297"/>
      <c r="L47" s="296"/>
      <c r="M47" s="256"/>
      <c r="N47" s="256"/>
      <c r="O47" s="256"/>
      <c r="P47" s="256"/>
      <c r="Q47" s="256"/>
      <c r="R47" s="256"/>
      <c r="S47" s="256"/>
      <c r="T47" s="256"/>
      <c r="U47" s="256"/>
      <c r="V47" s="256"/>
      <c r="W47" s="256"/>
      <c r="X47" s="256"/>
      <c r="Y47" s="256"/>
      <c r="Z47" s="256"/>
    </row>
    <row r="48">
      <c r="A48" s="256"/>
      <c r="B48" s="256"/>
      <c r="C48" s="256"/>
      <c r="D48" s="256"/>
      <c r="E48" s="295"/>
      <c r="F48" s="256"/>
      <c r="G48" s="256"/>
      <c r="H48" s="256"/>
      <c r="I48" s="256"/>
      <c r="J48" s="256"/>
      <c r="K48" s="297"/>
      <c r="L48" s="296"/>
      <c r="M48" s="256"/>
      <c r="N48" s="256"/>
      <c r="O48" s="256"/>
      <c r="P48" s="256"/>
      <c r="Q48" s="256"/>
      <c r="R48" s="256"/>
      <c r="S48" s="256"/>
      <c r="T48" s="256"/>
      <c r="U48" s="256"/>
      <c r="V48" s="256"/>
      <c r="W48" s="256"/>
      <c r="X48" s="256"/>
      <c r="Y48" s="256"/>
      <c r="Z48" s="256"/>
    </row>
    <row r="49">
      <c r="A49" s="256"/>
      <c r="B49" s="256"/>
      <c r="C49" s="287"/>
      <c r="D49" s="287"/>
      <c r="E49" s="295"/>
      <c r="F49" s="287"/>
      <c r="G49" s="287"/>
      <c r="H49" s="287"/>
      <c r="I49" s="287"/>
      <c r="J49" s="287"/>
      <c r="K49" s="297"/>
      <c r="L49" s="296"/>
      <c r="M49" s="256"/>
      <c r="N49" s="256"/>
      <c r="O49" s="256"/>
      <c r="P49" s="256"/>
      <c r="Q49" s="256"/>
      <c r="R49" s="256"/>
      <c r="S49" s="256"/>
      <c r="T49" s="256"/>
      <c r="U49" s="256"/>
      <c r="V49" s="256"/>
      <c r="W49" s="256"/>
      <c r="X49" s="256"/>
      <c r="Y49" s="256"/>
      <c r="Z49" s="256"/>
    </row>
    <row r="50">
      <c r="A50" s="256"/>
      <c r="B50" s="256"/>
      <c r="C50" s="287"/>
      <c r="D50" s="287"/>
      <c r="E50" s="295"/>
      <c r="F50" s="287"/>
      <c r="G50" s="287"/>
      <c r="H50" s="287"/>
      <c r="I50" s="287"/>
      <c r="J50" s="287"/>
      <c r="K50" s="297"/>
      <c r="L50" s="296"/>
      <c r="M50" s="256"/>
      <c r="N50" s="256"/>
      <c r="O50" s="256"/>
      <c r="P50" s="256"/>
      <c r="Q50" s="256"/>
      <c r="R50" s="256"/>
      <c r="S50" s="256"/>
      <c r="T50" s="256"/>
      <c r="U50" s="256"/>
      <c r="V50" s="256"/>
      <c r="W50" s="256"/>
      <c r="X50" s="256"/>
      <c r="Y50" s="256"/>
      <c r="Z50" s="256"/>
    </row>
    <row r="51">
      <c r="A51" s="256"/>
      <c r="B51" s="256"/>
      <c r="C51" s="256"/>
      <c r="D51" s="256"/>
      <c r="E51" s="295"/>
      <c r="F51" s="256"/>
      <c r="G51" s="256"/>
      <c r="H51" s="256"/>
      <c r="I51" s="256"/>
      <c r="J51" s="256"/>
      <c r="K51" s="297"/>
      <c r="L51" s="296"/>
      <c r="M51" s="256"/>
      <c r="N51" s="256"/>
      <c r="O51" s="256"/>
      <c r="P51" s="256"/>
      <c r="Q51" s="256"/>
      <c r="R51" s="256"/>
      <c r="S51" s="256"/>
      <c r="T51" s="256"/>
      <c r="U51" s="256"/>
      <c r="V51" s="256"/>
      <c r="W51" s="256"/>
      <c r="X51" s="256"/>
      <c r="Y51" s="256"/>
      <c r="Z51" s="256"/>
    </row>
    <row r="52">
      <c r="A52" s="256"/>
      <c r="B52" s="256"/>
      <c r="C52" s="287"/>
      <c r="D52" s="287"/>
      <c r="E52" s="295"/>
      <c r="F52" s="287"/>
      <c r="G52" s="287"/>
      <c r="H52" s="287"/>
      <c r="I52" s="287"/>
      <c r="J52" s="287"/>
      <c r="K52" s="297"/>
      <c r="L52" s="296"/>
      <c r="M52" s="256"/>
      <c r="N52" s="256"/>
      <c r="O52" s="256"/>
      <c r="P52" s="256"/>
      <c r="Q52" s="256"/>
      <c r="R52" s="256"/>
      <c r="S52" s="256"/>
      <c r="T52" s="256"/>
      <c r="U52" s="256"/>
      <c r="V52" s="256"/>
      <c r="W52" s="256"/>
      <c r="X52" s="256"/>
      <c r="Y52" s="256"/>
      <c r="Z52" s="256"/>
    </row>
    <row r="53">
      <c r="A53" s="256"/>
      <c r="B53" s="256"/>
      <c r="C53" s="287"/>
      <c r="D53" s="287"/>
      <c r="E53" s="295"/>
      <c r="F53" s="287"/>
      <c r="G53" s="287"/>
      <c r="H53" s="287"/>
      <c r="I53" s="287"/>
      <c r="J53" s="287"/>
      <c r="K53" s="297"/>
      <c r="L53" s="296"/>
      <c r="M53" s="256"/>
      <c r="N53" s="256"/>
      <c r="O53" s="256"/>
      <c r="P53" s="256"/>
      <c r="Q53" s="256"/>
      <c r="R53" s="256"/>
      <c r="S53" s="256"/>
      <c r="T53" s="256"/>
      <c r="U53" s="256"/>
      <c r="V53" s="256"/>
      <c r="W53" s="256"/>
      <c r="X53" s="256"/>
      <c r="Y53" s="256"/>
      <c r="Z53" s="256"/>
    </row>
    <row r="54">
      <c r="A54" s="256"/>
      <c r="B54" s="256"/>
      <c r="C54" s="256"/>
      <c r="D54" s="256"/>
      <c r="E54" s="295"/>
      <c r="F54" s="256"/>
      <c r="G54" s="256"/>
      <c r="H54" s="256"/>
      <c r="I54" s="256"/>
      <c r="J54" s="256"/>
      <c r="K54" s="297"/>
      <c r="L54" s="296"/>
      <c r="M54" s="256"/>
      <c r="N54" s="256"/>
      <c r="O54" s="256"/>
      <c r="P54" s="256"/>
      <c r="Q54" s="256"/>
      <c r="R54" s="256"/>
      <c r="S54" s="256"/>
      <c r="T54" s="256"/>
      <c r="U54" s="256"/>
      <c r="V54" s="256"/>
      <c r="W54" s="256"/>
      <c r="X54" s="256"/>
      <c r="Y54" s="256"/>
      <c r="Z54" s="256"/>
    </row>
    <row r="55">
      <c r="A55" s="256"/>
      <c r="B55" s="256"/>
      <c r="C55" s="287"/>
      <c r="D55" s="287"/>
      <c r="E55" s="295"/>
      <c r="F55" s="287"/>
      <c r="G55" s="287"/>
      <c r="H55" s="287"/>
      <c r="I55" s="287"/>
      <c r="J55" s="287"/>
      <c r="K55" s="297"/>
      <c r="L55" s="296"/>
      <c r="M55" s="256"/>
      <c r="N55" s="256"/>
      <c r="O55" s="256"/>
      <c r="P55" s="256"/>
      <c r="Q55" s="256"/>
      <c r="R55" s="256"/>
      <c r="S55" s="256"/>
      <c r="T55" s="256"/>
      <c r="U55" s="256"/>
      <c r="V55" s="256"/>
      <c r="W55" s="256"/>
      <c r="X55" s="256"/>
      <c r="Y55" s="256"/>
      <c r="Z55" s="256"/>
    </row>
    <row r="56">
      <c r="A56" s="256"/>
      <c r="B56" s="256"/>
      <c r="C56" s="256"/>
      <c r="D56" s="256"/>
      <c r="E56" s="295"/>
      <c r="F56" s="256"/>
      <c r="G56" s="256"/>
      <c r="H56" s="256"/>
      <c r="I56" s="256"/>
      <c r="J56" s="256"/>
      <c r="K56" s="297"/>
      <c r="L56" s="296"/>
      <c r="M56" s="256"/>
      <c r="N56" s="256"/>
      <c r="O56" s="256"/>
      <c r="P56" s="256"/>
      <c r="Q56" s="256"/>
      <c r="R56" s="256"/>
      <c r="S56" s="256"/>
      <c r="T56" s="256"/>
      <c r="U56" s="256"/>
      <c r="V56" s="256"/>
      <c r="W56" s="256"/>
      <c r="X56" s="256"/>
      <c r="Y56" s="256"/>
      <c r="Z56" s="256"/>
    </row>
    <row r="57">
      <c r="A57" s="256"/>
      <c r="B57" s="256"/>
      <c r="C57" s="256"/>
      <c r="D57" s="256"/>
      <c r="E57" s="295"/>
      <c r="F57" s="256"/>
      <c r="G57" s="256"/>
      <c r="H57" s="256"/>
      <c r="I57" s="256"/>
      <c r="J57" s="256"/>
      <c r="K57" s="297"/>
      <c r="L57" s="296"/>
      <c r="M57" s="256"/>
      <c r="N57" s="256"/>
      <c r="O57" s="256"/>
      <c r="P57" s="256"/>
      <c r="Q57" s="256"/>
      <c r="R57" s="256"/>
      <c r="S57" s="256"/>
      <c r="T57" s="256"/>
      <c r="U57" s="256"/>
      <c r="V57" s="256"/>
      <c r="W57" s="256"/>
      <c r="X57" s="256"/>
      <c r="Y57" s="256"/>
      <c r="Z57" s="256"/>
    </row>
    <row r="58">
      <c r="A58" s="256"/>
      <c r="B58" s="256"/>
      <c r="C58" s="256"/>
      <c r="D58" s="256"/>
      <c r="E58" s="295"/>
      <c r="F58" s="256"/>
      <c r="G58" s="256"/>
      <c r="H58" s="256"/>
      <c r="I58" s="256"/>
      <c r="J58" s="256"/>
      <c r="K58" s="297"/>
      <c r="L58" s="296"/>
      <c r="M58" s="256"/>
      <c r="N58" s="256"/>
      <c r="O58" s="256"/>
      <c r="P58" s="256"/>
      <c r="Q58" s="256"/>
      <c r="R58" s="256"/>
      <c r="S58" s="256"/>
      <c r="T58" s="256"/>
      <c r="U58" s="256"/>
      <c r="V58" s="256"/>
      <c r="W58" s="256"/>
      <c r="X58" s="256"/>
      <c r="Y58" s="256"/>
      <c r="Z58" s="256"/>
    </row>
    <row r="59">
      <c r="A59" s="256"/>
      <c r="B59" s="256"/>
      <c r="C59" s="287"/>
      <c r="D59" s="287"/>
      <c r="E59" s="295"/>
      <c r="F59" s="287"/>
      <c r="G59" s="287"/>
      <c r="H59" s="287"/>
      <c r="I59" s="287"/>
      <c r="J59" s="287"/>
      <c r="K59" s="297"/>
      <c r="L59" s="296"/>
      <c r="M59" s="256"/>
      <c r="N59" s="256"/>
      <c r="O59" s="256"/>
      <c r="P59" s="256"/>
      <c r="Q59" s="256"/>
      <c r="R59" s="256"/>
      <c r="S59" s="256"/>
      <c r="T59" s="256"/>
      <c r="U59" s="256"/>
      <c r="V59" s="256"/>
      <c r="W59" s="256"/>
      <c r="X59" s="256"/>
      <c r="Y59" s="256"/>
      <c r="Z59" s="256"/>
    </row>
    <row r="60">
      <c r="A60" s="256"/>
      <c r="B60" s="256"/>
      <c r="C60" s="256"/>
      <c r="D60" s="256"/>
      <c r="E60" s="256"/>
      <c r="F60" s="256"/>
      <c r="G60" s="256"/>
      <c r="H60" s="256"/>
      <c r="I60" s="256"/>
      <c r="J60" s="256"/>
      <c r="K60" s="256"/>
      <c r="L60" s="256"/>
      <c r="M60" s="256"/>
      <c r="N60" s="256"/>
      <c r="O60" s="256"/>
      <c r="P60" s="256"/>
      <c r="Q60" s="256"/>
      <c r="R60" s="256"/>
      <c r="S60" s="256"/>
      <c r="T60" s="256"/>
      <c r="U60" s="256"/>
      <c r="V60" s="256"/>
      <c r="W60" s="256"/>
      <c r="X60" s="256"/>
      <c r="Y60" s="256"/>
      <c r="Z60" s="256"/>
    </row>
    <row r="61">
      <c r="A61" s="256"/>
      <c r="B61" s="256"/>
      <c r="C61" s="256"/>
      <c r="D61" s="256"/>
      <c r="E61" s="256"/>
      <c r="F61" s="256"/>
      <c r="G61" s="256"/>
      <c r="H61" s="256"/>
      <c r="I61" s="256"/>
      <c r="J61" s="256"/>
      <c r="K61" s="256"/>
      <c r="L61" s="256"/>
      <c r="M61" s="256"/>
      <c r="N61" s="256"/>
      <c r="O61" s="256"/>
      <c r="P61" s="256"/>
      <c r="Q61" s="256"/>
      <c r="R61" s="256"/>
      <c r="S61" s="256"/>
      <c r="T61" s="256"/>
      <c r="U61" s="256"/>
      <c r="V61" s="256"/>
      <c r="W61" s="256"/>
      <c r="X61" s="256"/>
      <c r="Y61" s="256"/>
      <c r="Z61" s="256"/>
    </row>
    <row r="62">
      <c r="A62" s="256"/>
      <c r="B62" s="256"/>
      <c r="C62" s="256"/>
      <c r="D62" s="256"/>
      <c r="E62" s="256"/>
      <c r="F62" s="256"/>
      <c r="G62" s="256"/>
      <c r="H62" s="256"/>
      <c r="I62" s="256"/>
      <c r="J62" s="256"/>
      <c r="K62" s="256"/>
      <c r="L62" s="256"/>
      <c r="M62" s="256"/>
      <c r="N62" s="256"/>
      <c r="O62" s="256"/>
      <c r="P62" s="256"/>
      <c r="Q62" s="256"/>
      <c r="R62" s="256"/>
      <c r="S62" s="256"/>
      <c r="T62" s="256"/>
      <c r="U62" s="256"/>
      <c r="V62" s="256"/>
      <c r="W62" s="256"/>
      <c r="X62" s="256"/>
      <c r="Y62" s="256"/>
      <c r="Z62" s="256"/>
    </row>
    <row r="63">
      <c r="A63" s="256"/>
      <c r="B63" s="256"/>
      <c r="C63" s="256"/>
      <c r="D63" s="256"/>
      <c r="E63" s="256"/>
      <c r="F63" s="256"/>
      <c r="G63" s="256"/>
      <c r="H63" s="256"/>
      <c r="I63" s="256"/>
      <c r="J63" s="256"/>
      <c r="K63" s="256"/>
      <c r="L63" s="256"/>
      <c r="M63" s="256"/>
      <c r="N63" s="256"/>
      <c r="O63" s="256"/>
      <c r="P63" s="256"/>
      <c r="Q63" s="256"/>
      <c r="R63" s="256"/>
      <c r="S63" s="256"/>
      <c r="T63" s="256"/>
      <c r="U63" s="256"/>
      <c r="V63" s="256"/>
      <c r="W63" s="256"/>
      <c r="X63" s="256"/>
      <c r="Y63" s="256"/>
      <c r="Z63" s="256"/>
    </row>
    <row r="64">
      <c r="A64" s="256"/>
      <c r="B64" s="256"/>
      <c r="C64" s="256"/>
      <c r="D64" s="256"/>
      <c r="E64" s="256"/>
      <c r="F64" s="256"/>
      <c r="G64" s="256"/>
      <c r="H64" s="256"/>
      <c r="I64" s="256"/>
      <c r="J64" s="256"/>
      <c r="K64" s="256"/>
      <c r="L64" s="256"/>
      <c r="M64" s="256"/>
      <c r="N64" s="256"/>
      <c r="O64" s="256"/>
      <c r="P64" s="256"/>
      <c r="Q64" s="256"/>
      <c r="R64" s="256"/>
      <c r="S64" s="256"/>
      <c r="T64" s="256"/>
      <c r="U64" s="256"/>
      <c r="V64" s="256"/>
      <c r="W64" s="256"/>
      <c r="X64" s="256"/>
      <c r="Y64" s="256"/>
      <c r="Z64" s="256"/>
    </row>
    <row r="65">
      <c r="A65" s="256"/>
      <c r="B65" s="256"/>
      <c r="C65" s="256"/>
      <c r="D65" s="256"/>
      <c r="E65" s="256"/>
      <c r="F65" s="256"/>
      <c r="G65" s="256"/>
      <c r="H65" s="256"/>
      <c r="I65" s="256"/>
      <c r="J65" s="256"/>
      <c r="K65" s="256"/>
      <c r="L65" s="256"/>
      <c r="M65" s="256"/>
      <c r="N65" s="256"/>
      <c r="O65" s="256"/>
      <c r="P65" s="256"/>
      <c r="Q65" s="256"/>
      <c r="R65" s="256"/>
      <c r="S65" s="256"/>
      <c r="T65" s="256"/>
      <c r="U65" s="256"/>
      <c r="V65" s="256"/>
      <c r="W65" s="256"/>
      <c r="X65" s="256"/>
      <c r="Y65" s="256"/>
      <c r="Z65" s="256"/>
    </row>
    <row r="66">
      <c r="A66" s="256"/>
      <c r="B66" s="256"/>
      <c r="C66" s="256"/>
      <c r="D66" s="256"/>
      <c r="E66" s="256"/>
      <c r="F66" s="256"/>
      <c r="G66" s="256"/>
      <c r="H66" s="256"/>
      <c r="I66" s="256"/>
      <c r="J66" s="256"/>
      <c r="K66" s="256"/>
      <c r="L66" s="256"/>
      <c r="M66" s="256"/>
      <c r="N66" s="256"/>
      <c r="O66" s="256"/>
      <c r="P66" s="256"/>
      <c r="Q66" s="256"/>
      <c r="R66" s="256"/>
      <c r="S66" s="256"/>
      <c r="T66" s="256"/>
      <c r="U66" s="256"/>
      <c r="V66" s="256"/>
      <c r="W66" s="256"/>
      <c r="X66" s="256"/>
      <c r="Y66" s="256"/>
      <c r="Z66" s="256"/>
    </row>
    <row r="67">
      <c r="A67" s="256"/>
      <c r="B67" s="256"/>
      <c r="C67" s="256"/>
      <c r="D67" s="256"/>
      <c r="E67" s="256"/>
      <c r="F67" s="256"/>
      <c r="G67" s="256"/>
      <c r="H67" s="256"/>
      <c r="I67" s="256"/>
      <c r="J67" s="256"/>
      <c r="K67" s="256"/>
      <c r="L67" s="256"/>
      <c r="M67" s="256"/>
      <c r="N67" s="256"/>
      <c r="O67" s="256"/>
      <c r="P67" s="256"/>
      <c r="Q67" s="256"/>
      <c r="R67" s="256"/>
      <c r="S67" s="256"/>
      <c r="T67" s="256"/>
      <c r="U67" s="256"/>
      <c r="V67" s="256"/>
      <c r="W67" s="256"/>
      <c r="X67" s="256"/>
      <c r="Y67" s="256"/>
      <c r="Z67" s="256"/>
    </row>
    <row r="68">
      <c r="A68" s="256"/>
      <c r="B68" s="256"/>
      <c r="C68" s="256"/>
      <c r="D68" s="256"/>
      <c r="E68" s="256"/>
      <c r="F68" s="256"/>
      <c r="G68" s="256"/>
      <c r="H68" s="256"/>
      <c r="I68" s="256"/>
      <c r="J68" s="256"/>
      <c r="K68" s="256"/>
      <c r="L68" s="256"/>
      <c r="M68" s="256"/>
      <c r="N68" s="256"/>
      <c r="O68" s="256"/>
      <c r="P68" s="256"/>
      <c r="Q68" s="256"/>
      <c r="R68" s="256"/>
      <c r="S68" s="256"/>
      <c r="T68" s="256"/>
      <c r="U68" s="256"/>
      <c r="V68" s="256"/>
      <c r="W68" s="256"/>
      <c r="X68" s="256"/>
      <c r="Y68" s="256"/>
      <c r="Z68" s="256"/>
    </row>
    <row r="69">
      <c r="A69" s="256"/>
      <c r="B69" s="256"/>
      <c r="C69" s="256"/>
      <c r="D69" s="256"/>
      <c r="E69" s="256"/>
      <c r="F69" s="256"/>
      <c r="G69" s="256"/>
      <c r="H69" s="256"/>
      <c r="I69" s="256"/>
      <c r="J69" s="256"/>
      <c r="K69" s="256"/>
      <c r="L69" s="256"/>
      <c r="M69" s="256"/>
      <c r="N69" s="256"/>
      <c r="O69" s="256"/>
      <c r="P69" s="256"/>
      <c r="Q69" s="256"/>
      <c r="R69" s="256"/>
      <c r="S69" s="256"/>
      <c r="T69" s="256"/>
      <c r="U69" s="256"/>
      <c r="V69" s="256"/>
      <c r="W69" s="256"/>
      <c r="X69" s="256"/>
      <c r="Y69" s="256"/>
      <c r="Z69" s="256"/>
    </row>
    <row r="70">
      <c r="A70" s="256"/>
      <c r="B70" s="256"/>
      <c r="C70" s="256"/>
      <c r="D70" s="256"/>
      <c r="E70" s="256"/>
      <c r="F70" s="256"/>
      <c r="G70" s="256"/>
      <c r="H70" s="256"/>
      <c r="I70" s="256"/>
      <c r="J70" s="256"/>
      <c r="K70" s="256"/>
      <c r="L70" s="256"/>
      <c r="M70" s="256"/>
      <c r="N70" s="256"/>
      <c r="O70" s="256"/>
      <c r="P70" s="256"/>
      <c r="Q70" s="256"/>
      <c r="R70" s="256"/>
      <c r="S70" s="256"/>
      <c r="T70" s="256"/>
      <c r="U70" s="256"/>
      <c r="V70" s="256"/>
      <c r="W70" s="256"/>
      <c r="X70" s="256"/>
      <c r="Y70" s="256"/>
      <c r="Z70" s="256"/>
    </row>
    <row r="71">
      <c r="A71" s="256"/>
      <c r="B71" s="256"/>
      <c r="C71" s="256"/>
      <c r="D71" s="256"/>
      <c r="E71" s="256"/>
      <c r="F71" s="256"/>
      <c r="G71" s="256"/>
      <c r="H71" s="256"/>
      <c r="I71" s="256"/>
      <c r="J71" s="256"/>
      <c r="K71" s="256"/>
      <c r="L71" s="256"/>
      <c r="M71" s="256"/>
      <c r="N71" s="256"/>
      <c r="O71" s="256"/>
      <c r="P71" s="256"/>
      <c r="Q71" s="256"/>
      <c r="R71" s="256"/>
      <c r="S71" s="256"/>
      <c r="T71" s="256"/>
      <c r="U71" s="256"/>
      <c r="V71" s="256"/>
      <c r="W71" s="256"/>
      <c r="X71" s="256"/>
      <c r="Y71" s="256"/>
      <c r="Z71" s="256"/>
    </row>
    <row r="72">
      <c r="A72" s="256"/>
      <c r="B72" s="256"/>
      <c r="C72" s="256"/>
      <c r="D72" s="256"/>
      <c r="E72" s="256"/>
      <c r="F72" s="256"/>
      <c r="G72" s="256"/>
      <c r="H72" s="256"/>
      <c r="I72" s="256"/>
      <c r="J72" s="256"/>
      <c r="K72" s="256"/>
      <c r="L72" s="256"/>
      <c r="M72" s="256"/>
      <c r="N72" s="256"/>
      <c r="O72" s="256"/>
      <c r="P72" s="256"/>
      <c r="Q72" s="256"/>
      <c r="R72" s="256"/>
      <c r="S72" s="256"/>
      <c r="T72" s="256"/>
      <c r="U72" s="256"/>
      <c r="V72" s="256"/>
      <c r="W72" s="256"/>
      <c r="X72" s="256"/>
      <c r="Y72" s="256"/>
      <c r="Z72" s="256"/>
    </row>
    <row r="73">
      <c r="A73" s="256"/>
      <c r="B73" s="256"/>
      <c r="C73" s="256"/>
      <c r="D73" s="256"/>
      <c r="E73" s="256"/>
      <c r="F73" s="256"/>
      <c r="G73" s="256"/>
      <c r="H73" s="256"/>
      <c r="I73" s="256"/>
      <c r="J73" s="256"/>
      <c r="K73" s="256"/>
      <c r="L73" s="256"/>
      <c r="M73" s="256"/>
      <c r="N73" s="256"/>
      <c r="O73" s="256"/>
      <c r="P73" s="256"/>
      <c r="Q73" s="256"/>
      <c r="R73" s="256"/>
      <c r="S73" s="256"/>
      <c r="T73" s="256"/>
      <c r="U73" s="256"/>
      <c r="V73" s="256"/>
      <c r="W73" s="256"/>
      <c r="X73" s="256"/>
      <c r="Y73" s="256"/>
      <c r="Z73" s="256"/>
    </row>
    <row r="74">
      <c r="A74" s="256"/>
      <c r="B74" s="256"/>
      <c r="C74" s="256"/>
      <c r="D74" s="256"/>
      <c r="E74" s="256"/>
      <c r="F74" s="256"/>
      <c r="G74" s="256"/>
      <c r="H74" s="256"/>
      <c r="I74" s="256"/>
      <c r="J74" s="256"/>
      <c r="K74" s="256"/>
      <c r="L74" s="256"/>
      <c r="M74" s="256"/>
      <c r="N74" s="256"/>
      <c r="O74" s="256"/>
      <c r="P74" s="256"/>
      <c r="Q74" s="256"/>
      <c r="R74" s="256"/>
      <c r="S74" s="256"/>
      <c r="T74" s="256"/>
      <c r="U74" s="256"/>
      <c r="V74" s="256"/>
      <c r="W74" s="256"/>
      <c r="X74" s="256"/>
      <c r="Y74" s="256"/>
      <c r="Z74" s="256"/>
    </row>
    <row r="75">
      <c r="A75" s="256"/>
      <c r="B75" s="256"/>
      <c r="C75" s="256"/>
      <c r="D75" s="256"/>
      <c r="E75" s="256"/>
      <c r="F75" s="256"/>
      <c r="G75" s="256"/>
      <c r="H75" s="256"/>
      <c r="I75" s="256"/>
      <c r="J75" s="256"/>
      <c r="K75" s="256"/>
      <c r="L75" s="256"/>
      <c r="M75" s="256"/>
      <c r="N75" s="256"/>
      <c r="O75" s="256"/>
      <c r="P75" s="256"/>
      <c r="Q75" s="256"/>
      <c r="R75" s="256"/>
      <c r="S75" s="256"/>
      <c r="T75" s="256"/>
      <c r="U75" s="256"/>
      <c r="V75" s="256"/>
      <c r="W75" s="256"/>
      <c r="X75" s="256"/>
      <c r="Y75" s="256"/>
      <c r="Z75" s="256"/>
    </row>
    <row r="76">
      <c r="A76" s="256"/>
      <c r="B76" s="256"/>
      <c r="C76" s="256"/>
      <c r="D76" s="256"/>
      <c r="E76" s="256"/>
      <c r="F76" s="256"/>
      <c r="G76" s="256"/>
      <c r="H76" s="256"/>
      <c r="I76" s="256"/>
      <c r="J76" s="256"/>
      <c r="K76" s="256"/>
      <c r="L76" s="256"/>
      <c r="M76" s="256"/>
      <c r="N76" s="256"/>
      <c r="O76" s="256"/>
      <c r="P76" s="256"/>
      <c r="Q76" s="256"/>
      <c r="R76" s="256"/>
      <c r="S76" s="256"/>
      <c r="T76" s="256"/>
      <c r="U76" s="256"/>
      <c r="V76" s="256"/>
      <c r="W76" s="256"/>
      <c r="X76" s="256"/>
      <c r="Y76" s="256"/>
      <c r="Z76" s="256"/>
    </row>
    <row r="77">
      <c r="A77" s="256"/>
      <c r="B77" s="256"/>
      <c r="C77" s="256"/>
      <c r="D77" s="256"/>
      <c r="E77" s="256"/>
      <c r="F77" s="256"/>
      <c r="G77" s="256"/>
      <c r="H77" s="256"/>
      <c r="I77" s="256"/>
      <c r="J77" s="256"/>
      <c r="K77" s="256"/>
      <c r="L77" s="256"/>
      <c r="M77" s="256"/>
      <c r="N77" s="256"/>
      <c r="O77" s="256"/>
      <c r="P77" s="256"/>
      <c r="Q77" s="256"/>
      <c r="R77" s="256"/>
      <c r="S77" s="256"/>
      <c r="T77" s="256"/>
      <c r="U77" s="256"/>
      <c r="V77" s="256"/>
      <c r="W77" s="256"/>
      <c r="X77" s="256"/>
      <c r="Y77" s="256"/>
      <c r="Z77" s="256"/>
    </row>
    <row r="78">
      <c r="A78" s="256"/>
      <c r="B78" s="256"/>
      <c r="C78" s="256"/>
      <c r="D78" s="256"/>
      <c r="E78" s="256"/>
      <c r="F78" s="256"/>
      <c r="G78" s="256"/>
      <c r="H78" s="256"/>
      <c r="I78" s="256"/>
      <c r="J78" s="256"/>
      <c r="K78" s="256"/>
      <c r="L78" s="256"/>
      <c r="M78" s="256"/>
      <c r="N78" s="256"/>
      <c r="O78" s="256"/>
      <c r="P78" s="256"/>
      <c r="Q78" s="256"/>
      <c r="R78" s="256"/>
      <c r="S78" s="256"/>
      <c r="T78" s="256"/>
      <c r="U78" s="256"/>
      <c r="V78" s="256"/>
      <c r="W78" s="256"/>
      <c r="X78" s="256"/>
      <c r="Y78" s="256"/>
      <c r="Z78" s="256"/>
    </row>
    <row r="79">
      <c r="A79" s="256"/>
      <c r="B79" s="256"/>
      <c r="C79" s="256"/>
      <c r="D79" s="256"/>
      <c r="E79" s="256"/>
      <c r="F79" s="256"/>
      <c r="G79" s="256"/>
      <c r="H79" s="256"/>
      <c r="I79" s="256"/>
      <c r="J79" s="256"/>
      <c r="K79" s="256"/>
      <c r="L79" s="256"/>
      <c r="M79" s="256"/>
      <c r="N79" s="256"/>
      <c r="O79" s="256"/>
      <c r="P79" s="256"/>
      <c r="Q79" s="256"/>
      <c r="R79" s="256"/>
      <c r="S79" s="256"/>
      <c r="T79" s="256"/>
      <c r="U79" s="256"/>
      <c r="V79" s="256"/>
      <c r="W79" s="256"/>
      <c r="X79" s="256"/>
      <c r="Y79" s="256"/>
      <c r="Z79" s="256"/>
    </row>
    <row r="80">
      <c r="A80" s="256"/>
      <c r="B80" s="256"/>
      <c r="C80" s="256"/>
      <c r="D80" s="256"/>
      <c r="E80" s="256"/>
      <c r="F80" s="256"/>
      <c r="G80" s="256"/>
      <c r="H80" s="256"/>
      <c r="I80" s="256"/>
      <c r="J80" s="256"/>
      <c r="K80" s="256"/>
      <c r="L80" s="256"/>
      <c r="M80" s="256"/>
      <c r="N80" s="256"/>
      <c r="O80" s="256"/>
      <c r="P80" s="256"/>
      <c r="Q80" s="256"/>
      <c r="R80" s="256"/>
      <c r="S80" s="256"/>
      <c r="T80" s="256"/>
      <c r="U80" s="256"/>
      <c r="V80" s="256"/>
      <c r="W80" s="256"/>
      <c r="X80" s="256"/>
      <c r="Y80" s="256"/>
      <c r="Z80" s="256"/>
    </row>
    <row r="81">
      <c r="A81" s="256"/>
      <c r="B81" s="256"/>
      <c r="C81" s="256"/>
      <c r="D81" s="256"/>
      <c r="E81" s="256"/>
      <c r="F81" s="256"/>
      <c r="G81" s="256"/>
      <c r="H81" s="256"/>
      <c r="I81" s="256"/>
      <c r="J81" s="256"/>
      <c r="K81" s="256"/>
      <c r="L81" s="256"/>
      <c r="M81" s="256"/>
      <c r="N81" s="256"/>
      <c r="O81" s="256"/>
      <c r="P81" s="256"/>
      <c r="Q81" s="256"/>
      <c r="R81" s="256"/>
      <c r="S81" s="256"/>
      <c r="T81" s="256"/>
      <c r="U81" s="256"/>
      <c r="V81" s="256"/>
      <c r="W81" s="256"/>
      <c r="X81" s="256"/>
      <c r="Y81" s="256"/>
      <c r="Z81" s="256"/>
    </row>
    <row r="82">
      <c r="A82" s="256"/>
      <c r="B82" s="256"/>
      <c r="C82" s="256"/>
      <c r="D82" s="256"/>
      <c r="E82" s="256"/>
      <c r="F82" s="256"/>
      <c r="G82" s="256"/>
      <c r="H82" s="256"/>
      <c r="I82" s="256"/>
      <c r="J82" s="256"/>
      <c r="K82" s="256"/>
      <c r="L82" s="256"/>
      <c r="M82" s="256"/>
      <c r="N82" s="256"/>
      <c r="O82" s="256"/>
      <c r="P82" s="256"/>
      <c r="Q82" s="256"/>
      <c r="R82" s="256"/>
      <c r="S82" s="256"/>
      <c r="T82" s="256"/>
      <c r="U82" s="256"/>
      <c r="V82" s="256"/>
      <c r="W82" s="256"/>
      <c r="X82" s="256"/>
      <c r="Y82" s="256"/>
      <c r="Z82" s="256"/>
    </row>
    <row r="83">
      <c r="A83" s="256"/>
      <c r="B83" s="256"/>
      <c r="C83" s="256"/>
      <c r="D83" s="256"/>
      <c r="E83" s="256"/>
      <c r="F83" s="256"/>
      <c r="G83" s="256"/>
      <c r="H83" s="256"/>
      <c r="I83" s="256"/>
      <c r="J83" s="256"/>
      <c r="K83" s="256"/>
      <c r="L83" s="256"/>
      <c r="M83" s="256"/>
      <c r="N83" s="256"/>
      <c r="O83" s="256"/>
      <c r="P83" s="256"/>
      <c r="Q83" s="256"/>
      <c r="R83" s="256"/>
      <c r="S83" s="256"/>
      <c r="T83" s="256"/>
      <c r="U83" s="256"/>
      <c r="V83" s="256"/>
      <c r="W83" s="256"/>
      <c r="X83" s="256"/>
      <c r="Y83" s="256"/>
      <c r="Z83" s="256"/>
    </row>
    <row r="84">
      <c r="A84" s="256"/>
      <c r="B84" s="256"/>
      <c r="C84" s="256"/>
      <c r="D84" s="256"/>
      <c r="E84" s="256"/>
      <c r="F84" s="256"/>
      <c r="G84" s="256"/>
      <c r="H84" s="256"/>
      <c r="I84" s="256"/>
      <c r="J84" s="256"/>
      <c r="K84" s="256"/>
      <c r="L84" s="256"/>
      <c r="M84" s="256"/>
      <c r="N84" s="256"/>
      <c r="O84" s="256"/>
      <c r="P84" s="256"/>
      <c r="Q84" s="256"/>
      <c r="R84" s="256"/>
      <c r="S84" s="256"/>
      <c r="T84" s="256"/>
      <c r="U84" s="256"/>
      <c r="V84" s="256"/>
      <c r="W84" s="256"/>
      <c r="X84" s="256"/>
      <c r="Y84" s="256"/>
      <c r="Z84" s="256"/>
    </row>
    <row r="85">
      <c r="A85" s="256"/>
      <c r="B85" s="256"/>
      <c r="C85" s="256"/>
      <c r="D85" s="256"/>
      <c r="E85" s="256"/>
      <c r="F85" s="256"/>
      <c r="G85" s="256"/>
      <c r="H85" s="256"/>
      <c r="I85" s="256"/>
      <c r="J85" s="256"/>
      <c r="K85" s="256"/>
      <c r="L85" s="256"/>
      <c r="M85" s="256"/>
      <c r="N85" s="256"/>
      <c r="O85" s="256"/>
      <c r="P85" s="256"/>
      <c r="Q85" s="256"/>
      <c r="R85" s="256"/>
      <c r="S85" s="256"/>
      <c r="T85" s="256"/>
      <c r="U85" s="256"/>
      <c r="V85" s="256"/>
      <c r="W85" s="256"/>
      <c r="X85" s="256"/>
      <c r="Y85" s="256"/>
      <c r="Z85" s="256"/>
    </row>
    <row r="86">
      <c r="A86" s="256"/>
      <c r="B86" s="256"/>
      <c r="C86" s="256"/>
      <c r="D86" s="256"/>
      <c r="E86" s="256"/>
      <c r="F86" s="256"/>
      <c r="G86" s="256"/>
      <c r="H86" s="256"/>
      <c r="I86" s="256"/>
      <c r="J86" s="256"/>
      <c r="K86" s="256"/>
      <c r="L86" s="256"/>
      <c r="M86" s="256"/>
      <c r="N86" s="256"/>
      <c r="O86" s="256"/>
      <c r="P86" s="256"/>
      <c r="Q86" s="256"/>
      <c r="R86" s="256"/>
      <c r="S86" s="256"/>
      <c r="T86" s="256"/>
      <c r="U86" s="256"/>
      <c r="V86" s="256"/>
      <c r="W86" s="256"/>
      <c r="X86" s="256"/>
      <c r="Y86" s="256"/>
      <c r="Z86" s="256"/>
    </row>
    <row r="87">
      <c r="A87" s="256"/>
      <c r="B87" s="256"/>
      <c r="C87" s="256"/>
      <c r="D87" s="256"/>
      <c r="E87" s="256"/>
      <c r="F87" s="256"/>
      <c r="G87" s="256"/>
      <c r="H87" s="256"/>
      <c r="I87" s="256"/>
      <c r="J87" s="256"/>
      <c r="K87" s="256"/>
      <c r="L87" s="256"/>
      <c r="M87" s="256"/>
      <c r="N87" s="256"/>
      <c r="O87" s="256"/>
      <c r="P87" s="256"/>
      <c r="Q87" s="256"/>
      <c r="R87" s="256"/>
      <c r="S87" s="256"/>
      <c r="T87" s="256"/>
      <c r="U87" s="256"/>
      <c r="V87" s="256"/>
      <c r="W87" s="256"/>
      <c r="X87" s="256"/>
      <c r="Y87" s="256"/>
      <c r="Z87" s="256"/>
    </row>
    <row r="88">
      <c r="A88" s="256"/>
      <c r="B88" s="256"/>
      <c r="C88" s="256"/>
      <c r="D88" s="256"/>
      <c r="E88" s="256"/>
      <c r="F88" s="256"/>
      <c r="G88" s="256"/>
      <c r="H88" s="256"/>
      <c r="I88" s="256"/>
      <c r="J88" s="256"/>
      <c r="K88" s="256"/>
      <c r="L88" s="256"/>
      <c r="M88" s="256"/>
      <c r="N88" s="256"/>
      <c r="O88" s="256"/>
      <c r="P88" s="256"/>
      <c r="Q88" s="256"/>
      <c r="R88" s="256"/>
      <c r="S88" s="256"/>
      <c r="T88" s="256"/>
      <c r="U88" s="256"/>
      <c r="V88" s="256"/>
      <c r="W88" s="256"/>
      <c r="X88" s="256"/>
      <c r="Y88" s="256"/>
      <c r="Z88" s="256"/>
    </row>
    <row r="89">
      <c r="A89" s="256"/>
      <c r="B89" s="256"/>
      <c r="C89" s="256"/>
      <c r="D89" s="256"/>
      <c r="E89" s="256"/>
      <c r="F89" s="256"/>
      <c r="G89" s="256"/>
      <c r="H89" s="256"/>
      <c r="I89" s="256"/>
      <c r="J89" s="256"/>
      <c r="K89" s="256"/>
      <c r="L89" s="256"/>
      <c r="M89" s="256"/>
      <c r="N89" s="256"/>
      <c r="O89" s="256"/>
      <c r="P89" s="256"/>
      <c r="Q89" s="256"/>
      <c r="R89" s="256"/>
      <c r="S89" s="256"/>
      <c r="T89" s="256"/>
      <c r="U89" s="256"/>
      <c r="V89" s="256"/>
      <c r="W89" s="256"/>
      <c r="X89" s="256"/>
      <c r="Y89" s="256"/>
      <c r="Z89" s="256"/>
    </row>
    <row r="90">
      <c r="A90" s="256"/>
      <c r="B90" s="256"/>
      <c r="C90" s="256"/>
      <c r="D90" s="256"/>
      <c r="E90" s="256"/>
      <c r="F90" s="256"/>
      <c r="G90" s="256"/>
      <c r="H90" s="256"/>
      <c r="I90" s="256"/>
      <c r="J90" s="256"/>
      <c r="K90" s="256"/>
      <c r="L90" s="256"/>
      <c r="M90" s="256"/>
      <c r="N90" s="256"/>
      <c r="O90" s="256"/>
      <c r="P90" s="256"/>
      <c r="Q90" s="256"/>
      <c r="R90" s="256"/>
      <c r="S90" s="256"/>
      <c r="T90" s="256"/>
      <c r="U90" s="256"/>
      <c r="V90" s="256"/>
      <c r="W90" s="256"/>
      <c r="X90" s="256"/>
      <c r="Y90" s="256"/>
      <c r="Z90" s="256"/>
    </row>
    <row r="91">
      <c r="A91" s="256"/>
      <c r="B91" s="256"/>
      <c r="C91" s="256"/>
      <c r="D91" s="256"/>
      <c r="E91" s="256"/>
      <c r="F91" s="256"/>
      <c r="G91" s="256"/>
      <c r="H91" s="256"/>
      <c r="I91" s="256"/>
      <c r="J91" s="256"/>
      <c r="K91" s="256"/>
      <c r="L91" s="256"/>
      <c r="M91" s="256"/>
      <c r="N91" s="256"/>
      <c r="O91" s="256"/>
      <c r="P91" s="256"/>
      <c r="Q91" s="256"/>
      <c r="R91" s="256"/>
      <c r="S91" s="256"/>
      <c r="T91" s="256"/>
      <c r="U91" s="256"/>
      <c r="V91" s="256"/>
      <c r="W91" s="256"/>
      <c r="X91" s="256"/>
      <c r="Y91" s="256"/>
      <c r="Z91" s="256"/>
    </row>
    <row r="92">
      <c r="A92" s="256"/>
      <c r="B92" s="256"/>
      <c r="C92" s="256"/>
      <c r="D92" s="256"/>
      <c r="E92" s="256"/>
      <c r="F92" s="256"/>
      <c r="G92" s="256"/>
      <c r="H92" s="256"/>
      <c r="I92" s="256"/>
      <c r="J92" s="256"/>
      <c r="K92" s="256"/>
      <c r="L92" s="256"/>
      <c r="M92" s="256"/>
      <c r="N92" s="256"/>
      <c r="O92" s="256"/>
      <c r="P92" s="256"/>
      <c r="Q92" s="256"/>
      <c r="R92" s="256"/>
      <c r="S92" s="256"/>
      <c r="T92" s="256"/>
      <c r="U92" s="256"/>
      <c r="V92" s="256"/>
      <c r="W92" s="256"/>
      <c r="X92" s="256"/>
      <c r="Y92" s="256"/>
      <c r="Z92" s="256"/>
    </row>
    <row r="93">
      <c r="A93" s="256"/>
      <c r="B93" s="256"/>
      <c r="C93" s="256"/>
      <c r="D93" s="256"/>
      <c r="E93" s="256"/>
      <c r="F93" s="256"/>
      <c r="G93" s="256"/>
      <c r="H93" s="256"/>
      <c r="I93" s="256"/>
      <c r="J93" s="256"/>
      <c r="K93" s="256"/>
      <c r="L93" s="256"/>
      <c r="M93" s="256"/>
      <c r="N93" s="256"/>
      <c r="O93" s="256"/>
      <c r="P93" s="256"/>
      <c r="Q93" s="256"/>
      <c r="R93" s="256"/>
      <c r="S93" s="256"/>
      <c r="T93" s="256"/>
      <c r="U93" s="256"/>
      <c r="V93" s="256"/>
      <c r="W93" s="256"/>
      <c r="X93" s="256"/>
      <c r="Y93" s="256"/>
      <c r="Z93" s="256"/>
    </row>
    <row r="94">
      <c r="A94" s="256"/>
      <c r="B94" s="256"/>
      <c r="C94" s="256"/>
      <c r="D94" s="256"/>
      <c r="E94" s="256"/>
      <c r="F94" s="256"/>
      <c r="G94" s="256"/>
      <c r="H94" s="256"/>
      <c r="I94" s="256"/>
      <c r="J94" s="256"/>
      <c r="K94" s="256"/>
      <c r="L94" s="256"/>
      <c r="M94" s="256"/>
      <c r="N94" s="256"/>
      <c r="O94" s="256"/>
      <c r="P94" s="256"/>
      <c r="Q94" s="256"/>
      <c r="R94" s="256"/>
      <c r="S94" s="256"/>
      <c r="T94" s="256"/>
      <c r="U94" s="256"/>
      <c r="V94" s="256"/>
      <c r="W94" s="256"/>
      <c r="X94" s="256"/>
      <c r="Y94" s="256"/>
      <c r="Z94" s="256"/>
    </row>
    <row r="95">
      <c r="A95" s="256"/>
      <c r="B95" s="256"/>
      <c r="C95" s="256"/>
      <c r="D95" s="256"/>
      <c r="E95" s="256"/>
      <c r="F95" s="256"/>
      <c r="G95" s="256"/>
      <c r="H95" s="256"/>
      <c r="I95" s="256"/>
      <c r="J95" s="256"/>
      <c r="K95" s="256"/>
      <c r="L95" s="256"/>
      <c r="M95" s="256"/>
      <c r="N95" s="256"/>
      <c r="O95" s="256"/>
      <c r="P95" s="256"/>
      <c r="Q95" s="256"/>
      <c r="R95" s="256"/>
      <c r="S95" s="256"/>
      <c r="T95" s="256"/>
      <c r="U95" s="256"/>
      <c r="V95" s="256"/>
      <c r="W95" s="256"/>
      <c r="X95" s="256"/>
      <c r="Y95" s="256"/>
      <c r="Z95" s="256"/>
    </row>
    <row r="96">
      <c r="A96" s="256"/>
      <c r="B96" s="256"/>
      <c r="C96" s="256"/>
      <c r="D96" s="256"/>
      <c r="E96" s="256"/>
      <c r="F96" s="256"/>
      <c r="G96" s="256"/>
      <c r="H96" s="256"/>
      <c r="I96" s="256"/>
      <c r="J96" s="256"/>
      <c r="K96" s="256"/>
      <c r="L96" s="256"/>
      <c r="M96" s="256"/>
      <c r="N96" s="256"/>
      <c r="O96" s="256"/>
      <c r="P96" s="256"/>
      <c r="Q96" s="256"/>
      <c r="R96" s="256"/>
      <c r="S96" s="256"/>
      <c r="T96" s="256"/>
      <c r="U96" s="256"/>
      <c r="V96" s="256"/>
      <c r="W96" s="256"/>
      <c r="X96" s="256"/>
      <c r="Y96" s="256"/>
      <c r="Z96" s="256"/>
    </row>
    <row r="97">
      <c r="A97" s="256"/>
      <c r="B97" s="256"/>
      <c r="C97" s="256"/>
      <c r="D97" s="256"/>
      <c r="E97" s="256"/>
      <c r="F97" s="256"/>
      <c r="G97" s="256"/>
      <c r="H97" s="256"/>
      <c r="I97" s="256"/>
      <c r="J97" s="256"/>
      <c r="K97" s="256"/>
      <c r="L97" s="256"/>
      <c r="M97" s="256"/>
      <c r="N97" s="256"/>
      <c r="O97" s="256"/>
      <c r="P97" s="256"/>
      <c r="Q97" s="256"/>
      <c r="R97" s="256"/>
      <c r="S97" s="256"/>
      <c r="T97" s="256"/>
      <c r="U97" s="256"/>
      <c r="V97" s="256"/>
      <c r="W97" s="256"/>
      <c r="X97" s="256"/>
      <c r="Y97" s="256"/>
      <c r="Z97" s="256"/>
    </row>
    <row r="98">
      <c r="A98" s="256"/>
      <c r="B98" s="256"/>
      <c r="C98" s="256"/>
      <c r="D98" s="256"/>
      <c r="E98" s="256"/>
      <c r="F98" s="256"/>
      <c r="G98" s="256"/>
      <c r="H98" s="256"/>
      <c r="I98" s="256"/>
      <c r="J98" s="256"/>
      <c r="K98" s="256"/>
      <c r="L98" s="256"/>
      <c r="M98" s="256"/>
      <c r="N98" s="256"/>
      <c r="O98" s="256"/>
      <c r="P98" s="256"/>
      <c r="Q98" s="256"/>
      <c r="R98" s="256"/>
      <c r="S98" s="256"/>
      <c r="T98" s="256"/>
      <c r="U98" s="256"/>
      <c r="V98" s="256"/>
      <c r="W98" s="256"/>
      <c r="X98" s="256"/>
      <c r="Y98" s="256"/>
      <c r="Z98" s="256"/>
    </row>
    <row r="99">
      <c r="A99" s="256"/>
      <c r="B99" s="256"/>
      <c r="C99" s="256"/>
      <c r="D99" s="256"/>
      <c r="E99" s="256"/>
      <c r="F99" s="256"/>
      <c r="G99" s="256"/>
      <c r="H99" s="256"/>
      <c r="I99" s="256"/>
      <c r="J99" s="256"/>
      <c r="K99" s="256"/>
      <c r="L99" s="256"/>
      <c r="M99" s="256"/>
      <c r="N99" s="256"/>
      <c r="O99" s="256"/>
      <c r="P99" s="256"/>
      <c r="Q99" s="256"/>
      <c r="R99" s="256"/>
      <c r="S99" s="256"/>
      <c r="T99" s="256"/>
      <c r="U99" s="256"/>
      <c r="V99" s="256"/>
      <c r="W99" s="256"/>
      <c r="X99" s="256"/>
      <c r="Y99" s="256"/>
      <c r="Z99" s="256"/>
    </row>
    <row r="100">
      <c r="A100" s="256"/>
      <c r="B100" s="256"/>
      <c r="C100" s="256"/>
      <c r="D100" s="256"/>
      <c r="E100" s="256"/>
      <c r="F100" s="256"/>
      <c r="G100" s="256"/>
      <c r="H100" s="256"/>
      <c r="I100" s="256"/>
      <c r="J100" s="256"/>
      <c r="K100" s="256"/>
      <c r="L100" s="256"/>
      <c r="M100" s="256"/>
      <c r="N100" s="256"/>
      <c r="O100" s="256"/>
      <c r="P100" s="256"/>
      <c r="Q100" s="256"/>
      <c r="R100" s="256"/>
      <c r="S100" s="256"/>
      <c r="T100" s="256"/>
      <c r="U100" s="256"/>
      <c r="V100" s="256"/>
      <c r="W100" s="256"/>
      <c r="X100" s="256"/>
      <c r="Y100" s="256"/>
      <c r="Z100" s="256"/>
    </row>
    <row r="101">
      <c r="A101" s="256"/>
      <c r="B101" s="256"/>
      <c r="C101" s="256"/>
      <c r="D101" s="256"/>
      <c r="E101" s="256"/>
      <c r="F101" s="256"/>
      <c r="G101" s="256"/>
      <c r="H101" s="256"/>
      <c r="I101" s="256"/>
      <c r="J101" s="256"/>
      <c r="K101" s="256"/>
      <c r="L101" s="256"/>
      <c r="M101" s="256"/>
      <c r="N101" s="256"/>
      <c r="O101" s="256"/>
      <c r="P101" s="256"/>
      <c r="Q101" s="256"/>
      <c r="R101" s="256"/>
      <c r="S101" s="256"/>
      <c r="T101" s="256"/>
      <c r="U101" s="256"/>
      <c r="V101" s="256"/>
      <c r="W101" s="256"/>
      <c r="X101" s="256"/>
      <c r="Y101" s="256"/>
      <c r="Z101" s="256"/>
    </row>
    <row r="102">
      <c r="A102" s="256"/>
      <c r="B102" s="256"/>
      <c r="C102" s="256"/>
      <c r="D102" s="256"/>
      <c r="E102" s="256"/>
      <c r="F102" s="256"/>
      <c r="G102" s="256"/>
      <c r="H102" s="256"/>
      <c r="I102" s="256"/>
      <c r="J102" s="256"/>
      <c r="K102" s="256"/>
      <c r="L102" s="256"/>
      <c r="M102" s="256"/>
      <c r="N102" s="256"/>
      <c r="O102" s="256"/>
      <c r="P102" s="256"/>
      <c r="Q102" s="256"/>
      <c r="R102" s="256"/>
      <c r="S102" s="256"/>
      <c r="T102" s="256"/>
      <c r="U102" s="256"/>
      <c r="V102" s="256"/>
      <c r="W102" s="256"/>
      <c r="X102" s="256"/>
      <c r="Y102" s="256"/>
      <c r="Z102" s="256"/>
    </row>
    <row r="103">
      <c r="A103" s="256"/>
      <c r="B103" s="256"/>
      <c r="C103" s="256"/>
      <c r="D103" s="256"/>
      <c r="E103" s="256"/>
      <c r="F103" s="256"/>
      <c r="G103" s="256"/>
      <c r="H103" s="256"/>
      <c r="I103" s="256"/>
      <c r="J103" s="256"/>
      <c r="K103" s="256"/>
      <c r="L103" s="256"/>
      <c r="M103" s="256"/>
      <c r="N103" s="256"/>
      <c r="O103" s="256"/>
      <c r="P103" s="256"/>
      <c r="Q103" s="256"/>
      <c r="R103" s="256"/>
      <c r="S103" s="256"/>
      <c r="T103" s="256"/>
      <c r="U103" s="256"/>
      <c r="V103" s="256"/>
      <c r="W103" s="256"/>
      <c r="X103" s="256"/>
      <c r="Y103" s="256"/>
      <c r="Z103" s="256"/>
    </row>
    <row r="104">
      <c r="A104" s="256"/>
      <c r="B104" s="256"/>
      <c r="C104" s="256"/>
      <c r="D104" s="256"/>
      <c r="E104" s="256"/>
      <c r="F104" s="256"/>
      <c r="G104" s="256"/>
      <c r="H104" s="256"/>
      <c r="I104" s="256"/>
      <c r="J104" s="256"/>
      <c r="K104" s="256"/>
      <c r="L104" s="256"/>
      <c r="M104" s="256"/>
      <c r="N104" s="256"/>
      <c r="O104" s="256"/>
      <c r="P104" s="256"/>
      <c r="Q104" s="256"/>
      <c r="R104" s="256"/>
      <c r="S104" s="256"/>
      <c r="T104" s="256"/>
      <c r="U104" s="256"/>
      <c r="V104" s="256"/>
      <c r="W104" s="256"/>
      <c r="X104" s="256"/>
      <c r="Y104" s="256"/>
      <c r="Z104" s="256"/>
    </row>
    <row r="105">
      <c r="A105" s="256"/>
      <c r="B105" s="256"/>
      <c r="C105" s="256"/>
      <c r="D105" s="256"/>
      <c r="E105" s="256"/>
      <c r="F105" s="256"/>
      <c r="G105" s="256"/>
      <c r="H105" s="256"/>
      <c r="I105" s="256"/>
      <c r="J105" s="256"/>
      <c r="K105" s="256"/>
      <c r="L105" s="256"/>
      <c r="M105" s="256"/>
      <c r="N105" s="256"/>
      <c r="O105" s="256"/>
      <c r="P105" s="256"/>
      <c r="Q105" s="256"/>
      <c r="R105" s="256"/>
      <c r="S105" s="256"/>
      <c r="T105" s="256"/>
      <c r="U105" s="256"/>
      <c r="V105" s="256"/>
      <c r="W105" s="256"/>
      <c r="X105" s="256"/>
      <c r="Y105" s="256"/>
      <c r="Z105" s="256"/>
    </row>
    <row r="106">
      <c r="A106" s="256"/>
      <c r="B106" s="256"/>
      <c r="C106" s="256"/>
      <c r="D106" s="256"/>
      <c r="E106" s="256"/>
      <c r="F106" s="256"/>
      <c r="G106" s="256"/>
      <c r="H106" s="256"/>
      <c r="I106" s="256"/>
      <c r="J106" s="256"/>
      <c r="K106" s="256"/>
      <c r="L106" s="256"/>
      <c r="M106" s="256"/>
      <c r="N106" s="256"/>
      <c r="O106" s="256"/>
      <c r="P106" s="256"/>
      <c r="Q106" s="256"/>
      <c r="R106" s="256"/>
      <c r="S106" s="256"/>
      <c r="T106" s="256"/>
      <c r="U106" s="256"/>
      <c r="V106" s="256"/>
      <c r="W106" s="256"/>
      <c r="X106" s="256"/>
      <c r="Y106" s="256"/>
      <c r="Z106" s="256"/>
    </row>
    <row r="107">
      <c r="A107" s="256"/>
      <c r="B107" s="256"/>
      <c r="C107" s="256"/>
      <c r="D107" s="256"/>
      <c r="E107" s="256"/>
      <c r="F107" s="256"/>
      <c r="G107" s="256"/>
      <c r="H107" s="256"/>
      <c r="I107" s="256"/>
      <c r="J107" s="256"/>
      <c r="K107" s="256"/>
      <c r="L107" s="256"/>
      <c r="M107" s="256"/>
      <c r="N107" s="256"/>
      <c r="O107" s="256"/>
      <c r="P107" s="256"/>
      <c r="Q107" s="256"/>
      <c r="R107" s="256"/>
      <c r="S107" s="256"/>
      <c r="T107" s="256"/>
      <c r="U107" s="256"/>
      <c r="V107" s="256"/>
      <c r="W107" s="256"/>
      <c r="X107" s="256"/>
      <c r="Y107" s="256"/>
      <c r="Z107" s="256"/>
    </row>
    <row r="108">
      <c r="A108" s="256"/>
      <c r="B108" s="256"/>
      <c r="C108" s="256"/>
      <c r="D108" s="256"/>
      <c r="E108" s="256"/>
      <c r="F108" s="256"/>
      <c r="G108" s="256"/>
      <c r="H108" s="256"/>
      <c r="I108" s="256"/>
      <c r="J108" s="256"/>
      <c r="K108" s="256"/>
      <c r="L108" s="256"/>
      <c r="M108" s="256"/>
      <c r="N108" s="256"/>
      <c r="O108" s="256"/>
      <c r="P108" s="256"/>
      <c r="Q108" s="256"/>
      <c r="R108" s="256"/>
      <c r="S108" s="256"/>
      <c r="T108" s="256"/>
      <c r="U108" s="256"/>
      <c r="V108" s="256"/>
      <c r="W108" s="256"/>
      <c r="X108" s="256"/>
      <c r="Y108" s="256"/>
      <c r="Z108" s="256"/>
    </row>
    <row r="109">
      <c r="A109" s="256"/>
      <c r="B109" s="256"/>
      <c r="C109" s="256"/>
      <c r="D109" s="256"/>
      <c r="E109" s="256"/>
      <c r="F109" s="256"/>
      <c r="G109" s="256"/>
      <c r="H109" s="256"/>
      <c r="I109" s="256"/>
      <c r="J109" s="256"/>
      <c r="K109" s="256"/>
      <c r="L109" s="256"/>
      <c r="M109" s="256"/>
      <c r="N109" s="256"/>
      <c r="O109" s="256"/>
      <c r="P109" s="256"/>
      <c r="Q109" s="256"/>
      <c r="R109" s="256"/>
      <c r="S109" s="256"/>
      <c r="T109" s="256"/>
      <c r="U109" s="256"/>
      <c r="V109" s="256"/>
      <c r="W109" s="256"/>
      <c r="X109" s="256"/>
      <c r="Y109" s="256"/>
      <c r="Z109" s="256"/>
    </row>
    <row r="110">
      <c r="A110" s="256"/>
      <c r="B110" s="256"/>
      <c r="C110" s="256"/>
      <c r="D110" s="256"/>
      <c r="E110" s="256"/>
      <c r="F110" s="256"/>
      <c r="G110" s="256"/>
      <c r="H110" s="256"/>
      <c r="I110" s="256"/>
      <c r="J110" s="256"/>
      <c r="K110" s="256"/>
      <c r="L110" s="256"/>
      <c r="M110" s="256"/>
      <c r="N110" s="256"/>
      <c r="O110" s="256"/>
      <c r="P110" s="256"/>
      <c r="Q110" s="256"/>
      <c r="R110" s="256"/>
      <c r="S110" s="256"/>
      <c r="T110" s="256"/>
      <c r="U110" s="256"/>
      <c r="V110" s="256"/>
      <c r="W110" s="256"/>
      <c r="X110" s="256"/>
      <c r="Y110" s="256"/>
      <c r="Z110" s="256"/>
    </row>
    <row r="111">
      <c r="A111" s="256"/>
      <c r="B111" s="256"/>
      <c r="C111" s="256"/>
      <c r="D111" s="256"/>
      <c r="E111" s="256"/>
      <c r="F111" s="256"/>
      <c r="G111" s="256"/>
      <c r="H111" s="256"/>
      <c r="I111" s="256"/>
      <c r="J111" s="256"/>
      <c r="K111" s="256"/>
      <c r="L111" s="256"/>
      <c r="M111" s="256"/>
      <c r="N111" s="256"/>
      <c r="O111" s="256"/>
      <c r="P111" s="256"/>
      <c r="Q111" s="256"/>
      <c r="R111" s="256"/>
      <c r="S111" s="256"/>
      <c r="T111" s="256"/>
      <c r="U111" s="256"/>
      <c r="V111" s="256"/>
      <c r="W111" s="256"/>
      <c r="X111" s="256"/>
      <c r="Y111" s="256"/>
      <c r="Z111" s="256"/>
    </row>
    <row r="112">
      <c r="A112" s="256"/>
      <c r="B112" s="256"/>
      <c r="C112" s="256"/>
      <c r="D112" s="256"/>
      <c r="E112" s="256"/>
      <c r="F112" s="256"/>
      <c r="G112" s="256"/>
      <c r="H112" s="256"/>
      <c r="I112" s="256"/>
      <c r="J112" s="256"/>
      <c r="K112" s="256"/>
      <c r="L112" s="256"/>
      <c r="M112" s="256"/>
      <c r="N112" s="256"/>
      <c r="O112" s="256"/>
      <c r="P112" s="256"/>
      <c r="Q112" s="256"/>
      <c r="R112" s="256"/>
      <c r="S112" s="256"/>
      <c r="T112" s="256"/>
      <c r="U112" s="256"/>
      <c r="V112" s="256"/>
      <c r="W112" s="256"/>
      <c r="X112" s="256"/>
      <c r="Y112" s="256"/>
      <c r="Z112" s="256"/>
    </row>
    <row r="113">
      <c r="A113" s="256"/>
      <c r="B113" s="256"/>
      <c r="C113" s="256"/>
      <c r="D113" s="256"/>
      <c r="E113" s="256"/>
      <c r="F113" s="256"/>
      <c r="G113" s="256"/>
      <c r="H113" s="256"/>
      <c r="I113" s="256"/>
      <c r="J113" s="256"/>
      <c r="K113" s="256"/>
      <c r="L113" s="256"/>
      <c r="M113" s="256"/>
      <c r="N113" s="256"/>
      <c r="O113" s="256"/>
      <c r="P113" s="256"/>
      <c r="Q113" s="256"/>
      <c r="R113" s="256"/>
      <c r="S113" s="256"/>
      <c r="T113" s="256"/>
      <c r="U113" s="256"/>
      <c r="V113" s="256"/>
      <c r="W113" s="256"/>
      <c r="X113" s="256"/>
      <c r="Y113" s="256"/>
      <c r="Z113" s="256"/>
    </row>
    <row r="114">
      <c r="A114" s="256"/>
      <c r="B114" s="256"/>
      <c r="C114" s="256"/>
      <c r="D114" s="256"/>
      <c r="E114" s="256"/>
      <c r="F114" s="256"/>
      <c r="G114" s="256"/>
      <c r="H114" s="256"/>
      <c r="I114" s="256"/>
      <c r="J114" s="256"/>
      <c r="K114" s="256"/>
      <c r="L114" s="256"/>
      <c r="M114" s="256"/>
      <c r="N114" s="256"/>
      <c r="O114" s="256"/>
      <c r="P114" s="256"/>
      <c r="Q114" s="256"/>
      <c r="R114" s="256"/>
      <c r="S114" s="256"/>
      <c r="T114" s="256"/>
      <c r="U114" s="256"/>
      <c r="V114" s="256"/>
      <c r="W114" s="256"/>
      <c r="X114" s="256"/>
      <c r="Y114" s="256"/>
      <c r="Z114" s="256"/>
    </row>
    <row r="115">
      <c r="A115" s="256"/>
      <c r="B115" s="256"/>
      <c r="C115" s="256"/>
      <c r="D115" s="256"/>
      <c r="E115" s="256"/>
      <c r="F115" s="256"/>
      <c r="G115" s="256"/>
      <c r="H115" s="256"/>
      <c r="I115" s="256"/>
      <c r="J115" s="256"/>
      <c r="K115" s="256"/>
      <c r="L115" s="256"/>
      <c r="M115" s="256"/>
      <c r="N115" s="256"/>
      <c r="O115" s="256"/>
      <c r="P115" s="256"/>
      <c r="Q115" s="256"/>
      <c r="R115" s="256"/>
      <c r="S115" s="256"/>
      <c r="T115" s="256"/>
      <c r="U115" s="256"/>
      <c r="V115" s="256"/>
      <c r="W115" s="256"/>
      <c r="X115" s="256"/>
      <c r="Y115" s="256"/>
      <c r="Z115" s="256"/>
    </row>
    <row r="116">
      <c r="A116" s="256"/>
      <c r="B116" s="256"/>
      <c r="C116" s="256"/>
      <c r="D116" s="256"/>
      <c r="E116" s="256"/>
      <c r="F116" s="256"/>
      <c r="G116" s="256"/>
      <c r="H116" s="256"/>
      <c r="I116" s="256"/>
      <c r="J116" s="256"/>
      <c r="K116" s="256"/>
      <c r="L116" s="256"/>
      <c r="M116" s="256"/>
      <c r="N116" s="256"/>
      <c r="O116" s="256"/>
      <c r="P116" s="256"/>
      <c r="Q116" s="256"/>
      <c r="R116" s="256"/>
      <c r="S116" s="256"/>
      <c r="T116" s="256"/>
      <c r="U116" s="256"/>
      <c r="V116" s="256"/>
      <c r="W116" s="256"/>
      <c r="X116" s="256"/>
      <c r="Y116" s="256"/>
      <c r="Z116" s="256"/>
    </row>
    <row r="117">
      <c r="A117" s="256"/>
      <c r="B117" s="256"/>
      <c r="C117" s="256"/>
      <c r="D117" s="256"/>
      <c r="E117" s="256"/>
      <c r="F117" s="256"/>
      <c r="G117" s="256"/>
      <c r="H117" s="256"/>
      <c r="I117" s="256"/>
      <c r="J117" s="256"/>
      <c r="K117" s="256"/>
      <c r="L117" s="256"/>
      <c r="M117" s="256"/>
      <c r="N117" s="256"/>
      <c r="O117" s="256"/>
      <c r="P117" s="256"/>
      <c r="Q117" s="256"/>
      <c r="R117" s="256"/>
      <c r="S117" s="256"/>
      <c r="T117" s="256"/>
      <c r="U117" s="256"/>
      <c r="V117" s="256"/>
      <c r="W117" s="256"/>
      <c r="X117" s="256"/>
      <c r="Y117" s="256"/>
      <c r="Z117" s="256"/>
    </row>
    <row r="118">
      <c r="A118" s="256"/>
      <c r="B118" s="256"/>
      <c r="C118" s="256"/>
      <c r="D118" s="256"/>
      <c r="E118" s="256"/>
      <c r="F118" s="256"/>
      <c r="G118" s="256"/>
      <c r="H118" s="256"/>
      <c r="I118" s="256"/>
      <c r="J118" s="256"/>
      <c r="K118" s="256"/>
      <c r="L118" s="256"/>
      <c r="M118" s="256"/>
      <c r="N118" s="256"/>
      <c r="O118" s="256"/>
      <c r="P118" s="256"/>
      <c r="Q118" s="256"/>
      <c r="R118" s="256"/>
      <c r="S118" s="256"/>
      <c r="T118" s="256"/>
      <c r="U118" s="256"/>
      <c r="V118" s="256"/>
      <c r="W118" s="256"/>
      <c r="X118" s="256"/>
      <c r="Y118" s="256"/>
      <c r="Z118" s="256"/>
    </row>
    <row r="119">
      <c r="A119" s="256"/>
      <c r="B119" s="256"/>
      <c r="C119" s="256"/>
      <c r="D119" s="256"/>
      <c r="E119" s="256"/>
      <c r="F119" s="256"/>
      <c r="G119" s="256"/>
      <c r="H119" s="256"/>
      <c r="I119" s="256"/>
      <c r="J119" s="256"/>
      <c r="K119" s="256"/>
      <c r="L119" s="256"/>
      <c r="M119" s="256"/>
      <c r="N119" s="256"/>
      <c r="O119" s="256"/>
      <c r="P119" s="256"/>
      <c r="Q119" s="256"/>
      <c r="R119" s="256"/>
      <c r="S119" s="256"/>
      <c r="T119" s="256"/>
      <c r="U119" s="256"/>
      <c r="V119" s="256"/>
      <c r="W119" s="256"/>
      <c r="X119" s="256"/>
      <c r="Y119" s="256"/>
      <c r="Z119" s="256"/>
    </row>
    <row r="120">
      <c r="A120" s="256"/>
      <c r="B120" s="256"/>
      <c r="C120" s="256"/>
      <c r="D120" s="256"/>
      <c r="E120" s="256"/>
      <c r="F120" s="256"/>
      <c r="G120" s="256"/>
      <c r="H120" s="256"/>
      <c r="I120" s="256"/>
      <c r="J120" s="256"/>
      <c r="K120" s="256"/>
      <c r="L120" s="256"/>
      <c r="M120" s="256"/>
      <c r="N120" s="256"/>
      <c r="O120" s="256"/>
      <c r="P120" s="256"/>
      <c r="Q120" s="256"/>
      <c r="R120" s="256"/>
      <c r="S120" s="256"/>
      <c r="T120" s="256"/>
      <c r="U120" s="256"/>
      <c r="V120" s="256"/>
      <c r="W120" s="256"/>
      <c r="X120" s="256"/>
      <c r="Y120" s="256"/>
      <c r="Z120" s="256"/>
    </row>
    <row r="121">
      <c r="A121" s="256"/>
      <c r="B121" s="256"/>
      <c r="C121" s="256"/>
      <c r="D121" s="256"/>
      <c r="E121" s="256"/>
      <c r="F121" s="256"/>
      <c r="G121" s="256"/>
      <c r="H121" s="256"/>
      <c r="I121" s="256"/>
      <c r="J121" s="256"/>
      <c r="K121" s="256"/>
      <c r="L121" s="256"/>
      <c r="M121" s="256"/>
      <c r="N121" s="256"/>
      <c r="O121" s="256"/>
      <c r="P121" s="256"/>
      <c r="Q121" s="256"/>
      <c r="R121" s="256"/>
      <c r="S121" s="256"/>
      <c r="T121" s="256"/>
      <c r="U121" s="256"/>
      <c r="V121" s="256"/>
      <c r="W121" s="256"/>
      <c r="X121" s="256"/>
      <c r="Y121" s="256"/>
      <c r="Z121" s="256"/>
    </row>
    <row r="122">
      <c r="A122" s="256"/>
      <c r="B122" s="256"/>
      <c r="C122" s="256"/>
      <c r="D122" s="256"/>
      <c r="E122" s="256"/>
      <c r="F122" s="256"/>
      <c r="G122" s="256"/>
      <c r="H122" s="256"/>
      <c r="I122" s="256"/>
      <c r="J122" s="256"/>
      <c r="K122" s="256"/>
      <c r="L122" s="256"/>
      <c r="M122" s="256"/>
      <c r="N122" s="256"/>
      <c r="O122" s="256"/>
      <c r="P122" s="256"/>
      <c r="Q122" s="256"/>
      <c r="R122" s="256"/>
      <c r="S122" s="256"/>
      <c r="T122" s="256"/>
      <c r="U122" s="256"/>
      <c r="V122" s="256"/>
      <c r="W122" s="256"/>
      <c r="X122" s="256"/>
      <c r="Y122" s="256"/>
      <c r="Z122" s="256"/>
    </row>
    <row r="123">
      <c r="A123" s="256"/>
      <c r="B123" s="256"/>
      <c r="C123" s="256"/>
      <c r="D123" s="256"/>
      <c r="E123" s="256"/>
      <c r="F123" s="256"/>
      <c r="G123" s="256"/>
      <c r="H123" s="256"/>
      <c r="I123" s="256"/>
      <c r="J123" s="256"/>
      <c r="K123" s="256"/>
      <c r="L123" s="256"/>
      <c r="M123" s="256"/>
      <c r="N123" s="256"/>
      <c r="O123" s="256"/>
      <c r="P123" s="256"/>
      <c r="Q123" s="256"/>
      <c r="R123" s="256"/>
      <c r="S123" s="256"/>
      <c r="T123" s="256"/>
      <c r="U123" s="256"/>
      <c r="V123" s="256"/>
      <c r="W123" s="256"/>
      <c r="X123" s="256"/>
      <c r="Y123" s="256"/>
      <c r="Z123" s="256"/>
    </row>
    <row r="124">
      <c r="A124" s="256"/>
      <c r="B124" s="256"/>
      <c r="C124" s="256"/>
      <c r="D124" s="256"/>
      <c r="E124" s="256"/>
      <c r="F124" s="256"/>
      <c r="G124" s="256"/>
      <c r="H124" s="256"/>
      <c r="I124" s="256"/>
      <c r="J124" s="256"/>
      <c r="K124" s="256"/>
      <c r="L124" s="256"/>
      <c r="M124" s="256"/>
      <c r="N124" s="256"/>
      <c r="O124" s="256"/>
      <c r="P124" s="256"/>
      <c r="Q124" s="256"/>
      <c r="R124" s="256"/>
      <c r="S124" s="256"/>
      <c r="T124" s="256"/>
      <c r="U124" s="256"/>
      <c r="V124" s="256"/>
      <c r="W124" s="256"/>
      <c r="X124" s="256"/>
      <c r="Y124" s="256"/>
      <c r="Z124" s="256"/>
    </row>
    <row r="125">
      <c r="A125" s="256"/>
      <c r="B125" s="256"/>
      <c r="C125" s="256"/>
      <c r="D125" s="256"/>
      <c r="E125" s="256"/>
      <c r="F125" s="256"/>
      <c r="G125" s="256"/>
      <c r="H125" s="256"/>
      <c r="I125" s="256"/>
      <c r="J125" s="256"/>
      <c r="K125" s="256"/>
      <c r="L125" s="256"/>
      <c r="M125" s="256"/>
      <c r="N125" s="256"/>
      <c r="O125" s="256"/>
      <c r="P125" s="256"/>
      <c r="Q125" s="256"/>
      <c r="R125" s="256"/>
      <c r="S125" s="256"/>
      <c r="T125" s="256"/>
      <c r="U125" s="256"/>
      <c r="V125" s="256"/>
      <c r="W125" s="256"/>
      <c r="X125" s="256"/>
      <c r="Y125" s="256"/>
      <c r="Z125" s="256"/>
    </row>
    <row r="126">
      <c r="A126" s="256"/>
      <c r="B126" s="256"/>
      <c r="C126" s="256"/>
      <c r="D126" s="256"/>
      <c r="E126" s="256"/>
      <c r="F126" s="256"/>
      <c r="G126" s="256"/>
      <c r="H126" s="256"/>
      <c r="I126" s="256"/>
      <c r="J126" s="256"/>
      <c r="K126" s="256"/>
      <c r="L126" s="256"/>
      <c r="M126" s="256"/>
      <c r="N126" s="256"/>
      <c r="O126" s="256"/>
      <c r="P126" s="256"/>
      <c r="Q126" s="256"/>
      <c r="R126" s="256"/>
      <c r="S126" s="256"/>
      <c r="T126" s="256"/>
      <c r="U126" s="256"/>
      <c r="V126" s="256"/>
      <c r="W126" s="256"/>
      <c r="X126" s="256"/>
      <c r="Y126" s="256"/>
      <c r="Z126" s="256"/>
    </row>
    <row r="127">
      <c r="A127" s="256"/>
      <c r="B127" s="256"/>
      <c r="C127" s="256"/>
      <c r="D127" s="256"/>
      <c r="E127" s="256"/>
      <c r="F127" s="256"/>
      <c r="G127" s="256"/>
      <c r="H127" s="256"/>
      <c r="I127" s="256"/>
      <c r="J127" s="256"/>
      <c r="K127" s="256"/>
      <c r="L127" s="256"/>
      <c r="M127" s="256"/>
      <c r="N127" s="256"/>
      <c r="O127" s="256"/>
      <c r="P127" s="256"/>
      <c r="Q127" s="256"/>
      <c r="R127" s="256"/>
      <c r="S127" s="256"/>
      <c r="T127" s="256"/>
      <c r="U127" s="256"/>
      <c r="V127" s="256"/>
      <c r="W127" s="256"/>
      <c r="X127" s="256"/>
      <c r="Y127" s="256"/>
      <c r="Z127" s="256"/>
    </row>
    <row r="128">
      <c r="A128" s="256"/>
      <c r="B128" s="256"/>
      <c r="C128" s="256"/>
      <c r="D128" s="256"/>
      <c r="E128" s="256"/>
      <c r="F128" s="256"/>
      <c r="G128" s="256"/>
      <c r="H128" s="256"/>
      <c r="I128" s="256"/>
      <c r="J128" s="256"/>
      <c r="K128" s="256"/>
      <c r="L128" s="256"/>
      <c r="M128" s="256"/>
      <c r="N128" s="256"/>
      <c r="O128" s="256"/>
      <c r="P128" s="256"/>
      <c r="Q128" s="256"/>
      <c r="R128" s="256"/>
      <c r="S128" s="256"/>
      <c r="T128" s="256"/>
      <c r="U128" s="256"/>
      <c r="V128" s="256"/>
      <c r="W128" s="256"/>
      <c r="X128" s="256"/>
      <c r="Y128" s="256"/>
      <c r="Z128" s="256"/>
    </row>
    <row r="129">
      <c r="A129" s="256"/>
      <c r="B129" s="256"/>
      <c r="C129" s="256"/>
      <c r="D129" s="256"/>
      <c r="E129" s="256"/>
      <c r="F129" s="256"/>
      <c r="G129" s="256"/>
      <c r="H129" s="256"/>
      <c r="I129" s="256"/>
      <c r="J129" s="256"/>
      <c r="K129" s="256"/>
      <c r="L129" s="256"/>
      <c r="M129" s="256"/>
      <c r="N129" s="256"/>
      <c r="O129" s="256"/>
      <c r="P129" s="256"/>
      <c r="Q129" s="256"/>
      <c r="R129" s="256"/>
      <c r="S129" s="256"/>
      <c r="T129" s="256"/>
      <c r="U129" s="256"/>
      <c r="V129" s="256"/>
      <c r="W129" s="256"/>
      <c r="X129" s="256"/>
      <c r="Y129" s="256"/>
      <c r="Z129" s="256"/>
    </row>
    <row r="130">
      <c r="A130" s="256"/>
      <c r="B130" s="256"/>
      <c r="C130" s="256"/>
      <c r="D130" s="256"/>
      <c r="E130" s="256"/>
      <c r="F130" s="256"/>
      <c r="G130" s="256"/>
      <c r="H130" s="256"/>
      <c r="I130" s="256"/>
      <c r="J130" s="256"/>
      <c r="K130" s="256"/>
      <c r="L130" s="256"/>
      <c r="M130" s="256"/>
      <c r="N130" s="256"/>
      <c r="O130" s="256"/>
      <c r="P130" s="256"/>
      <c r="Q130" s="256"/>
      <c r="R130" s="256"/>
      <c r="S130" s="256"/>
      <c r="T130" s="256"/>
      <c r="U130" s="256"/>
      <c r="V130" s="256"/>
      <c r="W130" s="256"/>
      <c r="X130" s="256"/>
      <c r="Y130" s="256"/>
      <c r="Z130" s="256"/>
    </row>
    <row r="131">
      <c r="A131" s="256"/>
      <c r="B131" s="256"/>
      <c r="C131" s="256"/>
      <c r="D131" s="256"/>
      <c r="E131" s="256"/>
      <c r="F131" s="256"/>
      <c r="G131" s="256"/>
      <c r="H131" s="256"/>
      <c r="I131" s="256"/>
      <c r="J131" s="256"/>
      <c r="K131" s="256"/>
      <c r="L131" s="256"/>
      <c r="M131" s="256"/>
      <c r="N131" s="256"/>
      <c r="O131" s="256"/>
      <c r="P131" s="256"/>
      <c r="Q131" s="256"/>
      <c r="R131" s="256"/>
      <c r="S131" s="256"/>
      <c r="T131" s="256"/>
      <c r="U131" s="256"/>
      <c r="V131" s="256"/>
      <c r="W131" s="256"/>
      <c r="X131" s="256"/>
      <c r="Y131" s="256"/>
      <c r="Z131" s="256"/>
    </row>
    <row r="132">
      <c r="A132" s="256"/>
      <c r="B132" s="256"/>
      <c r="C132" s="256"/>
      <c r="D132" s="256"/>
      <c r="E132" s="256"/>
      <c r="F132" s="256"/>
      <c r="G132" s="256"/>
      <c r="H132" s="256"/>
      <c r="I132" s="256"/>
      <c r="J132" s="256"/>
      <c r="K132" s="256"/>
      <c r="L132" s="256"/>
      <c r="M132" s="256"/>
      <c r="N132" s="256"/>
      <c r="O132" s="256"/>
      <c r="P132" s="256"/>
      <c r="Q132" s="256"/>
      <c r="R132" s="256"/>
      <c r="S132" s="256"/>
      <c r="T132" s="256"/>
      <c r="U132" s="256"/>
      <c r="V132" s="256"/>
      <c r="W132" s="256"/>
      <c r="X132" s="256"/>
      <c r="Y132" s="256"/>
      <c r="Z132" s="256"/>
    </row>
    <row r="133">
      <c r="A133" s="256"/>
      <c r="B133" s="256"/>
      <c r="C133" s="256"/>
      <c r="D133" s="256"/>
      <c r="E133" s="256"/>
      <c r="F133" s="256"/>
      <c r="G133" s="256"/>
      <c r="H133" s="256"/>
      <c r="I133" s="256"/>
      <c r="J133" s="256"/>
      <c r="K133" s="256"/>
      <c r="L133" s="256"/>
      <c r="M133" s="256"/>
      <c r="N133" s="256"/>
      <c r="O133" s="256"/>
      <c r="P133" s="256"/>
      <c r="Q133" s="256"/>
      <c r="R133" s="256"/>
      <c r="S133" s="256"/>
      <c r="T133" s="256"/>
      <c r="U133" s="256"/>
      <c r="V133" s="256"/>
      <c r="W133" s="256"/>
      <c r="X133" s="256"/>
      <c r="Y133" s="256"/>
      <c r="Z133" s="256"/>
    </row>
    <row r="134">
      <c r="A134" s="256"/>
      <c r="B134" s="256"/>
      <c r="C134" s="256"/>
      <c r="D134" s="256"/>
      <c r="E134" s="256"/>
      <c r="F134" s="256"/>
      <c r="G134" s="256"/>
      <c r="H134" s="256"/>
      <c r="I134" s="256"/>
      <c r="J134" s="256"/>
      <c r="K134" s="256"/>
      <c r="L134" s="256"/>
      <c r="M134" s="256"/>
      <c r="N134" s="256"/>
      <c r="O134" s="256"/>
      <c r="P134" s="256"/>
      <c r="Q134" s="256"/>
      <c r="R134" s="256"/>
      <c r="S134" s="256"/>
      <c r="T134" s="256"/>
      <c r="U134" s="256"/>
      <c r="V134" s="256"/>
      <c r="W134" s="256"/>
      <c r="X134" s="256"/>
      <c r="Y134" s="256"/>
      <c r="Z134" s="256"/>
    </row>
    <row r="135">
      <c r="A135" s="256"/>
      <c r="B135" s="256"/>
      <c r="C135" s="256"/>
      <c r="D135" s="256"/>
      <c r="E135" s="256"/>
      <c r="F135" s="256"/>
      <c r="G135" s="256"/>
      <c r="H135" s="256"/>
      <c r="I135" s="256"/>
      <c r="J135" s="256"/>
      <c r="K135" s="256"/>
      <c r="L135" s="256"/>
      <c r="M135" s="256"/>
      <c r="N135" s="256"/>
      <c r="O135" s="256"/>
      <c r="P135" s="256"/>
      <c r="Q135" s="256"/>
      <c r="R135" s="256"/>
      <c r="S135" s="256"/>
      <c r="T135" s="256"/>
      <c r="U135" s="256"/>
      <c r="V135" s="256"/>
      <c r="W135" s="256"/>
      <c r="X135" s="256"/>
      <c r="Y135" s="256"/>
      <c r="Z135" s="256"/>
    </row>
    <row r="136">
      <c r="A136" s="256"/>
      <c r="B136" s="256"/>
      <c r="C136" s="256"/>
      <c r="D136" s="256"/>
      <c r="E136" s="256"/>
      <c r="F136" s="256"/>
      <c r="G136" s="256"/>
      <c r="H136" s="256"/>
      <c r="I136" s="256"/>
      <c r="J136" s="256"/>
      <c r="K136" s="256"/>
      <c r="L136" s="256"/>
      <c r="M136" s="256"/>
      <c r="N136" s="256"/>
      <c r="O136" s="256"/>
      <c r="P136" s="256"/>
      <c r="Q136" s="256"/>
      <c r="R136" s="256"/>
      <c r="S136" s="256"/>
      <c r="T136" s="256"/>
      <c r="U136" s="256"/>
      <c r="V136" s="256"/>
      <c r="W136" s="256"/>
      <c r="X136" s="256"/>
      <c r="Y136" s="256"/>
      <c r="Z136" s="256"/>
    </row>
    <row r="137">
      <c r="A137" s="256"/>
      <c r="B137" s="256"/>
      <c r="C137" s="256"/>
      <c r="D137" s="256"/>
      <c r="E137" s="256"/>
      <c r="F137" s="256"/>
      <c r="G137" s="256"/>
      <c r="H137" s="256"/>
      <c r="I137" s="256"/>
      <c r="J137" s="256"/>
      <c r="K137" s="256"/>
      <c r="L137" s="256"/>
      <c r="M137" s="256"/>
      <c r="N137" s="256"/>
      <c r="O137" s="256"/>
      <c r="P137" s="256"/>
      <c r="Q137" s="256"/>
      <c r="R137" s="256"/>
      <c r="S137" s="256"/>
      <c r="T137" s="256"/>
      <c r="U137" s="256"/>
      <c r="V137" s="256"/>
      <c r="W137" s="256"/>
      <c r="X137" s="256"/>
      <c r="Y137" s="256"/>
      <c r="Z137" s="256"/>
    </row>
    <row r="138">
      <c r="A138" s="256"/>
      <c r="B138" s="256"/>
      <c r="C138" s="256"/>
      <c r="D138" s="256"/>
      <c r="E138" s="256"/>
      <c r="F138" s="256"/>
      <c r="G138" s="256"/>
      <c r="H138" s="256"/>
      <c r="I138" s="256"/>
      <c r="J138" s="256"/>
      <c r="K138" s="256"/>
      <c r="L138" s="256"/>
      <c r="M138" s="256"/>
      <c r="N138" s="256"/>
      <c r="O138" s="256"/>
      <c r="P138" s="256"/>
      <c r="Q138" s="256"/>
      <c r="R138" s="256"/>
      <c r="S138" s="256"/>
      <c r="T138" s="256"/>
      <c r="U138" s="256"/>
      <c r="V138" s="256"/>
      <c r="W138" s="256"/>
      <c r="X138" s="256"/>
      <c r="Y138" s="256"/>
      <c r="Z138" s="256"/>
    </row>
    <row r="139">
      <c r="A139" s="256"/>
      <c r="B139" s="256"/>
      <c r="C139" s="256"/>
      <c r="D139" s="256"/>
      <c r="E139" s="256"/>
      <c r="F139" s="256"/>
      <c r="G139" s="256"/>
      <c r="H139" s="256"/>
      <c r="I139" s="256"/>
      <c r="J139" s="256"/>
      <c r="K139" s="256"/>
      <c r="L139" s="256"/>
      <c r="M139" s="256"/>
      <c r="N139" s="256"/>
      <c r="O139" s="256"/>
      <c r="P139" s="256"/>
      <c r="Q139" s="256"/>
      <c r="R139" s="256"/>
      <c r="S139" s="256"/>
      <c r="T139" s="256"/>
      <c r="U139" s="256"/>
      <c r="V139" s="256"/>
      <c r="W139" s="256"/>
      <c r="X139" s="256"/>
      <c r="Y139" s="256"/>
      <c r="Z139" s="256"/>
    </row>
    <row r="140">
      <c r="A140" s="256"/>
      <c r="B140" s="256"/>
      <c r="C140" s="256"/>
      <c r="D140" s="256"/>
      <c r="E140" s="256"/>
      <c r="F140" s="256"/>
      <c r="G140" s="256"/>
      <c r="H140" s="256"/>
      <c r="I140" s="256"/>
      <c r="J140" s="256"/>
      <c r="K140" s="256"/>
      <c r="L140" s="256"/>
      <c r="M140" s="256"/>
      <c r="N140" s="256"/>
      <c r="O140" s="256"/>
      <c r="P140" s="256"/>
      <c r="Q140" s="256"/>
      <c r="R140" s="256"/>
      <c r="S140" s="256"/>
      <c r="T140" s="256"/>
      <c r="U140" s="256"/>
      <c r="V140" s="256"/>
      <c r="W140" s="256"/>
      <c r="X140" s="256"/>
      <c r="Y140" s="256"/>
      <c r="Z140" s="256"/>
    </row>
    <row r="141">
      <c r="A141" s="256"/>
      <c r="B141" s="256"/>
      <c r="C141" s="256"/>
      <c r="D141" s="256"/>
      <c r="E141" s="256"/>
      <c r="F141" s="256"/>
      <c r="G141" s="256"/>
      <c r="H141" s="256"/>
      <c r="I141" s="256"/>
      <c r="J141" s="256"/>
      <c r="K141" s="256"/>
      <c r="L141" s="256"/>
      <c r="M141" s="256"/>
      <c r="N141" s="256"/>
      <c r="O141" s="256"/>
      <c r="P141" s="256"/>
      <c r="Q141" s="256"/>
      <c r="R141" s="256"/>
      <c r="S141" s="256"/>
      <c r="T141" s="256"/>
      <c r="U141" s="256"/>
      <c r="V141" s="256"/>
      <c r="W141" s="256"/>
      <c r="X141" s="256"/>
      <c r="Y141" s="256"/>
      <c r="Z141" s="256"/>
    </row>
    <row r="142">
      <c r="A142" s="256"/>
      <c r="B142" s="256"/>
      <c r="C142" s="256"/>
      <c r="D142" s="256"/>
      <c r="E142" s="256"/>
      <c r="F142" s="256"/>
      <c r="G142" s="256"/>
      <c r="H142" s="256"/>
      <c r="I142" s="256"/>
      <c r="J142" s="256"/>
      <c r="K142" s="256"/>
      <c r="L142" s="256"/>
      <c r="M142" s="256"/>
      <c r="N142" s="256"/>
      <c r="O142" s="256"/>
      <c r="P142" s="256"/>
      <c r="Q142" s="256"/>
      <c r="R142" s="256"/>
      <c r="S142" s="256"/>
      <c r="T142" s="256"/>
      <c r="U142" s="256"/>
      <c r="V142" s="256"/>
      <c r="W142" s="256"/>
      <c r="X142" s="256"/>
      <c r="Y142" s="256"/>
      <c r="Z142" s="256"/>
    </row>
    <row r="143">
      <c r="A143" s="256"/>
      <c r="B143" s="256"/>
      <c r="C143" s="256"/>
      <c r="D143" s="256"/>
      <c r="E143" s="256"/>
      <c r="F143" s="256"/>
      <c r="G143" s="256"/>
      <c r="H143" s="256"/>
      <c r="I143" s="256"/>
      <c r="J143" s="256"/>
      <c r="K143" s="256"/>
      <c r="L143" s="256"/>
      <c r="M143" s="256"/>
      <c r="N143" s="256"/>
      <c r="O143" s="256"/>
      <c r="P143" s="256"/>
      <c r="Q143" s="256"/>
      <c r="R143" s="256"/>
      <c r="S143" s="256"/>
      <c r="T143" s="256"/>
      <c r="U143" s="256"/>
      <c r="V143" s="256"/>
      <c r="W143" s="256"/>
      <c r="X143" s="256"/>
      <c r="Y143" s="256"/>
      <c r="Z143" s="256"/>
    </row>
    <row r="144">
      <c r="A144" s="256"/>
      <c r="B144" s="256"/>
      <c r="C144" s="256"/>
      <c r="D144" s="256"/>
      <c r="E144" s="256"/>
      <c r="F144" s="256"/>
      <c r="G144" s="256"/>
      <c r="H144" s="256"/>
      <c r="I144" s="256"/>
      <c r="J144" s="256"/>
      <c r="K144" s="256"/>
      <c r="L144" s="256"/>
      <c r="M144" s="256"/>
      <c r="N144" s="256"/>
      <c r="O144" s="256"/>
      <c r="P144" s="256"/>
      <c r="Q144" s="256"/>
      <c r="R144" s="256"/>
      <c r="S144" s="256"/>
      <c r="T144" s="256"/>
      <c r="U144" s="256"/>
      <c r="V144" s="256"/>
      <c r="W144" s="256"/>
      <c r="X144" s="256"/>
      <c r="Y144" s="256"/>
      <c r="Z144" s="256"/>
    </row>
    <row r="145">
      <c r="A145" s="256"/>
      <c r="B145" s="256"/>
      <c r="C145" s="256"/>
      <c r="D145" s="256"/>
      <c r="E145" s="256"/>
      <c r="F145" s="256"/>
      <c r="G145" s="256"/>
      <c r="H145" s="256"/>
      <c r="I145" s="256"/>
      <c r="J145" s="256"/>
      <c r="K145" s="256"/>
      <c r="L145" s="256"/>
      <c r="M145" s="256"/>
      <c r="N145" s="256"/>
      <c r="O145" s="256"/>
      <c r="P145" s="256"/>
      <c r="Q145" s="256"/>
      <c r="R145" s="256"/>
      <c r="S145" s="256"/>
      <c r="T145" s="256"/>
      <c r="U145" s="256"/>
      <c r="V145" s="256"/>
      <c r="W145" s="256"/>
      <c r="X145" s="256"/>
      <c r="Y145" s="256"/>
      <c r="Z145" s="256"/>
    </row>
    <row r="146">
      <c r="A146" s="256"/>
      <c r="B146" s="256"/>
      <c r="C146" s="256"/>
      <c r="D146" s="256"/>
      <c r="E146" s="256"/>
      <c r="F146" s="256"/>
      <c r="G146" s="256"/>
      <c r="H146" s="256"/>
      <c r="I146" s="256"/>
      <c r="J146" s="256"/>
      <c r="K146" s="256"/>
      <c r="L146" s="256"/>
      <c r="M146" s="256"/>
      <c r="N146" s="256"/>
      <c r="O146" s="256"/>
      <c r="P146" s="256"/>
      <c r="Q146" s="256"/>
      <c r="R146" s="256"/>
      <c r="S146" s="256"/>
      <c r="T146" s="256"/>
      <c r="U146" s="256"/>
      <c r="V146" s="256"/>
      <c r="W146" s="256"/>
      <c r="X146" s="256"/>
      <c r="Y146" s="256"/>
      <c r="Z146" s="256"/>
    </row>
    <row r="147">
      <c r="A147" s="256"/>
      <c r="B147" s="256"/>
      <c r="C147" s="256"/>
      <c r="D147" s="256"/>
      <c r="E147" s="256"/>
      <c r="F147" s="256"/>
      <c r="G147" s="256"/>
      <c r="H147" s="256"/>
      <c r="I147" s="256"/>
      <c r="J147" s="256"/>
      <c r="K147" s="256"/>
      <c r="L147" s="256"/>
      <c r="M147" s="256"/>
      <c r="N147" s="256"/>
      <c r="O147" s="256"/>
      <c r="P147" s="256"/>
      <c r="Q147" s="256"/>
      <c r="R147" s="256"/>
      <c r="S147" s="256"/>
      <c r="T147" s="256"/>
      <c r="U147" s="256"/>
      <c r="V147" s="256"/>
      <c r="W147" s="256"/>
      <c r="X147" s="256"/>
      <c r="Y147" s="256"/>
      <c r="Z147" s="256"/>
    </row>
    <row r="148">
      <c r="A148" s="256"/>
      <c r="B148" s="256"/>
      <c r="C148" s="256"/>
      <c r="D148" s="256"/>
      <c r="E148" s="256"/>
      <c r="F148" s="256"/>
      <c r="G148" s="256"/>
      <c r="H148" s="256"/>
      <c r="I148" s="256"/>
      <c r="J148" s="256"/>
      <c r="K148" s="256"/>
      <c r="L148" s="256"/>
      <c r="M148" s="256"/>
      <c r="N148" s="256"/>
      <c r="O148" s="256"/>
      <c r="P148" s="256"/>
      <c r="Q148" s="256"/>
      <c r="R148" s="256"/>
      <c r="S148" s="256"/>
      <c r="T148" s="256"/>
      <c r="U148" s="256"/>
      <c r="V148" s="256"/>
      <c r="W148" s="256"/>
      <c r="X148" s="256"/>
      <c r="Y148" s="256"/>
      <c r="Z148" s="256"/>
    </row>
    <row r="149">
      <c r="A149" s="256"/>
      <c r="B149" s="256"/>
      <c r="C149" s="256"/>
      <c r="D149" s="256"/>
      <c r="E149" s="256"/>
      <c r="F149" s="256"/>
      <c r="G149" s="256"/>
      <c r="H149" s="256"/>
      <c r="I149" s="256"/>
      <c r="J149" s="256"/>
      <c r="K149" s="256"/>
      <c r="L149" s="256"/>
      <c r="M149" s="256"/>
      <c r="N149" s="256"/>
      <c r="O149" s="256"/>
      <c r="P149" s="256"/>
      <c r="Q149" s="256"/>
      <c r="R149" s="256"/>
      <c r="S149" s="256"/>
      <c r="T149" s="256"/>
      <c r="U149" s="256"/>
      <c r="V149" s="256"/>
      <c r="W149" s="256"/>
      <c r="X149" s="256"/>
      <c r="Y149" s="256"/>
      <c r="Z149" s="256"/>
    </row>
    <row r="150">
      <c r="A150" s="256"/>
      <c r="B150" s="256"/>
      <c r="C150" s="256"/>
      <c r="D150" s="256"/>
      <c r="E150" s="256"/>
      <c r="F150" s="256"/>
      <c r="G150" s="256"/>
      <c r="H150" s="256"/>
      <c r="I150" s="256"/>
      <c r="J150" s="256"/>
      <c r="K150" s="256"/>
      <c r="L150" s="256"/>
      <c r="M150" s="256"/>
      <c r="N150" s="256"/>
      <c r="O150" s="256"/>
      <c r="P150" s="256"/>
      <c r="Q150" s="256"/>
      <c r="R150" s="256"/>
      <c r="S150" s="256"/>
      <c r="T150" s="256"/>
      <c r="U150" s="256"/>
      <c r="V150" s="256"/>
      <c r="W150" s="256"/>
      <c r="X150" s="256"/>
      <c r="Y150" s="256"/>
      <c r="Z150" s="256"/>
    </row>
    <row r="151">
      <c r="A151" s="256"/>
      <c r="B151" s="256"/>
      <c r="C151" s="256"/>
      <c r="D151" s="256"/>
      <c r="E151" s="256"/>
      <c r="F151" s="256"/>
      <c r="G151" s="256"/>
      <c r="H151" s="256"/>
      <c r="I151" s="256"/>
      <c r="J151" s="256"/>
      <c r="K151" s="256"/>
      <c r="L151" s="256"/>
      <c r="M151" s="256"/>
      <c r="N151" s="256"/>
      <c r="O151" s="256"/>
      <c r="P151" s="256"/>
      <c r="Q151" s="256"/>
      <c r="R151" s="256"/>
      <c r="S151" s="256"/>
      <c r="T151" s="256"/>
      <c r="U151" s="256"/>
      <c r="V151" s="256"/>
      <c r="W151" s="256"/>
      <c r="X151" s="256"/>
      <c r="Y151" s="256"/>
      <c r="Z151" s="256"/>
    </row>
    <row r="152">
      <c r="A152" s="256"/>
      <c r="B152" s="256"/>
      <c r="C152" s="256"/>
      <c r="D152" s="256"/>
      <c r="E152" s="256"/>
      <c r="F152" s="256"/>
      <c r="G152" s="256"/>
      <c r="H152" s="256"/>
      <c r="I152" s="256"/>
      <c r="J152" s="256"/>
      <c r="K152" s="256"/>
      <c r="L152" s="256"/>
      <c r="M152" s="256"/>
      <c r="N152" s="256"/>
      <c r="O152" s="256"/>
      <c r="P152" s="256"/>
      <c r="Q152" s="256"/>
      <c r="R152" s="256"/>
      <c r="S152" s="256"/>
      <c r="T152" s="256"/>
      <c r="U152" s="256"/>
      <c r="V152" s="256"/>
      <c r="W152" s="256"/>
      <c r="X152" s="256"/>
      <c r="Y152" s="256"/>
      <c r="Z152" s="256"/>
    </row>
    <row r="153">
      <c r="A153" s="256"/>
      <c r="B153" s="256"/>
      <c r="C153" s="256"/>
      <c r="D153" s="256"/>
      <c r="E153" s="256"/>
      <c r="F153" s="256"/>
      <c r="G153" s="256"/>
      <c r="H153" s="256"/>
      <c r="I153" s="256"/>
      <c r="J153" s="256"/>
      <c r="K153" s="256"/>
      <c r="L153" s="256"/>
      <c r="M153" s="256"/>
      <c r="N153" s="256"/>
      <c r="O153" s="256"/>
      <c r="P153" s="256"/>
      <c r="Q153" s="256"/>
      <c r="R153" s="256"/>
      <c r="S153" s="256"/>
      <c r="T153" s="256"/>
      <c r="U153" s="256"/>
      <c r="V153" s="256"/>
      <c r="W153" s="256"/>
      <c r="X153" s="256"/>
      <c r="Y153" s="256"/>
      <c r="Z153" s="256"/>
    </row>
    <row r="154">
      <c r="A154" s="256"/>
      <c r="B154" s="256"/>
      <c r="C154" s="256"/>
      <c r="D154" s="256"/>
      <c r="E154" s="256"/>
      <c r="F154" s="256"/>
      <c r="G154" s="256"/>
      <c r="H154" s="256"/>
      <c r="I154" s="256"/>
      <c r="J154" s="256"/>
      <c r="K154" s="256"/>
      <c r="L154" s="256"/>
      <c r="M154" s="256"/>
      <c r="N154" s="256"/>
      <c r="O154" s="256"/>
      <c r="P154" s="256"/>
      <c r="Q154" s="256"/>
      <c r="R154" s="256"/>
      <c r="S154" s="256"/>
      <c r="T154" s="256"/>
      <c r="U154" s="256"/>
      <c r="V154" s="256"/>
      <c r="W154" s="256"/>
      <c r="X154" s="256"/>
      <c r="Y154" s="256"/>
      <c r="Z154" s="256"/>
    </row>
    <row r="155">
      <c r="A155" s="256"/>
      <c r="B155" s="256"/>
      <c r="C155" s="256"/>
      <c r="D155" s="256"/>
      <c r="E155" s="256"/>
      <c r="F155" s="256"/>
      <c r="G155" s="256"/>
      <c r="H155" s="256"/>
      <c r="I155" s="256"/>
      <c r="J155" s="256"/>
      <c r="K155" s="256"/>
      <c r="L155" s="256"/>
      <c r="M155" s="256"/>
      <c r="N155" s="256"/>
      <c r="O155" s="256"/>
      <c r="P155" s="256"/>
      <c r="Q155" s="256"/>
      <c r="R155" s="256"/>
      <c r="S155" s="256"/>
      <c r="T155" s="256"/>
      <c r="U155" s="256"/>
      <c r="V155" s="256"/>
      <c r="W155" s="256"/>
      <c r="X155" s="256"/>
      <c r="Y155" s="256"/>
      <c r="Z155" s="256"/>
    </row>
    <row r="156">
      <c r="A156" s="256"/>
      <c r="B156" s="256"/>
      <c r="C156" s="256"/>
      <c r="D156" s="256"/>
      <c r="E156" s="256"/>
      <c r="F156" s="256"/>
      <c r="G156" s="256"/>
      <c r="H156" s="256"/>
      <c r="I156" s="256"/>
      <c r="J156" s="256"/>
      <c r="K156" s="256"/>
      <c r="L156" s="256"/>
      <c r="M156" s="256"/>
      <c r="N156" s="256"/>
      <c r="O156" s="256"/>
      <c r="P156" s="256"/>
      <c r="Q156" s="256"/>
      <c r="R156" s="256"/>
      <c r="S156" s="256"/>
      <c r="T156" s="256"/>
      <c r="U156" s="256"/>
      <c r="V156" s="256"/>
      <c r="W156" s="256"/>
      <c r="X156" s="256"/>
      <c r="Y156" s="256"/>
      <c r="Z156" s="256"/>
    </row>
    <row r="157">
      <c r="A157" s="256"/>
      <c r="B157" s="256"/>
      <c r="C157" s="256"/>
      <c r="D157" s="256"/>
      <c r="E157" s="256"/>
      <c r="F157" s="256"/>
      <c r="G157" s="256"/>
      <c r="H157" s="256"/>
      <c r="I157" s="256"/>
      <c r="J157" s="256"/>
      <c r="K157" s="256"/>
      <c r="L157" s="256"/>
      <c r="M157" s="256"/>
      <c r="N157" s="256"/>
      <c r="O157" s="256"/>
      <c r="P157" s="256"/>
      <c r="Q157" s="256"/>
      <c r="R157" s="256"/>
      <c r="S157" s="256"/>
      <c r="T157" s="256"/>
      <c r="U157" s="256"/>
      <c r="V157" s="256"/>
      <c r="W157" s="256"/>
      <c r="X157" s="256"/>
      <c r="Y157" s="256"/>
      <c r="Z157" s="256"/>
    </row>
    <row r="158">
      <c r="A158" s="256"/>
      <c r="B158" s="256"/>
      <c r="C158" s="256"/>
      <c r="D158" s="256"/>
      <c r="E158" s="256"/>
      <c r="F158" s="256"/>
      <c r="G158" s="256"/>
      <c r="H158" s="256"/>
      <c r="I158" s="256"/>
      <c r="J158" s="256"/>
      <c r="K158" s="256"/>
      <c r="L158" s="256"/>
      <c r="M158" s="256"/>
      <c r="N158" s="256"/>
      <c r="O158" s="256"/>
      <c r="P158" s="256"/>
      <c r="Q158" s="256"/>
      <c r="R158" s="256"/>
      <c r="S158" s="256"/>
      <c r="T158" s="256"/>
      <c r="U158" s="256"/>
      <c r="V158" s="256"/>
      <c r="W158" s="256"/>
      <c r="X158" s="256"/>
      <c r="Y158" s="256"/>
      <c r="Z158" s="256"/>
    </row>
    <row r="159">
      <c r="A159" s="256"/>
      <c r="B159" s="256"/>
      <c r="C159" s="256"/>
      <c r="D159" s="256"/>
      <c r="E159" s="256"/>
      <c r="F159" s="256"/>
      <c r="G159" s="256"/>
      <c r="H159" s="256"/>
      <c r="I159" s="256"/>
      <c r="J159" s="256"/>
      <c r="K159" s="256"/>
      <c r="L159" s="256"/>
      <c r="M159" s="256"/>
      <c r="N159" s="256"/>
      <c r="O159" s="256"/>
      <c r="P159" s="256"/>
      <c r="Q159" s="256"/>
      <c r="R159" s="256"/>
      <c r="S159" s="256"/>
      <c r="T159" s="256"/>
      <c r="U159" s="256"/>
      <c r="V159" s="256"/>
      <c r="W159" s="256"/>
      <c r="X159" s="256"/>
      <c r="Y159" s="256"/>
      <c r="Z159" s="256"/>
    </row>
    <row r="160">
      <c r="A160" s="256"/>
      <c r="B160" s="256"/>
      <c r="C160" s="256"/>
      <c r="D160" s="256"/>
      <c r="E160" s="256"/>
      <c r="F160" s="256"/>
      <c r="G160" s="256"/>
      <c r="H160" s="256"/>
      <c r="I160" s="256"/>
      <c r="J160" s="256"/>
      <c r="K160" s="256"/>
      <c r="L160" s="256"/>
      <c r="M160" s="256"/>
      <c r="N160" s="256"/>
      <c r="O160" s="256"/>
      <c r="P160" s="256"/>
      <c r="Q160" s="256"/>
      <c r="R160" s="256"/>
      <c r="S160" s="256"/>
      <c r="T160" s="256"/>
      <c r="U160" s="256"/>
      <c r="V160" s="256"/>
      <c r="W160" s="256"/>
      <c r="X160" s="256"/>
      <c r="Y160" s="256"/>
      <c r="Z160" s="256"/>
    </row>
    <row r="161">
      <c r="A161" s="256"/>
      <c r="B161" s="256"/>
      <c r="C161" s="256"/>
      <c r="D161" s="256"/>
      <c r="E161" s="256"/>
      <c r="F161" s="256"/>
      <c r="G161" s="256"/>
      <c r="H161" s="256"/>
      <c r="I161" s="256"/>
      <c r="J161" s="256"/>
      <c r="K161" s="256"/>
      <c r="L161" s="256"/>
      <c r="M161" s="256"/>
      <c r="N161" s="256"/>
      <c r="O161" s="256"/>
      <c r="P161" s="256"/>
      <c r="Q161" s="256"/>
      <c r="R161" s="256"/>
      <c r="S161" s="256"/>
      <c r="T161" s="256"/>
      <c r="U161" s="256"/>
      <c r="V161" s="256"/>
      <c r="W161" s="256"/>
      <c r="X161" s="256"/>
      <c r="Y161" s="256"/>
      <c r="Z161" s="256"/>
    </row>
    <row r="162">
      <c r="A162" s="256"/>
      <c r="B162" s="256"/>
      <c r="C162" s="256"/>
      <c r="D162" s="256"/>
      <c r="E162" s="256"/>
      <c r="F162" s="256"/>
      <c r="G162" s="256"/>
      <c r="H162" s="256"/>
      <c r="I162" s="256"/>
      <c r="J162" s="256"/>
      <c r="K162" s="256"/>
      <c r="L162" s="256"/>
      <c r="M162" s="256"/>
      <c r="N162" s="256"/>
      <c r="O162" s="256"/>
      <c r="P162" s="256"/>
      <c r="Q162" s="256"/>
      <c r="R162" s="256"/>
      <c r="S162" s="256"/>
      <c r="T162" s="256"/>
      <c r="U162" s="256"/>
      <c r="V162" s="256"/>
      <c r="W162" s="256"/>
      <c r="X162" s="256"/>
      <c r="Y162" s="256"/>
      <c r="Z162" s="256"/>
    </row>
    <row r="163">
      <c r="A163" s="256"/>
      <c r="B163" s="256"/>
      <c r="C163" s="256"/>
      <c r="D163" s="256"/>
      <c r="E163" s="256"/>
      <c r="F163" s="256"/>
      <c r="G163" s="256"/>
      <c r="H163" s="256"/>
      <c r="I163" s="256"/>
      <c r="J163" s="256"/>
      <c r="K163" s="256"/>
      <c r="L163" s="256"/>
      <c r="M163" s="256"/>
      <c r="N163" s="256"/>
      <c r="O163" s="256"/>
      <c r="P163" s="256"/>
      <c r="Q163" s="256"/>
      <c r="R163" s="256"/>
      <c r="S163" s="256"/>
      <c r="T163" s="256"/>
      <c r="U163" s="256"/>
      <c r="V163" s="256"/>
      <c r="W163" s="256"/>
      <c r="X163" s="256"/>
      <c r="Y163" s="256"/>
      <c r="Z163" s="256"/>
    </row>
    <row r="164">
      <c r="A164" s="256"/>
      <c r="B164" s="256"/>
      <c r="C164" s="256"/>
      <c r="D164" s="256"/>
      <c r="E164" s="256"/>
      <c r="F164" s="256"/>
      <c r="G164" s="256"/>
      <c r="H164" s="256"/>
      <c r="I164" s="256"/>
      <c r="J164" s="256"/>
      <c r="K164" s="256"/>
      <c r="L164" s="256"/>
      <c r="M164" s="256"/>
      <c r="N164" s="256"/>
      <c r="O164" s="256"/>
      <c r="P164" s="256"/>
      <c r="Q164" s="256"/>
      <c r="R164" s="256"/>
      <c r="S164" s="256"/>
      <c r="T164" s="256"/>
      <c r="U164" s="256"/>
      <c r="V164" s="256"/>
      <c r="W164" s="256"/>
      <c r="X164" s="256"/>
      <c r="Y164" s="256"/>
      <c r="Z164" s="256"/>
    </row>
    <row r="165">
      <c r="A165" s="256"/>
      <c r="B165" s="256"/>
      <c r="C165" s="256"/>
      <c r="D165" s="256"/>
      <c r="E165" s="256"/>
      <c r="F165" s="256"/>
      <c r="G165" s="256"/>
      <c r="H165" s="256"/>
      <c r="I165" s="256"/>
      <c r="J165" s="256"/>
      <c r="K165" s="256"/>
      <c r="L165" s="256"/>
      <c r="M165" s="256"/>
      <c r="N165" s="256"/>
      <c r="O165" s="256"/>
      <c r="P165" s="256"/>
      <c r="Q165" s="256"/>
      <c r="R165" s="256"/>
      <c r="S165" s="256"/>
      <c r="T165" s="256"/>
      <c r="U165" s="256"/>
      <c r="V165" s="256"/>
      <c r="W165" s="256"/>
      <c r="X165" s="256"/>
      <c r="Y165" s="256"/>
      <c r="Z165" s="256"/>
    </row>
    <row r="166">
      <c r="A166" s="256"/>
      <c r="B166" s="256"/>
      <c r="C166" s="256"/>
      <c r="D166" s="256"/>
      <c r="E166" s="256"/>
      <c r="F166" s="256"/>
      <c r="G166" s="256"/>
      <c r="H166" s="256"/>
      <c r="I166" s="256"/>
      <c r="J166" s="256"/>
      <c r="K166" s="256"/>
      <c r="L166" s="256"/>
      <c r="M166" s="256"/>
      <c r="N166" s="256"/>
      <c r="O166" s="256"/>
      <c r="P166" s="256"/>
      <c r="Q166" s="256"/>
      <c r="R166" s="256"/>
      <c r="S166" s="256"/>
      <c r="T166" s="256"/>
      <c r="U166" s="256"/>
      <c r="V166" s="256"/>
      <c r="W166" s="256"/>
      <c r="X166" s="256"/>
      <c r="Y166" s="256"/>
      <c r="Z166" s="256"/>
    </row>
    <row r="167">
      <c r="A167" s="256"/>
      <c r="B167" s="256"/>
      <c r="C167" s="256"/>
      <c r="D167" s="256"/>
      <c r="E167" s="256"/>
      <c r="F167" s="256"/>
      <c r="G167" s="256"/>
      <c r="H167" s="256"/>
      <c r="I167" s="256"/>
      <c r="J167" s="256"/>
      <c r="K167" s="256"/>
      <c r="L167" s="256"/>
      <c r="M167" s="256"/>
      <c r="N167" s="256"/>
      <c r="O167" s="256"/>
      <c r="P167" s="256"/>
      <c r="Q167" s="256"/>
      <c r="R167" s="256"/>
      <c r="S167" s="256"/>
      <c r="T167" s="256"/>
      <c r="U167" s="256"/>
      <c r="V167" s="256"/>
      <c r="W167" s="256"/>
      <c r="X167" s="256"/>
      <c r="Y167" s="256"/>
      <c r="Z167" s="256"/>
    </row>
    <row r="168">
      <c r="A168" s="256"/>
      <c r="B168" s="256"/>
      <c r="C168" s="256"/>
      <c r="D168" s="256"/>
      <c r="E168" s="256"/>
      <c r="F168" s="256"/>
      <c r="G168" s="256"/>
      <c r="H168" s="256"/>
      <c r="I168" s="256"/>
      <c r="J168" s="256"/>
      <c r="K168" s="256"/>
      <c r="L168" s="256"/>
      <c r="M168" s="256"/>
      <c r="N168" s="256"/>
      <c r="O168" s="256"/>
      <c r="P168" s="256"/>
      <c r="Q168" s="256"/>
      <c r="R168" s="256"/>
      <c r="S168" s="256"/>
      <c r="T168" s="256"/>
      <c r="U168" s="256"/>
      <c r="V168" s="256"/>
      <c r="W168" s="256"/>
      <c r="X168" s="256"/>
      <c r="Y168" s="256"/>
      <c r="Z168" s="256"/>
    </row>
    <row r="169">
      <c r="A169" s="256"/>
      <c r="B169" s="256"/>
      <c r="C169" s="256"/>
      <c r="D169" s="256"/>
      <c r="E169" s="256"/>
      <c r="F169" s="256"/>
      <c r="G169" s="256"/>
      <c r="H169" s="256"/>
      <c r="I169" s="256"/>
      <c r="J169" s="256"/>
      <c r="K169" s="256"/>
      <c r="L169" s="256"/>
      <c r="M169" s="256"/>
      <c r="N169" s="256"/>
      <c r="O169" s="256"/>
      <c r="P169" s="256"/>
      <c r="Q169" s="256"/>
      <c r="R169" s="256"/>
      <c r="S169" s="256"/>
      <c r="T169" s="256"/>
      <c r="U169" s="256"/>
      <c r="V169" s="256"/>
      <c r="W169" s="256"/>
      <c r="X169" s="256"/>
      <c r="Y169" s="256"/>
      <c r="Z169" s="256"/>
    </row>
    <row r="170">
      <c r="A170" s="256"/>
      <c r="B170" s="256"/>
      <c r="C170" s="256"/>
      <c r="D170" s="256"/>
      <c r="E170" s="256"/>
      <c r="F170" s="256"/>
      <c r="G170" s="256"/>
      <c r="H170" s="256"/>
      <c r="I170" s="256"/>
      <c r="J170" s="256"/>
      <c r="K170" s="256"/>
      <c r="L170" s="256"/>
      <c r="M170" s="256"/>
      <c r="N170" s="256"/>
      <c r="O170" s="256"/>
      <c r="P170" s="256"/>
      <c r="Q170" s="256"/>
      <c r="R170" s="256"/>
      <c r="S170" s="256"/>
      <c r="T170" s="256"/>
      <c r="U170" s="256"/>
      <c r="V170" s="256"/>
      <c r="W170" s="256"/>
      <c r="X170" s="256"/>
      <c r="Y170" s="256"/>
      <c r="Z170" s="256"/>
    </row>
    <row r="171">
      <c r="A171" s="256"/>
      <c r="B171" s="256"/>
      <c r="C171" s="256"/>
      <c r="D171" s="256"/>
      <c r="E171" s="256"/>
      <c r="F171" s="256"/>
      <c r="G171" s="256"/>
      <c r="H171" s="256"/>
      <c r="I171" s="256"/>
      <c r="J171" s="256"/>
      <c r="K171" s="256"/>
      <c r="L171" s="256"/>
      <c r="M171" s="256"/>
      <c r="N171" s="256"/>
      <c r="O171" s="256"/>
      <c r="P171" s="256"/>
      <c r="Q171" s="256"/>
      <c r="R171" s="256"/>
      <c r="S171" s="256"/>
      <c r="T171" s="256"/>
      <c r="U171" s="256"/>
      <c r="V171" s="256"/>
      <c r="W171" s="256"/>
      <c r="X171" s="256"/>
      <c r="Y171" s="256"/>
      <c r="Z171" s="256"/>
    </row>
    <row r="172">
      <c r="A172" s="256"/>
      <c r="B172" s="256"/>
      <c r="C172" s="256"/>
      <c r="D172" s="256"/>
      <c r="E172" s="256"/>
      <c r="F172" s="256"/>
      <c r="G172" s="256"/>
      <c r="H172" s="256"/>
      <c r="I172" s="256"/>
      <c r="J172" s="256"/>
      <c r="K172" s="256"/>
      <c r="L172" s="256"/>
      <c r="M172" s="256"/>
      <c r="N172" s="256"/>
      <c r="O172" s="256"/>
      <c r="P172" s="256"/>
      <c r="Q172" s="256"/>
      <c r="R172" s="256"/>
      <c r="S172" s="256"/>
      <c r="T172" s="256"/>
      <c r="U172" s="256"/>
      <c r="V172" s="256"/>
      <c r="W172" s="256"/>
      <c r="X172" s="256"/>
      <c r="Y172" s="256"/>
      <c r="Z172" s="256"/>
    </row>
    <row r="173">
      <c r="A173" s="256"/>
      <c r="B173" s="256"/>
      <c r="C173" s="256"/>
      <c r="D173" s="256"/>
      <c r="E173" s="256"/>
      <c r="F173" s="256"/>
      <c r="G173" s="256"/>
      <c r="H173" s="256"/>
      <c r="I173" s="256"/>
      <c r="J173" s="256"/>
      <c r="K173" s="256"/>
      <c r="L173" s="256"/>
      <c r="M173" s="256"/>
      <c r="N173" s="256"/>
      <c r="O173" s="256"/>
      <c r="P173" s="256"/>
      <c r="Q173" s="256"/>
      <c r="R173" s="256"/>
      <c r="S173" s="256"/>
      <c r="T173" s="256"/>
      <c r="U173" s="256"/>
      <c r="V173" s="256"/>
      <c r="W173" s="256"/>
      <c r="X173" s="256"/>
      <c r="Y173" s="256"/>
      <c r="Z173" s="256"/>
    </row>
    <row r="174">
      <c r="A174" s="256"/>
      <c r="B174" s="256"/>
      <c r="C174" s="256"/>
      <c r="D174" s="256"/>
      <c r="E174" s="256"/>
      <c r="F174" s="256"/>
      <c r="G174" s="256"/>
      <c r="H174" s="256"/>
      <c r="I174" s="256"/>
      <c r="J174" s="256"/>
      <c r="K174" s="256"/>
      <c r="L174" s="256"/>
      <c r="M174" s="256"/>
      <c r="N174" s="256"/>
      <c r="O174" s="256"/>
      <c r="P174" s="256"/>
      <c r="Q174" s="256"/>
      <c r="R174" s="256"/>
      <c r="S174" s="256"/>
      <c r="T174" s="256"/>
      <c r="U174" s="256"/>
      <c r="V174" s="256"/>
      <c r="W174" s="256"/>
      <c r="X174" s="256"/>
      <c r="Y174" s="256"/>
      <c r="Z174" s="256"/>
    </row>
    <row r="175">
      <c r="A175" s="256"/>
      <c r="B175" s="256"/>
      <c r="C175" s="256"/>
      <c r="D175" s="256"/>
      <c r="E175" s="256"/>
      <c r="F175" s="256"/>
      <c r="G175" s="256"/>
      <c r="H175" s="256"/>
      <c r="I175" s="256"/>
      <c r="J175" s="256"/>
      <c r="K175" s="256"/>
      <c r="L175" s="256"/>
      <c r="M175" s="256"/>
      <c r="N175" s="256"/>
      <c r="O175" s="256"/>
      <c r="P175" s="256"/>
      <c r="Q175" s="256"/>
      <c r="R175" s="256"/>
      <c r="S175" s="256"/>
      <c r="T175" s="256"/>
      <c r="U175" s="256"/>
      <c r="V175" s="256"/>
      <c r="W175" s="256"/>
      <c r="X175" s="256"/>
      <c r="Y175" s="256"/>
      <c r="Z175" s="256"/>
    </row>
    <row r="176">
      <c r="A176" s="256"/>
      <c r="B176" s="256"/>
      <c r="C176" s="256"/>
      <c r="D176" s="256"/>
      <c r="E176" s="256"/>
      <c r="F176" s="256"/>
      <c r="G176" s="256"/>
      <c r="H176" s="256"/>
      <c r="I176" s="256"/>
      <c r="J176" s="256"/>
      <c r="K176" s="256"/>
      <c r="L176" s="256"/>
      <c r="M176" s="256"/>
      <c r="N176" s="256"/>
      <c r="O176" s="256"/>
      <c r="P176" s="256"/>
      <c r="Q176" s="256"/>
      <c r="R176" s="256"/>
      <c r="S176" s="256"/>
      <c r="T176" s="256"/>
      <c r="U176" s="256"/>
      <c r="V176" s="256"/>
      <c r="W176" s="256"/>
      <c r="X176" s="256"/>
      <c r="Y176" s="256"/>
      <c r="Z176" s="256"/>
    </row>
    <row r="177">
      <c r="A177" s="256"/>
      <c r="B177" s="256"/>
      <c r="C177" s="256"/>
      <c r="D177" s="256"/>
      <c r="E177" s="256"/>
      <c r="F177" s="256"/>
      <c r="G177" s="256"/>
      <c r="H177" s="256"/>
      <c r="I177" s="256"/>
      <c r="J177" s="256"/>
      <c r="K177" s="256"/>
      <c r="L177" s="256"/>
      <c r="M177" s="256"/>
      <c r="N177" s="256"/>
      <c r="O177" s="256"/>
      <c r="P177" s="256"/>
      <c r="Q177" s="256"/>
      <c r="R177" s="256"/>
      <c r="S177" s="256"/>
      <c r="T177" s="256"/>
      <c r="U177" s="256"/>
      <c r="V177" s="256"/>
      <c r="W177" s="256"/>
      <c r="X177" s="256"/>
      <c r="Y177" s="256"/>
      <c r="Z177" s="256"/>
    </row>
    <row r="178">
      <c r="A178" s="256"/>
      <c r="B178" s="256"/>
      <c r="C178" s="256"/>
      <c r="D178" s="256"/>
      <c r="E178" s="256"/>
      <c r="F178" s="256"/>
      <c r="G178" s="256"/>
      <c r="H178" s="256"/>
      <c r="I178" s="256"/>
      <c r="J178" s="256"/>
      <c r="K178" s="256"/>
      <c r="L178" s="256"/>
      <c r="M178" s="256"/>
      <c r="N178" s="256"/>
      <c r="O178" s="256"/>
      <c r="P178" s="256"/>
      <c r="Q178" s="256"/>
      <c r="R178" s="256"/>
      <c r="S178" s="256"/>
      <c r="T178" s="256"/>
      <c r="U178" s="256"/>
      <c r="V178" s="256"/>
      <c r="W178" s="256"/>
      <c r="X178" s="256"/>
      <c r="Y178" s="256"/>
      <c r="Z178" s="256"/>
    </row>
    <row r="179">
      <c r="A179" s="256"/>
      <c r="B179" s="256"/>
      <c r="C179" s="256"/>
      <c r="D179" s="256"/>
      <c r="E179" s="256"/>
      <c r="F179" s="256"/>
      <c r="G179" s="256"/>
      <c r="H179" s="256"/>
      <c r="I179" s="256"/>
      <c r="J179" s="256"/>
      <c r="K179" s="256"/>
      <c r="L179" s="256"/>
      <c r="M179" s="256"/>
      <c r="N179" s="256"/>
      <c r="O179" s="256"/>
      <c r="P179" s="256"/>
      <c r="Q179" s="256"/>
      <c r="R179" s="256"/>
      <c r="S179" s="256"/>
      <c r="T179" s="256"/>
      <c r="U179" s="256"/>
      <c r="V179" s="256"/>
      <c r="W179" s="256"/>
      <c r="X179" s="256"/>
      <c r="Y179" s="256"/>
      <c r="Z179" s="256"/>
    </row>
    <row r="180">
      <c r="A180" s="256"/>
      <c r="B180" s="256"/>
      <c r="C180" s="256"/>
      <c r="D180" s="256"/>
      <c r="E180" s="256"/>
      <c r="F180" s="256"/>
      <c r="G180" s="256"/>
      <c r="H180" s="256"/>
      <c r="I180" s="256"/>
      <c r="J180" s="256"/>
      <c r="K180" s="256"/>
      <c r="L180" s="256"/>
      <c r="M180" s="256"/>
      <c r="N180" s="256"/>
      <c r="O180" s="256"/>
      <c r="P180" s="256"/>
      <c r="Q180" s="256"/>
      <c r="R180" s="256"/>
      <c r="S180" s="256"/>
      <c r="T180" s="256"/>
      <c r="U180" s="256"/>
      <c r="V180" s="256"/>
      <c r="W180" s="256"/>
      <c r="X180" s="256"/>
      <c r="Y180" s="256"/>
      <c r="Z180" s="256"/>
    </row>
    <row r="181">
      <c r="A181" s="256"/>
      <c r="B181" s="256"/>
      <c r="C181" s="256"/>
      <c r="D181" s="256"/>
      <c r="E181" s="256"/>
      <c r="F181" s="256"/>
      <c r="G181" s="256"/>
      <c r="H181" s="256"/>
      <c r="I181" s="256"/>
      <c r="J181" s="256"/>
      <c r="K181" s="256"/>
      <c r="L181" s="256"/>
      <c r="M181" s="256"/>
      <c r="N181" s="256"/>
      <c r="O181" s="256"/>
      <c r="P181" s="256"/>
      <c r="Q181" s="256"/>
      <c r="R181" s="256"/>
      <c r="S181" s="256"/>
      <c r="T181" s="256"/>
      <c r="U181" s="256"/>
      <c r="V181" s="256"/>
      <c r="W181" s="256"/>
      <c r="X181" s="256"/>
      <c r="Y181" s="256"/>
      <c r="Z181" s="256"/>
    </row>
    <row r="182">
      <c r="A182" s="256"/>
      <c r="B182" s="256"/>
      <c r="C182" s="256"/>
      <c r="D182" s="256"/>
      <c r="E182" s="256"/>
      <c r="F182" s="256"/>
      <c r="G182" s="256"/>
      <c r="H182" s="256"/>
      <c r="I182" s="256"/>
      <c r="J182" s="256"/>
      <c r="K182" s="256"/>
      <c r="L182" s="256"/>
      <c r="M182" s="256"/>
      <c r="N182" s="256"/>
      <c r="O182" s="256"/>
      <c r="P182" s="256"/>
      <c r="Q182" s="256"/>
      <c r="R182" s="256"/>
      <c r="S182" s="256"/>
      <c r="T182" s="256"/>
      <c r="U182" s="256"/>
      <c r="V182" s="256"/>
      <c r="W182" s="256"/>
      <c r="X182" s="256"/>
      <c r="Y182" s="256"/>
      <c r="Z182" s="256"/>
    </row>
    <row r="183">
      <c r="A183" s="256"/>
      <c r="B183" s="256"/>
      <c r="C183" s="256"/>
      <c r="D183" s="256"/>
      <c r="E183" s="256"/>
      <c r="F183" s="256"/>
      <c r="G183" s="256"/>
      <c r="H183" s="256"/>
      <c r="I183" s="256"/>
      <c r="J183" s="256"/>
      <c r="K183" s="256"/>
      <c r="L183" s="256"/>
      <c r="M183" s="256"/>
      <c r="N183" s="256"/>
      <c r="O183" s="256"/>
      <c r="P183" s="256"/>
      <c r="Q183" s="256"/>
      <c r="R183" s="256"/>
      <c r="S183" s="256"/>
      <c r="T183" s="256"/>
      <c r="U183" s="256"/>
      <c r="V183" s="256"/>
      <c r="W183" s="256"/>
      <c r="X183" s="256"/>
      <c r="Y183" s="256"/>
      <c r="Z183" s="256"/>
    </row>
    <row r="184">
      <c r="A184" s="256"/>
      <c r="B184" s="256"/>
      <c r="C184" s="256"/>
      <c r="D184" s="256"/>
      <c r="E184" s="256"/>
      <c r="F184" s="256"/>
      <c r="G184" s="256"/>
      <c r="H184" s="256"/>
      <c r="I184" s="256"/>
      <c r="J184" s="256"/>
      <c r="K184" s="256"/>
      <c r="L184" s="256"/>
      <c r="M184" s="256"/>
      <c r="N184" s="256"/>
      <c r="O184" s="256"/>
      <c r="P184" s="256"/>
      <c r="Q184" s="256"/>
      <c r="R184" s="256"/>
      <c r="S184" s="256"/>
      <c r="T184" s="256"/>
      <c r="U184" s="256"/>
      <c r="V184" s="256"/>
      <c r="W184" s="256"/>
      <c r="X184" s="256"/>
      <c r="Y184" s="256"/>
      <c r="Z184" s="256"/>
    </row>
    <row r="185">
      <c r="A185" s="256"/>
      <c r="B185" s="256"/>
      <c r="C185" s="256"/>
      <c r="D185" s="256"/>
      <c r="E185" s="256"/>
      <c r="F185" s="256"/>
      <c r="G185" s="256"/>
      <c r="H185" s="256"/>
      <c r="I185" s="256"/>
      <c r="J185" s="256"/>
      <c r="K185" s="256"/>
      <c r="L185" s="256"/>
      <c r="M185" s="256"/>
      <c r="N185" s="256"/>
      <c r="O185" s="256"/>
      <c r="P185" s="256"/>
      <c r="Q185" s="256"/>
      <c r="R185" s="256"/>
      <c r="S185" s="256"/>
      <c r="T185" s="256"/>
      <c r="U185" s="256"/>
      <c r="V185" s="256"/>
      <c r="W185" s="256"/>
      <c r="X185" s="256"/>
      <c r="Y185" s="256"/>
      <c r="Z185" s="256"/>
    </row>
    <row r="186">
      <c r="A186" s="256"/>
      <c r="B186" s="256"/>
      <c r="C186" s="256"/>
      <c r="D186" s="256"/>
      <c r="E186" s="256"/>
      <c r="F186" s="256"/>
      <c r="G186" s="256"/>
      <c r="H186" s="256"/>
      <c r="I186" s="256"/>
      <c r="J186" s="256"/>
      <c r="K186" s="256"/>
      <c r="L186" s="256"/>
      <c r="M186" s="256"/>
      <c r="N186" s="256"/>
      <c r="O186" s="256"/>
      <c r="P186" s="256"/>
      <c r="Q186" s="256"/>
      <c r="R186" s="256"/>
      <c r="S186" s="256"/>
      <c r="T186" s="256"/>
      <c r="U186" s="256"/>
      <c r="V186" s="256"/>
      <c r="W186" s="256"/>
      <c r="X186" s="256"/>
      <c r="Y186" s="256"/>
      <c r="Z186" s="256"/>
    </row>
    <row r="187">
      <c r="A187" s="256"/>
      <c r="B187" s="256"/>
      <c r="C187" s="256"/>
      <c r="D187" s="256"/>
      <c r="E187" s="256"/>
      <c r="F187" s="256"/>
      <c r="G187" s="256"/>
      <c r="H187" s="256"/>
      <c r="I187" s="256"/>
      <c r="J187" s="256"/>
      <c r="K187" s="256"/>
      <c r="L187" s="256"/>
      <c r="M187" s="256"/>
      <c r="N187" s="256"/>
      <c r="O187" s="256"/>
      <c r="P187" s="256"/>
      <c r="Q187" s="256"/>
      <c r="R187" s="256"/>
      <c r="S187" s="256"/>
      <c r="T187" s="256"/>
      <c r="U187" s="256"/>
      <c r="V187" s="256"/>
      <c r="W187" s="256"/>
      <c r="X187" s="256"/>
      <c r="Y187" s="256"/>
      <c r="Z187" s="256"/>
    </row>
    <row r="188">
      <c r="A188" s="256"/>
      <c r="B188" s="256"/>
      <c r="C188" s="256"/>
      <c r="D188" s="256"/>
      <c r="E188" s="256"/>
      <c r="F188" s="256"/>
      <c r="G188" s="256"/>
      <c r="H188" s="256"/>
      <c r="I188" s="256"/>
      <c r="J188" s="256"/>
      <c r="K188" s="256"/>
      <c r="L188" s="256"/>
      <c r="M188" s="256"/>
      <c r="N188" s="256"/>
      <c r="O188" s="256"/>
      <c r="P188" s="256"/>
      <c r="Q188" s="256"/>
      <c r="R188" s="256"/>
      <c r="S188" s="256"/>
      <c r="T188" s="256"/>
      <c r="U188" s="256"/>
      <c r="V188" s="256"/>
      <c r="W188" s="256"/>
      <c r="X188" s="256"/>
      <c r="Y188" s="256"/>
      <c r="Z188" s="256"/>
    </row>
    <row r="189">
      <c r="A189" s="256"/>
      <c r="B189" s="256"/>
      <c r="C189" s="256"/>
      <c r="D189" s="256"/>
      <c r="E189" s="256"/>
      <c r="F189" s="256"/>
      <c r="G189" s="256"/>
      <c r="H189" s="256"/>
      <c r="I189" s="256"/>
      <c r="J189" s="256"/>
      <c r="K189" s="256"/>
      <c r="L189" s="256"/>
      <c r="M189" s="256"/>
      <c r="N189" s="256"/>
      <c r="O189" s="256"/>
      <c r="P189" s="256"/>
      <c r="Q189" s="256"/>
      <c r="R189" s="256"/>
      <c r="S189" s="256"/>
      <c r="T189" s="256"/>
      <c r="U189" s="256"/>
      <c r="V189" s="256"/>
      <c r="W189" s="256"/>
      <c r="X189" s="256"/>
      <c r="Y189" s="256"/>
      <c r="Z189" s="256"/>
    </row>
    <row r="190">
      <c r="A190" s="256"/>
      <c r="B190" s="256"/>
      <c r="C190" s="256"/>
      <c r="D190" s="256"/>
      <c r="E190" s="256"/>
      <c r="F190" s="256"/>
      <c r="G190" s="256"/>
      <c r="H190" s="256"/>
      <c r="I190" s="256"/>
      <c r="J190" s="256"/>
      <c r="K190" s="256"/>
      <c r="L190" s="256"/>
      <c r="M190" s="256"/>
      <c r="N190" s="256"/>
      <c r="O190" s="256"/>
      <c r="P190" s="256"/>
      <c r="Q190" s="256"/>
      <c r="R190" s="256"/>
      <c r="S190" s="256"/>
      <c r="T190" s="256"/>
      <c r="U190" s="256"/>
      <c r="V190" s="256"/>
      <c r="W190" s="256"/>
      <c r="X190" s="256"/>
      <c r="Y190" s="256"/>
      <c r="Z190" s="256"/>
    </row>
    <row r="191">
      <c r="A191" s="256"/>
      <c r="B191" s="256"/>
      <c r="C191" s="256"/>
      <c r="D191" s="256"/>
      <c r="E191" s="256"/>
      <c r="F191" s="256"/>
      <c r="G191" s="256"/>
      <c r="H191" s="256"/>
      <c r="I191" s="256"/>
      <c r="J191" s="256"/>
      <c r="K191" s="256"/>
      <c r="L191" s="256"/>
      <c r="M191" s="256"/>
      <c r="N191" s="256"/>
      <c r="O191" s="256"/>
      <c r="P191" s="256"/>
      <c r="Q191" s="256"/>
      <c r="R191" s="256"/>
      <c r="S191" s="256"/>
      <c r="T191" s="256"/>
      <c r="U191" s="256"/>
      <c r="V191" s="256"/>
      <c r="W191" s="256"/>
      <c r="X191" s="256"/>
      <c r="Y191" s="256"/>
      <c r="Z191" s="256"/>
    </row>
    <row r="192">
      <c r="A192" s="256"/>
      <c r="B192" s="256"/>
      <c r="C192" s="256"/>
      <c r="D192" s="256"/>
      <c r="E192" s="256"/>
      <c r="F192" s="256"/>
      <c r="G192" s="256"/>
      <c r="H192" s="256"/>
      <c r="I192" s="256"/>
      <c r="J192" s="256"/>
      <c r="K192" s="256"/>
      <c r="L192" s="256"/>
      <c r="M192" s="256"/>
      <c r="N192" s="256"/>
      <c r="O192" s="256"/>
      <c r="P192" s="256"/>
      <c r="Q192" s="256"/>
      <c r="R192" s="256"/>
      <c r="S192" s="256"/>
      <c r="T192" s="256"/>
      <c r="U192" s="256"/>
      <c r="V192" s="256"/>
      <c r="W192" s="256"/>
      <c r="X192" s="256"/>
      <c r="Y192" s="256"/>
      <c r="Z192" s="256"/>
    </row>
    <row r="193">
      <c r="A193" s="256"/>
      <c r="B193" s="256"/>
      <c r="C193" s="256"/>
      <c r="D193" s="256"/>
      <c r="E193" s="256"/>
      <c r="F193" s="256"/>
      <c r="G193" s="256"/>
      <c r="H193" s="256"/>
      <c r="I193" s="256"/>
      <c r="J193" s="256"/>
      <c r="K193" s="256"/>
      <c r="L193" s="256"/>
      <c r="M193" s="256"/>
      <c r="N193" s="256"/>
      <c r="O193" s="256"/>
      <c r="P193" s="256"/>
      <c r="Q193" s="256"/>
      <c r="R193" s="256"/>
      <c r="S193" s="256"/>
      <c r="T193" s="256"/>
      <c r="U193" s="256"/>
      <c r="V193" s="256"/>
      <c r="W193" s="256"/>
      <c r="X193" s="256"/>
      <c r="Y193" s="256"/>
      <c r="Z193" s="256"/>
    </row>
    <row r="194">
      <c r="A194" s="256"/>
      <c r="B194" s="256"/>
      <c r="C194" s="256"/>
      <c r="D194" s="256"/>
      <c r="E194" s="256"/>
      <c r="F194" s="256"/>
      <c r="G194" s="256"/>
      <c r="H194" s="256"/>
      <c r="I194" s="256"/>
      <c r="J194" s="256"/>
      <c r="K194" s="256"/>
      <c r="L194" s="256"/>
      <c r="M194" s="256"/>
      <c r="N194" s="256"/>
      <c r="O194" s="256"/>
      <c r="P194" s="256"/>
      <c r="Q194" s="256"/>
      <c r="R194" s="256"/>
      <c r="S194" s="256"/>
      <c r="T194" s="256"/>
      <c r="U194" s="256"/>
      <c r="V194" s="256"/>
      <c r="W194" s="256"/>
      <c r="X194" s="256"/>
      <c r="Y194" s="256"/>
      <c r="Z194" s="256"/>
    </row>
    <row r="195">
      <c r="A195" s="256"/>
      <c r="B195" s="256"/>
      <c r="C195" s="256"/>
      <c r="D195" s="256"/>
      <c r="E195" s="256"/>
      <c r="F195" s="256"/>
      <c r="G195" s="256"/>
      <c r="H195" s="256"/>
      <c r="I195" s="256"/>
      <c r="J195" s="256"/>
      <c r="K195" s="256"/>
      <c r="L195" s="256"/>
      <c r="M195" s="256"/>
      <c r="N195" s="256"/>
      <c r="O195" s="256"/>
      <c r="P195" s="256"/>
      <c r="Q195" s="256"/>
      <c r="R195" s="256"/>
      <c r="S195" s="256"/>
      <c r="T195" s="256"/>
      <c r="U195" s="256"/>
      <c r="V195" s="256"/>
      <c r="W195" s="256"/>
      <c r="X195" s="256"/>
      <c r="Y195" s="256"/>
      <c r="Z195" s="256"/>
    </row>
    <row r="196">
      <c r="A196" s="256"/>
      <c r="B196" s="256"/>
      <c r="C196" s="256"/>
      <c r="D196" s="256"/>
      <c r="E196" s="256"/>
      <c r="F196" s="256"/>
      <c r="G196" s="256"/>
      <c r="H196" s="256"/>
      <c r="I196" s="256"/>
      <c r="J196" s="256"/>
      <c r="K196" s="256"/>
      <c r="L196" s="256"/>
      <c r="M196" s="256"/>
      <c r="N196" s="256"/>
      <c r="O196" s="256"/>
      <c r="P196" s="256"/>
      <c r="Q196" s="256"/>
      <c r="R196" s="256"/>
      <c r="S196" s="256"/>
      <c r="T196" s="256"/>
      <c r="U196" s="256"/>
      <c r="V196" s="256"/>
      <c r="W196" s="256"/>
      <c r="X196" s="256"/>
      <c r="Y196" s="256"/>
      <c r="Z196" s="256"/>
    </row>
    <row r="197">
      <c r="A197" s="256"/>
      <c r="B197" s="256"/>
      <c r="C197" s="256"/>
      <c r="D197" s="256"/>
      <c r="E197" s="256"/>
      <c r="F197" s="256"/>
      <c r="G197" s="256"/>
      <c r="H197" s="256"/>
      <c r="I197" s="256"/>
      <c r="J197" s="256"/>
      <c r="K197" s="256"/>
      <c r="L197" s="256"/>
      <c r="M197" s="256"/>
      <c r="N197" s="256"/>
      <c r="O197" s="256"/>
      <c r="P197" s="256"/>
      <c r="Q197" s="256"/>
      <c r="R197" s="256"/>
      <c r="S197" s="256"/>
      <c r="T197" s="256"/>
      <c r="U197" s="256"/>
      <c r="V197" s="256"/>
      <c r="W197" s="256"/>
      <c r="X197" s="256"/>
      <c r="Y197" s="256"/>
      <c r="Z197" s="256"/>
    </row>
    <row r="198">
      <c r="A198" s="256"/>
      <c r="B198" s="256"/>
      <c r="C198" s="256"/>
      <c r="D198" s="256"/>
      <c r="E198" s="256"/>
      <c r="F198" s="256"/>
      <c r="G198" s="256"/>
      <c r="H198" s="256"/>
      <c r="I198" s="256"/>
      <c r="J198" s="256"/>
      <c r="K198" s="256"/>
      <c r="L198" s="256"/>
      <c r="M198" s="256"/>
      <c r="N198" s="256"/>
      <c r="O198" s="256"/>
      <c r="P198" s="256"/>
      <c r="Q198" s="256"/>
      <c r="R198" s="256"/>
      <c r="S198" s="256"/>
      <c r="T198" s="256"/>
      <c r="U198" s="256"/>
      <c r="V198" s="256"/>
      <c r="W198" s="256"/>
      <c r="X198" s="256"/>
      <c r="Y198" s="256"/>
      <c r="Z198" s="256"/>
    </row>
    <row r="199">
      <c r="A199" s="256"/>
      <c r="B199" s="256"/>
      <c r="C199" s="256"/>
      <c r="D199" s="256"/>
      <c r="E199" s="256"/>
      <c r="F199" s="256"/>
      <c r="G199" s="256"/>
      <c r="H199" s="256"/>
      <c r="I199" s="256"/>
      <c r="J199" s="256"/>
      <c r="K199" s="256"/>
      <c r="L199" s="256"/>
      <c r="M199" s="256"/>
      <c r="N199" s="256"/>
      <c r="O199" s="256"/>
      <c r="P199" s="256"/>
      <c r="Q199" s="256"/>
      <c r="R199" s="256"/>
      <c r="S199" s="256"/>
      <c r="T199" s="256"/>
      <c r="U199" s="256"/>
      <c r="V199" s="256"/>
      <c r="W199" s="256"/>
      <c r="X199" s="256"/>
      <c r="Y199" s="256"/>
      <c r="Z199" s="256"/>
    </row>
    <row r="200">
      <c r="A200" s="256"/>
      <c r="B200" s="256"/>
      <c r="C200" s="256"/>
      <c r="D200" s="256"/>
      <c r="E200" s="256"/>
      <c r="F200" s="256"/>
      <c r="G200" s="256"/>
      <c r="H200" s="256"/>
      <c r="I200" s="256"/>
      <c r="J200" s="256"/>
      <c r="K200" s="256"/>
      <c r="L200" s="256"/>
      <c r="M200" s="256"/>
      <c r="N200" s="256"/>
      <c r="O200" s="256"/>
      <c r="P200" s="256"/>
      <c r="Q200" s="256"/>
      <c r="R200" s="256"/>
      <c r="S200" s="256"/>
      <c r="T200" s="256"/>
      <c r="U200" s="256"/>
      <c r="V200" s="256"/>
      <c r="W200" s="256"/>
      <c r="X200" s="256"/>
      <c r="Y200" s="256"/>
      <c r="Z200" s="256"/>
    </row>
    <row r="201">
      <c r="A201" s="256"/>
      <c r="B201" s="256"/>
      <c r="C201" s="256"/>
      <c r="D201" s="256"/>
      <c r="E201" s="256"/>
      <c r="F201" s="256"/>
      <c r="G201" s="256"/>
      <c r="H201" s="256"/>
      <c r="I201" s="256"/>
      <c r="J201" s="256"/>
      <c r="K201" s="256"/>
      <c r="L201" s="256"/>
      <c r="M201" s="256"/>
      <c r="N201" s="256"/>
      <c r="O201" s="256"/>
      <c r="P201" s="256"/>
      <c r="Q201" s="256"/>
      <c r="R201" s="256"/>
      <c r="S201" s="256"/>
      <c r="T201" s="256"/>
      <c r="U201" s="256"/>
      <c r="V201" s="256"/>
      <c r="W201" s="256"/>
      <c r="X201" s="256"/>
      <c r="Y201" s="256"/>
      <c r="Z201" s="256"/>
    </row>
    <row r="202">
      <c r="A202" s="256"/>
      <c r="B202" s="256"/>
      <c r="C202" s="256"/>
      <c r="D202" s="256"/>
      <c r="E202" s="256"/>
      <c r="F202" s="256"/>
      <c r="G202" s="256"/>
      <c r="H202" s="256"/>
      <c r="I202" s="256"/>
      <c r="J202" s="256"/>
      <c r="K202" s="256"/>
      <c r="L202" s="256"/>
      <c r="M202" s="256"/>
      <c r="N202" s="256"/>
      <c r="O202" s="256"/>
      <c r="P202" s="256"/>
      <c r="Q202" s="256"/>
      <c r="R202" s="256"/>
      <c r="S202" s="256"/>
      <c r="T202" s="256"/>
      <c r="U202" s="256"/>
      <c r="V202" s="256"/>
      <c r="W202" s="256"/>
      <c r="X202" s="256"/>
      <c r="Y202" s="256"/>
      <c r="Z202" s="256"/>
    </row>
    <row r="203">
      <c r="A203" s="256"/>
      <c r="B203" s="256"/>
      <c r="C203" s="256"/>
      <c r="D203" s="256"/>
      <c r="E203" s="256"/>
      <c r="F203" s="256"/>
      <c r="G203" s="256"/>
      <c r="H203" s="256"/>
      <c r="I203" s="256"/>
      <c r="J203" s="256"/>
      <c r="K203" s="256"/>
      <c r="L203" s="256"/>
      <c r="M203" s="256"/>
      <c r="N203" s="256"/>
      <c r="O203" s="256"/>
      <c r="P203" s="256"/>
      <c r="Q203" s="256"/>
      <c r="R203" s="256"/>
      <c r="S203" s="256"/>
      <c r="T203" s="256"/>
      <c r="U203" s="256"/>
      <c r="V203" s="256"/>
      <c r="W203" s="256"/>
      <c r="X203" s="256"/>
      <c r="Y203" s="256"/>
      <c r="Z203" s="256"/>
    </row>
    <row r="204">
      <c r="A204" s="256"/>
      <c r="B204" s="256"/>
      <c r="C204" s="256"/>
      <c r="D204" s="256"/>
      <c r="E204" s="256"/>
      <c r="F204" s="256"/>
      <c r="G204" s="256"/>
      <c r="H204" s="256"/>
      <c r="I204" s="256"/>
      <c r="J204" s="256"/>
      <c r="K204" s="256"/>
      <c r="L204" s="256"/>
      <c r="M204" s="256"/>
      <c r="N204" s="256"/>
      <c r="O204" s="256"/>
      <c r="P204" s="256"/>
      <c r="Q204" s="256"/>
      <c r="R204" s="256"/>
      <c r="S204" s="256"/>
      <c r="T204" s="256"/>
      <c r="U204" s="256"/>
      <c r="V204" s="256"/>
      <c r="W204" s="256"/>
      <c r="X204" s="256"/>
      <c r="Y204" s="256"/>
      <c r="Z204" s="256"/>
    </row>
    <row r="205">
      <c r="A205" s="256"/>
      <c r="B205" s="256"/>
      <c r="C205" s="256"/>
      <c r="D205" s="256"/>
      <c r="E205" s="256"/>
      <c r="F205" s="256"/>
      <c r="G205" s="256"/>
      <c r="H205" s="256"/>
      <c r="I205" s="256"/>
      <c r="J205" s="256"/>
      <c r="K205" s="256"/>
      <c r="L205" s="256"/>
      <c r="M205" s="256"/>
      <c r="N205" s="256"/>
      <c r="O205" s="256"/>
      <c r="P205" s="256"/>
      <c r="Q205" s="256"/>
      <c r="R205" s="256"/>
      <c r="S205" s="256"/>
      <c r="T205" s="256"/>
      <c r="U205" s="256"/>
      <c r="V205" s="256"/>
      <c r="W205" s="256"/>
      <c r="X205" s="256"/>
      <c r="Y205" s="256"/>
      <c r="Z205" s="256"/>
    </row>
    <row r="206">
      <c r="A206" s="256"/>
      <c r="B206" s="256"/>
      <c r="C206" s="256"/>
      <c r="D206" s="256"/>
      <c r="E206" s="256"/>
      <c r="F206" s="256"/>
      <c r="G206" s="256"/>
      <c r="H206" s="256"/>
      <c r="I206" s="256"/>
      <c r="J206" s="256"/>
      <c r="K206" s="256"/>
      <c r="L206" s="256"/>
      <c r="M206" s="256"/>
      <c r="N206" s="256"/>
      <c r="O206" s="256"/>
      <c r="P206" s="256"/>
      <c r="Q206" s="256"/>
      <c r="R206" s="256"/>
      <c r="S206" s="256"/>
      <c r="T206" s="256"/>
      <c r="U206" s="256"/>
      <c r="V206" s="256"/>
      <c r="W206" s="256"/>
      <c r="X206" s="256"/>
      <c r="Y206" s="256"/>
      <c r="Z206" s="256"/>
    </row>
    <row r="207">
      <c r="A207" s="256"/>
      <c r="B207" s="256"/>
      <c r="C207" s="256"/>
      <c r="D207" s="256"/>
      <c r="E207" s="256"/>
      <c r="F207" s="256"/>
      <c r="G207" s="256"/>
      <c r="H207" s="256"/>
      <c r="I207" s="256"/>
      <c r="J207" s="256"/>
      <c r="K207" s="256"/>
      <c r="L207" s="256"/>
      <c r="M207" s="256"/>
      <c r="N207" s="256"/>
      <c r="O207" s="256"/>
      <c r="P207" s="256"/>
      <c r="Q207" s="256"/>
      <c r="R207" s="256"/>
      <c r="S207" s="256"/>
      <c r="T207" s="256"/>
      <c r="U207" s="256"/>
      <c r="V207" s="256"/>
      <c r="W207" s="256"/>
      <c r="X207" s="256"/>
      <c r="Y207" s="256"/>
      <c r="Z207" s="256"/>
    </row>
    <row r="208">
      <c r="A208" s="256"/>
      <c r="B208" s="256"/>
      <c r="C208" s="256"/>
      <c r="D208" s="256"/>
      <c r="E208" s="256"/>
      <c r="F208" s="256"/>
      <c r="G208" s="256"/>
      <c r="H208" s="256"/>
      <c r="I208" s="256"/>
      <c r="J208" s="256"/>
      <c r="K208" s="256"/>
      <c r="L208" s="256"/>
      <c r="M208" s="256"/>
      <c r="N208" s="256"/>
      <c r="O208" s="256"/>
      <c r="P208" s="256"/>
      <c r="Q208" s="256"/>
      <c r="R208" s="256"/>
      <c r="S208" s="256"/>
      <c r="T208" s="256"/>
      <c r="U208" s="256"/>
      <c r="V208" s="256"/>
      <c r="W208" s="256"/>
      <c r="X208" s="256"/>
      <c r="Y208" s="256"/>
      <c r="Z208" s="256"/>
    </row>
    <row r="209">
      <c r="A209" s="256"/>
      <c r="B209" s="256"/>
      <c r="C209" s="256"/>
      <c r="D209" s="256"/>
      <c r="E209" s="256"/>
      <c r="F209" s="256"/>
      <c r="G209" s="256"/>
      <c r="H209" s="256"/>
      <c r="I209" s="256"/>
      <c r="J209" s="256"/>
      <c r="K209" s="256"/>
      <c r="L209" s="256"/>
      <c r="M209" s="256"/>
      <c r="N209" s="256"/>
      <c r="O209" s="256"/>
      <c r="P209" s="256"/>
      <c r="Q209" s="256"/>
      <c r="R209" s="256"/>
      <c r="S209" s="256"/>
      <c r="T209" s="256"/>
      <c r="U209" s="256"/>
      <c r="V209" s="256"/>
      <c r="W209" s="256"/>
      <c r="X209" s="256"/>
      <c r="Y209" s="256"/>
      <c r="Z209" s="256"/>
    </row>
    <row r="210">
      <c r="A210" s="256"/>
      <c r="B210" s="256"/>
      <c r="C210" s="256"/>
      <c r="D210" s="256"/>
      <c r="E210" s="256"/>
      <c r="F210" s="256"/>
      <c r="G210" s="256"/>
      <c r="H210" s="256"/>
      <c r="I210" s="256"/>
      <c r="J210" s="256"/>
      <c r="K210" s="256"/>
      <c r="L210" s="256"/>
      <c r="M210" s="256"/>
      <c r="N210" s="256"/>
      <c r="O210" s="256"/>
      <c r="P210" s="256"/>
      <c r="Q210" s="256"/>
      <c r="R210" s="256"/>
      <c r="S210" s="256"/>
      <c r="T210" s="256"/>
      <c r="U210" s="256"/>
      <c r="V210" s="256"/>
      <c r="W210" s="256"/>
      <c r="X210" s="256"/>
      <c r="Y210" s="256"/>
      <c r="Z210" s="256"/>
    </row>
    <row r="211">
      <c r="A211" s="256"/>
      <c r="B211" s="256"/>
      <c r="C211" s="256"/>
      <c r="D211" s="256"/>
      <c r="E211" s="256"/>
      <c r="F211" s="256"/>
      <c r="G211" s="256"/>
      <c r="H211" s="256"/>
      <c r="I211" s="256"/>
      <c r="J211" s="256"/>
      <c r="K211" s="256"/>
      <c r="L211" s="256"/>
      <c r="M211" s="256"/>
      <c r="N211" s="256"/>
      <c r="O211" s="256"/>
      <c r="P211" s="256"/>
      <c r="Q211" s="256"/>
      <c r="R211" s="256"/>
      <c r="S211" s="256"/>
      <c r="T211" s="256"/>
      <c r="U211" s="256"/>
      <c r="V211" s="256"/>
      <c r="W211" s="256"/>
      <c r="X211" s="256"/>
      <c r="Y211" s="256"/>
      <c r="Z211" s="256"/>
    </row>
    <row r="212">
      <c r="A212" s="256"/>
      <c r="B212" s="256"/>
      <c r="C212" s="256"/>
      <c r="D212" s="256"/>
      <c r="E212" s="256"/>
      <c r="F212" s="256"/>
      <c r="G212" s="256"/>
      <c r="H212" s="256"/>
      <c r="I212" s="256"/>
      <c r="J212" s="256"/>
      <c r="K212" s="256"/>
      <c r="L212" s="256"/>
      <c r="M212" s="256"/>
      <c r="N212" s="256"/>
      <c r="O212" s="256"/>
      <c r="P212" s="256"/>
      <c r="Q212" s="256"/>
      <c r="R212" s="256"/>
      <c r="S212" s="256"/>
      <c r="T212" s="256"/>
      <c r="U212" s="256"/>
      <c r="V212" s="256"/>
      <c r="W212" s="256"/>
      <c r="X212" s="256"/>
      <c r="Y212" s="256"/>
      <c r="Z212" s="256"/>
    </row>
    <row r="213">
      <c r="A213" s="256"/>
      <c r="B213" s="256"/>
      <c r="C213" s="256"/>
      <c r="D213" s="256"/>
      <c r="E213" s="256"/>
      <c r="F213" s="256"/>
      <c r="G213" s="256"/>
      <c r="H213" s="256"/>
      <c r="I213" s="256"/>
      <c r="J213" s="256"/>
      <c r="K213" s="256"/>
      <c r="L213" s="256"/>
      <c r="M213" s="256"/>
      <c r="N213" s="256"/>
      <c r="O213" s="256"/>
      <c r="P213" s="256"/>
      <c r="Q213" s="256"/>
      <c r="R213" s="256"/>
      <c r="S213" s="256"/>
      <c r="T213" s="256"/>
      <c r="U213" s="256"/>
      <c r="V213" s="256"/>
      <c r="W213" s="256"/>
      <c r="X213" s="256"/>
      <c r="Y213" s="256"/>
      <c r="Z213" s="256"/>
    </row>
    <row r="214">
      <c r="A214" s="256"/>
      <c r="B214" s="256"/>
      <c r="C214" s="256"/>
      <c r="D214" s="256"/>
      <c r="E214" s="256"/>
      <c r="F214" s="256"/>
      <c r="G214" s="256"/>
      <c r="H214" s="256"/>
      <c r="I214" s="256"/>
      <c r="J214" s="256"/>
      <c r="K214" s="256"/>
      <c r="L214" s="256"/>
      <c r="M214" s="256"/>
      <c r="N214" s="256"/>
      <c r="O214" s="256"/>
      <c r="P214" s="256"/>
      <c r="Q214" s="256"/>
      <c r="R214" s="256"/>
      <c r="S214" s="256"/>
      <c r="T214" s="256"/>
      <c r="U214" s="256"/>
      <c r="V214" s="256"/>
      <c r="W214" s="256"/>
      <c r="X214" s="256"/>
      <c r="Y214" s="256"/>
      <c r="Z214" s="256"/>
    </row>
    <row r="215">
      <c r="A215" s="256"/>
      <c r="B215" s="256"/>
      <c r="C215" s="256"/>
      <c r="D215" s="256"/>
      <c r="E215" s="256"/>
      <c r="F215" s="256"/>
      <c r="G215" s="256"/>
      <c r="H215" s="256"/>
      <c r="I215" s="256"/>
      <c r="J215" s="256"/>
      <c r="K215" s="256"/>
      <c r="L215" s="256"/>
      <c r="M215" s="256"/>
      <c r="N215" s="256"/>
      <c r="O215" s="256"/>
      <c r="P215" s="256"/>
      <c r="Q215" s="256"/>
      <c r="R215" s="256"/>
      <c r="S215" s="256"/>
      <c r="T215" s="256"/>
      <c r="U215" s="256"/>
      <c r="V215" s="256"/>
      <c r="W215" s="256"/>
      <c r="X215" s="256"/>
      <c r="Y215" s="256"/>
      <c r="Z215" s="256"/>
    </row>
    <row r="216">
      <c r="A216" s="256"/>
      <c r="B216" s="256"/>
      <c r="C216" s="256"/>
      <c r="D216" s="256"/>
      <c r="E216" s="256"/>
      <c r="F216" s="256"/>
      <c r="G216" s="256"/>
      <c r="H216" s="256"/>
      <c r="I216" s="256"/>
      <c r="J216" s="256"/>
      <c r="K216" s="256"/>
      <c r="L216" s="256"/>
      <c r="M216" s="256"/>
      <c r="N216" s="256"/>
      <c r="O216" s="256"/>
      <c r="P216" s="256"/>
      <c r="Q216" s="256"/>
      <c r="R216" s="256"/>
      <c r="S216" s="256"/>
      <c r="T216" s="256"/>
      <c r="U216" s="256"/>
      <c r="V216" s="256"/>
      <c r="W216" s="256"/>
      <c r="X216" s="256"/>
      <c r="Y216" s="256"/>
      <c r="Z216" s="256"/>
    </row>
    <row r="217">
      <c r="A217" s="256"/>
      <c r="B217" s="256"/>
      <c r="C217" s="256"/>
      <c r="D217" s="256"/>
      <c r="E217" s="256"/>
      <c r="F217" s="256"/>
      <c r="G217" s="256"/>
      <c r="H217" s="256"/>
      <c r="I217" s="256"/>
      <c r="J217" s="256"/>
      <c r="K217" s="256"/>
      <c r="L217" s="256"/>
      <c r="M217" s="256"/>
      <c r="N217" s="256"/>
      <c r="O217" s="256"/>
      <c r="P217" s="256"/>
      <c r="Q217" s="256"/>
      <c r="R217" s="256"/>
      <c r="S217" s="256"/>
      <c r="T217" s="256"/>
      <c r="U217" s="256"/>
      <c r="V217" s="256"/>
      <c r="W217" s="256"/>
      <c r="X217" s="256"/>
      <c r="Y217" s="256"/>
      <c r="Z217" s="256"/>
    </row>
    <row r="218">
      <c r="A218" s="256"/>
      <c r="B218" s="256"/>
      <c r="C218" s="256"/>
      <c r="D218" s="256"/>
      <c r="E218" s="256"/>
      <c r="F218" s="256"/>
      <c r="G218" s="256"/>
      <c r="H218" s="256"/>
      <c r="I218" s="256"/>
      <c r="J218" s="256"/>
      <c r="K218" s="256"/>
      <c r="L218" s="256"/>
      <c r="M218" s="256"/>
      <c r="N218" s="256"/>
      <c r="O218" s="256"/>
      <c r="P218" s="256"/>
      <c r="Q218" s="256"/>
      <c r="R218" s="256"/>
      <c r="S218" s="256"/>
      <c r="T218" s="256"/>
      <c r="U218" s="256"/>
      <c r="V218" s="256"/>
      <c r="W218" s="256"/>
      <c r="X218" s="256"/>
      <c r="Y218" s="256"/>
      <c r="Z218" s="256"/>
    </row>
    <row r="219">
      <c r="A219" s="256"/>
      <c r="B219" s="256"/>
      <c r="C219" s="256"/>
      <c r="D219" s="256"/>
      <c r="E219" s="256"/>
      <c r="F219" s="256"/>
      <c r="G219" s="256"/>
      <c r="H219" s="256"/>
      <c r="I219" s="256"/>
      <c r="J219" s="256"/>
      <c r="K219" s="256"/>
      <c r="L219" s="256"/>
      <c r="M219" s="256"/>
      <c r="N219" s="256"/>
      <c r="O219" s="256"/>
      <c r="P219" s="256"/>
      <c r="Q219" s="256"/>
      <c r="R219" s="256"/>
      <c r="S219" s="256"/>
      <c r="T219" s="256"/>
      <c r="U219" s="256"/>
      <c r="V219" s="256"/>
      <c r="W219" s="256"/>
      <c r="X219" s="256"/>
      <c r="Y219" s="256"/>
      <c r="Z219" s="256"/>
    </row>
    <row r="220">
      <c r="A220" s="256"/>
      <c r="B220" s="256"/>
      <c r="C220" s="256"/>
      <c r="D220" s="256"/>
      <c r="E220" s="256"/>
      <c r="F220" s="256"/>
      <c r="G220" s="256"/>
      <c r="H220" s="256"/>
      <c r="I220" s="256"/>
      <c r="J220" s="256"/>
      <c r="K220" s="256"/>
      <c r="L220" s="256"/>
      <c r="M220" s="256"/>
      <c r="N220" s="256"/>
      <c r="O220" s="256"/>
      <c r="P220" s="256"/>
      <c r="Q220" s="256"/>
      <c r="R220" s="256"/>
      <c r="S220" s="256"/>
      <c r="T220" s="256"/>
      <c r="U220" s="256"/>
      <c r="V220" s="256"/>
      <c r="W220" s="256"/>
      <c r="X220" s="256"/>
      <c r="Y220" s="256"/>
      <c r="Z220" s="256"/>
    </row>
    <row r="221">
      <c r="A221" s="256"/>
      <c r="B221" s="256"/>
      <c r="C221" s="256"/>
      <c r="D221" s="256"/>
      <c r="E221" s="256"/>
      <c r="F221" s="256"/>
      <c r="G221" s="256"/>
      <c r="H221" s="256"/>
      <c r="I221" s="256"/>
      <c r="J221" s="256"/>
      <c r="K221" s="256"/>
      <c r="L221" s="256"/>
      <c r="M221" s="256"/>
      <c r="N221" s="256"/>
      <c r="O221" s="256"/>
      <c r="P221" s="256"/>
      <c r="Q221" s="256"/>
      <c r="R221" s="256"/>
      <c r="S221" s="256"/>
      <c r="T221" s="256"/>
      <c r="U221" s="256"/>
      <c r="V221" s="256"/>
      <c r="W221" s="256"/>
      <c r="X221" s="256"/>
      <c r="Y221" s="256"/>
      <c r="Z221" s="256"/>
    </row>
    <row r="222">
      <c r="A222" s="256"/>
      <c r="B222" s="256"/>
      <c r="C222" s="256"/>
      <c r="D222" s="256"/>
      <c r="E222" s="256"/>
      <c r="F222" s="256"/>
      <c r="G222" s="256"/>
      <c r="H222" s="256"/>
      <c r="I222" s="256"/>
      <c r="J222" s="256"/>
      <c r="K222" s="256"/>
      <c r="L222" s="256"/>
      <c r="M222" s="256"/>
      <c r="N222" s="256"/>
      <c r="O222" s="256"/>
      <c r="P222" s="256"/>
      <c r="Q222" s="256"/>
      <c r="R222" s="256"/>
      <c r="S222" s="256"/>
      <c r="T222" s="256"/>
      <c r="U222" s="256"/>
      <c r="V222" s="256"/>
      <c r="W222" s="256"/>
      <c r="X222" s="256"/>
      <c r="Y222" s="256"/>
      <c r="Z222" s="256"/>
    </row>
    <row r="223">
      <c r="A223" s="256"/>
      <c r="B223" s="256"/>
      <c r="C223" s="256"/>
      <c r="D223" s="256"/>
      <c r="E223" s="256"/>
      <c r="F223" s="256"/>
      <c r="G223" s="256"/>
      <c r="H223" s="256"/>
      <c r="I223" s="256"/>
      <c r="J223" s="256"/>
      <c r="K223" s="256"/>
      <c r="L223" s="256"/>
      <c r="M223" s="256"/>
      <c r="N223" s="256"/>
      <c r="O223" s="256"/>
      <c r="P223" s="256"/>
      <c r="Q223" s="256"/>
      <c r="R223" s="256"/>
      <c r="S223" s="256"/>
      <c r="T223" s="256"/>
      <c r="U223" s="256"/>
      <c r="V223" s="256"/>
      <c r="W223" s="256"/>
      <c r="X223" s="256"/>
      <c r="Y223" s="256"/>
      <c r="Z223" s="256"/>
    </row>
    <row r="224">
      <c r="A224" s="256"/>
      <c r="B224" s="256"/>
      <c r="C224" s="256"/>
      <c r="D224" s="256"/>
      <c r="E224" s="256"/>
      <c r="F224" s="256"/>
      <c r="G224" s="256"/>
      <c r="H224" s="256"/>
      <c r="I224" s="256"/>
      <c r="J224" s="256"/>
      <c r="K224" s="256"/>
      <c r="L224" s="256"/>
      <c r="M224" s="256"/>
      <c r="N224" s="256"/>
      <c r="O224" s="256"/>
      <c r="P224" s="256"/>
      <c r="Q224" s="256"/>
      <c r="R224" s="256"/>
      <c r="S224" s="256"/>
      <c r="T224" s="256"/>
      <c r="U224" s="256"/>
      <c r="V224" s="256"/>
      <c r="W224" s="256"/>
      <c r="X224" s="256"/>
      <c r="Y224" s="256"/>
      <c r="Z224" s="256"/>
    </row>
    <row r="225">
      <c r="A225" s="256"/>
      <c r="B225" s="256"/>
      <c r="C225" s="256"/>
      <c r="D225" s="256"/>
      <c r="E225" s="256"/>
      <c r="F225" s="256"/>
      <c r="G225" s="256"/>
      <c r="H225" s="256"/>
      <c r="I225" s="256"/>
      <c r="J225" s="256"/>
      <c r="K225" s="256"/>
      <c r="L225" s="256"/>
      <c r="M225" s="256"/>
      <c r="N225" s="256"/>
      <c r="O225" s="256"/>
      <c r="P225" s="256"/>
      <c r="Q225" s="256"/>
      <c r="R225" s="256"/>
      <c r="S225" s="256"/>
      <c r="T225" s="256"/>
      <c r="U225" s="256"/>
      <c r="V225" s="256"/>
      <c r="W225" s="256"/>
      <c r="X225" s="256"/>
      <c r="Y225" s="256"/>
      <c r="Z225" s="256"/>
    </row>
    <row r="226">
      <c r="A226" s="256"/>
      <c r="B226" s="256"/>
      <c r="C226" s="256"/>
      <c r="D226" s="256"/>
      <c r="E226" s="256"/>
      <c r="F226" s="256"/>
      <c r="G226" s="256"/>
      <c r="H226" s="256"/>
      <c r="I226" s="256"/>
      <c r="J226" s="256"/>
      <c r="K226" s="256"/>
      <c r="L226" s="256"/>
      <c r="M226" s="256"/>
      <c r="N226" s="256"/>
      <c r="O226" s="256"/>
      <c r="P226" s="256"/>
      <c r="Q226" s="256"/>
      <c r="R226" s="256"/>
      <c r="S226" s="256"/>
      <c r="T226" s="256"/>
      <c r="U226" s="256"/>
      <c r="V226" s="256"/>
      <c r="W226" s="256"/>
      <c r="X226" s="256"/>
      <c r="Y226" s="256"/>
      <c r="Z226" s="256"/>
    </row>
    <row r="227">
      <c r="A227" s="256"/>
      <c r="B227" s="256"/>
      <c r="C227" s="256"/>
      <c r="D227" s="256"/>
      <c r="E227" s="256"/>
      <c r="F227" s="256"/>
      <c r="G227" s="256"/>
      <c r="H227" s="256"/>
      <c r="I227" s="256"/>
      <c r="J227" s="256"/>
      <c r="K227" s="256"/>
      <c r="L227" s="256"/>
      <c r="M227" s="256"/>
      <c r="N227" s="256"/>
      <c r="O227" s="256"/>
      <c r="P227" s="256"/>
      <c r="Q227" s="256"/>
      <c r="R227" s="256"/>
      <c r="S227" s="256"/>
      <c r="T227" s="256"/>
      <c r="U227" s="256"/>
      <c r="V227" s="256"/>
      <c r="W227" s="256"/>
      <c r="X227" s="256"/>
      <c r="Y227" s="256"/>
      <c r="Z227" s="256"/>
    </row>
    <row r="228">
      <c r="A228" s="256"/>
      <c r="B228" s="256"/>
      <c r="C228" s="256"/>
      <c r="D228" s="256"/>
      <c r="E228" s="256"/>
      <c r="F228" s="256"/>
      <c r="G228" s="256"/>
      <c r="H228" s="256"/>
      <c r="I228" s="256"/>
      <c r="J228" s="256"/>
      <c r="K228" s="256"/>
      <c r="L228" s="256"/>
      <c r="M228" s="256"/>
      <c r="N228" s="256"/>
      <c r="O228" s="256"/>
      <c r="P228" s="256"/>
      <c r="Q228" s="256"/>
      <c r="R228" s="256"/>
      <c r="S228" s="256"/>
      <c r="T228" s="256"/>
      <c r="U228" s="256"/>
      <c r="V228" s="256"/>
      <c r="W228" s="256"/>
      <c r="X228" s="256"/>
      <c r="Y228" s="256"/>
      <c r="Z228" s="256"/>
    </row>
    <row r="229">
      <c r="A229" s="256"/>
      <c r="B229" s="256"/>
      <c r="C229" s="256"/>
      <c r="D229" s="256"/>
      <c r="E229" s="256"/>
      <c r="F229" s="256"/>
      <c r="G229" s="256"/>
      <c r="H229" s="256"/>
      <c r="I229" s="256"/>
      <c r="J229" s="256"/>
      <c r="K229" s="256"/>
      <c r="L229" s="256"/>
      <c r="M229" s="256"/>
      <c r="N229" s="256"/>
      <c r="O229" s="256"/>
      <c r="P229" s="256"/>
      <c r="Q229" s="256"/>
      <c r="R229" s="256"/>
      <c r="S229" s="256"/>
      <c r="T229" s="256"/>
      <c r="U229" s="256"/>
      <c r="V229" s="256"/>
      <c r="W229" s="256"/>
      <c r="X229" s="256"/>
      <c r="Y229" s="256"/>
      <c r="Z229" s="256"/>
    </row>
    <row r="230">
      <c r="A230" s="256"/>
      <c r="B230" s="256"/>
      <c r="C230" s="256"/>
      <c r="D230" s="256"/>
      <c r="E230" s="256"/>
      <c r="F230" s="256"/>
      <c r="G230" s="256"/>
      <c r="H230" s="256"/>
      <c r="I230" s="256"/>
      <c r="J230" s="256"/>
      <c r="K230" s="256"/>
      <c r="L230" s="256"/>
      <c r="M230" s="256"/>
      <c r="N230" s="256"/>
      <c r="O230" s="256"/>
      <c r="P230" s="256"/>
      <c r="Q230" s="256"/>
      <c r="R230" s="256"/>
      <c r="S230" s="256"/>
      <c r="T230" s="256"/>
      <c r="U230" s="256"/>
      <c r="V230" s="256"/>
      <c r="W230" s="256"/>
      <c r="X230" s="256"/>
      <c r="Y230" s="256"/>
      <c r="Z230" s="256"/>
    </row>
    <row r="231">
      <c r="A231" s="256"/>
      <c r="B231" s="256"/>
      <c r="C231" s="256"/>
      <c r="D231" s="256"/>
      <c r="E231" s="256"/>
      <c r="F231" s="256"/>
      <c r="G231" s="256"/>
      <c r="H231" s="256"/>
      <c r="I231" s="256"/>
      <c r="J231" s="256"/>
      <c r="K231" s="256"/>
      <c r="L231" s="256"/>
      <c r="M231" s="256"/>
      <c r="N231" s="256"/>
      <c r="O231" s="256"/>
      <c r="P231" s="256"/>
      <c r="Q231" s="256"/>
      <c r="R231" s="256"/>
      <c r="S231" s="256"/>
      <c r="T231" s="256"/>
      <c r="U231" s="256"/>
      <c r="V231" s="256"/>
      <c r="W231" s="256"/>
      <c r="X231" s="256"/>
      <c r="Y231" s="256"/>
      <c r="Z231" s="256"/>
    </row>
    <row r="232">
      <c r="A232" s="256"/>
      <c r="B232" s="256"/>
      <c r="C232" s="256"/>
      <c r="D232" s="256"/>
      <c r="E232" s="256"/>
      <c r="F232" s="256"/>
      <c r="G232" s="256"/>
      <c r="H232" s="256"/>
      <c r="I232" s="256"/>
      <c r="J232" s="256"/>
      <c r="K232" s="256"/>
      <c r="L232" s="256"/>
      <c r="M232" s="256"/>
      <c r="N232" s="256"/>
      <c r="O232" s="256"/>
      <c r="P232" s="256"/>
      <c r="Q232" s="256"/>
      <c r="R232" s="256"/>
      <c r="S232" s="256"/>
      <c r="T232" s="256"/>
      <c r="U232" s="256"/>
      <c r="V232" s="256"/>
      <c r="W232" s="256"/>
      <c r="X232" s="256"/>
      <c r="Y232" s="256"/>
      <c r="Z232" s="256"/>
    </row>
    <row r="233">
      <c r="A233" s="256"/>
      <c r="B233" s="256"/>
      <c r="C233" s="256"/>
      <c r="D233" s="256"/>
      <c r="E233" s="256"/>
      <c r="F233" s="256"/>
      <c r="G233" s="256"/>
      <c r="H233" s="256"/>
      <c r="I233" s="256"/>
      <c r="J233" s="256"/>
      <c r="K233" s="256"/>
      <c r="L233" s="256"/>
      <c r="M233" s="256"/>
      <c r="N233" s="256"/>
      <c r="O233" s="256"/>
      <c r="P233" s="256"/>
      <c r="Q233" s="256"/>
      <c r="R233" s="256"/>
      <c r="S233" s="256"/>
      <c r="T233" s="256"/>
      <c r="U233" s="256"/>
      <c r="V233" s="256"/>
      <c r="W233" s="256"/>
      <c r="X233" s="256"/>
      <c r="Y233" s="256"/>
      <c r="Z233" s="256"/>
    </row>
    <row r="234">
      <c r="A234" s="256"/>
      <c r="B234" s="256"/>
      <c r="C234" s="256"/>
      <c r="D234" s="256"/>
      <c r="E234" s="256"/>
      <c r="F234" s="256"/>
      <c r="G234" s="256"/>
      <c r="H234" s="256"/>
      <c r="I234" s="256"/>
      <c r="J234" s="256"/>
      <c r="K234" s="256"/>
      <c r="L234" s="256"/>
      <c r="M234" s="256"/>
      <c r="N234" s="256"/>
      <c r="O234" s="256"/>
      <c r="P234" s="256"/>
      <c r="Q234" s="256"/>
      <c r="R234" s="256"/>
      <c r="S234" s="256"/>
      <c r="T234" s="256"/>
      <c r="U234" s="256"/>
      <c r="V234" s="256"/>
      <c r="W234" s="256"/>
      <c r="X234" s="256"/>
      <c r="Y234" s="256"/>
      <c r="Z234" s="256"/>
    </row>
    <row r="235">
      <c r="A235" s="256"/>
      <c r="B235" s="256"/>
      <c r="C235" s="256"/>
      <c r="D235" s="256"/>
      <c r="E235" s="256"/>
      <c r="F235" s="256"/>
      <c r="G235" s="256"/>
      <c r="H235" s="256"/>
      <c r="I235" s="256"/>
      <c r="J235" s="256"/>
      <c r="K235" s="256"/>
      <c r="L235" s="256"/>
      <c r="M235" s="256"/>
      <c r="N235" s="256"/>
      <c r="O235" s="256"/>
      <c r="P235" s="256"/>
      <c r="Q235" s="256"/>
      <c r="R235" s="256"/>
      <c r="S235" s="256"/>
      <c r="T235" s="256"/>
      <c r="U235" s="256"/>
      <c r="V235" s="256"/>
      <c r="W235" s="256"/>
      <c r="X235" s="256"/>
      <c r="Y235" s="256"/>
      <c r="Z235" s="256"/>
    </row>
    <row r="236">
      <c r="A236" s="256"/>
      <c r="B236" s="256"/>
      <c r="C236" s="256"/>
      <c r="D236" s="256"/>
      <c r="E236" s="256"/>
      <c r="F236" s="256"/>
      <c r="G236" s="256"/>
      <c r="H236" s="256"/>
      <c r="I236" s="256"/>
      <c r="J236" s="256"/>
      <c r="K236" s="256"/>
      <c r="L236" s="256"/>
      <c r="M236" s="256"/>
      <c r="N236" s="256"/>
      <c r="O236" s="256"/>
      <c r="P236" s="256"/>
      <c r="Q236" s="256"/>
      <c r="R236" s="256"/>
      <c r="S236" s="256"/>
      <c r="T236" s="256"/>
      <c r="U236" s="256"/>
      <c r="V236" s="256"/>
      <c r="W236" s="256"/>
      <c r="X236" s="256"/>
      <c r="Y236" s="256"/>
      <c r="Z236" s="256"/>
    </row>
    <row r="237">
      <c r="A237" s="256"/>
      <c r="B237" s="256"/>
      <c r="C237" s="256"/>
      <c r="D237" s="256"/>
      <c r="E237" s="256"/>
      <c r="F237" s="256"/>
      <c r="G237" s="256"/>
      <c r="H237" s="256"/>
      <c r="I237" s="256"/>
      <c r="J237" s="256"/>
      <c r="K237" s="256"/>
      <c r="L237" s="256"/>
      <c r="M237" s="256"/>
      <c r="N237" s="256"/>
      <c r="O237" s="256"/>
      <c r="P237" s="256"/>
      <c r="Q237" s="256"/>
      <c r="R237" s="256"/>
      <c r="S237" s="256"/>
      <c r="T237" s="256"/>
      <c r="U237" s="256"/>
      <c r="V237" s="256"/>
      <c r="W237" s="256"/>
      <c r="X237" s="256"/>
      <c r="Y237" s="256"/>
      <c r="Z237" s="256"/>
    </row>
    <row r="238">
      <c r="A238" s="256"/>
      <c r="B238" s="256"/>
      <c r="C238" s="256"/>
      <c r="D238" s="256"/>
      <c r="E238" s="256"/>
      <c r="F238" s="256"/>
      <c r="G238" s="256"/>
      <c r="H238" s="256"/>
      <c r="I238" s="256"/>
      <c r="J238" s="256"/>
      <c r="K238" s="256"/>
      <c r="L238" s="256"/>
      <c r="M238" s="256"/>
      <c r="N238" s="256"/>
      <c r="O238" s="256"/>
      <c r="P238" s="256"/>
      <c r="Q238" s="256"/>
      <c r="R238" s="256"/>
      <c r="S238" s="256"/>
      <c r="T238" s="256"/>
      <c r="U238" s="256"/>
      <c r="V238" s="256"/>
      <c r="W238" s="256"/>
      <c r="X238" s="256"/>
      <c r="Y238" s="256"/>
      <c r="Z238" s="256"/>
    </row>
    <row r="239">
      <c r="A239" s="256"/>
      <c r="B239" s="256"/>
      <c r="C239" s="256"/>
      <c r="D239" s="256"/>
      <c r="E239" s="256"/>
      <c r="F239" s="256"/>
      <c r="G239" s="256"/>
      <c r="H239" s="256"/>
      <c r="I239" s="256"/>
      <c r="J239" s="256"/>
      <c r="K239" s="256"/>
      <c r="L239" s="256"/>
      <c r="M239" s="256"/>
      <c r="N239" s="256"/>
      <c r="O239" s="256"/>
      <c r="P239" s="256"/>
      <c r="Q239" s="256"/>
      <c r="R239" s="256"/>
      <c r="S239" s="256"/>
      <c r="T239" s="256"/>
      <c r="U239" s="256"/>
      <c r="V239" s="256"/>
      <c r="W239" s="256"/>
      <c r="X239" s="256"/>
      <c r="Y239" s="256"/>
      <c r="Z239" s="256"/>
    </row>
    <row r="240">
      <c r="A240" s="256"/>
      <c r="B240" s="256"/>
      <c r="C240" s="256"/>
      <c r="D240" s="256"/>
      <c r="E240" s="256"/>
      <c r="F240" s="256"/>
      <c r="G240" s="256"/>
      <c r="H240" s="256"/>
      <c r="I240" s="256"/>
      <c r="J240" s="256"/>
      <c r="K240" s="256"/>
      <c r="L240" s="256"/>
      <c r="M240" s="256"/>
      <c r="N240" s="256"/>
      <c r="O240" s="256"/>
      <c r="P240" s="256"/>
      <c r="Q240" s="256"/>
      <c r="R240" s="256"/>
      <c r="S240" s="256"/>
      <c r="T240" s="256"/>
      <c r="U240" s="256"/>
      <c r="V240" s="256"/>
      <c r="W240" s="256"/>
      <c r="X240" s="256"/>
      <c r="Y240" s="256"/>
      <c r="Z240" s="256"/>
    </row>
    <row r="241">
      <c r="A241" s="256"/>
      <c r="B241" s="256"/>
      <c r="C241" s="256"/>
      <c r="D241" s="256"/>
      <c r="E241" s="256"/>
      <c r="F241" s="256"/>
      <c r="G241" s="256"/>
      <c r="H241" s="256"/>
      <c r="I241" s="256"/>
      <c r="J241" s="256"/>
      <c r="K241" s="256"/>
      <c r="L241" s="256"/>
      <c r="M241" s="256"/>
      <c r="N241" s="256"/>
      <c r="O241" s="256"/>
      <c r="P241" s="256"/>
      <c r="Q241" s="256"/>
      <c r="R241" s="256"/>
      <c r="S241" s="256"/>
      <c r="T241" s="256"/>
      <c r="U241" s="256"/>
      <c r="V241" s="256"/>
      <c r="W241" s="256"/>
      <c r="X241" s="256"/>
      <c r="Y241" s="256"/>
      <c r="Z241" s="256"/>
    </row>
    <row r="242">
      <c r="A242" s="256"/>
      <c r="B242" s="256"/>
      <c r="C242" s="256"/>
      <c r="D242" s="256"/>
      <c r="E242" s="256"/>
      <c r="F242" s="256"/>
      <c r="G242" s="256"/>
      <c r="H242" s="256"/>
      <c r="I242" s="256"/>
      <c r="J242" s="256"/>
      <c r="K242" s="256"/>
      <c r="L242" s="256"/>
      <c r="M242" s="256"/>
      <c r="N242" s="256"/>
      <c r="O242" s="256"/>
      <c r="P242" s="256"/>
      <c r="Q242" s="256"/>
      <c r="R242" s="256"/>
      <c r="S242" s="256"/>
      <c r="T242" s="256"/>
      <c r="U242" s="256"/>
      <c r="V242" s="256"/>
      <c r="W242" s="256"/>
      <c r="X242" s="256"/>
      <c r="Y242" s="256"/>
      <c r="Z242" s="256"/>
    </row>
    <row r="243">
      <c r="A243" s="256"/>
      <c r="B243" s="256"/>
      <c r="C243" s="256"/>
      <c r="D243" s="256"/>
      <c r="E243" s="256"/>
      <c r="F243" s="256"/>
      <c r="G243" s="256"/>
      <c r="H243" s="256"/>
      <c r="I243" s="256"/>
      <c r="J243" s="256"/>
      <c r="K243" s="256"/>
      <c r="L243" s="256"/>
      <c r="M243" s="256"/>
      <c r="N243" s="256"/>
      <c r="O243" s="256"/>
      <c r="P243" s="256"/>
      <c r="Q243" s="256"/>
      <c r="R243" s="256"/>
      <c r="S243" s="256"/>
      <c r="T243" s="256"/>
      <c r="U243" s="256"/>
      <c r="V243" s="256"/>
      <c r="W243" s="256"/>
      <c r="X243" s="256"/>
      <c r="Y243" s="256"/>
      <c r="Z243" s="256"/>
    </row>
    <row r="244">
      <c r="A244" s="256"/>
      <c r="B244" s="256"/>
      <c r="C244" s="256"/>
      <c r="D244" s="256"/>
      <c r="E244" s="256"/>
      <c r="F244" s="256"/>
      <c r="G244" s="256"/>
      <c r="H244" s="256"/>
      <c r="I244" s="256"/>
      <c r="J244" s="256"/>
      <c r="K244" s="256"/>
      <c r="L244" s="256"/>
      <c r="M244" s="256"/>
      <c r="N244" s="256"/>
      <c r="O244" s="256"/>
      <c r="P244" s="256"/>
      <c r="Q244" s="256"/>
      <c r="R244" s="256"/>
      <c r="S244" s="256"/>
      <c r="T244" s="256"/>
      <c r="U244" s="256"/>
      <c r="V244" s="256"/>
      <c r="W244" s="256"/>
      <c r="X244" s="256"/>
      <c r="Y244" s="256"/>
      <c r="Z244" s="256"/>
    </row>
    <row r="245">
      <c r="A245" s="256"/>
      <c r="B245" s="256"/>
      <c r="C245" s="256"/>
      <c r="D245" s="256"/>
      <c r="E245" s="256"/>
      <c r="F245" s="256"/>
      <c r="G245" s="256"/>
      <c r="H245" s="256"/>
      <c r="I245" s="256"/>
      <c r="J245" s="256"/>
      <c r="K245" s="256"/>
      <c r="L245" s="256"/>
      <c r="M245" s="256"/>
      <c r="N245" s="256"/>
      <c r="O245" s="256"/>
      <c r="P245" s="256"/>
      <c r="Q245" s="256"/>
      <c r="R245" s="256"/>
      <c r="S245" s="256"/>
      <c r="T245" s="256"/>
      <c r="U245" s="256"/>
      <c r="V245" s="256"/>
      <c r="W245" s="256"/>
      <c r="X245" s="256"/>
      <c r="Y245" s="256"/>
      <c r="Z245" s="256"/>
    </row>
    <row r="246">
      <c r="A246" s="256"/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256"/>
      <c r="T246" s="256"/>
      <c r="U246" s="256"/>
      <c r="V246" s="256"/>
      <c r="W246" s="256"/>
      <c r="X246" s="256"/>
      <c r="Y246" s="256"/>
      <c r="Z246" s="256"/>
    </row>
    <row r="247">
      <c r="A247" s="256"/>
      <c r="B247" s="256"/>
      <c r="C247" s="256"/>
      <c r="D247" s="256"/>
      <c r="E247" s="256"/>
      <c r="F247" s="256"/>
      <c r="G247" s="256"/>
      <c r="H247" s="256"/>
      <c r="I247" s="256"/>
      <c r="J247" s="256"/>
      <c r="K247" s="256"/>
      <c r="L247" s="256"/>
      <c r="M247" s="256"/>
      <c r="N247" s="256"/>
      <c r="O247" s="256"/>
      <c r="P247" s="256"/>
      <c r="Q247" s="256"/>
      <c r="R247" s="256"/>
      <c r="S247" s="256"/>
      <c r="T247" s="256"/>
      <c r="U247" s="256"/>
      <c r="V247" s="256"/>
      <c r="W247" s="256"/>
      <c r="X247" s="256"/>
      <c r="Y247" s="256"/>
      <c r="Z247" s="256"/>
    </row>
    <row r="248">
      <c r="A248" s="256"/>
      <c r="B248" s="256"/>
      <c r="C248" s="256"/>
      <c r="D248" s="256"/>
      <c r="E248" s="256"/>
      <c r="F248" s="256"/>
      <c r="G248" s="256"/>
      <c r="H248" s="256"/>
      <c r="I248" s="256"/>
      <c r="J248" s="256"/>
      <c r="K248" s="256"/>
      <c r="L248" s="256"/>
      <c r="M248" s="256"/>
      <c r="N248" s="256"/>
      <c r="O248" s="256"/>
      <c r="P248" s="256"/>
      <c r="Q248" s="256"/>
      <c r="R248" s="256"/>
      <c r="S248" s="256"/>
      <c r="T248" s="256"/>
      <c r="U248" s="256"/>
      <c r="V248" s="256"/>
      <c r="W248" s="256"/>
      <c r="X248" s="256"/>
      <c r="Y248" s="256"/>
      <c r="Z248" s="256"/>
    </row>
    <row r="249">
      <c r="A249" s="256"/>
      <c r="B249" s="256"/>
      <c r="C249" s="256"/>
      <c r="D249" s="256"/>
      <c r="E249" s="256"/>
      <c r="F249" s="256"/>
      <c r="G249" s="256"/>
      <c r="H249" s="256"/>
      <c r="I249" s="256"/>
      <c r="J249" s="256"/>
      <c r="K249" s="256"/>
      <c r="L249" s="256"/>
      <c r="M249" s="256"/>
      <c r="N249" s="256"/>
      <c r="O249" s="256"/>
      <c r="P249" s="256"/>
      <c r="Q249" s="256"/>
      <c r="R249" s="256"/>
      <c r="S249" s="256"/>
      <c r="T249" s="256"/>
      <c r="U249" s="256"/>
      <c r="V249" s="256"/>
      <c r="W249" s="256"/>
      <c r="X249" s="256"/>
      <c r="Y249" s="256"/>
      <c r="Z249" s="256"/>
    </row>
    <row r="250">
      <c r="A250" s="256"/>
      <c r="B250" s="256"/>
      <c r="C250" s="256"/>
      <c r="D250" s="256"/>
      <c r="E250" s="256"/>
      <c r="F250" s="256"/>
      <c r="G250" s="256"/>
      <c r="H250" s="256"/>
      <c r="I250" s="256"/>
      <c r="J250" s="256"/>
      <c r="K250" s="256"/>
      <c r="L250" s="256"/>
      <c r="M250" s="256"/>
      <c r="N250" s="256"/>
      <c r="O250" s="256"/>
      <c r="P250" s="256"/>
      <c r="Q250" s="256"/>
      <c r="R250" s="256"/>
      <c r="S250" s="256"/>
      <c r="T250" s="256"/>
      <c r="U250" s="256"/>
      <c r="V250" s="256"/>
      <c r="W250" s="256"/>
      <c r="X250" s="256"/>
      <c r="Y250" s="256"/>
      <c r="Z250" s="256"/>
    </row>
    <row r="251">
      <c r="A251" s="256"/>
      <c r="B251" s="256"/>
      <c r="C251" s="256"/>
      <c r="D251" s="256"/>
      <c r="E251" s="256"/>
      <c r="F251" s="256"/>
      <c r="G251" s="256"/>
      <c r="H251" s="256"/>
      <c r="I251" s="256"/>
      <c r="J251" s="256"/>
      <c r="K251" s="256"/>
      <c r="L251" s="256"/>
      <c r="M251" s="256"/>
      <c r="N251" s="256"/>
      <c r="O251" s="256"/>
      <c r="P251" s="256"/>
      <c r="Q251" s="256"/>
      <c r="R251" s="256"/>
      <c r="S251" s="256"/>
      <c r="T251" s="256"/>
      <c r="U251" s="256"/>
      <c r="V251" s="256"/>
      <c r="W251" s="256"/>
      <c r="X251" s="256"/>
      <c r="Y251" s="256"/>
      <c r="Z251" s="256"/>
    </row>
    <row r="252">
      <c r="A252" s="256"/>
      <c r="B252" s="256"/>
      <c r="C252" s="256"/>
      <c r="D252" s="256"/>
      <c r="E252" s="256"/>
      <c r="F252" s="256"/>
      <c r="G252" s="256"/>
      <c r="H252" s="256"/>
      <c r="I252" s="256"/>
      <c r="J252" s="256"/>
      <c r="K252" s="256"/>
      <c r="L252" s="256"/>
      <c r="M252" s="256"/>
      <c r="N252" s="256"/>
      <c r="O252" s="256"/>
      <c r="P252" s="256"/>
      <c r="Q252" s="256"/>
      <c r="R252" s="256"/>
      <c r="S252" s="256"/>
      <c r="T252" s="256"/>
      <c r="U252" s="256"/>
      <c r="V252" s="256"/>
      <c r="W252" s="256"/>
      <c r="X252" s="256"/>
      <c r="Y252" s="256"/>
      <c r="Z252" s="256"/>
    </row>
    <row r="253">
      <c r="A253" s="256"/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256"/>
      <c r="T253" s="256"/>
      <c r="U253" s="256"/>
      <c r="V253" s="256"/>
      <c r="W253" s="256"/>
      <c r="X253" s="256"/>
      <c r="Y253" s="256"/>
      <c r="Z253" s="256"/>
    </row>
    <row r="254">
      <c r="A254" s="256"/>
      <c r="B254" s="256"/>
      <c r="C254" s="256"/>
      <c r="D254" s="256"/>
      <c r="E254" s="256"/>
      <c r="F254" s="256"/>
      <c r="G254" s="256"/>
      <c r="H254" s="256"/>
      <c r="I254" s="256"/>
      <c r="J254" s="256"/>
      <c r="K254" s="256"/>
      <c r="L254" s="256"/>
      <c r="M254" s="256"/>
      <c r="N254" s="256"/>
      <c r="O254" s="256"/>
      <c r="P254" s="256"/>
      <c r="Q254" s="256"/>
      <c r="R254" s="256"/>
      <c r="S254" s="256"/>
      <c r="T254" s="256"/>
      <c r="U254" s="256"/>
      <c r="V254" s="256"/>
      <c r="W254" s="256"/>
      <c r="X254" s="256"/>
      <c r="Y254" s="256"/>
      <c r="Z254" s="256"/>
    </row>
    <row r="255">
      <c r="A255" s="256"/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256"/>
      <c r="T255" s="256"/>
      <c r="U255" s="256"/>
      <c r="V255" s="256"/>
      <c r="W255" s="256"/>
      <c r="X255" s="256"/>
      <c r="Y255" s="256"/>
      <c r="Z255" s="256"/>
    </row>
    <row r="256">
      <c r="A256" s="256"/>
      <c r="B256" s="256"/>
      <c r="C256" s="256"/>
      <c r="D256" s="256"/>
      <c r="E256" s="256"/>
      <c r="F256" s="256"/>
      <c r="G256" s="256"/>
      <c r="H256" s="256"/>
      <c r="I256" s="256"/>
      <c r="J256" s="256"/>
      <c r="K256" s="256"/>
      <c r="L256" s="256"/>
      <c r="M256" s="256"/>
      <c r="N256" s="256"/>
      <c r="O256" s="256"/>
      <c r="P256" s="256"/>
      <c r="Q256" s="256"/>
      <c r="R256" s="256"/>
      <c r="S256" s="256"/>
      <c r="T256" s="256"/>
      <c r="U256" s="256"/>
      <c r="V256" s="256"/>
      <c r="W256" s="256"/>
      <c r="X256" s="256"/>
      <c r="Y256" s="256"/>
      <c r="Z256" s="256"/>
    </row>
    <row r="257">
      <c r="A257" s="256"/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256"/>
      <c r="T257" s="256"/>
      <c r="U257" s="256"/>
      <c r="V257" s="256"/>
      <c r="W257" s="256"/>
      <c r="X257" s="256"/>
      <c r="Y257" s="256"/>
      <c r="Z257" s="256"/>
    </row>
    <row r="258">
      <c r="A258" s="256"/>
      <c r="B258" s="256"/>
      <c r="C258" s="256"/>
      <c r="D258" s="256"/>
      <c r="E258" s="256"/>
      <c r="F258" s="256"/>
      <c r="G258" s="256"/>
      <c r="H258" s="256"/>
      <c r="I258" s="256"/>
      <c r="J258" s="256"/>
      <c r="K258" s="256"/>
      <c r="L258" s="256"/>
      <c r="M258" s="256"/>
      <c r="N258" s="256"/>
      <c r="O258" s="256"/>
      <c r="P258" s="256"/>
      <c r="Q258" s="256"/>
      <c r="R258" s="256"/>
      <c r="S258" s="256"/>
      <c r="T258" s="256"/>
      <c r="U258" s="256"/>
      <c r="V258" s="256"/>
      <c r="W258" s="256"/>
      <c r="X258" s="256"/>
      <c r="Y258" s="256"/>
      <c r="Z258" s="256"/>
    </row>
    <row r="259">
      <c r="A259" s="256"/>
      <c r="B259" s="256"/>
      <c r="C259" s="256"/>
      <c r="D259" s="256"/>
      <c r="E259" s="256"/>
      <c r="F259" s="256"/>
      <c r="G259" s="256"/>
      <c r="H259" s="256"/>
      <c r="I259" s="256"/>
      <c r="J259" s="256"/>
      <c r="K259" s="256"/>
      <c r="L259" s="256"/>
      <c r="M259" s="256"/>
      <c r="N259" s="256"/>
      <c r="O259" s="256"/>
      <c r="P259" s="256"/>
      <c r="Q259" s="256"/>
      <c r="R259" s="256"/>
      <c r="S259" s="256"/>
      <c r="T259" s="256"/>
      <c r="U259" s="256"/>
      <c r="V259" s="256"/>
      <c r="W259" s="256"/>
      <c r="X259" s="256"/>
      <c r="Y259" s="256"/>
      <c r="Z259" s="256"/>
    </row>
    <row r="260">
      <c r="A260" s="256"/>
      <c r="B260" s="256"/>
      <c r="C260" s="256"/>
      <c r="D260" s="256"/>
      <c r="E260" s="256"/>
      <c r="F260" s="256"/>
      <c r="G260" s="256"/>
      <c r="H260" s="256"/>
      <c r="I260" s="256"/>
      <c r="J260" s="256"/>
      <c r="K260" s="256"/>
      <c r="L260" s="256"/>
      <c r="M260" s="256"/>
      <c r="N260" s="256"/>
      <c r="O260" s="256"/>
      <c r="P260" s="256"/>
      <c r="Q260" s="256"/>
      <c r="R260" s="256"/>
      <c r="S260" s="256"/>
      <c r="T260" s="256"/>
      <c r="U260" s="256"/>
      <c r="V260" s="256"/>
      <c r="W260" s="256"/>
      <c r="X260" s="256"/>
      <c r="Y260" s="256"/>
      <c r="Z260" s="256"/>
    </row>
    <row r="261">
      <c r="A261" s="256"/>
      <c r="B261" s="256"/>
      <c r="C261" s="256"/>
      <c r="D261" s="256"/>
      <c r="E261" s="256"/>
      <c r="F261" s="256"/>
      <c r="G261" s="256"/>
      <c r="H261" s="256"/>
      <c r="I261" s="256"/>
      <c r="J261" s="256"/>
      <c r="K261" s="256"/>
      <c r="L261" s="256"/>
      <c r="M261" s="256"/>
      <c r="N261" s="256"/>
      <c r="O261" s="256"/>
      <c r="P261" s="256"/>
      <c r="Q261" s="256"/>
      <c r="R261" s="256"/>
      <c r="S261" s="256"/>
      <c r="T261" s="256"/>
      <c r="U261" s="256"/>
      <c r="V261" s="256"/>
      <c r="W261" s="256"/>
      <c r="X261" s="256"/>
      <c r="Y261" s="256"/>
      <c r="Z261" s="256"/>
    </row>
    <row r="262">
      <c r="A262" s="256"/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256"/>
      <c r="T262" s="256"/>
      <c r="U262" s="256"/>
      <c r="V262" s="256"/>
      <c r="W262" s="256"/>
      <c r="X262" s="256"/>
      <c r="Y262" s="256"/>
      <c r="Z262" s="256"/>
    </row>
    <row r="263">
      <c r="A263" s="256"/>
      <c r="B263" s="256"/>
      <c r="C263" s="256"/>
      <c r="D263" s="256"/>
      <c r="E263" s="256"/>
      <c r="F263" s="256"/>
      <c r="G263" s="256"/>
      <c r="H263" s="256"/>
      <c r="I263" s="256"/>
      <c r="J263" s="256"/>
      <c r="K263" s="256"/>
      <c r="L263" s="256"/>
      <c r="M263" s="256"/>
      <c r="N263" s="256"/>
      <c r="O263" s="256"/>
      <c r="P263" s="256"/>
      <c r="Q263" s="256"/>
      <c r="R263" s="256"/>
      <c r="S263" s="256"/>
      <c r="T263" s="256"/>
      <c r="U263" s="256"/>
      <c r="V263" s="256"/>
      <c r="W263" s="256"/>
      <c r="X263" s="256"/>
      <c r="Y263" s="256"/>
      <c r="Z263" s="256"/>
    </row>
    <row r="264">
      <c r="A264" s="256"/>
      <c r="B264" s="256"/>
      <c r="C264" s="256"/>
      <c r="D264" s="256"/>
      <c r="E264" s="256"/>
      <c r="F264" s="256"/>
      <c r="G264" s="256"/>
      <c r="H264" s="256"/>
      <c r="I264" s="256"/>
      <c r="J264" s="256"/>
      <c r="K264" s="256"/>
      <c r="L264" s="256"/>
      <c r="M264" s="256"/>
      <c r="N264" s="256"/>
      <c r="O264" s="256"/>
      <c r="P264" s="256"/>
      <c r="Q264" s="256"/>
      <c r="R264" s="256"/>
      <c r="S264" s="256"/>
      <c r="T264" s="256"/>
      <c r="U264" s="256"/>
      <c r="V264" s="256"/>
      <c r="W264" s="256"/>
      <c r="X264" s="256"/>
      <c r="Y264" s="256"/>
      <c r="Z264" s="256"/>
    </row>
    <row r="265">
      <c r="A265" s="256"/>
      <c r="B265" s="256"/>
      <c r="C265" s="256"/>
      <c r="D265" s="256"/>
      <c r="E265" s="256"/>
      <c r="F265" s="256"/>
      <c r="G265" s="256"/>
      <c r="H265" s="256"/>
      <c r="I265" s="256"/>
      <c r="J265" s="256"/>
      <c r="K265" s="256"/>
      <c r="L265" s="256"/>
      <c r="M265" s="256"/>
      <c r="N265" s="256"/>
      <c r="O265" s="256"/>
      <c r="P265" s="256"/>
      <c r="Q265" s="256"/>
      <c r="R265" s="256"/>
      <c r="S265" s="256"/>
      <c r="T265" s="256"/>
      <c r="U265" s="256"/>
      <c r="V265" s="256"/>
      <c r="W265" s="256"/>
      <c r="X265" s="256"/>
      <c r="Y265" s="256"/>
      <c r="Z265" s="256"/>
    </row>
    <row r="266">
      <c r="A266" s="256"/>
      <c r="B266" s="256"/>
      <c r="C266" s="256"/>
      <c r="D266" s="256"/>
      <c r="E266" s="256"/>
      <c r="F266" s="256"/>
      <c r="G266" s="256"/>
      <c r="H266" s="256"/>
      <c r="I266" s="256"/>
      <c r="J266" s="256"/>
      <c r="K266" s="256"/>
      <c r="L266" s="256"/>
      <c r="M266" s="256"/>
      <c r="N266" s="256"/>
      <c r="O266" s="256"/>
      <c r="P266" s="256"/>
      <c r="Q266" s="256"/>
      <c r="R266" s="256"/>
      <c r="S266" s="256"/>
      <c r="T266" s="256"/>
      <c r="U266" s="256"/>
      <c r="V266" s="256"/>
      <c r="W266" s="256"/>
      <c r="X266" s="256"/>
      <c r="Y266" s="256"/>
      <c r="Z266" s="256"/>
    </row>
    <row r="267">
      <c r="A267" s="256"/>
      <c r="B267" s="256"/>
      <c r="C267" s="256"/>
      <c r="D267" s="256"/>
      <c r="E267" s="256"/>
      <c r="F267" s="256"/>
      <c r="G267" s="256"/>
      <c r="H267" s="256"/>
      <c r="I267" s="256"/>
      <c r="J267" s="256"/>
      <c r="K267" s="256"/>
      <c r="L267" s="256"/>
      <c r="M267" s="256"/>
      <c r="N267" s="256"/>
      <c r="O267" s="256"/>
      <c r="P267" s="256"/>
      <c r="Q267" s="256"/>
      <c r="R267" s="256"/>
      <c r="S267" s="256"/>
      <c r="T267" s="256"/>
      <c r="U267" s="256"/>
      <c r="V267" s="256"/>
      <c r="W267" s="256"/>
      <c r="X267" s="256"/>
      <c r="Y267" s="256"/>
      <c r="Z267" s="256"/>
    </row>
    <row r="268">
      <c r="A268" s="256"/>
      <c r="B268" s="256"/>
      <c r="C268" s="256"/>
      <c r="D268" s="256"/>
      <c r="E268" s="256"/>
      <c r="F268" s="256"/>
      <c r="G268" s="256"/>
      <c r="H268" s="256"/>
      <c r="I268" s="256"/>
      <c r="J268" s="256"/>
      <c r="K268" s="256"/>
      <c r="L268" s="256"/>
      <c r="M268" s="256"/>
      <c r="N268" s="256"/>
      <c r="O268" s="256"/>
      <c r="P268" s="256"/>
      <c r="Q268" s="256"/>
      <c r="R268" s="256"/>
      <c r="S268" s="256"/>
      <c r="T268" s="256"/>
      <c r="U268" s="256"/>
      <c r="V268" s="256"/>
      <c r="W268" s="256"/>
      <c r="X268" s="256"/>
      <c r="Y268" s="256"/>
      <c r="Z268" s="256"/>
    </row>
    <row r="269">
      <c r="A269" s="256"/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256"/>
      <c r="T269" s="256"/>
      <c r="U269" s="256"/>
      <c r="V269" s="256"/>
      <c r="W269" s="256"/>
      <c r="X269" s="256"/>
      <c r="Y269" s="256"/>
      <c r="Z269" s="256"/>
    </row>
    <row r="270">
      <c r="A270" s="256"/>
      <c r="B270" s="256"/>
      <c r="C270" s="256"/>
      <c r="D270" s="256"/>
      <c r="E270" s="256"/>
      <c r="F270" s="256"/>
      <c r="G270" s="256"/>
      <c r="H270" s="256"/>
      <c r="I270" s="256"/>
      <c r="J270" s="256"/>
      <c r="K270" s="256"/>
      <c r="L270" s="256"/>
      <c r="M270" s="256"/>
      <c r="N270" s="256"/>
      <c r="O270" s="256"/>
      <c r="P270" s="256"/>
      <c r="Q270" s="256"/>
      <c r="R270" s="256"/>
      <c r="S270" s="256"/>
      <c r="T270" s="256"/>
      <c r="U270" s="256"/>
      <c r="V270" s="256"/>
      <c r="W270" s="256"/>
      <c r="X270" s="256"/>
      <c r="Y270" s="256"/>
      <c r="Z270" s="256"/>
    </row>
    <row r="271">
      <c r="A271" s="256"/>
      <c r="B271" s="256"/>
      <c r="C271" s="256"/>
      <c r="D271" s="256"/>
      <c r="E271" s="256"/>
      <c r="F271" s="256"/>
      <c r="G271" s="256"/>
      <c r="H271" s="256"/>
      <c r="I271" s="256"/>
      <c r="J271" s="256"/>
      <c r="K271" s="256"/>
      <c r="L271" s="256"/>
      <c r="M271" s="256"/>
      <c r="N271" s="256"/>
      <c r="O271" s="256"/>
      <c r="P271" s="256"/>
      <c r="Q271" s="256"/>
      <c r="R271" s="256"/>
      <c r="S271" s="256"/>
      <c r="T271" s="256"/>
      <c r="U271" s="256"/>
      <c r="V271" s="256"/>
      <c r="W271" s="256"/>
      <c r="X271" s="256"/>
      <c r="Y271" s="256"/>
      <c r="Z271" s="256"/>
    </row>
    <row r="272">
      <c r="A272" s="256"/>
      <c r="B272" s="256"/>
      <c r="C272" s="256"/>
      <c r="D272" s="256"/>
      <c r="E272" s="256"/>
      <c r="F272" s="256"/>
      <c r="G272" s="256"/>
      <c r="H272" s="256"/>
      <c r="I272" s="256"/>
      <c r="J272" s="256"/>
      <c r="K272" s="256"/>
      <c r="L272" s="256"/>
      <c r="M272" s="256"/>
      <c r="N272" s="256"/>
      <c r="O272" s="256"/>
      <c r="P272" s="256"/>
      <c r="Q272" s="256"/>
      <c r="R272" s="256"/>
      <c r="S272" s="256"/>
      <c r="T272" s="256"/>
      <c r="U272" s="256"/>
      <c r="V272" s="256"/>
      <c r="W272" s="256"/>
      <c r="X272" s="256"/>
      <c r="Y272" s="256"/>
      <c r="Z272" s="256"/>
    </row>
    <row r="273">
      <c r="A273" s="256"/>
      <c r="B273" s="256"/>
      <c r="C273" s="256"/>
      <c r="D273" s="256"/>
      <c r="E273" s="256"/>
      <c r="F273" s="256"/>
      <c r="G273" s="256"/>
      <c r="H273" s="256"/>
      <c r="I273" s="256"/>
      <c r="J273" s="256"/>
      <c r="K273" s="256"/>
      <c r="L273" s="256"/>
      <c r="M273" s="256"/>
      <c r="N273" s="256"/>
      <c r="O273" s="256"/>
      <c r="P273" s="256"/>
      <c r="Q273" s="256"/>
      <c r="R273" s="256"/>
      <c r="S273" s="256"/>
      <c r="T273" s="256"/>
      <c r="U273" s="256"/>
      <c r="V273" s="256"/>
      <c r="W273" s="256"/>
      <c r="X273" s="256"/>
      <c r="Y273" s="256"/>
      <c r="Z273" s="256"/>
    </row>
    <row r="274">
      <c r="A274" s="256"/>
      <c r="B274" s="256"/>
      <c r="C274" s="256"/>
      <c r="D274" s="256"/>
      <c r="E274" s="256"/>
      <c r="F274" s="256"/>
      <c r="G274" s="256"/>
      <c r="H274" s="256"/>
      <c r="I274" s="256"/>
      <c r="J274" s="256"/>
      <c r="K274" s="256"/>
      <c r="L274" s="256"/>
      <c r="M274" s="256"/>
      <c r="N274" s="256"/>
      <c r="O274" s="256"/>
      <c r="P274" s="256"/>
      <c r="Q274" s="256"/>
      <c r="R274" s="256"/>
      <c r="S274" s="256"/>
      <c r="T274" s="256"/>
      <c r="U274" s="256"/>
      <c r="V274" s="256"/>
      <c r="W274" s="256"/>
      <c r="X274" s="256"/>
      <c r="Y274" s="256"/>
      <c r="Z274" s="256"/>
    </row>
    <row r="275">
      <c r="A275" s="256"/>
      <c r="B275" s="256"/>
      <c r="C275" s="256"/>
      <c r="D275" s="256"/>
      <c r="E275" s="256"/>
      <c r="F275" s="256"/>
      <c r="G275" s="256"/>
      <c r="H275" s="256"/>
      <c r="I275" s="256"/>
      <c r="J275" s="256"/>
      <c r="K275" s="256"/>
      <c r="L275" s="256"/>
      <c r="M275" s="256"/>
      <c r="N275" s="256"/>
      <c r="O275" s="256"/>
      <c r="P275" s="256"/>
      <c r="Q275" s="256"/>
      <c r="R275" s="256"/>
      <c r="S275" s="256"/>
      <c r="T275" s="256"/>
      <c r="U275" s="256"/>
      <c r="V275" s="256"/>
      <c r="W275" s="256"/>
      <c r="X275" s="256"/>
      <c r="Y275" s="256"/>
      <c r="Z275" s="256"/>
    </row>
    <row r="276">
      <c r="A276" s="256"/>
      <c r="B276" s="256"/>
      <c r="C276" s="256"/>
      <c r="D276" s="256"/>
      <c r="E276" s="256"/>
      <c r="F276" s="256"/>
      <c r="G276" s="256"/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256"/>
      <c r="T276" s="256"/>
      <c r="U276" s="256"/>
      <c r="V276" s="256"/>
      <c r="W276" s="256"/>
      <c r="X276" s="256"/>
      <c r="Y276" s="256"/>
      <c r="Z276" s="256"/>
    </row>
    <row r="277">
      <c r="A277" s="256"/>
      <c r="B277" s="256"/>
      <c r="C277" s="256"/>
      <c r="D277" s="256"/>
      <c r="E277" s="256"/>
      <c r="F277" s="256"/>
      <c r="G277" s="256"/>
      <c r="H277" s="256"/>
      <c r="I277" s="256"/>
      <c r="J277" s="256"/>
      <c r="K277" s="256"/>
      <c r="L277" s="256"/>
      <c r="M277" s="256"/>
      <c r="N277" s="256"/>
      <c r="O277" s="256"/>
      <c r="P277" s="256"/>
      <c r="Q277" s="256"/>
      <c r="R277" s="256"/>
      <c r="S277" s="256"/>
      <c r="T277" s="256"/>
      <c r="U277" s="256"/>
      <c r="V277" s="256"/>
      <c r="W277" s="256"/>
      <c r="X277" s="256"/>
      <c r="Y277" s="256"/>
      <c r="Z277" s="256"/>
    </row>
    <row r="278">
      <c r="A278" s="256"/>
      <c r="B278" s="256"/>
      <c r="C278" s="256"/>
      <c r="D278" s="256"/>
      <c r="E278" s="256"/>
      <c r="F278" s="256"/>
      <c r="G278" s="256"/>
      <c r="H278" s="256"/>
      <c r="I278" s="256"/>
      <c r="J278" s="256"/>
      <c r="K278" s="256"/>
      <c r="L278" s="256"/>
      <c r="M278" s="256"/>
      <c r="N278" s="256"/>
      <c r="O278" s="256"/>
      <c r="P278" s="256"/>
      <c r="Q278" s="256"/>
      <c r="R278" s="256"/>
      <c r="S278" s="256"/>
      <c r="T278" s="256"/>
      <c r="U278" s="256"/>
      <c r="V278" s="256"/>
      <c r="W278" s="256"/>
      <c r="X278" s="256"/>
      <c r="Y278" s="256"/>
      <c r="Z278" s="256"/>
    </row>
    <row r="279">
      <c r="A279" s="256"/>
      <c r="B279" s="256"/>
      <c r="C279" s="256"/>
      <c r="D279" s="256"/>
      <c r="E279" s="256"/>
      <c r="F279" s="256"/>
      <c r="G279" s="256"/>
      <c r="H279" s="256"/>
      <c r="I279" s="256"/>
      <c r="J279" s="256"/>
      <c r="K279" s="256"/>
      <c r="L279" s="256"/>
      <c r="M279" s="256"/>
      <c r="N279" s="256"/>
      <c r="O279" s="256"/>
      <c r="P279" s="256"/>
      <c r="Q279" s="256"/>
      <c r="R279" s="256"/>
      <c r="S279" s="256"/>
      <c r="T279" s="256"/>
      <c r="U279" s="256"/>
      <c r="V279" s="256"/>
      <c r="W279" s="256"/>
      <c r="X279" s="256"/>
      <c r="Y279" s="256"/>
      <c r="Z279" s="256"/>
    </row>
    <row r="280">
      <c r="A280" s="256"/>
      <c r="B280" s="256"/>
      <c r="C280" s="256"/>
      <c r="D280" s="256"/>
      <c r="E280" s="256"/>
      <c r="F280" s="256"/>
      <c r="G280" s="256"/>
      <c r="H280" s="256"/>
      <c r="I280" s="256"/>
      <c r="J280" s="256"/>
      <c r="K280" s="256"/>
      <c r="L280" s="256"/>
      <c r="M280" s="256"/>
      <c r="N280" s="256"/>
      <c r="O280" s="256"/>
      <c r="P280" s="256"/>
      <c r="Q280" s="256"/>
      <c r="R280" s="256"/>
      <c r="S280" s="256"/>
      <c r="T280" s="256"/>
      <c r="U280" s="256"/>
      <c r="V280" s="256"/>
      <c r="W280" s="256"/>
      <c r="X280" s="256"/>
      <c r="Y280" s="256"/>
      <c r="Z280" s="256"/>
    </row>
    <row r="281">
      <c r="A281" s="256"/>
      <c r="B281" s="256"/>
      <c r="C281" s="256"/>
      <c r="D281" s="256"/>
      <c r="E281" s="256"/>
      <c r="F281" s="256"/>
      <c r="G281" s="256"/>
      <c r="H281" s="256"/>
      <c r="I281" s="256"/>
      <c r="J281" s="256"/>
      <c r="K281" s="256"/>
      <c r="L281" s="256"/>
      <c r="M281" s="256"/>
      <c r="N281" s="256"/>
      <c r="O281" s="256"/>
      <c r="P281" s="256"/>
      <c r="Q281" s="256"/>
      <c r="R281" s="256"/>
      <c r="S281" s="256"/>
      <c r="T281" s="256"/>
      <c r="U281" s="256"/>
      <c r="V281" s="256"/>
      <c r="W281" s="256"/>
      <c r="X281" s="256"/>
      <c r="Y281" s="256"/>
      <c r="Z281" s="256"/>
    </row>
    <row r="282">
      <c r="A282" s="256"/>
      <c r="B282" s="256"/>
      <c r="C282" s="256"/>
      <c r="D282" s="256"/>
      <c r="E282" s="256"/>
      <c r="F282" s="256"/>
      <c r="G282" s="256"/>
      <c r="H282" s="256"/>
      <c r="I282" s="256"/>
      <c r="J282" s="256"/>
      <c r="K282" s="256"/>
      <c r="L282" s="256"/>
      <c r="M282" s="256"/>
      <c r="N282" s="256"/>
      <c r="O282" s="256"/>
      <c r="P282" s="256"/>
      <c r="Q282" s="256"/>
      <c r="R282" s="256"/>
      <c r="S282" s="256"/>
      <c r="T282" s="256"/>
      <c r="U282" s="256"/>
      <c r="V282" s="256"/>
      <c r="W282" s="256"/>
      <c r="X282" s="256"/>
      <c r="Y282" s="256"/>
      <c r="Z282" s="256"/>
    </row>
    <row r="283">
      <c r="A283" s="256"/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256"/>
      <c r="T283" s="256"/>
      <c r="U283" s="256"/>
      <c r="V283" s="256"/>
      <c r="W283" s="256"/>
      <c r="X283" s="256"/>
      <c r="Y283" s="256"/>
      <c r="Z283" s="256"/>
    </row>
    <row r="284">
      <c r="A284" s="256"/>
      <c r="B284" s="256"/>
      <c r="C284" s="256"/>
      <c r="D284" s="256"/>
      <c r="E284" s="256"/>
      <c r="F284" s="256"/>
      <c r="G284" s="256"/>
      <c r="H284" s="256"/>
      <c r="I284" s="256"/>
      <c r="J284" s="256"/>
      <c r="K284" s="256"/>
      <c r="L284" s="256"/>
      <c r="M284" s="256"/>
      <c r="N284" s="256"/>
      <c r="O284" s="256"/>
      <c r="P284" s="256"/>
      <c r="Q284" s="256"/>
      <c r="R284" s="256"/>
      <c r="S284" s="256"/>
      <c r="T284" s="256"/>
      <c r="U284" s="256"/>
      <c r="V284" s="256"/>
      <c r="W284" s="256"/>
      <c r="X284" s="256"/>
      <c r="Y284" s="256"/>
      <c r="Z284" s="256"/>
    </row>
    <row r="285">
      <c r="A285" s="256"/>
      <c r="B285" s="256"/>
      <c r="C285" s="256"/>
      <c r="D285" s="256"/>
      <c r="E285" s="256"/>
      <c r="F285" s="256"/>
      <c r="G285" s="256"/>
      <c r="H285" s="256"/>
      <c r="I285" s="256"/>
      <c r="J285" s="256"/>
      <c r="K285" s="256"/>
      <c r="L285" s="256"/>
      <c r="M285" s="256"/>
      <c r="N285" s="256"/>
      <c r="O285" s="256"/>
      <c r="P285" s="256"/>
      <c r="Q285" s="256"/>
      <c r="R285" s="256"/>
      <c r="S285" s="256"/>
      <c r="T285" s="256"/>
      <c r="U285" s="256"/>
      <c r="V285" s="256"/>
      <c r="W285" s="256"/>
      <c r="X285" s="256"/>
      <c r="Y285" s="256"/>
      <c r="Z285" s="256"/>
    </row>
    <row r="286">
      <c r="A286" s="256"/>
      <c r="B286" s="256"/>
      <c r="C286" s="256"/>
      <c r="D286" s="256"/>
      <c r="E286" s="256"/>
      <c r="F286" s="256"/>
      <c r="G286" s="256"/>
      <c r="H286" s="256"/>
      <c r="I286" s="256"/>
      <c r="J286" s="256"/>
      <c r="K286" s="256"/>
      <c r="L286" s="256"/>
      <c r="M286" s="256"/>
      <c r="N286" s="256"/>
      <c r="O286" s="256"/>
      <c r="P286" s="256"/>
      <c r="Q286" s="256"/>
      <c r="R286" s="256"/>
      <c r="S286" s="256"/>
      <c r="T286" s="256"/>
      <c r="U286" s="256"/>
      <c r="V286" s="256"/>
      <c r="W286" s="256"/>
      <c r="X286" s="256"/>
      <c r="Y286" s="256"/>
      <c r="Z286" s="256"/>
    </row>
    <row r="287">
      <c r="A287" s="256"/>
      <c r="B287" s="256"/>
      <c r="C287" s="256"/>
      <c r="D287" s="256"/>
      <c r="E287" s="256"/>
      <c r="F287" s="256"/>
      <c r="G287" s="256"/>
      <c r="H287" s="256"/>
      <c r="I287" s="256"/>
      <c r="J287" s="256"/>
      <c r="K287" s="256"/>
      <c r="L287" s="256"/>
      <c r="M287" s="256"/>
      <c r="N287" s="256"/>
      <c r="O287" s="256"/>
      <c r="P287" s="256"/>
      <c r="Q287" s="256"/>
      <c r="R287" s="256"/>
      <c r="S287" s="256"/>
      <c r="T287" s="256"/>
      <c r="U287" s="256"/>
      <c r="V287" s="256"/>
      <c r="W287" s="256"/>
      <c r="X287" s="256"/>
      <c r="Y287" s="256"/>
      <c r="Z287" s="256"/>
    </row>
    <row r="288">
      <c r="A288" s="256"/>
      <c r="B288" s="256"/>
      <c r="C288" s="256"/>
      <c r="D288" s="256"/>
      <c r="E288" s="256"/>
      <c r="F288" s="256"/>
      <c r="G288" s="256"/>
      <c r="H288" s="256"/>
      <c r="I288" s="256"/>
      <c r="J288" s="256"/>
      <c r="K288" s="256"/>
      <c r="L288" s="256"/>
      <c r="M288" s="256"/>
      <c r="N288" s="256"/>
      <c r="O288" s="256"/>
      <c r="P288" s="256"/>
      <c r="Q288" s="256"/>
      <c r="R288" s="256"/>
      <c r="S288" s="256"/>
      <c r="T288" s="256"/>
      <c r="U288" s="256"/>
      <c r="V288" s="256"/>
      <c r="W288" s="256"/>
      <c r="X288" s="256"/>
      <c r="Y288" s="256"/>
      <c r="Z288" s="256"/>
    </row>
    <row r="289">
      <c r="A289" s="256"/>
      <c r="B289" s="256"/>
      <c r="C289" s="256"/>
      <c r="D289" s="256"/>
      <c r="E289" s="256"/>
      <c r="F289" s="256"/>
      <c r="G289" s="256"/>
      <c r="H289" s="256"/>
      <c r="I289" s="256"/>
      <c r="J289" s="256"/>
      <c r="K289" s="256"/>
      <c r="L289" s="256"/>
      <c r="M289" s="256"/>
      <c r="N289" s="256"/>
      <c r="O289" s="256"/>
      <c r="P289" s="256"/>
      <c r="Q289" s="256"/>
      <c r="R289" s="256"/>
      <c r="S289" s="256"/>
      <c r="T289" s="256"/>
      <c r="U289" s="256"/>
      <c r="V289" s="256"/>
      <c r="W289" s="256"/>
      <c r="X289" s="256"/>
      <c r="Y289" s="256"/>
      <c r="Z289" s="256"/>
    </row>
    <row r="290">
      <c r="A290" s="256"/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256"/>
      <c r="T290" s="256"/>
      <c r="U290" s="256"/>
      <c r="V290" s="256"/>
      <c r="W290" s="256"/>
      <c r="X290" s="256"/>
      <c r="Y290" s="256"/>
      <c r="Z290" s="256"/>
    </row>
    <row r="291">
      <c r="A291" s="256"/>
      <c r="B291" s="256"/>
      <c r="C291" s="256"/>
      <c r="D291" s="256"/>
      <c r="E291" s="256"/>
      <c r="F291" s="256"/>
      <c r="G291" s="256"/>
      <c r="H291" s="256"/>
      <c r="I291" s="256"/>
      <c r="J291" s="256"/>
      <c r="K291" s="256"/>
      <c r="L291" s="256"/>
      <c r="M291" s="256"/>
      <c r="N291" s="256"/>
      <c r="O291" s="256"/>
      <c r="P291" s="256"/>
      <c r="Q291" s="256"/>
      <c r="R291" s="256"/>
      <c r="S291" s="256"/>
      <c r="T291" s="256"/>
      <c r="U291" s="256"/>
      <c r="V291" s="256"/>
      <c r="W291" s="256"/>
      <c r="X291" s="256"/>
      <c r="Y291" s="256"/>
      <c r="Z291" s="256"/>
    </row>
    <row r="292">
      <c r="A292" s="256"/>
      <c r="B292" s="256"/>
      <c r="C292" s="256"/>
      <c r="D292" s="256"/>
      <c r="E292" s="256"/>
      <c r="F292" s="256"/>
      <c r="G292" s="256"/>
      <c r="H292" s="256"/>
      <c r="I292" s="256"/>
      <c r="J292" s="256"/>
      <c r="K292" s="256"/>
      <c r="L292" s="256"/>
      <c r="M292" s="256"/>
      <c r="N292" s="256"/>
      <c r="O292" s="256"/>
      <c r="P292" s="256"/>
      <c r="Q292" s="256"/>
      <c r="R292" s="256"/>
      <c r="S292" s="256"/>
      <c r="T292" s="256"/>
      <c r="U292" s="256"/>
      <c r="V292" s="256"/>
      <c r="W292" s="256"/>
      <c r="X292" s="256"/>
      <c r="Y292" s="256"/>
      <c r="Z292" s="256"/>
    </row>
    <row r="293">
      <c r="A293" s="256"/>
      <c r="B293" s="256"/>
      <c r="C293" s="256"/>
      <c r="D293" s="256"/>
      <c r="E293" s="256"/>
      <c r="F293" s="256"/>
      <c r="G293" s="256"/>
      <c r="H293" s="256"/>
      <c r="I293" s="256"/>
      <c r="J293" s="256"/>
      <c r="K293" s="256"/>
      <c r="L293" s="256"/>
      <c r="M293" s="256"/>
      <c r="N293" s="256"/>
      <c r="O293" s="256"/>
      <c r="P293" s="256"/>
      <c r="Q293" s="256"/>
      <c r="R293" s="256"/>
      <c r="S293" s="256"/>
      <c r="T293" s="256"/>
      <c r="U293" s="256"/>
      <c r="V293" s="256"/>
      <c r="W293" s="256"/>
      <c r="X293" s="256"/>
      <c r="Y293" s="256"/>
      <c r="Z293" s="256"/>
    </row>
    <row r="294">
      <c r="A294" s="256"/>
      <c r="B294" s="256"/>
      <c r="C294" s="256"/>
      <c r="D294" s="256"/>
      <c r="E294" s="256"/>
      <c r="F294" s="256"/>
      <c r="G294" s="256"/>
      <c r="H294" s="256"/>
      <c r="I294" s="256"/>
      <c r="J294" s="256"/>
      <c r="K294" s="256"/>
      <c r="L294" s="256"/>
      <c r="M294" s="256"/>
      <c r="N294" s="256"/>
      <c r="O294" s="256"/>
      <c r="P294" s="256"/>
      <c r="Q294" s="256"/>
      <c r="R294" s="256"/>
      <c r="S294" s="256"/>
      <c r="T294" s="256"/>
      <c r="U294" s="256"/>
      <c r="V294" s="256"/>
      <c r="W294" s="256"/>
      <c r="X294" s="256"/>
      <c r="Y294" s="256"/>
      <c r="Z294" s="256"/>
    </row>
    <row r="295">
      <c r="A295" s="256"/>
      <c r="B295" s="256"/>
      <c r="C295" s="256"/>
      <c r="D295" s="256"/>
      <c r="E295" s="256"/>
      <c r="F295" s="256"/>
      <c r="G295" s="256"/>
      <c r="H295" s="256"/>
      <c r="I295" s="256"/>
      <c r="J295" s="256"/>
      <c r="K295" s="256"/>
      <c r="L295" s="256"/>
      <c r="M295" s="256"/>
      <c r="N295" s="256"/>
      <c r="O295" s="256"/>
      <c r="P295" s="256"/>
      <c r="Q295" s="256"/>
      <c r="R295" s="256"/>
      <c r="S295" s="256"/>
      <c r="T295" s="256"/>
      <c r="U295" s="256"/>
      <c r="V295" s="256"/>
      <c r="W295" s="256"/>
      <c r="X295" s="256"/>
      <c r="Y295" s="256"/>
      <c r="Z295" s="256"/>
    </row>
    <row r="296">
      <c r="A296" s="256"/>
      <c r="B296" s="256"/>
      <c r="C296" s="256"/>
      <c r="D296" s="256"/>
      <c r="E296" s="256"/>
      <c r="F296" s="256"/>
      <c r="G296" s="256"/>
      <c r="H296" s="256"/>
      <c r="I296" s="256"/>
      <c r="J296" s="256"/>
      <c r="K296" s="256"/>
      <c r="L296" s="256"/>
      <c r="M296" s="256"/>
      <c r="N296" s="256"/>
      <c r="O296" s="256"/>
      <c r="P296" s="256"/>
      <c r="Q296" s="256"/>
      <c r="R296" s="256"/>
      <c r="S296" s="256"/>
      <c r="T296" s="256"/>
      <c r="U296" s="256"/>
      <c r="V296" s="256"/>
      <c r="W296" s="256"/>
      <c r="X296" s="256"/>
      <c r="Y296" s="256"/>
      <c r="Z296" s="256"/>
    </row>
    <row r="297">
      <c r="A297" s="256"/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256"/>
      <c r="T297" s="256"/>
      <c r="U297" s="256"/>
      <c r="V297" s="256"/>
      <c r="W297" s="256"/>
      <c r="X297" s="256"/>
      <c r="Y297" s="256"/>
      <c r="Z297" s="256"/>
    </row>
    <row r="298">
      <c r="A298" s="256"/>
      <c r="B298" s="256"/>
      <c r="C298" s="256"/>
      <c r="D298" s="256"/>
      <c r="E298" s="256"/>
      <c r="F298" s="256"/>
      <c r="G298" s="256"/>
      <c r="H298" s="256"/>
      <c r="I298" s="256"/>
      <c r="J298" s="256"/>
      <c r="K298" s="256"/>
      <c r="L298" s="256"/>
      <c r="M298" s="256"/>
      <c r="N298" s="256"/>
      <c r="O298" s="256"/>
      <c r="P298" s="256"/>
      <c r="Q298" s="256"/>
      <c r="R298" s="256"/>
      <c r="S298" s="256"/>
      <c r="T298" s="256"/>
      <c r="U298" s="256"/>
      <c r="V298" s="256"/>
      <c r="W298" s="256"/>
      <c r="X298" s="256"/>
      <c r="Y298" s="256"/>
      <c r="Z298" s="256"/>
    </row>
    <row r="299">
      <c r="A299" s="256"/>
      <c r="B299" s="256"/>
      <c r="C299" s="256"/>
      <c r="D299" s="256"/>
      <c r="E299" s="256"/>
      <c r="F299" s="256"/>
      <c r="G299" s="256"/>
      <c r="H299" s="256"/>
      <c r="I299" s="256"/>
      <c r="J299" s="256"/>
      <c r="K299" s="256"/>
      <c r="L299" s="256"/>
      <c r="M299" s="256"/>
      <c r="N299" s="256"/>
      <c r="O299" s="256"/>
      <c r="P299" s="256"/>
      <c r="Q299" s="256"/>
      <c r="R299" s="256"/>
      <c r="S299" s="256"/>
      <c r="T299" s="256"/>
      <c r="U299" s="256"/>
      <c r="V299" s="256"/>
      <c r="W299" s="256"/>
      <c r="X299" s="256"/>
      <c r="Y299" s="256"/>
      <c r="Z299" s="256"/>
    </row>
    <row r="300">
      <c r="A300" s="256"/>
      <c r="B300" s="256"/>
      <c r="C300" s="256"/>
      <c r="D300" s="256"/>
      <c r="E300" s="256"/>
      <c r="F300" s="256"/>
      <c r="G300" s="256"/>
      <c r="H300" s="256"/>
      <c r="I300" s="256"/>
      <c r="J300" s="256"/>
      <c r="K300" s="256"/>
      <c r="L300" s="256"/>
      <c r="M300" s="256"/>
      <c r="N300" s="256"/>
      <c r="O300" s="256"/>
      <c r="P300" s="256"/>
      <c r="Q300" s="256"/>
      <c r="R300" s="256"/>
      <c r="S300" s="256"/>
      <c r="T300" s="256"/>
      <c r="U300" s="256"/>
      <c r="V300" s="256"/>
      <c r="W300" s="256"/>
      <c r="X300" s="256"/>
      <c r="Y300" s="256"/>
      <c r="Z300" s="256"/>
    </row>
    <row r="301">
      <c r="A301" s="256"/>
      <c r="B301" s="256"/>
      <c r="C301" s="256"/>
      <c r="D301" s="256"/>
      <c r="E301" s="256"/>
      <c r="F301" s="256"/>
      <c r="G301" s="256"/>
      <c r="H301" s="256"/>
      <c r="I301" s="256"/>
      <c r="J301" s="256"/>
      <c r="K301" s="256"/>
      <c r="L301" s="256"/>
      <c r="M301" s="256"/>
      <c r="N301" s="256"/>
      <c r="O301" s="256"/>
      <c r="P301" s="256"/>
      <c r="Q301" s="256"/>
      <c r="R301" s="256"/>
      <c r="S301" s="256"/>
      <c r="T301" s="256"/>
      <c r="U301" s="256"/>
      <c r="V301" s="256"/>
      <c r="W301" s="256"/>
      <c r="X301" s="256"/>
      <c r="Y301" s="256"/>
      <c r="Z301" s="256"/>
    </row>
    <row r="302">
      <c r="A302" s="256"/>
      <c r="B302" s="256"/>
      <c r="C302" s="256"/>
      <c r="D302" s="256"/>
      <c r="E302" s="256"/>
      <c r="F302" s="256"/>
      <c r="G302" s="256"/>
      <c r="H302" s="256"/>
      <c r="I302" s="256"/>
      <c r="J302" s="256"/>
      <c r="K302" s="256"/>
      <c r="L302" s="256"/>
      <c r="M302" s="256"/>
      <c r="N302" s="256"/>
      <c r="O302" s="256"/>
      <c r="P302" s="256"/>
      <c r="Q302" s="256"/>
      <c r="R302" s="256"/>
      <c r="S302" s="256"/>
      <c r="T302" s="256"/>
      <c r="U302" s="256"/>
      <c r="V302" s="256"/>
      <c r="W302" s="256"/>
      <c r="X302" s="256"/>
      <c r="Y302" s="256"/>
      <c r="Z302" s="256"/>
    </row>
    <row r="303">
      <c r="A303" s="256"/>
      <c r="B303" s="256"/>
      <c r="C303" s="256"/>
      <c r="D303" s="256"/>
      <c r="E303" s="256"/>
      <c r="F303" s="256"/>
      <c r="G303" s="256"/>
      <c r="H303" s="256"/>
      <c r="I303" s="256"/>
      <c r="J303" s="256"/>
      <c r="K303" s="256"/>
      <c r="L303" s="256"/>
      <c r="M303" s="256"/>
      <c r="N303" s="256"/>
      <c r="O303" s="256"/>
      <c r="P303" s="256"/>
      <c r="Q303" s="256"/>
      <c r="R303" s="256"/>
      <c r="S303" s="256"/>
      <c r="T303" s="256"/>
      <c r="U303" s="256"/>
      <c r="V303" s="256"/>
      <c r="W303" s="256"/>
      <c r="X303" s="256"/>
      <c r="Y303" s="256"/>
      <c r="Z303" s="256"/>
    </row>
    <row r="304">
      <c r="A304" s="256"/>
      <c r="B304" s="256"/>
      <c r="C304" s="256"/>
      <c r="D304" s="256"/>
      <c r="E304" s="256"/>
      <c r="F304" s="256"/>
      <c r="G304" s="256"/>
      <c r="H304" s="256"/>
      <c r="I304" s="256"/>
      <c r="J304" s="256"/>
      <c r="K304" s="256"/>
      <c r="L304" s="256"/>
      <c r="M304" s="256"/>
      <c r="N304" s="256"/>
      <c r="O304" s="256"/>
      <c r="P304" s="256"/>
      <c r="Q304" s="256"/>
      <c r="R304" s="256"/>
      <c r="S304" s="256"/>
      <c r="T304" s="256"/>
      <c r="U304" s="256"/>
      <c r="V304" s="256"/>
      <c r="W304" s="256"/>
      <c r="X304" s="256"/>
      <c r="Y304" s="256"/>
      <c r="Z304" s="256"/>
    </row>
    <row r="305">
      <c r="A305" s="256"/>
      <c r="B305" s="256"/>
      <c r="C305" s="256"/>
      <c r="D305" s="256"/>
      <c r="E305" s="256"/>
      <c r="F305" s="256"/>
      <c r="G305" s="256"/>
      <c r="H305" s="256"/>
      <c r="I305" s="256"/>
      <c r="J305" s="256"/>
      <c r="K305" s="256"/>
      <c r="L305" s="256"/>
      <c r="M305" s="256"/>
      <c r="N305" s="256"/>
      <c r="O305" s="256"/>
      <c r="P305" s="256"/>
      <c r="Q305" s="256"/>
      <c r="R305" s="256"/>
      <c r="S305" s="256"/>
      <c r="T305" s="256"/>
      <c r="U305" s="256"/>
      <c r="V305" s="256"/>
      <c r="W305" s="256"/>
      <c r="X305" s="256"/>
      <c r="Y305" s="256"/>
      <c r="Z305" s="256"/>
    </row>
    <row r="306">
      <c r="A306" s="256"/>
      <c r="B306" s="256"/>
      <c r="C306" s="256"/>
      <c r="D306" s="256"/>
      <c r="E306" s="256"/>
      <c r="F306" s="256"/>
      <c r="G306" s="256"/>
      <c r="H306" s="256"/>
      <c r="I306" s="256"/>
      <c r="J306" s="256"/>
      <c r="K306" s="256"/>
      <c r="L306" s="256"/>
      <c r="M306" s="256"/>
      <c r="N306" s="256"/>
      <c r="O306" s="256"/>
      <c r="P306" s="256"/>
      <c r="Q306" s="256"/>
      <c r="R306" s="256"/>
      <c r="S306" s="256"/>
      <c r="T306" s="256"/>
      <c r="U306" s="256"/>
      <c r="V306" s="256"/>
      <c r="W306" s="256"/>
      <c r="X306" s="256"/>
      <c r="Y306" s="256"/>
      <c r="Z306" s="256"/>
    </row>
    <row r="307">
      <c r="A307" s="256"/>
      <c r="B307" s="256"/>
      <c r="C307" s="256"/>
      <c r="D307" s="256"/>
      <c r="E307" s="256"/>
      <c r="F307" s="256"/>
      <c r="G307" s="256"/>
      <c r="H307" s="256"/>
      <c r="I307" s="256"/>
      <c r="J307" s="256"/>
      <c r="K307" s="256"/>
      <c r="L307" s="256"/>
      <c r="M307" s="256"/>
      <c r="N307" s="256"/>
      <c r="O307" s="256"/>
      <c r="P307" s="256"/>
      <c r="Q307" s="256"/>
      <c r="R307" s="256"/>
      <c r="S307" s="256"/>
      <c r="T307" s="256"/>
      <c r="U307" s="256"/>
      <c r="V307" s="256"/>
      <c r="W307" s="256"/>
      <c r="X307" s="256"/>
      <c r="Y307" s="256"/>
      <c r="Z307" s="256"/>
    </row>
    <row r="308">
      <c r="A308" s="256"/>
      <c r="B308" s="256"/>
      <c r="C308" s="256"/>
      <c r="D308" s="256"/>
      <c r="E308" s="256"/>
      <c r="F308" s="256"/>
      <c r="G308" s="256"/>
      <c r="H308" s="256"/>
      <c r="I308" s="256"/>
      <c r="J308" s="256"/>
      <c r="K308" s="256"/>
      <c r="L308" s="256"/>
      <c r="M308" s="256"/>
      <c r="N308" s="256"/>
      <c r="O308" s="256"/>
      <c r="P308" s="256"/>
      <c r="Q308" s="256"/>
      <c r="R308" s="256"/>
      <c r="S308" s="256"/>
      <c r="T308" s="256"/>
      <c r="U308" s="256"/>
      <c r="V308" s="256"/>
      <c r="W308" s="256"/>
      <c r="X308" s="256"/>
      <c r="Y308" s="256"/>
      <c r="Z308" s="256"/>
    </row>
    <row r="309">
      <c r="A309" s="256"/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256"/>
      <c r="T309" s="256"/>
      <c r="U309" s="256"/>
      <c r="V309" s="256"/>
      <c r="W309" s="256"/>
      <c r="X309" s="256"/>
      <c r="Y309" s="256"/>
      <c r="Z309" s="256"/>
    </row>
    <row r="310">
      <c r="A310" s="256"/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256"/>
      <c r="T310" s="256"/>
      <c r="U310" s="256"/>
      <c r="V310" s="256"/>
      <c r="W310" s="256"/>
      <c r="X310" s="256"/>
      <c r="Y310" s="256"/>
      <c r="Z310" s="256"/>
    </row>
    <row r="311">
      <c r="A311" s="256"/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256"/>
      <c r="T311" s="256"/>
      <c r="U311" s="256"/>
      <c r="V311" s="256"/>
      <c r="W311" s="256"/>
      <c r="X311" s="256"/>
      <c r="Y311" s="256"/>
      <c r="Z311" s="256"/>
    </row>
    <row r="312">
      <c r="A312" s="256"/>
      <c r="B312" s="256"/>
      <c r="C312" s="256"/>
      <c r="D312" s="256"/>
      <c r="E312" s="256"/>
      <c r="F312" s="256"/>
      <c r="G312" s="256"/>
      <c r="H312" s="256"/>
      <c r="I312" s="256"/>
      <c r="J312" s="256"/>
      <c r="K312" s="256"/>
      <c r="L312" s="256"/>
      <c r="M312" s="256"/>
      <c r="N312" s="256"/>
      <c r="O312" s="256"/>
      <c r="P312" s="256"/>
      <c r="Q312" s="256"/>
      <c r="R312" s="256"/>
      <c r="S312" s="256"/>
      <c r="T312" s="256"/>
      <c r="U312" s="256"/>
      <c r="V312" s="256"/>
      <c r="W312" s="256"/>
      <c r="X312" s="256"/>
      <c r="Y312" s="256"/>
      <c r="Z312" s="256"/>
    </row>
    <row r="313">
      <c r="A313" s="256"/>
      <c r="B313" s="256"/>
      <c r="C313" s="256"/>
      <c r="D313" s="256"/>
      <c r="E313" s="256"/>
      <c r="F313" s="256"/>
      <c r="G313" s="256"/>
      <c r="H313" s="256"/>
      <c r="I313" s="256"/>
      <c r="J313" s="256"/>
      <c r="K313" s="256"/>
      <c r="L313" s="256"/>
      <c r="M313" s="256"/>
      <c r="N313" s="256"/>
      <c r="O313" s="256"/>
      <c r="P313" s="256"/>
      <c r="Q313" s="256"/>
      <c r="R313" s="256"/>
      <c r="S313" s="256"/>
      <c r="T313" s="256"/>
      <c r="U313" s="256"/>
      <c r="V313" s="256"/>
      <c r="W313" s="256"/>
      <c r="X313" s="256"/>
      <c r="Y313" s="256"/>
      <c r="Z313" s="256"/>
    </row>
    <row r="314">
      <c r="A314" s="256"/>
      <c r="B314" s="256"/>
      <c r="C314" s="256"/>
      <c r="D314" s="256"/>
      <c r="E314" s="256"/>
      <c r="F314" s="256"/>
      <c r="G314" s="256"/>
      <c r="H314" s="256"/>
      <c r="I314" s="256"/>
      <c r="J314" s="256"/>
      <c r="K314" s="256"/>
      <c r="L314" s="256"/>
      <c r="M314" s="256"/>
      <c r="N314" s="256"/>
      <c r="O314" s="256"/>
      <c r="P314" s="256"/>
      <c r="Q314" s="256"/>
      <c r="R314" s="256"/>
      <c r="S314" s="256"/>
      <c r="T314" s="256"/>
      <c r="U314" s="256"/>
      <c r="V314" s="256"/>
      <c r="W314" s="256"/>
      <c r="X314" s="256"/>
      <c r="Y314" s="256"/>
      <c r="Z314" s="256"/>
    </row>
    <row r="315">
      <c r="A315" s="256"/>
      <c r="B315" s="256"/>
      <c r="C315" s="256"/>
      <c r="D315" s="256"/>
      <c r="E315" s="256"/>
      <c r="F315" s="256"/>
      <c r="G315" s="256"/>
      <c r="H315" s="256"/>
      <c r="I315" s="256"/>
      <c r="J315" s="256"/>
      <c r="K315" s="256"/>
      <c r="L315" s="256"/>
      <c r="M315" s="256"/>
      <c r="N315" s="256"/>
      <c r="O315" s="256"/>
      <c r="P315" s="256"/>
      <c r="Q315" s="256"/>
      <c r="R315" s="256"/>
      <c r="S315" s="256"/>
      <c r="T315" s="256"/>
      <c r="U315" s="256"/>
      <c r="V315" s="256"/>
      <c r="W315" s="256"/>
      <c r="X315" s="256"/>
      <c r="Y315" s="256"/>
      <c r="Z315" s="256"/>
    </row>
    <row r="316">
      <c r="A316" s="256"/>
      <c r="B316" s="256"/>
      <c r="C316" s="256"/>
      <c r="D316" s="256"/>
      <c r="E316" s="256"/>
      <c r="F316" s="256"/>
      <c r="G316" s="256"/>
      <c r="H316" s="256"/>
      <c r="I316" s="256"/>
      <c r="J316" s="256"/>
      <c r="K316" s="256"/>
      <c r="L316" s="256"/>
      <c r="M316" s="256"/>
      <c r="N316" s="256"/>
      <c r="O316" s="256"/>
      <c r="P316" s="256"/>
      <c r="Q316" s="256"/>
      <c r="R316" s="256"/>
      <c r="S316" s="256"/>
      <c r="T316" s="256"/>
      <c r="U316" s="256"/>
      <c r="V316" s="256"/>
      <c r="W316" s="256"/>
      <c r="X316" s="256"/>
      <c r="Y316" s="256"/>
      <c r="Z316" s="256"/>
    </row>
    <row r="317">
      <c r="A317" s="256"/>
      <c r="B317" s="256"/>
      <c r="C317" s="256"/>
      <c r="D317" s="256"/>
      <c r="E317" s="256"/>
      <c r="F317" s="256"/>
      <c r="G317" s="256"/>
      <c r="H317" s="256"/>
      <c r="I317" s="256"/>
      <c r="J317" s="256"/>
      <c r="K317" s="256"/>
      <c r="L317" s="256"/>
      <c r="M317" s="256"/>
      <c r="N317" s="256"/>
      <c r="O317" s="256"/>
      <c r="P317" s="256"/>
      <c r="Q317" s="256"/>
      <c r="R317" s="256"/>
      <c r="S317" s="256"/>
      <c r="T317" s="256"/>
      <c r="U317" s="256"/>
      <c r="V317" s="256"/>
      <c r="W317" s="256"/>
      <c r="X317" s="256"/>
      <c r="Y317" s="256"/>
      <c r="Z317" s="256"/>
    </row>
    <row r="318">
      <c r="A318" s="256"/>
      <c r="B318" s="256"/>
      <c r="C318" s="256"/>
      <c r="D318" s="256"/>
      <c r="E318" s="256"/>
      <c r="F318" s="256"/>
      <c r="G318" s="256"/>
      <c r="H318" s="256"/>
      <c r="I318" s="256"/>
      <c r="J318" s="256"/>
      <c r="K318" s="256"/>
      <c r="L318" s="256"/>
      <c r="M318" s="256"/>
      <c r="N318" s="256"/>
      <c r="O318" s="256"/>
      <c r="P318" s="256"/>
      <c r="Q318" s="256"/>
      <c r="R318" s="256"/>
      <c r="S318" s="256"/>
      <c r="T318" s="256"/>
      <c r="U318" s="256"/>
      <c r="V318" s="256"/>
      <c r="W318" s="256"/>
      <c r="X318" s="256"/>
      <c r="Y318" s="256"/>
      <c r="Z318" s="256"/>
    </row>
    <row r="319">
      <c r="A319" s="256"/>
      <c r="B319" s="256"/>
      <c r="C319" s="256"/>
      <c r="D319" s="256"/>
      <c r="E319" s="256"/>
      <c r="F319" s="256"/>
      <c r="G319" s="256"/>
      <c r="H319" s="256"/>
      <c r="I319" s="256"/>
      <c r="J319" s="256"/>
      <c r="K319" s="256"/>
      <c r="L319" s="256"/>
      <c r="M319" s="256"/>
      <c r="N319" s="256"/>
      <c r="O319" s="256"/>
      <c r="P319" s="256"/>
      <c r="Q319" s="256"/>
      <c r="R319" s="256"/>
      <c r="S319" s="256"/>
      <c r="T319" s="256"/>
      <c r="U319" s="256"/>
      <c r="V319" s="256"/>
      <c r="W319" s="256"/>
      <c r="X319" s="256"/>
      <c r="Y319" s="256"/>
      <c r="Z319" s="256"/>
    </row>
    <row r="320">
      <c r="A320" s="256"/>
      <c r="B320" s="256"/>
      <c r="C320" s="256"/>
      <c r="D320" s="256"/>
      <c r="E320" s="256"/>
      <c r="F320" s="256"/>
      <c r="G320" s="256"/>
      <c r="H320" s="256"/>
      <c r="I320" s="256"/>
      <c r="J320" s="256"/>
      <c r="K320" s="256"/>
      <c r="L320" s="256"/>
      <c r="M320" s="256"/>
      <c r="N320" s="256"/>
      <c r="O320" s="256"/>
      <c r="P320" s="256"/>
      <c r="Q320" s="256"/>
      <c r="R320" s="256"/>
      <c r="S320" s="256"/>
      <c r="T320" s="256"/>
      <c r="U320" s="256"/>
      <c r="V320" s="256"/>
      <c r="W320" s="256"/>
      <c r="X320" s="256"/>
      <c r="Y320" s="256"/>
      <c r="Z320" s="256"/>
    </row>
    <row r="321">
      <c r="A321" s="256"/>
      <c r="B321" s="256"/>
      <c r="C321" s="256"/>
      <c r="D321" s="256"/>
      <c r="E321" s="256"/>
      <c r="F321" s="256"/>
      <c r="G321" s="256"/>
      <c r="H321" s="256"/>
      <c r="I321" s="256"/>
      <c r="J321" s="256"/>
      <c r="K321" s="256"/>
      <c r="L321" s="256"/>
      <c r="M321" s="256"/>
      <c r="N321" s="256"/>
      <c r="O321" s="256"/>
      <c r="P321" s="256"/>
      <c r="Q321" s="256"/>
      <c r="R321" s="256"/>
      <c r="S321" s="256"/>
      <c r="T321" s="256"/>
      <c r="U321" s="256"/>
      <c r="V321" s="256"/>
      <c r="W321" s="256"/>
      <c r="X321" s="256"/>
      <c r="Y321" s="256"/>
      <c r="Z321" s="256"/>
    </row>
    <row r="322">
      <c r="A322" s="256"/>
      <c r="B322" s="256"/>
      <c r="C322" s="256"/>
      <c r="D322" s="256"/>
      <c r="E322" s="256"/>
      <c r="F322" s="256"/>
      <c r="G322" s="256"/>
      <c r="H322" s="256"/>
      <c r="I322" s="256"/>
      <c r="J322" s="256"/>
      <c r="K322" s="256"/>
      <c r="L322" s="256"/>
      <c r="M322" s="256"/>
      <c r="N322" s="256"/>
      <c r="O322" s="256"/>
      <c r="P322" s="256"/>
      <c r="Q322" s="256"/>
      <c r="R322" s="256"/>
      <c r="S322" s="256"/>
      <c r="T322" s="256"/>
      <c r="U322" s="256"/>
      <c r="V322" s="256"/>
      <c r="W322" s="256"/>
      <c r="X322" s="256"/>
      <c r="Y322" s="256"/>
      <c r="Z322" s="256"/>
    </row>
    <row r="323">
      <c r="A323" s="256"/>
      <c r="B323" s="256"/>
      <c r="C323" s="256"/>
      <c r="D323" s="256"/>
      <c r="E323" s="256"/>
      <c r="F323" s="256"/>
      <c r="G323" s="256"/>
      <c r="H323" s="256"/>
      <c r="I323" s="256"/>
      <c r="J323" s="256"/>
      <c r="K323" s="256"/>
      <c r="L323" s="256"/>
      <c r="M323" s="256"/>
      <c r="N323" s="256"/>
      <c r="O323" s="256"/>
      <c r="P323" s="256"/>
      <c r="Q323" s="256"/>
      <c r="R323" s="256"/>
      <c r="S323" s="256"/>
      <c r="T323" s="256"/>
      <c r="U323" s="256"/>
      <c r="V323" s="256"/>
      <c r="W323" s="256"/>
      <c r="X323" s="256"/>
      <c r="Y323" s="256"/>
      <c r="Z323" s="256"/>
    </row>
    <row r="324">
      <c r="A324" s="256"/>
      <c r="B324" s="256"/>
      <c r="C324" s="256"/>
      <c r="D324" s="256"/>
      <c r="E324" s="256"/>
      <c r="F324" s="256"/>
      <c r="G324" s="256"/>
      <c r="H324" s="256"/>
      <c r="I324" s="256"/>
      <c r="J324" s="256"/>
      <c r="K324" s="256"/>
      <c r="L324" s="256"/>
      <c r="M324" s="256"/>
      <c r="N324" s="256"/>
      <c r="O324" s="256"/>
      <c r="P324" s="256"/>
      <c r="Q324" s="256"/>
      <c r="R324" s="256"/>
      <c r="S324" s="256"/>
      <c r="T324" s="256"/>
      <c r="U324" s="256"/>
      <c r="V324" s="256"/>
      <c r="W324" s="256"/>
      <c r="X324" s="256"/>
      <c r="Y324" s="256"/>
      <c r="Z324" s="256"/>
    </row>
    <row r="325">
      <c r="A325" s="256"/>
      <c r="B325" s="256"/>
      <c r="C325" s="256"/>
      <c r="D325" s="256"/>
      <c r="E325" s="256"/>
      <c r="F325" s="256"/>
      <c r="G325" s="256"/>
      <c r="H325" s="256"/>
      <c r="I325" s="256"/>
      <c r="J325" s="256"/>
      <c r="K325" s="256"/>
      <c r="L325" s="256"/>
      <c r="M325" s="256"/>
      <c r="N325" s="256"/>
      <c r="O325" s="256"/>
      <c r="P325" s="256"/>
      <c r="Q325" s="256"/>
      <c r="R325" s="256"/>
      <c r="S325" s="256"/>
      <c r="T325" s="256"/>
      <c r="U325" s="256"/>
      <c r="V325" s="256"/>
      <c r="W325" s="256"/>
      <c r="X325" s="256"/>
      <c r="Y325" s="256"/>
      <c r="Z325" s="256"/>
    </row>
    <row r="326">
      <c r="A326" s="256"/>
      <c r="B326" s="256"/>
      <c r="C326" s="256"/>
      <c r="D326" s="256"/>
      <c r="E326" s="256"/>
      <c r="F326" s="256"/>
      <c r="G326" s="256"/>
      <c r="H326" s="256"/>
      <c r="I326" s="256"/>
      <c r="J326" s="256"/>
      <c r="K326" s="256"/>
      <c r="L326" s="256"/>
      <c r="M326" s="256"/>
      <c r="N326" s="256"/>
      <c r="O326" s="256"/>
      <c r="P326" s="256"/>
      <c r="Q326" s="256"/>
      <c r="R326" s="256"/>
      <c r="S326" s="256"/>
      <c r="T326" s="256"/>
      <c r="U326" s="256"/>
      <c r="V326" s="256"/>
      <c r="W326" s="256"/>
      <c r="X326" s="256"/>
      <c r="Y326" s="256"/>
      <c r="Z326" s="256"/>
    </row>
    <row r="327">
      <c r="A327" s="256"/>
      <c r="B327" s="256"/>
      <c r="C327" s="256"/>
      <c r="D327" s="256"/>
      <c r="E327" s="256"/>
      <c r="F327" s="256"/>
      <c r="G327" s="256"/>
      <c r="H327" s="256"/>
      <c r="I327" s="256"/>
      <c r="J327" s="256"/>
      <c r="K327" s="256"/>
      <c r="L327" s="256"/>
      <c r="M327" s="256"/>
      <c r="N327" s="256"/>
      <c r="O327" s="256"/>
      <c r="P327" s="256"/>
      <c r="Q327" s="256"/>
      <c r="R327" s="256"/>
      <c r="S327" s="256"/>
      <c r="T327" s="256"/>
      <c r="U327" s="256"/>
      <c r="V327" s="256"/>
      <c r="W327" s="256"/>
      <c r="X327" s="256"/>
      <c r="Y327" s="256"/>
      <c r="Z327" s="256"/>
    </row>
    <row r="328">
      <c r="A328" s="256"/>
      <c r="B328" s="256"/>
      <c r="C328" s="256"/>
      <c r="D328" s="256"/>
      <c r="E328" s="256"/>
      <c r="F328" s="256"/>
      <c r="G328" s="256"/>
      <c r="H328" s="256"/>
      <c r="I328" s="256"/>
      <c r="J328" s="256"/>
      <c r="K328" s="256"/>
      <c r="L328" s="256"/>
      <c r="M328" s="256"/>
      <c r="N328" s="256"/>
      <c r="O328" s="256"/>
      <c r="P328" s="256"/>
      <c r="Q328" s="256"/>
      <c r="R328" s="256"/>
      <c r="S328" s="256"/>
      <c r="T328" s="256"/>
      <c r="U328" s="256"/>
      <c r="V328" s="256"/>
      <c r="W328" s="256"/>
      <c r="X328" s="256"/>
      <c r="Y328" s="256"/>
      <c r="Z328" s="256"/>
    </row>
    <row r="329">
      <c r="A329" s="256"/>
      <c r="B329" s="256"/>
      <c r="C329" s="256"/>
      <c r="D329" s="256"/>
      <c r="E329" s="256"/>
      <c r="F329" s="256"/>
      <c r="G329" s="256"/>
      <c r="H329" s="256"/>
      <c r="I329" s="256"/>
      <c r="J329" s="256"/>
      <c r="K329" s="256"/>
      <c r="L329" s="256"/>
      <c r="M329" s="256"/>
      <c r="N329" s="256"/>
      <c r="O329" s="256"/>
      <c r="P329" s="256"/>
      <c r="Q329" s="256"/>
      <c r="R329" s="256"/>
      <c r="S329" s="256"/>
      <c r="T329" s="256"/>
      <c r="U329" s="256"/>
      <c r="V329" s="256"/>
      <c r="W329" s="256"/>
      <c r="X329" s="256"/>
      <c r="Y329" s="256"/>
      <c r="Z329" s="256"/>
    </row>
    <row r="330">
      <c r="A330" s="256"/>
      <c r="B330" s="256"/>
      <c r="C330" s="256"/>
      <c r="D330" s="256"/>
      <c r="E330" s="256"/>
      <c r="F330" s="256"/>
      <c r="G330" s="256"/>
      <c r="H330" s="256"/>
      <c r="I330" s="256"/>
      <c r="J330" s="256"/>
      <c r="K330" s="256"/>
      <c r="L330" s="256"/>
      <c r="M330" s="256"/>
      <c r="N330" s="256"/>
      <c r="O330" s="256"/>
      <c r="P330" s="256"/>
      <c r="Q330" s="256"/>
      <c r="R330" s="256"/>
      <c r="S330" s="256"/>
      <c r="T330" s="256"/>
      <c r="U330" s="256"/>
      <c r="V330" s="256"/>
      <c r="W330" s="256"/>
      <c r="X330" s="256"/>
      <c r="Y330" s="256"/>
      <c r="Z330" s="256"/>
    </row>
    <row r="331">
      <c r="A331" s="256"/>
      <c r="B331" s="256"/>
      <c r="C331" s="256"/>
      <c r="D331" s="256"/>
      <c r="E331" s="256"/>
      <c r="F331" s="256"/>
      <c r="G331" s="256"/>
      <c r="H331" s="256"/>
      <c r="I331" s="256"/>
      <c r="J331" s="256"/>
      <c r="K331" s="256"/>
      <c r="L331" s="256"/>
      <c r="M331" s="256"/>
      <c r="N331" s="256"/>
      <c r="O331" s="256"/>
      <c r="P331" s="256"/>
      <c r="Q331" s="256"/>
      <c r="R331" s="256"/>
      <c r="S331" s="256"/>
      <c r="T331" s="256"/>
      <c r="U331" s="256"/>
      <c r="V331" s="256"/>
      <c r="W331" s="256"/>
      <c r="X331" s="256"/>
      <c r="Y331" s="256"/>
      <c r="Z331" s="256"/>
    </row>
    <row r="332">
      <c r="A332" s="256"/>
      <c r="B332" s="256"/>
      <c r="C332" s="256"/>
      <c r="D332" s="256"/>
      <c r="E332" s="256"/>
      <c r="F332" s="256"/>
      <c r="G332" s="256"/>
      <c r="H332" s="256"/>
      <c r="I332" s="256"/>
      <c r="J332" s="256"/>
      <c r="K332" s="256"/>
      <c r="L332" s="256"/>
      <c r="M332" s="256"/>
      <c r="N332" s="256"/>
      <c r="O332" s="256"/>
      <c r="P332" s="256"/>
      <c r="Q332" s="256"/>
      <c r="R332" s="256"/>
      <c r="S332" s="256"/>
      <c r="T332" s="256"/>
      <c r="U332" s="256"/>
      <c r="V332" s="256"/>
      <c r="W332" s="256"/>
      <c r="X332" s="256"/>
      <c r="Y332" s="256"/>
      <c r="Z332" s="256"/>
    </row>
    <row r="333">
      <c r="A333" s="256"/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256"/>
      <c r="T333" s="256"/>
      <c r="U333" s="256"/>
      <c r="V333" s="256"/>
      <c r="W333" s="256"/>
      <c r="X333" s="256"/>
      <c r="Y333" s="256"/>
      <c r="Z333" s="256"/>
    </row>
    <row r="334">
      <c r="A334" s="256"/>
      <c r="B334" s="256"/>
      <c r="C334" s="256"/>
      <c r="D334" s="256"/>
      <c r="E334" s="256"/>
      <c r="F334" s="256"/>
      <c r="G334" s="256"/>
      <c r="H334" s="256"/>
      <c r="I334" s="256"/>
      <c r="J334" s="256"/>
      <c r="K334" s="256"/>
      <c r="L334" s="256"/>
      <c r="M334" s="256"/>
      <c r="N334" s="256"/>
      <c r="O334" s="256"/>
      <c r="P334" s="256"/>
      <c r="Q334" s="256"/>
      <c r="R334" s="256"/>
      <c r="S334" s="256"/>
      <c r="T334" s="256"/>
      <c r="U334" s="256"/>
      <c r="V334" s="256"/>
      <c r="W334" s="256"/>
      <c r="X334" s="256"/>
      <c r="Y334" s="256"/>
      <c r="Z334" s="256"/>
    </row>
    <row r="335">
      <c r="A335" s="256"/>
      <c r="B335" s="256"/>
      <c r="C335" s="256"/>
      <c r="D335" s="256"/>
      <c r="E335" s="256"/>
      <c r="F335" s="256"/>
      <c r="G335" s="256"/>
      <c r="H335" s="256"/>
      <c r="I335" s="256"/>
      <c r="J335" s="256"/>
      <c r="K335" s="256"/>
      <c r="L335" s="256"/>
      <c r="M335" s="256"/>
      <c r="N335" s="256"/>
      <c r="O335" s="256"/>
      <c r="P335" s="256"/>
      <c r="Q335" s="256"/>
      <c r="R335" s="256"/>
      <c r="S335" s="256"/>
      <c r="T335" s="256"/>
      <c r="U335" s="256"/>
      <c r="V335" s="256"/>
      <c r="W335" s="256"/>
      <c r="X335" s="256"/>
      <c r="Y335" s="256"/>
      <c r="Z335" s="256"/>
    </row>
    <row r="336">
      <c r="A336" s="256"/>
      <c r="B336" s="256"/>
      <c r="C336" s="256"/>
      <c r="D336" s="256"/>
      <c r="E336" s="256"/>
      <c r="F336" s="256"/>
      <c r="G336" s="256"/>
      <c r="H336" s="256"/>
      <c r="I336" s="256"/>
      <c r="J336" s="256"/>
      <c r="K336" s="256"/>
      <c r="L336" s="256"/>
      <c r="M336" s="256"/>
      <c r="N336" s="256"/>
      <c r="O336" s="256"/>
      <c r="P336" s="256"/>
      <c r="Q336" s="256"/>
      <c r="R336" s="256"/>
      <c r="S336" s="256"/>
      <c r="T336" s="256"/>
      <c r="U336" s="256"/>
      <c r="V336" s="256"/>
      <c r="W336" s="256"/>
      <c r="X336" s="256"/>
      <c r="Y336" s="256"/>
      <c r="Z336" s="256"/>
    </row>
    <row r="337">
      <c r="A337" s="256"/>
      <c r="B337" s="256"/>
      <c r="C337" s="256"/>
      <c r="D337" s="256"/>
      <c r="E337" s="256"/>
      <c r="F337" s="256"/>
      <c r="G337" s="256"/>
      <c r="H337" s="256"/>
      <c r="I337" s="256"/>
      <c r="J337" s="256"/>
      <c r="K337" s="256"/>
      <c r="L337" s="256"/>
      <c r="M337" s="256"/>
      <c r="N337" s="256"/>
      <c r="O337" s="256"/>
      <c r="P337" s="256"/>
      <c r="Q337" s="256"/>
      <c r="R337" s="256"/>
      <c r="S337" s="256"/>
      <c r="T337" s="256"/>
      <c r="U337" s="256"/>
      <c r="V337" s="256"/>
      <c r="W337" s="256"/>
      <c r="X337" s="256"/>
      <c r="Y337" s="256"/>
      <c r="Z337" s="256"/>
    </row>
    <row r="338">
      <c r="A338" s="256"/>
      <c r="B338" s="256"/>
      <c r="C338" s="256"/>
      <c r="D338" s="256"/>
      <c r="E338" s="256"/>
      <c r="F338" s="256"/>
      <c r="G338" s="256"/>
      <c r="H338" s="256"/>
      <c r="I338" s="256"/>
      <c r="J338" s="256"/>
      <c r="K338" s="256"/>
      <c r="L338" s="256"/>
      <c r="M338" s="256"/>
      <c r="N338" s="256"/>
      <c r="O338" s="256"/>
      <c r="P338" s="256"/>
      <c r="Q338" s="256"/>
      <c r="R338" s="256"/>
      <c r="S338" s="256"/>
      <c r="T338" s="256"/>
      <c r="U338" s="256"/>
      <c r="V338" s="256"/>
      <c r="W338" s="256"/>
      <c r="X338" s="256"/>
      <c r="Y338" s="256"/>
      <c r="Z338" s="256"/>
    </row>
    <row r="339">
      <c r="A339" s="256"/>
      <c r="B339" s="256"/>
      <c r="C339" s="256"/>
      <c r="D339" s="256"/>
      <c r="E339" s="256"/>
      <c r="F339" s="256"/>
      <c r="G339" s="256"/>
      <c r="H339" s="256"/>
      <c r="I339" s="256"/>
      <c r="J339" s="256"/>
      <c r="K339" s="256"/>
      <c r="L339" s="256"/>
      <c r="M339" s="256"/>
      <c r="N339" s="256"/>
      <c r="O339" s="256"/>
      <c r="P339" s="256"/>
      <c r="Q339" s="256"/>
      <c r="R339" s="256"/>
      <c r="S339" s="256"/>
      <c r="T339" s="256"/>
      <c r="U339" s="256"/>
      <c r="V339" s="256"/>
      <c r="W339" s="256"/>
      <c r="X339" s="256"/>
      <c r="Y339" s="256"/>
      <c r="Z339" s="256"/>
    </row>
    <row r="340">
      <c r="A340" s="256"/>
      <c r="B340" s="256"/>
      <c r="C340" s="256"/>
      <c r="D340" s="256"/>
      <c r="E340" s="256"/>
      <c r="F340" s="256"/>
      <c r="G340" s="256"/>
      <c r="H340" s="256"/>
      <c r="I340" s="256"/>
      <c r="J340" s="256"/>
      <c r="K340" s="256"/>
      <c r="L340" s="256"/>
      <c r="M340" s="256"/>
      <c r="N340" s="256"/>
      <c r="O340" s="256"/>
      <c r="P340" s="256"/>
      <c r="Q340" s="256"/>
      <c r="R340" s="256"/>
      <c r="S340" s="256"/>
      <c r="T340" s="256"/>
      <c r="U340" s="256"/>
      <c r="V340" s="256"/>
      <c r="W340" s="256"/>
      <c r="X340" s="256"/>
      <c r="Y340" s="256"/>
      <c r="Z340" s="256"/>
    </row>
    <row r="341">
      <c r="A341" s="256"/>
      <c r="B341" s="256"/>
      <c r="C341" s="256"/>
      <c r="D341" s="256"/>
      <c r="E341" s="256"/>
      <c r="F341" s="256"/>
      <c r="G341" s="256"/>
      <c r="H341" s="256"/>
      <c r="I341" s="256"/>
      <c r="J341" s="256"/>
      <c r="K341" s="256"/>
      <c r="L341" s="256"/>
      <c r="M341" s="256"/>
      <c r="N341" s="256"/>
      <c r="O341" s="256"/>
      <c r="P341" s="256"/>
      <c r="Q341" s="256"/>
      <c r="R341" s="256"/>
      <c r="S341" s="256"/>
      <c r="T341" s="256"/>
      <c r="U341" s="256"/>
      <c r="V341" s="256"/>
      <c r="W341" s="256"/>
      <c r="X341" s="256"/>
      <c r="Y341" s="256"/>
      <c r="Z341" s="256"/>
    </row>
    <row r="342">
      <c r="A342" s="256"/>
      <c r="B342" s="256"/>
      <c r="C342" s="256"/>
      <c r="D342" s="256"/>
      <c r="E342" s="256"/>
      <c r="F342" s="256"/>
      <c r="G342" s="256"/>
      <c r="H342" s="256"/>
      <c r="I342" s="256"/>
      <c r="J342" s="256"/>
      <c r="K342" s="256"/>
      <c r="L342" s="256"/>
      <c r="M342" s="256"/>
      <c r="N342" s="256"/>
      <c r="O342" s="256"/>
      <c r="P342" s="256"/>
      <c r="Q342" s="256"/>
      <c r="R342" s="256"/>
      <c r="S342" s="256"/>
      <c r="T342" s="256"/>
      <c r="U342" s="256"/>
      <c r="V342" s="256"/>
      <c r="W342" s="256"/>
      <c r="X342" s="256"/>
      <c r="Y342" s="256"/>
      <c r="Z342" s="256"/>
    </row>
    <row r="343">
      <c r="A343" s="256"/>
      <c r="B343" s="256"/>
      <c r="C343" s="256"/>
      <c r="D343" s="256"/>
      <c r="E343" s="256"/>
      <c r="F343" s="256"/>
      <c r="G343" s="256"/>
      <c r="H343" s="256"/>
      <c r="I343" s="256"/>
      <c r="J343" s="256"/>
      <c r="K343" s="256"/>
      <c r="L343" s="256"/>
      <c r="M343" s="256"/>
      <c r="N343" s="256"/>
      <c r="O343" s="256"/>
      <c r="P343" s="256"/>
      <c r="Q343" s="256"/>
      <c r="R343" s="256"/>
      <c r="S343" s="256"/>
      <c r="T343" s="256"/>
      <c r="U343" s="256"/>
      <c r="V343" s="256"/>
      <c r="W343" s="256"/>
      <c r="X343" s="256"/>
      <c r="Y343" s="256"/>
      <c r="Z343" s="256"/>
    </row>
    <row r="344">
      <c r="A344" s="256"/>
      <c r="B344" s="256"/>
      <c r="C344" s="256"/>
      <c r="D344" s="256"/>
      <c r="E344" s="256"/>
      <c r="F344" s="256"/>
      <c r="G344" s="256"/>
      <c r="H344" s="256"/>
      <c r="I344" s="256"/>
      <c r="J344" s="256"/>
      <c r="K344" s="256"/>
      <c r="L344" s="256"/>
      <c r="M344" s="256"/>
      <c r="N344" s="256"/>
      <c r="O344" s="256"/>
      <c r="P344" s="256"/>
      <c r="Q344" s="256"/>
      <c r="R344" s="256"/>
      <c r="S344" s="256"/>
      <c r="T344" s="256"/>
      <c r="U344" s="256"/>
      <c r="V344" s="256"/>
      <c r="W344" s="256"/>
      <c r="X344" s="256"/>
      <c r="Y344" s="256"/>
      <c r="Z344" s="256"/>
    </row>
    <row r="345">
      <c r="A345" s="256"/>
      <c r="B345" s="256"/>
      <c r="C345" s="256"/>
      <c r="D345" s="256"/>
      <c r="E345" s="256"/>
      <c r="F345" s="256"/>
      <c r="G345" s="256"/>
      <c r="H345" s="256"/>
      <c r="I345" s="256"/>
      <c r="J345" s="256"/>
      <c r="K345" s="256"/>
      <c r="L345" s="256"/>
      <c r="M345" s="256"/>
      <c r="N345" s="256"/>
      <c r="O345" s="256"/>
      <c r="P345" s="256"/>
      <c r="Q345" s="256"/>
      <c r="R345" s="256"/>
      <c r="S345" s="256"/>
      <c r="T345" s="256"/>
      <c r="U345" s="256"/>
      <c r="V345" s="256"/>
      <c r="W345" s="256"/>
      <c r="X345" s="256"/>
      <c r="Y345" s="256"/>
      <c r="Z345" s="256"/>
    </row>
    <row r="346">
      <c r="A346" s="256"/>
      <c r="B346" s="256"/>
      <c r="C346" s="256"/>
      <c r="D346" s="256"/>
      <c r="E346" s="256"/>
      <c r="F346" s="256"/>
      <c r="G346" s="256"/>
      <c r="H346" s="256"/>
      <c r="I346" s="256"/>
      <c r="J346" s="256"/>
      <c r="K346" s="256"/>
      <c r="L346" s="256"/>
      <c r="M346" s="256"/>
      <c r="N346" s="256"/>
      <c r="O346" s="256"/>
      <c r="P346" s="256"/>
      <c r="Q346" s="256"/>
      <c r="R346" s="256"/>
      <c r="S346" s="256"/>
      <c r="T346" s="256"/>
      <c r="U346" s="256"/>
      <c r="V346" s="256"/>
      <c r="W346" s="256"/>
      <c r="X346" s="256"/>
      <c r="Y346" s="256"/>
      <c r="Z346" s="256"/>
    </row>
    <row r="347">
      <c r="A347" s="256"/>
      <c r="B347" s="256"/>
      <c r="C347" s="256"/>
      <c r="D347" s="256"/>
      <c r="E347" s="256"/>
      <c r="F347" s="256"/>
      <c r="G347" s="256"/>
      <c r="H347" s="256"/>
      <c r="I347" s="256"/>
      <c r="J347" s="256"/>
      <c r="K347" s="256"/>
      <c r="L347" s="256"/>
      <c r="M347" s="256"/>
      <c r="N347" s="256"/>
      <c r="O347" s="256"/>
      <c r="P347" s="256"/>
      <c r="Q347" s="256"/>
      <c r="R347" s="256"/>
      <c r="S347" s="256"/>
      <c r="T347" s="256"/>
      <c r="U347" s="256"/>
      <c r="V347" s="256"/>
      <c r="W347" s="256"/>
      <c r="X347" s="256"/>
      <c r="Y347" s="256"/>
      <c r="Z347" s="256"/>
    </row>
    <row r="348">
      <c r="A348" s="256"/>
      <c r="B348" s="256"/>
      <c r="C348" s="256"/>
      <c r="D348" s="256"/>
      <c r="E348" s="256"/>
      <c r="F348" s="256"/>
      <c r="G348" s="256"/>
      <c r="H348" s="256"/>
      <c r="I348" s="256"/>
      <c r="J348" s="256"/>
      <c r="K348" s="256"/>
      <c r="L348" s="256"/>
      <c r="M348" s="256"/>
      <c r="N348" s="256"/>
      <c r="O348" s="256"/>
      <c r="P348" s="256"/>
      <c r="Q348" s="256"/>
      <c r="R348" s="256"/>
      <c r="S348" s="256"/>
      <c r="T348" s="256"/>
      <c r="U348" s="256"/>
      <c r="V348" s="256"/>
      <c r="W348" s="256"/>
      <c r="X348" s="256"/>
      <c r="Y348" s="256"/>
      <c r="Z348" s="256"/>
    </row>
    <row r="349">
      <c r="A349" s="256"/>
      <c r="B349" s="256"/>
      <c r="C349" s="256"/>
      <c r="D349" s="256"/>
      <c r="E349" s="256"/>
      <c r="F349" s="256"/>
      <c r="G349" s="256"/>
      <c r="H349" s="256"/>
      <c r="I349" s="256"/>
      <c r="J349" s="256"/>
      <c r="K349" s="256"/>
      <c r="L349" s="256"/>
      <c r="M349" s="256"/>
      <c r="N349" s="256"/>
      <c r="O349" s="256"/>
      <c r="P349" s="256"/>
      <c r="Q349" s="256"/>
      <c r="R349" s="256"/>
      <c r="S349" s="256"/>
      <c r="T349" s="256"/>
      <c r="U349" s="256"/>
      <c r="V349" s="256"/>
      <c r="W349" s="256"/>
      <c r="X349" s="256"/>
      <c r="Y349" s="256"/>
      <c r="Z349" s="256"/>
    </row>
    <row r="350">
      <c r="A350" s="256"/>
      <c r="B350" s="256"/>
      <c r="C350" s="256"/>
      <c r="D350" s="256"/>
      <c r="E350" s="256"/>
      <c r="F350" s="256"/>
      <c r="G350" s="256"/>
      <c r="H350" s="256"/>
      <c r="I350" s="256"/>
      <c r="J350" s="256"/>
      <c r="K350" s="256"/>
      <c r="L350" s="256"/>
      <c r="M350" s="256"/>
      <c r="N350" s="256"/>
      <c r="O350" s="256"/>
      <c r="P350" s="256"/>
      <c r="Q350" s="256"/>
      <c r="R350" s="256"/>
      <c r="S350" s="256"/>
      <c r="T350" s="256"/>
      <c r="U350" s="256"/>
      <c r="V350" s="256"/>
      <c r="W350" s="256"/>
      <c r="X350" s="256"/>
      <c r="Y350" s="256"/>
      <c r="Z350" s="256"/>
    </row>
    <row r="351">
      <c r="A351" s="256"/>
      <c r="B351" s="256"/>
      <c r="C351" s="256"/>
      <c r="D351" s="256"/>
      <c r="E351" s="256"/>
      <c r="F351" s="256"/>
      <c r="G351" s="256"/>
      <c r="H351" s="256"/>
      <c r="I351" s="256"/>
      <c r="J351" s="256"/>
      <c r="K351" s="256"/>
      <c r="L351" s="256"/>
      <c r="M351" s="256"/>
      <c r="N351" s="256"/>
      <c r="O351" s="256"/>
      <c r="P351" s="256"/>
      <c r="Q351" s="256"/>
      <c r="R351" s="256"/>
      <c r="S351" s="256"/>
      <c r="T351" s="256"/>
      <c r="U351" s="256"/>
      <c r="V351" s="256"/>
      <c r="W351" s="256"/>
      <c r="X351" s="256"/>
      <c r="Y351" s="256"/>
      <c r="Z351" s="256"/>
    </row>
    <row r="352">
      <c r="A352" s="256"/>
      <c r="B352" s="256"/>
      <c r="C352" s="256"/>
      <c r="D352" s="256"/>
      <c r="E352" s="256"/>
      <c r="F352" s="256"/>
      <c r="G352" s="256"/>
      <c r="H352" s="256"/>
      <c r="I352" s="256"/>
      <c r="J352" s="256"/>
      <c r="K352" s="256"/>
      <c r="L352" s="256"/>
      <c r="M352" s="256"/>
      <c r="N352" s="256"/>
      <c r="O352" s="256"/>
      <c r="P352" s="256"/>
      <c r="Q352" s="256"/>
      <c r="R352" s="256"/>
      <c r="S352" s="256"/>
      <c r="T352" s="256"/>
      <c r="U352" s="256"/>
      <c r="V352" s="256"/>
      <c r="W352" s="256"/>
      <c r="X352" s="256"/>
      <c r="Y352" s="256"/>
      <c r="Z352" s="256"/>
    </row>
    <row r="353">
      <c r="A353" s="256"/>
      <c r="B353" s="256"/>
      <c r="C353" s="256"/>
      <c r="D353" s="256"/>
      <c r="E353" s="256"/>
      <c r="F353" s="256"/>
      <c r="G353" s="256"/>
      <c r="H353" s="256"/>
      <c r="I353" s="256"/>
      <c r="J353" s="256"/>
      <c r="K353" s="256"/>
      <c r="L353" s="256"/>
      <c r="M353" s="256"/>
      <c r="N353" s="256"/>
      <c r="O353" s="256"/>
      <c r="P353" s="256"/>
      <c r="Q353" s="256"/>
      <c r="R353" s="256"/>
      <c r="S353" s="256"/>
      <c r="T353" s="256"/>
      <c r="U353" s="256"/>
      <c r="V353" s="256"/>
      <c r="W353" s="256"/>
      <c r="X353" s="256"/>
      <c r="Y353" s="256"/>
      <c r="Z353" s="256"/>
    </row>
    <row r="354">
      <c r="A354" s="256"/>
      <c r="B354" s="256"/>
      <c r="C354" s="256"/>
      <c r="D354" s="256"/>
      <c r="E354" s="256"/>
      <c r="F354" s="256"/>
      <c r="G354" s="256"/>
      <c r="H354" s="256"/>
      <c r="I354" s="256"/>
      <c r="J354" s="256"/>
      <c r="K354" s="256"/>
      <c r="L354" s="256"/>
      <c r="M354" s="256"/>
      <c r="N354" s="256"/>
      <c r="O354" s="256"/>
      <c r="P354" s="256"/>
      <c r="Q354" s="256"/>
      <c r="R354" s="256"/>
      <c r="S354" s="256"/>
      <c r="T354" s="256"/>
      <c r="U354" s="256"/>
      <c r="V354" s="256"/>
      <c r="W354" s="256"/>
      <c r="X354" s="256"/>
      <c r="Y354" s="256"/>
      <c r="Z354" s="256"/>
    </row>
    <row r="355">
      <c r="A355" s="256"/>
      <c r="B355" s="256"/>
      <c r="C355" s="256"/>
      <c r="D355" s="256"/>
      <c r="E355" s="256"/>
      <c r="F355" s="256"/>
      <c r="G355" s="256"/>
      <c r="H355" s="256"/>
      <c r="I355" s="256"/>
      <c r="J355" s="256"/>
      <c r="K355" s="256"/>
      <c r="L355" s="256"/>
      <c r="M355" s="256"/>
      <c r="N355" s="256"/>
      <c r="O355" s="256"/>
      <c r="P355" s="256"/>
      <c r="Q355" s="256"/>
      <c r="R355" s="256"/>
      <c r="S355" s="256"/>
      <c r="T355" s="256"/>
      <c r="U355" s="256"/>
      <c r="V355" s="256"/>
      <c r="W355" s="256"/>
      <c r="X355" s="256"/>
      <c r="Y355" s="256"/>
      <c r="Z355" s="256"/>
    </row>
    <row r="356">
      <c r="A356" s="256"/>
      <c r="B356" s="256"/>
      <c r="C356" s="256"/>
      <c r="D356" s="256"/>
      <c r="E356" s="256"/>
      <c r="F356" s="256"/>
      <c r="G356" s="256"/>
      <c r="H356" s="256"/>
      <c r="I356" s="256"/>
      <c r="J356" s="256"/>
      <c r="K356" s="256"/>
      <c r="L356" s="256"/>
      <c r="M356" s="256"/>
      <c r="N356" s="256"/>
      <c r="O356" s="256"/>
      <c r="P356" s="256"/>
      <c r="Q356" s="256"/>
      <c r="R356" s="256"/>
      <c r="S356" s="256"/>
      <c r="T356" s="256"/>
      <c r="U356" s="256"/>
      <c r="V356" s="256"/>
      <c r="W356" s="256"/>
      <c r="X356" s="256"/>
      <c r="Y356" s="256"/>
      <c r="Z356" s="256"/>
    </row>
    <row r="357">
      <c r="A357" s="256"/>
      <c r="B357" s="256"/>
      <c r="C357" s="256"/>
      <c r="D357" s="256"/>
      <c r="E357" s="256"/>
      <c r="F357" s="256"/>
      <c r="G357" s="256"/>
      <c r="H357" s="256"/>
      <c r="I357" s="256"/>
      <c r="J357" s="256"/>
      <c r="K357" s="256"/>
      <c r="L357" s="256"/>
      <c r="M357" s="256"/>
      <c r="N357" s="256"/>
      <c r="O357" s="256"/>
      <c r="P357" s="256"/>
      <c r="Q357" s="256"/>
      <c r="R357" s="256"/>
      <c r="S357" s="256"/>
      <c r="T357" s="256"/>
      <c r="U357" s="256"/>
      <c r="V357" s="256"/>
      <c r="W357" s="256"/>
      <c r="X357" s="256"/>
      <c r="Y357" s="256"/>
      <c r="Z357" s="256"/>
    </row>
    <row r="358">
      <c r="A358" s="256"/>
      <c r="B358" s="256"/>
      <c r="C358" s="256"/>
      <c r="D358" s="256"/>
      <c r="E358" s="256"/>
      <c r="F358" s="256"/>
      <c r="G358" s="256"/>
      <c r="H358" s="256"/>
      <c r="I358" s="256"/>
      <c r="J358" s="256"/>
      <c r="K358" s="256"/>
      <c r="L358" s="256"/>
      <c r="M358" s="256"/>
      <c r="N358" s="256"/>
      <c r="O358" s="256"/>
      <c r="P358" s="256"/>
      <c r="Q358" s="256"/>
      <c r="R358" s="256"/>
      <c r="S358" s="256"/>
      <c r="T358" s="256"/>
      <c r="U358" s="256"/>
      <c r="V358" s="256"/>
      <c r="W358" s="256"/>
      <c r="X358" s="256"/>
      <c r="Y358" s="256"/>
      <c r="Z358" s="256"/>
    </row>
    <row r="359">
      <c r="A359" s="256"/>
      <c r="B359" s="256"/>
      <c r="C359" s="256"/>
      <c r="D359" s="256"/>
      <c r="E359" s="256"/>
      <c r="F359" s="256"/>
      <c r="G359" s="256"/>
      <c r="H359" s="256"/>
      <c r="I359" s="256"/>
      <c r="J359" s="256"/>
      <c r="K359" s="256"/>
      <c r="L359" s="256"/>
      <c r="M359" s="256"/>
      <c r="N359" s="256"/>
      <c r="O359" s="256"/>
      <c r="P359" s="256"/>
      <c r="Q359" s="256"/>
      <c r="R359" s="256"/>
      <c r="S359" s="256"/>
      <c r="T359" s="256"/>
      <c r="U359" s="256"/>
      <c r="V359" s="256"/>
      <c r="W359" s="256"/>
      <c r="X359" s="256"/>
      <c r="Y359" s="256"/>
      <c r="Z359" s="256"/>
    </row>
    <row r="360">
      <c r="A360" s="256"/>
      <c r="B360" s="256"/>
      <c r="C360" s="256"/>
      <c r="D360" s="256"/>
      <c r="E360" s="256"/>
      <c r="F360" s="256"/>
      <c r="G360" s="256"/>
      <c r="H360" s="256"/>
      <c r="I360" s="256"/>
      <c r="J360" s="256"/>
      <c r="K360" s="256"/>
      <c r="L360" s="256"/>
      <c r="M360" s="256"/>
      <c r="N360" s="256"/>
      <c r="O360" s="256"/>
      <c r="P360" s="256"/>
      <c r="Q360" s="256"/>
      <c r="R360" s="256"/>
      <c r="S360" s="256"/>
      <c r="T360" s="256"/>
      <c r="U360" s="256"/>
      <c r="V360" s="256"/>
      <c r="W360" s="256"/>
      <c r="X360" s="256"/>
      <c r="Y360" s="256"/>
      <c r="Z360" s="256"/>
    </row>
    <row r="361">
      <c r="A361" s="256"/>
      <c r="B361" s="256"/>
      <c r="C361" s="256"/>
      <c r="D361" s="256"/>
      <c r="E361" s="256"/>
      <c r="F361" s="256"/>
      <c r="G361" s="256"/>
      <c r="H361" s="256"/>
      <c r="I361" s="256"/>
      <c r="J361" s="256"/>
      <c r="K361" s="256"/>
      <c r="L361" s="256"/>
      <c r="M361" s="256"/>
      <c r="N361" s="256"/>
      <c r="O361" s="256"/>
      <c r="P361" s="256"/>
      <c r="Q361" s="256"/>
      <c r="R361" s="256"/>
      <c r="S361" s="256"/>
      <c r="T361" s="256"/>
      <c r="U361" s="256"/>
      <c r="V361" s="256"/>
      <c r="W361" s="256"/>
      <c r="X361" s="256"/>
      <c r="Y361" s="256"/>
      <c r="Z361" s="256"/>
    </row>
    <row r="362">
      <c r="A362" s="256"/>
      <c r="B362" s="256"/>
      <c r="C362" s="256"/>
      <c r="D362" s="256"/>
      <c r="E362" s="256"/>
      <c r="F362" s="256"/>
      <c r="G362" s="256"/>
      <c r="H362" s="256"/>
      <c r="I362" s="256"/>
      <c r="J362" s="256"/>
      <c r="K362" s="256"/>
      <c r="L362" s="256"/>
      <c r="M362" s="256"/>
      <c r="N362" s="256"/>
      <c r="O362" s="256"/>
      <c r="P362" s="256"/>
      <c r="Q362" s="256"/>
      <c r="R362" s="256"/>
      <c r="S362" s="256"/>
      <c r="T362" s="256"/>
      <c r="U362" s="256"/>
      <c r="V362" s="256"/>
      <c r="W362" s="256"/>
      <c r="X362" s="256"/>
      <c r="Y362" s="256"/>
      <c r="Z362" s="256"/>
    </row>
    <row r="363">
      <c r="A363" s="256"/>
      <c r="B363" s="256"/>
      <c r="C363" s="256"/>
      <c r="D363" s="256"/>
      <c r="E363" s="256"/>
      <c r="F363" s="256"/>
      <c r="G363" s="256"/>
      <c r="H363" s="256"/>
      <c r="I363" s="256"/>
      <c r="J363" s="256"/>
      <c r="K363" s="256"/>
      <c r="L363" s="256"/>
      <c r="M363" s="256"/>
      <c r="N363" s="256"/>
      <c r="O363" s="256"/>
      <c r="P363" s="256"/>
      <c r="Q363" s="256"/>
      <c r="R363" s="256"/>
      <c r="S363" s="256"/>
      <c r="T363" s="256"/>
      <c r="U363" s="256"/>
      <c r="V363" s="256"/>
      <c r="W363" s="256"/>
      <c r="X363" s="256"/>
      <c r="Y363" s="256"/>
      <c r="Z363" s="256"/>
    </row>
    <row r="364">
      <c r="A364" s="256"/>
      <c r="B364" s="256"/>
      <c r="C364" s="256"/>
      <c r="D364" s="256"/>
      <c r="E364" s="256"/>
      <c r="F364" s="256"/>
      <c r="G364" s="256"/>
      <c r="H364" s="256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256"/>
      <c r="T364" s="256"/>
      <c r="U364" s="256"/>
      <c r="V364" s="256"/>
      <c r="W364" s="256"/>
      <c r="X364" s="256"/>
      <c r="Y364" s="256"/>
      <c r="Z364" s="256"/>
    </row>
    <row r="365">
      <c r="A365" s="256"/>
      <c r="B365" s="256"/>
      <c r="C365" s="256"/>
      <c r="D365" s="256"/>
      <c r="E365" s="256"/>
      <c r="F365" s="256"/>
      <c r="G365" s="256"/>
      <c r="H365" s="256"/>
      <c r="I365" s="256"/>
      <c r="J365" s="256"/>
      <c r="K365" s="256"/>
      <c r="L365" s="256"/>
      <c r="M365" s="256"/>
      <c r="N365" s="256"/>
      <c r="O365" s="256"/>
      <c r="P365" s="256"/>
      <c r="Q365" s="256"/>
      <c r="R365" s="256"/>
      <c r="S365" s="256"/>
      <c r="T365" s="256"/>
      <c r="U365" s="256"/>
      <c r="V365" s="256"/>
      <c r="W365" s="256"/>
      <c r="X365" s="256"/>
      <c r="Y365" s="256"/>
      <c r="Z365" s="256"/>
    </row>
    <row r="366">
      <c r="A366" s="256"/>
      <c r="B366" s="256"/>
      <c r="C366" s="256"/>
      <c r="D366" s="256"/>
      <c r="E366" s="256"/>
      <c r="F366" s="256"/>
      <c r="G366" s="256"/>
      <c r="H366" s="256"/>
      <c r="I366" s="256"/>
      <c r="J366" s="256"/>
      <c r="K366" s="256"/>
      <c r="L366" s="256"/>
      <c r="M366" s="256"/>
      <c r="N366" s="256"/>
      <c r="O366" s="256"/>
      <c r="P366" s="256"/>
      <c r="Q366" s="256"/>
      <c r="R366" s="256"/>
      <c r="S366" s="256"/>
      <c r="T366" s="256"/>
      <c r="U366" s="256"/>
      <c r="V366" s="256"/>
      <c r="W366" s="256"/>
      <c r="X366" s="256"/>
      <c r="Y366" s="256"/>
      <c r="Z366" s="256"/>
    </row>
    <row r="367">
      <c r="A367" s="256"/>
      <c r="B367" s="256"/>
      <c r="C367" s="256"/>
      <c r="D367" s="256"/>
      <c r="E367" s="256"/>
      <c r="F367" s="256"/>
      <c r="G367" s="256"/>
      <c r="H367" s="256"/>
      <c r="I367" s="256"/>
      <c r="J367" s="256"/>
      <c r="K367" s="256"/>
      <c r="L367" s="256"/>
      <c r="M367" s="256"/>
      <c r="N367" s="256"/>
      <c r="O367" s="256"/>
      <c r="P367" s="256"/>
      <c r="Q367" s="256"/>
      <c r="R367" s="256"/>
      <c r="S367" s="256"/>
      <c r="T367" s="256"/>
      <c r="U367" s="256"/>
      <c r="V367" s="256"/>
      <c r="W367" s="256"/>
      <c r="X367" s="256"/>
      <c r="Y367" s="256"/>
      <c r="Z367" s="256"/>
    </row>
    <row r="368">
      <c r="A368" s="256"/>
      <c r="B368" s="256"/>
      <c r="C368" s="256"/>
      <c r="D368" s="256"/>
      <c r="E368" s="256"/>
      <c r="F368" s="256"/>
      <c r="G368" s="256"/>
      <c r="H368" s="256"/>
      <c r="I368" s="256"/>
      <c r="J368" s="256"/>
      <c r="K368" s="256"/>
      <c r="L368" s="256"/>
      <c r="M368" s="256"/>
      <c r="N368" s="256"/>
      <c r="O368" s="256"/>
      <c r="P368" s="256"/>
      <c r="Q368" s="256"/>
      <c r="R368" s="256"/>
      <c r="S368" s="256"/>
      <c r="T368" s="256"/>
      <c r="U368" s="256"/>
      <c r="V368" s="256"/>
      <c r="W368" s="256"/>
      <c r="X368" s="256"/>
      <c r="Y368" s="256"/>
      <c r="Z368" s="256"/>
    </row>
    <row r="369">
      <c r="A369" s="256"/>
      <c r="B369" s="256"/>
      <c r="C369" s="256"/>
      <c r="D369" s="256"/>
      <c r="E369" s="256"/>
      <c r="F369" s="256"/>
      <c r="G369" s="256"/>
      <c r="H369" s="256"/>
      <c r="I369" s="256"/>
      <c r="J369" s="256"/>
      <c r="K369" s="256"/>
      <c r="L369" s="256"/>
      <c r="M369" s="256"/>
      <c r="N369" s="256"/>
      <c r="O369" s="256"/>
      <c r="P369" s="256"/>
      <c r="Q369" s="256"/>
      <c r="R369" s="256"/>
      <c r="S369" s="256"/>
      <c r="T369" s="256"/>
      <c r="U369" s="256"/>
      <c r="V369" s="256"/>
      <c r="W369" s="256"/>
      <c r="X369" s="256"/>
      <c r="Y369" s="256"/>
      <c r="Z369" s="256"/>
    </row>
    <row r="370">
      <c r="A370" s="256"/>
      <c r="B370" s="256"/>
      <c r="C370" s="256"/>
      <c r="D370" s="256"/>
      <c r="E370" s="256"/>
      <c r="F370" s="256"/>
      <c r="G370" s="256"/>
      <c r="H370" s="256"/>
      <c r="I370" s="256"/>
      <c r="J370" s="256"/>
      <c r="K370" s="256"/>
      <c r="L370" s="256"/>
      <c r="M370" s="256"/>
      <c r="N370" s="256"/>
      <c r="O370" s="256"/>
      <c r="P370" s="256"/>
      <c r="Q370" s="256"/>
      <c r="R370" s="256"/>
      <c r="S370" s="256"/>
      <c r="T370" s="256"/>
      <c r="U370" s="256"/>
      <c r="V370" s="256"/>
      <c r="W370" s="256"/>
      <c r="X370" s="256"/>
      <c r="Y370" s="256"/>
      <c r="Z370" s="256"/>
    </row>
    <row r="371">
      <c r="A371" s="256"/>
      <c r="B371" s="256"/>
      <c r="C371" s="256"/>
      <c r="D371" s="256"/>
      <c r="E371" s="256"/>
      <c r="F371" s="256"/>
      <c r="G371" s="256"/>
      <c r="H371" s="256"/>
      <c r="I371" s="256"/>
      <c r="J371" s="256"/>
      <c r="K371" s="256"/>
      <c r="L371" s="256"/>
      <c r="M371" s="256"/>
      <c r="N371" s="256"/>
      <c r="O371" s="256"/>
      <c r="P371" s="256"/>
      <c r="Q371" s="256"/>
      <c r="R371" s="256"/>
      <c r="S371" s="256"/>
      <c r="T371" s="256"/>
      <c r="U371" s="256"/>
      <c r="V371" s="256"/>
      <c r="W371" s="256"/>
      <c r="X371" s="256"/>
      <c r="Y371" s="256"/>
      <c r="Z371" s="256"/>
    </row>
    <row r="372">
      <c r="A372" s="256"/>
      <c r="B372" s="256"/>
      <c r="C372" s="256"/>
      <c r="D372" s="256"/>
      <c r="E372" s="256"/>
      <c r="F372" s="256"/>
      <c r="G372" s="256"/>
      <c r="H372" s="256"/>
      <c r="I372" s="256"/>
      <c r="J372" s="256"/>
      <c r="K372" s="256"/>
      <c r="L372" s="256"/>
      <c r="M372" s="256"/>
      <c r="N372" s="256"/>
      <c r="O372" s="256"/>
      <c r="P372" s="256"/>
      <c r="Q372" s="256"/>
      <c r="R372" s="256"/>
      <c r="S372" s="256"/>
      <c r="T372" s="256"/>
      <c r="U372" s="256"/>
      <c r="V372" s="256"/>
      <c r="W372" s="256"/>
      <c r="X372" s="256"/>
      <c r="Y372" s="256"/>
      <c r="Z372" s="256"/>
    </row>
    <row r="373">
      <c r="A373" s="256"/>
      <c r="B373" s="256"/>
      <c r="C373" s="256"/>
      <c r="D373" s="256"/>
      <c r="E373" s="256"/>
      <c r="F373" s="256"/>
      <c r="G373" s="256"/>
      <c r="H373" s="256"/>
      <c r="I373" s="256"/>
      <c r="J373" s="256"/>
      <c r="K373" s="256"/>
      <c r="L373" s="256"/>
      <c r="M373" s="256"/>
      <c r="N373" s="256"/>
      <c r="O373" s="256"/>
      <c r="P373" s="256"/>
      <c r="Q373" s="256"/>
      <c r="R373" s="256"/>
      <c r="S373" s="256"/>
      <c r="T373" s="256"/>
      <c r="U373" s="256"/>
      <c r="V373" s="256"/>
      <c r="W373" s="256"/>
      <c r="X373" s="256"/>
      <c r="Y373" s="256"/>
      <c r="Z373" s="256"/>
    </row>
    <row r="374">
      <c r="A374" s="256"/>
      <c r="B374" s="256"/>
      <c r="C374" s="256"/>
      <c r="D374" s="256"/>
      <c r="E374" s="256"/>
      <c r="F374" s="256"/>
      <c r="G374" s="256"/>
      <c r="H374" s="256"/>
      <c r="I374" s="256"/>
      <c r="J374" s="256"/>
      <c r="K374" s="256"/>
      <c r="L374" s="256"/>
      <c r="M374" s="256"/>
      <c r="N374" s="256"/>
      <c r="O374" s="256"/>
      <c r="P374" s="256"/>
      <c r="Q374" s="256"/>
      <c r="R374" s="256"/>
      <c r="S374" s="256"/>
      <c r="T374" s="256"/>
      <c r="U374" s="256"/>
      <c r="V374" s="256"/>
      <c r="W374" s="256"/>
      <c r="X374" s="256"/>
      <c r="Y374" s="256"/>
      <c r="Z374" s="256"/>
    </row>
    <row r="375">
      <c r="A375" s="256"/>
      <c r="B375" s="256"/>
      <c r="C375" s="256"/>
      <c r="D375" s="256"/>
      <c r="E375" s="256"/>
      <c r="F375" s="256"/>
      <c r="G375" s="256"/>
      <c r="H375" s="256"/>
      <c r="I375" s="256"/>
      <c r="J375" s="256"/>
      <c r="K375" s="256"/>
      <c r="L375" s="256"/>
      <c r="M375" s="256"/>
      <c r="N375" s="256"/>
      <c r="O375" s="256"/>
      <c r="P375" s="256"/>
      <c r="Q375" s="256"/>
      <c r="R375" s="256"/>
      <c r="S375" s="256"/>
      <c r="T375" s="256"/>
      <c r="U375" s="256"/>
      <c r="V375" s="256"/>
      <c r="W375" s="256"/>
      <c r="X375" s="256"/>
      <c r="Y375" s="256"/>
      <c r="Z375" s="256"/>
    </row>
    <row r="376">
      <c r="A376" s="256"/>
      <c r="B376" s="256"/>
      <c r="C376" s="256"/>
      <c r="D376" s="256"/>
      <c r="E376" s="256"/>
      <c r="F376" s="256"/>
      <c r="G376" s="256"/>
      <c r="H376" s="256"/>
      <c r="I376" s="256"/>
      <c r="J376" s="256"/>
      <c r="K376" s="256"/>
      <c r="L376" s="256"/>
      <c r="M376" s="256"/>
      <c r="N376" s="256"/>
      <c r="O376" s="256"/>
      <c r="P376" s="256"/>
      <c r="Q376" s="256"/>
      <c r="R376" s="256"/>
      <c r="S376" s="256"/>
      <c r="T376" s="256"/>
      <c r="U376" s="256"/>
      <c r="V376" s="256"/>
      <c r="W376" s="256"/>
      <c r="X376" s="256"/>
      <c r="Y376" s="256"/>
      <c r="Z376" s="256"/>
    </row>
    <row r="377">
      <c r="A377" s="256"/>
      <c r="B377" s="256"/>
      <c r="C377" s="256"/>
      <c r="D377" s="256"/>
      <c r="E377" s="256"/>
      <c r="F377" s="256"/>
      <c r="G377" s="256"/>
      <c r="H377" s="256"/>
      <c r="I377" s="256"/>
      <c r="J377" s="256"/>
      <c r="K377" s="256"/>
      <c r="L377" s="256"/>
      <c r="M377" s="256"/>
      <c r="N377" s="256"/>
      <c r="O377" s="256"/>
      <c r="P377" s="256"/>
      <c r="Q377" s="256"/>
      <c r="R377" s="256"/>
      <c r="S377" s="256"/>
      <c r="T377" s="256"/>
      <c r="U377" s="256"/>
      <c r="V377" s="256"/>
      <c r="W377" s="256"/>
      <c r="X377" s="256"/>
      <c r="Y377" s="256"/>
      <c r="Z377" s="256"/>
    </row>
    <row r="378">
      <c r="A378" s="256"/>
      <c r="B378" s="256"/>
      <c r="C378" s="256"/>
      <c r="D378" s="256"/>
      <c r="E378" s="256"/>
      <c r="F378" s="256"/>
      <c r="G378" s="256"/>
      <c r="H378" s="256"/>
      <c r="I378" s="256"/>
      <c r="J378" s="256"/>
      <c r="K378" s="256"/>
      <c r="L378" s="256"/>
      <c r="M378" s="256"/>
      <c r="N378" s="256"/>
      <c r="O378" s="256"/>
      <c r="P378" s="256"/>
      <c r="Q378" s="256"/>
      <c r="R378" s="256"/>
      <c r="S378" s="256"/>
      <c r="T378" s="256"/>
      <c r="U378" s="256"/>
      <c r="V378" s="256"/>
      <c r="W378" s="256"/>
      <c r="X378" s="256"/>
      <c r="Y378" s="256"/>
      <c r="Z378" s="256"/>
    </row>
    <row r="379">
      <c r="A379" s="256"/>
      <c r="B379" s="256"/>
      <c r="C379" s="256"/>
      <c r="D379" s="256"/>
      <c r="E379" s="256"/>
      <c r="F379" s="256"/>
      <c r="G379" s="256"/>
      <c r="H379" s="256"/>
      <c r="I379" s="256"/>
      <c r="J379" s="256"/>
      <c r="K379" s="256"/>
      <c r="L379" s="256"/>
      <c r="M379" s="256"/>
      <c r="N379" s="256"/>
      <c r="O379" s="256"/>
      <c r="P379" s="256"/>
      <c r="Q379" s="256"/>
      <c r="R379" s="256"/>
      <c r="S379" s="256"/>
      <c r="T379" s="256"/>
      <c r="U379" s="256"/>
      <c r="V379" s="256"/>
      <c r="W379" s="256"/>
      <c r="X379" s="256"/>
      <c r="Y379" s="256"/>
      <c r="Z379" s="256"/>
    </row>
    <row r="380">
      <c r="A380" s="256"/>
      <c r="B380" s="256"/>
      <c r="C380" s="256"/>
      <c r="D380" s="256"/>
      <c r="E380" s="256"/>
      <c r="F380" s="256"/>
      <c r="G380" s="256"/>
      <c r="H380" s="256"/>
      <c r="I380" s="256"/>
      <c r="J380" s="256"/>
      <c r="K380" s="256"/>
      <c r="L380" s="256"/>
      <c r="M380" s="256"/>
      <c r="N380" s="256"/>
      <c r="O380" s="256"/>
      <c r="P380" s="256"/>
      <c r="Q380" s="256"/>
      <c r="R380" s="256"/>
      <c r="S380" s="256"/>
      <c r="T380" s="256"/>
      <c r="U380" s="256"/>
      <c r="V380" s="256"/>
      <c r="W380" s="256"/>
      <c r="X380" s="256"/>
      <c r="Y380" s="256"/>
      <c r="Z380" s="256"/>
    </row>
    <row r="381">
      <c r="A381" s="256"/>
      <c r="B381" s="256"/>
      <c r="C381" s="256"/>
      <c r="D381" s="256"/>
      <c r="E381" s="256"/>
      <c r="F381" s="256"/>
      <c r="G381" s="256"/>
      <c r="H381" s="256"/>
      <c r="I381" s="256"/>
      <c r="J381" s="256"/>
      <c r="K381" s="256"/>
      <c r="L381" s="256"/>
      <c r="M381" s="256"/>
      <c r="N381" s="256"/>
      <c r="O381" s="256"/>
      <c r="P381" s="256"/>
      <c r="Q381" s="256"/>
      <c r="R381" s="256"/>
      <c r="S381" s="256"/>
      <c r="T381" s="256"/>
      <c r="U381" s="256"/>
      <c r="V381" s="256"/>
      <c r="W381" s="256"/>
      <c r="X381" s="256"/>
      <c r="Y381" s="256"/>
      <c r="Z381" s="256"/>
    </row>
    <row r="382">
      <c r="A382" s="256"/>
      <c r="B382" s="256"/>
      <c r="C382" s="256"/>
      <c r="D382" s="256"/>
      <c r="E382" s="256"/>
      <c r="F382" s="256"/>
      <c r="G382" s="256"/>
      <c r="H382" s="256"/>
      <c r="I382" s="256"/>
      <c r="J382" s="256"/>
      <c r="K382" s="256"/>
      <c r="L382" s="256"/>
      <c r="M382" s="256"/>
      <c r="N382" s="256"/>
      <c r="O382" s="256"/>
      <c r="P382" s="256"/>
      <c r="Q382" s="256"/>
      <c r="R382" s="256"/>
      <c r="S382" s="256"/>
      <c r="T382" s="256"/>
      <c r="U382" s="256"/>
      <c r="V382" s="256"/>
      <c r="W382" s="256"/>
      <c r="X382" s="256"/>
      <c r="Y382" s="256"/>
      <c r="Z382" s="256"/>
    </row>
    <row r="383">
      <c r="A383" s="256"/>
      <c r="B383" s="256"/>
      <c r="C383" s="256"/>
      <c r="D383" s="256"/>
      <c r="E383" s="256"/>
      <c r="F383" s="256"/>
      <c r="G383" s="256"/>
      <c r="H383" s="256"/>
      <c r="I383" s="256"/>
      <c r="J383" s="256"/>
      <c r="K383" s="256"/>
      <c r="L383" s="256"/>
      <c r="M383" s="256"/>
      <c r="N383" s="256"/>
      <c r="O383" s="256"/>
      <c r="P383" s="256"/>
      <c r="Q383" s="256"/>
      <c r="R383" s="256"/>
      <c r="S383" s="256"/>
      <c r="T383" s="256"/>
      <c r="U383" s="256"/>
      <c r="V383" s="256"/>
      <c r="W383" s="256"/>
      <c r="X383" s="256"/>
      <c r="Y383" s="256"/>
      <c r="Z383" s="256"/>
    </row>
    <row r="384">
      <c r="A384" s="256"/>
      <c r="B384" s="256"/>
      <c r="C384" s="256"/>
      <c r="D384" s="256"/>
      <c r="E384" s="256"/>
      <c r="F384" s="256"/>
      <c r="G384" s="256"/>
      <c r="H384" s="256"/>
      <c r="I384" s="256"/>
      <c r="J384" s="256"/>
      <c r="K384" s="256"/>
      <c r="L384" s="256"/>
      <c r="M384" s="256"/>
      <c r="N384" s="256"/>
      <c r="O384" s="256"/>
      <c r="P384" s="256"/>
      <c r="Q384" s="256"/>
      <c r="R384" s="256"/>
      <c r="S384" s="256"/>
      <c r="T384" s="256"/>
      <c r="U384" s="256"/>
      <c r="V384" s="256"/>
      <c r="W384" s="256"/>
      <c r="X384" s="256"/>
      <c r="Y384" s="256"/>
      <c r="Z384" s="256"/>
    </row>
    <row r="385">
      <c r="A385" s="256"/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256"/>
      <c r="T385" s="256"/>
      <c r="U385" s="256"/>
      <c r="V385" s="256"/>
      <c r="W385" s="256"/>
      <c r="X385" s="256"/>
      <c r="Y385" s="256"/>
      <c r="Z385" s="256"/>
    </row>
    <row r="386">
      <c r="A386" s="256"/>
      <c r="B386" s="256"/>
      <c r="C386" s="256"/>
      <c r="D386" s="256"/>
      <c r="E386" s="256"/>
      <c r="F386" s="256"/>
      <c r="G386" s="256"/>
      <c r="H386" s="256"/>
      <c r="I386" s="256"/>
      <c r="J386" s="256"/>
      <c r="K386" s="256"/>
      <c r="L386" s="256"/>
      <c r="M386" s="256"/>
      <c r="N386" s="256"/>
      <c r="O386" s="256"/>
      <c r="P386" s="256"/>
      <c r="Q386" s="256"/>
      <c r="R386" s="256"/>
      <c r="S386" s="256"/>
      <c r="T386" s="256"/>
      <c r="U386" s="256"/>
      <c r="V386" s="256"/>
      <c r="W386" s="256"/>
      <c r="X386" s="256"/>
      <c r="Y386" s="256"/>
      <c r="Z386" s="256"/>
    </row>
    <row r="387">
      <c r="A387" s="256"/>
      <c r="B387" s="256"/>
      <c r="C387" s="256"/>
      <c r="D387" s="256"/>
      <c r="E387" s="256"/>
      <c r="F387" s="256"/>
      <c r="G387" s="256"/>
      <c r="H387" s="256"/>
      <c r="I387" s="256"/>
      <c r="J387" s="256"/>
      <c r="K387" s="256"/>
      <c r="L387" s="256"/>
      <c r="M387" s="256"/>
      <c r="N387" s="256"/>
      <c r="O387" s="256"/>
      <c r="P387" s="256"/>
      <c r="Q387" s="256"/>
      <c r="R387" s="256"/>
      <c r="S387" s="256"/>
      <c r="T387" s="256"/>
      <c r="U387" s="256"/>
      <c r="V387" s="256"/>
      <c r="W387" s="256"/>
      <c r="X387" s="256"/>
      <c r="Y387" s="256"/>
      <c r="Z387" s="256"/>
    </row>
    <row r="388">
      <c r="A388" s="256"/>
      <c r="B388" s="256"/>
      <c r="C388" s="256"/>
      <c r="D388" s="256"/>
      <c r="E388" s="256"/>
      <c r="F388" s="256"/>
      <c r="G388" s="256"/>
      <c r="H388" s="256"/>
      <c r="I388" s="256"/>
      <c r="J388" s="256"/>
      <c r="K388" s="256"/>
      <c r="L388" s="256"/>
      <c r="M388" s="256"/>
      <c r="N388" s="256"/>
      <c r="O388" s="256"/>
      <c r="P388" s="256"/>
      <c r="Q388" s="256"/>
      <c r="R388" s="256"/>
      <c r="S388" s="256"/>
      <c r="T388" s="256"/>
      <c r="U388" s="256"/>
      <c r="V388" s="256"/>
      <c r="W388" s="256"/>
      <c r="X388" s="256"/>
      <c r="Y388" s="256"/>
      <c r="Z388" s="256"/>
    </row>
    <row r="389">
      <c r="A389" s="256"/>
      <c r="B389" s="256"/>
      <c r="C389" s="256"/>
      <c r="D389" s="256"/>
      <c r="E389" s="256"/>
      <c r="F389" s="256"/>
      <c r="G389" s="256"/>
      <c r="H389" s="256"/>
      <c r="I389" s="256"/>
      <c r="J389" s="256"/>
      <c r="K389" s="256"/>
      <c r="L389" s="256"/>
      <c r="M389" s="256"/>
      <c r="N389" s="256"/>
      <c r="O389" s="256"/>
      <c r="P389" s="256"/>
      <c r="Q389" s="256"/>
      <c r="R389" s="256"/>
      <c r="S389" s="256"/>
      <c r="T389" s="256"/>
      <c r="U389" s="256"/>
      <c r="V389" s="256"/>
      <c r="W389" s="256"/>
      <c r="X389" s="256"/>
      <c r="Y389" s="256"/>
      <c r="Z389" s="256"/>
    </row>
    <row r="390">
      <c r="A390" s="256"/>
      <c r="B390" s="256"/>
      <c r="C390" s="256"/>
      <c r="D390" s="256"/>
      <c r="E390" s="256"/>
      <c r="F390" s="256"/>
      <c r="G390" s="256"/>
      <c r="H390" s="256"/>
      <c r="I390" s="256"/>
      <c r="J390" s="256"/>
      <c r="K390" s="256"/>
      <c r="L390" s="256"/>
      <c r="M390" s="256"/>
      <c r="N390" s="256"/>
      <c r="O390" s="256"/>
      <c r="P390" s="256"/>
      <c r="Q390" s="256"/>
      <c r="R390" s="256"/>
      <c r="S390" s="256"/>
      <c r="T390" s="256"/>
      <c r="U390" s="256"/>
      <c r="V390" s="256"/>
      <c r="W390" s="256"/>
      <c r="X390" s="256"/>
      <c r="Y390" s="256"/>
      <c r="Z390" s="256"/>
    </row>
    <row r="391">
      <c r="A391" s="256"/>
      <c r="B391" s="256"/>
      <c r="C391" s="256"/>
      <c r="D391" s="256"/>
      <c r="E391" s="256"/>
      <c r="F391" s="256"/>
      <c r="G391" s="256"/>
      <c r="H391" s="256"/>
      <c r="I391" s="256"/>
      <c r="J391" s="256"/>
      <c r="K391" s="256"/>
      <c r="L391" s="256"/>
      <c r="M391" s="256"/>
      <c r="N391" s="256"/>
      <c r="O391" s="256"/>
      <c r="P391" s="256"/>
      <c r="Q391" s="256"/>
      <c r="R391" s="256"/>
      <c r="S391" s="256"/>
      <c r="T391" s="256"/>
      <c r="U391" s="256"/>
      <c r="V391" s="256"/>
      <c r="W391" s="256"/>
      <c r="X391" s="256"/>
      <c r="Y391" s="256"/>
      <c r="Z391" s="256"/>
    </row>
    <row r="392">
      <c r="A392" s="256"/>
      <c r="B392" s="256"/>
      <c r="C392" s="256"/>
      <c r="D392" s="256"/>
      <c r="E392" s="256"/>
      <c r="F392" s="256"/>
      <c r="G392" s="256"/>
      <c r="H392" s="256"/>
      <c r="I392" s="256"/>
      <c r="J392" s="256"/>
      <c r="K392" s="256"/>
      <c r="L392" s="256"/>
      <c r="M392" s="256"/>
      <c r="N392" s="256"/>
      <c r="O392" s="256"/>
      <c r="P392" s="256"/>
      <c r="Q392" s="256"/>
      <c r="R392" s="256"/>
      <c r="S392" s="256"/>
      <c r="T392" s="256"/>
      <c r="U392" s="256"/>
      <c r="V392" s="256"/>
      <c r="W392" s="256"/>
      <c r="X392" s="256"/>
      <c r="Y392" s="256"/>
      <c r="Z392" s="256"/>
    </row>
    <row r="393">
      <c r="A393" s="256"/>
      <c r="B393" s="256"/>
      <c r="C393" s="256"/>
      <c r="D393" s="256"/>
      <c r="E393" s="256"/>
      <c r="F393" s="256"/>
      <c r="G393" s="256"/>
      <c r="H393" s="256"/>
      <c r="I393" s="256"/>
      <c r="J393" s="256"/>
      <c r="K393" s="256"/>
      <c r="L393" s="256"/>
      <c r="M393" s="256"/>
      <c r="N393" s="256"/>
      <c r="O393" s="256"/>
      <c r="P393" s="256"/>
      <c r="Q393" s="256"/>
      <c r="R393" s="256"/>
      <c r="S393" s="256"/>
      <c r="T393" s="256"/>
      <c r="U393" s="256"/>
      <c r="V393" s="256"/>
      <c r="W393" s="256"/>
      <c r="X393" s="256"/>
      <c r="Y393" s="256"/>
      <c r="Z393" s="256"/>
    </row>
    <row r="394">
      <c r="A394" s="256"/>
      <c r="B394" s="256"/>
      <c r="C394" s="256"/>
      <c r="D394" s="256"/>
      <c r="E394" s="256"/>
      <c r="F394" s="256"/>
      <c r="G394" s="256"/>
      <c r="H394" s="256"/>
      <c r="I394" s="256"/>
      <c r="J394" s="256"/>
      <c r="K394" s="256"/>
      <c r="L394" s="256"/>
      <c r="M394" s="256"/>
      <c r="N394" s="256"/>
      <c r="O394" s="256"/>
      <c r="P394" s="256"/>
      <c r="Q394" s="256"/>
      <c r="R394" s="256"/>
      <c r="S394" s="256"/>
      <c r="T394" s="256"/>
      <c r="U394" s="256"/>
      <c r="V394" s="256"/>
      <c r="W394" s="256"/>
      <c r="X394" s="256"/>
      <c r="Y394" s="256"/>
      <c r="Z394" s="256"/>
    </row>
    <row r="395">
      <c r="A395" s="256"/>
      <c r="B395" s="256"/>
      <c r="C395" s="256"/>
      <c r="D395" s="256"/>
      <c r="E395" s="256"/>
      <c r="F395" s="256"/>
      <c r="G395" s="256"/>
      <c r="H395" s="256"/>
      <c r="I395" s="256"/>
      <c r="J395" s="256"/>
      <c r="K395" s="256"/>
      <c r="L395" s="256"/>
      <c r="M395" s="256"/>
      <c r="N395" s="256"/>
      <c r="O395" s="256"/>
      <c r="P395" s="256"/>
      <c r="Q395" s="256"/>
      <c r="R395" s="256"/>
      <c r="S395" s="256"/>
      <c r="T395" s="256"/>
      <c r="U395" s="256"/>
      <c r="V395" s="256"/>
      <c r="W395" s="256"/>
      <c r="X395" s="256"/>
      <c r="Y395" s="256"/>
      <c r="Z395" s="256"/>
    </row>
    <row r="396">
      <c r="A396" s="256"/>
      <c r="B396" s="256"/>
      <c r="C396" s="256"/>
      <c r="D396" s="256"/>
      <c r="E396" s="256"/>
      <c r="F396" s="256"/>
      <c r="G396" s="256"/>
      <c r="H396" s="256"/>
      <c r="I396" s="256"/>
      <c r="J396" s="256"/>
      <c r="K396" s="256"/>
      <c r="L396" s="256"/>
      <c r="M396" s="256"/>
      <c r="N396" s="256"/>
      <c r="O396" s="256"/>
      <c r="P396" s="256"/>
      <c r="Q396" s="256"/>
      <c r="R396" s="256"/>
      <c r="S396" s="256"/>
      <c r="T396" s="256"/>
      <c r="U396" s="256"/>
      <c r="V396" s="256"/>
      <c r="W396" s="256"/>
      <c r="X396" s="256"/>
      <c r="Y396" s="256"/>
      <c r="Z396" s="256"/>
    </row>
    <row r="397">
      <c r="A397" s="256"/>
      <c r="B397" s="256"/>
      <c r="C397" s="256"/>
      <c r="D397" s="256"/>
      <c r="E397" s="256"/>
      <c r="F397" s="256"/>
      <c r="G397" s="256"/>
      <c r="H397" s="256"/>
      <c r="I397" s="256"/>
      <c r="J397" s="256"/>
      <c r="K397" s="256"/>
      <c r="L397" s="256"/>
      <c r="M397" s="256"/>
      <c r="N397" s="256"/>
      <c r="O397" s="256"/>
      <c r="P397" s="256"/>
      <c r="Q397" s="256"/>
      <c r="R397" s="256"/>
      <c r="S397" s="256"/>
      <c r="T397" s="256"/>
      <c r="U397" s="256"/>
      <c r="V397" s="256"/>
      <c r="W397" s="256"/>
      <c r="X397" s="256"/>
      <c r="Y397" s="256"/>
      <c r="Z397" s="256"/>
    </row>
    <row r="398">
      <c r="A398" s="256"/>
      <c r="B398" s="256"/>
      <c r="C398" s="256"/>
      <c r="D398" s="256"/>
      <c r="E398" s="256"/>
      <c r="F398" s="256"/>
      <c r="G398" s="256"/>
      <c r="H398" s="256"/>
      <c r="I398" s="256"/>
      <c r="J398" s="256"/>
      <c r="K398" s="256"/>
      <c r="L398" s="256"/>
      <c r="M398" s="256"/>
      <c r="N398" s="256"/>
      <c r="O398" s="256"/>
      <c r="P398" s="256"/>
      <c r="Q398" s="256"/>
      <c r="R398" s="256"/>
      <c r="S398" s="256"/>
      <c r="T398" s="256"/>
      <c r="U398" s="256"/>
      <c r="V398" s="256"/>
      <c r="W398" s="256"/>
      <c r="X398" s="256"/>
      <c r="Y398" s="256"/>
      <c r="Z398" s="256"/>
    </row>
    <row r="399">
      <c r="A399" s="256"/>
      <c r="B399" s="256"/>
      <c r="C399" s="256"/>
      <c r="D399" s="256"/>
      <c r="E399" s="256"/>
      <c r="F399" s="256"/>
      <c r="G399" s="256"/>
      <c r="H399" s="256"/>
      <c r="I399" s="256"/>
      <c r="J399" s="256"/>
      <c r="K399" s="256"/>
      <c r="L399" s="256"/>
      <c r="M399" s="256"/>
      <c r="N399" s="256"/>
      <c r="O399" s="256"/>
      <c r="P399" s="256"/>
      <c r="Q399" s="256"/>
      <c r="R399" s="256"/>
      <c r="S399" s="256"/>
      <c r="T399" s="256"/>
      <c r="U399" s="256"/>
      <c r="V399" s="256"/>
      <c r="W399" s="256"/>
      <c r="X399" s="256"/>
      <c r="Y399" s="256"/>
      <c r="Z399" s="256"/>
    </row>
    <row r="400">
      <c r="A400" s="256"/>
      <c r="B400" s="256"/>
      <c r="C400" s="256"/>
      <c r="D400" s="256"/>
      <c r="E400" s="256"/>
      <c r="F400" s="256"/>
      <c r="G400" s="256"/>
      <c r="H400" s="256"/>
      <c r="I400" s="256"/>
      <c r="J400" s="256"/>
      <c r="K400" s="256"/>
      <c r="L400" s="256"/>
      <c r="M400" s="256"/>
      <c r="N400" s="256"/>
      <c r="O400" s="256"/>
      <c r="P400" s="256"/>
      <c r="Q400" s="256"/>
      <c r="R400" s="256"/>
      <c r="S400" s="256"/>
      <c r="T400" s="256"/>
      <c r="U400" s="256"/>
      <c r="V400" s="256"/>
      <c r="W400" s="256"/>
      <c r="X400" s="256"/>
      <c r="Y400" s="256"/>
      <c r="Z400" s="256"/>
    </row>
    <row r="401">
      <c r="A401" s="256"/>
      <c r="B401" s="256"/>
      <c r="C401" s="256"/>
      <c r="D401" s="256"/>
      <c r="E401" s="256"/>
      <c r="F401" s="256"/>
      <c r="G401" s="256"/>
      <c r="H401" s="256"/>
      <c r="I401" s="256"/>
      <c r="J401" s="256"/>
      <c r="K401" s="256"/>
      <c r="L401" s="256"/>
      <c r="M401" s="256"/>
      <c r="N401" s="256"/>
      <c r="O401" s="256"/>
      <c r="P401" s="256"/>
      <c r="Q401" s="256"/>
      <c r="R401" s="256"/>
      <c r="S401" s="256"/>
      <c r="T401" s="256"/>
      <c r="U401" s="256"/>
      <c r="V401" s="256"/>
      <c r="W401" s="256"/>
      <c r="X401" s="256"/>
      <c r="Y401" s="256"/>
      <c r="Z401" s="256"/>
    </row>
    <row r="402">
      <c r="A402" s="256"/>
      <c r="B402" s="256"/>
      <c r="C402" s="256"/>
      <c r="D402" s="256"/>
      <c r="E402" s="256"/>
      <c r="F402" s="256"/>
      <c r="G402" s="256"/>
      <c r="H402" s="256"/>
      <c r="I402" s="256"/>
      <c r="J402" s="256"/>
      <c r="K402" s="256"/>
      <c r="L402" s="256"/>
      <c r="M402" s="256"/>
      <c r="N402" s="256"/>
      <c r="O402" s="256"/>
      <c r="P402" s="256"/>
      <c r="Q402" s="256"/>
      <c r="R402" s="256"/>
      <c r="S402" s="256"/>
      <c r="T402" s="256"/>
      <c r="U402" s="256"/>
      <c r="V402" s="256"/>
      <c r="W402" s="256"/>
      <c r="X402" s="256"/>
      <c r="Y402" s="256"/>
      <c r="Z402" s="256"/>
    </row>
    <row r="403">
      <c r="A403" s="256"/>
      <c r="B403" s="256"/>
      <c r="C403" s="256"/>
      <c r="D403" s="256"/>
      <c r="E403" s="256"/>
      <c r="F403" s="256"/>
      <c r="G403" s="256"/>
      <c r="H403" s="256"/>
      <c r="I403" s="256"/>
      <c r="J403" s="256"/>
      <c r="K403" s="256"/>
      <c r="L403" s="256"/>
      <c r="M403" s="256"/>
      <c r="N403" s="256"/>
      <c r="O403" s="256"/>
      <c r="P403" s="256"/>
      <c r="Q403" s="256"/>
      <c r="R403" s="256"/>
      <c r="S403" s="256"/>
      <c r="T403" s="256"/>
      <c r="U403" s="256"/>
      <c r="V403" s="256"/>
      <c r="W403" s="256"/>
      <c r="X403" s="256"/>
      <c r="Y403" s="256"/>
      <c r="Z403" s="256"/>
    </row>
    <row r="404">
      <c r="A404" s="256"/>
      <c r="B404" s="256"/>
      <c r="C404" s="256"/>
      <c r="D404" s="256"/>
      <c r="E404" s="256"/>
      <c r="F404" s="256"/>
      <c r="G404" s="256"/>
      <c r="H404" s="256"/>
      <c r="I404" s="256"/>
      <c r="J404" s="256"/>
      <c r="K404" s="256"/>
      <c r="L404" s="256"/>
      <c r="M404" s="256"/>
      <c r="N404" s="256"/>
      <c r="O404" s="256"/>
      <c r="P404" s="256"/>
      <c r="Q404" s="256"/>
      <c r="R404" s="256"/>
      <c r="S404" s="256"/>
      <c r="T404" s="256"/>
      <c r="U404" s="256"/>
      <c r="V404" s="256"/>
      <c r="W404" s="256"/>
      <c r="X404" s="256"/>
      <c r="Y404" s="256"/>
      <c r="Z404" s="256"/>
    </row>
    <row r="405">
      <c r="A405" s="256"/>
      <c r="B405" s="256"/>
      <c r="C405" s="256"/>
      <c r="D405" s="256"/>
      <c r="E405" s="256"/>
      <c r="F405" s="256"/>
      <c r="G405" s="256"/>
      <c r="H405" s="256"/>
      <c r="I405" s="256"/>
      <c r="J405" s="256"/>
      <c r="K405" s="256"/>
      <c r="L405" s="256"/>
      <c r="M405" s="256"/>
      <c r="N405" s="256"/>
      <c r="O405" s="256"/>
      <c r="P405" s="256"/>
      <c r="Q405" s="256"/>
      <c r="R405" s="256"/>
      <c r="S405" s="256"/>
      <c r="T405" s="256"/>
      <c r="U405" s="256"/>
      <c r="V405" s="256"/>
      <c r="W405" s="256"/>
      <c r="X405" s="256"/>
      <c r="Y405" s="256"/>
      <c r="Z405" s="256"/>
    </row>
    <row r="406">
      <c r="A406" s="256"/>
      <c r="B406" s="256"/>
      <c r="C406" s="256"/>
      <c r="D406" s="256"/>
      <c r="E406" s="256"/>
      <c r="F406" s="256"/>
      <c r="G406" s="256"/>
      <c r="H406" s="256"/>
      <c r="I406" s="256"/>
      <c r="J406" s="256"/>
      <c r="K406" s="256"/>
      <c r="L406" s="256"/>
      <c r="M406" s="256"/>
      <c r="N406" s="256"/>
      <c r="O406" s="256"/>
      <c r="P406" s="256"/>
      <c r="Q406" s="256"/>
      <c r="R406" s="256"/>
      <c r="S406" s="256"/>
      <c r="T406" s="256"/>
      <c r="U406" s="256"/>
      <c r="V406" s="256"/>
      <c r="W406" s="256"/>
      <c r="X406" s="256"/>
      <c r="Y406" s="256"/>
      <c r="Z406" s="256"/>
    </row>
    <row r="407">
      <c r="A407" s="256"/>
      <c r="B407" s="256"/>
      <c r="C407" s="256"/>
      <c r="D407" s="256"/>
      <c r="E407" s="256"/>
      <c r="F407" s="256"/>
      <c r="G407" s="256"/>
      <c r="H407" s="256"/>
      <c r="I407" s="256"/>
      <c r="J407" s="256"/>
      <c r="K407" s="256"/>
      <c r="L407" s="256"/>
      <c r="M407" s="256"/>
      <c r="N407" s="256"/>
      <c r="O407" s="256"/>
      <c r="P407" s="256"/>
      <c r="Q407" s="256"/>
      <c r="R407" s="256"/>
      <c r="S407" s="256"/>
      <c r="T407" s="256"/>
      <c r="U407" s="256"/>
      <c r="V407" s="256"/>
      <c r="W407" s="256"/>
      <c r="X407" s="256"/>
      <c r="Y407" s="256"/>
      <c r="Z407" s="256"/>
    </row>
    <row r="408">
      <c r="A408" s="256"/>
      <c r="B408" s="256"/>
      <c r="C408" s="256"/>
      <c r="D408" s="256"/>
      <c r="E408" s="256"/>
      <c r="F408" s="256"/>
      <c r="G408" s="256"/>
      <c r="H408" s="256"/>
      <c r="I408" s="256"/>
      <c r="J408" s="256"/>
      <c r="K408" s="256"/>
      <c r="L408" s="256"/>
      <c r="M408" s="256"/>
      <c r="N408" s="256"/>
      <c r="O408" s="256"/>
      <c r="P408" s="256"/>
      <c r="Q408" s="256"/>
      <c r="R408" s="256"/>
      <c r="S408" s="256"/>
      <c r="T408" s="256"/>
      <c r="U408" s="256"/>
      <c r="V408" s="256"/>
      <c r="W408" s="256"/>
      <c r="X408" s="256"/>
      <c r="Y408" s="256"/>
      <c r="Z408" s="256"/>
    </row>
    <row r="409">
      <c r="A409" s="256"/>
      <c r="B409" s="256"/>
      <c r="C409" s="256"/>
      <c r="D409" s="256"/>
      <c r="E409" s="256"/>
      <c r="F409" s="256"/>
      <c r="G409" s="256"/>
      <c r="H409" s="256"/>
      <c r="I409" s="256"/>
      <c r="J409" s="256"/>
      <c r="K409" s="256"/>
      <c r="L409" s="256"/>
      <c r="M409" s="256"/>
      <c r="N409" s="256"/>
      <c r="O409" s="256"/>
      <c r="P409" s="256"/>
      <c r="Q409" s="256"/>
      <c r="R409" s="256"/>
      <c r="S409" s="256"/>
      <c r="T409" s="256"/>
      <c r="U409" s="256"/>
      <c r="V409" s="256"/>
      <c r="W409" s="256"/>
      <c r="X409" s="256"/>
      <c r="Y409" s="256"/>
      <c r="Z409" s="256"/>
    </row>
    <row r="410">
      <c r="A410" s="256"/>
      <c r="B410" s="256"/>
      <c r="C410" s="256"/>
      <c r="D410" s="256"/>
      <c r="E410" s="256"/>
      <c r="F410" s="256"/>
      <c r="G410" s="256"/>
      <c r="H410" s="256"/>
      <c r="I410" s="256"/>
      <c r="J410" s="256"/>
      <c r="K410" s="256"/>
      <c r="L410" s="256"/>
      <c r="M410" s="256"/>
      <c r="N410" s="256"/>
      <c r="O410" s="256"/>
      <c r="P410" s="256"/>
      <c r="Q410" s="256"/>
      <c r="R410" s="256"/>
      <c r="S410" s="256"/>
      <c r="T410" s="256"/>
      <c r="U410" s="256"/>
      <c r="V410" s="256"/>
      <c r="W410" s="256"/>
      <c r="X410" s="256"/>
      <c r="Y410" s="256"/>
      <c r="Z410" s="256"/>
    </row>
    <row r="411">
      <c r="A411" s="256"/>
      <c r="B411" s="256"/>
      <c r="C411" s="256"/>
      <c r="D411" s="256"/>
      <c r="E411" s="256"/>
      <c r="F411" s="256"/>
      <c r="G411" s="256"/>
      <c r="H411" s="256"/>
      <c r="I411" s="256"/>
      <c r="J411" s="256"/>
      <c r="K411" s="256"/>
      <c r="L411" s="256"/>
      <c r="M411" s="256"/>
      <c r="N411" s="256"/>
      <c r="O411" s="256"/>
      <c r="P411" s="256"/>
      <c r="Q411" s="256"/>
      <c r="R411" s="256"/>
      <c r="S411" s="256"/>
      <c r="T411" s="256"/>
      <c r="U411" s="256"/>
      <c r="V411" s="256"/>
      <c r="W411" s="256"/>
      <c r="X411" s="256"/>
      <c r="Y411" s="256"/>
      <c r="Z411" s="256"/>
    </row>
    <row r="412">
      <c r="A412" s="256"/>
      <c r="B412" s="256"/>
      <c r="C412" s="256"/>
      <c r="D412" s="256"/>
      <c r="E412" s="256"/>
      <c r="F412" s="256"/>
      <c r="G412" s="256"/>
      <c r="H412" s="256"/>
      <c r="I412" s="256"/>
      <c r="J412" s="256"/>
      <c r="K412" s="256"/>
      <c r="L412" s="256"/>
      <c r="M412" s="256"/>
      <c r="N412" s="256"/>
      <c r="O412" s="256"/>
      <c r="P412" s="256"/>
      <c r="Q412" s="256"/>
      <c r="R412" s="256"/>
      <c r="S412" s="256"/>
      <c r="T412" s="256"/>
      <c r="U412" s="256"/>
      <c r="V412" s="256"/>
      <c r="W412" s="256"/>
      <c r="X412" s="256"/>
      <c r="Y412" s="256"/>
      <c r="Z412" s="256"/>
    </row>
    <row r="413">
      <c r="A413" s="256"/>
      <c r="B413" s="256"/>
      <c r="C413" s="256"/>
      <c r="D413" s="256"/>
      <c r="E413" s="256"/>
      <c r="F413" s="256"/>
      <c r="G413" s="256"/>
      <c r="H413" s="256"/>
      <c r="I413" s="256"/>
      <c r="J413" s="256"/>
      <c r="K413" s="256"/>
      <c r="L413" s="256"/>
      <c r="M413" s="256"/>
      <c r="N413" s="256"/>
      <c r="O413" s="256"/>
      <c r="P413" s="256"/>
      <c r="Q413" s="256"/>
      <c r="R413" s="256"/>
      <c r="S413" s="256"/>
      <c r="T413" s="256"/>
      <c r="U413" s="256"/>
      <c r="V413" s="256"/>
      <c r="W413" s="256"/>
      <c r="X413" s="256"/>
      <c r="Y413" s="256"/>
      <c r="Z413" s="256"/>
    </row>
    <row r="414">
      <c r="A414" s="256"/>
      <c r="B414" s="256"/>
      <c r="C414" s="256"/>
      <c r="D414" s="256"/>
      <c r="E414" s="256"/>
      <c r="F414" s="256"/>
      <c r="G414" s="256"/>
      <c r="H414" s="256"/>
      <c r="I414" s="256"/>
      <c r="J414" s="256"/>
      <c r="K414" s="256"/>
      <c r="L414" s="256"/>
      <c r="M414" s="256"/>
      <c r="N414" s="256"/>
      <c r="O414" s="256"/>
      <c r="P414" s="256"/>
      <c r="Q414" s="256"/>
      <c r="R414" s="256"/>
      <c r="S414" s="256"/>
      <c r="T414" s="256"/>
      <c r="U414" s="256"/>
      <c r="V414" s="256"/>
      <c r="W414" s="256"/>
      <c r="X414" s="256"/>
      <c r="Y414" s="256"/>
      <c r="Z414" s="256"/>
    </row>
    <row r="415">
      <c r="A415" s="256"/>
      <c r="B415" s="256"/>
      <c r="C415" s="256"/>
      <c r="D415" s="256"/>
      <c r="E415" s="256"/>
      <c r="F415" s="256"/>
      <c r="G415" s="256"/>
      <c r="H415" s="256"/>
      <c r="I415" s="256"/>
      <c r="J415" s="256"/>
      <c r="K415" s="256"/>
      <c r="L415" s="256"/>
      <c r="M415" s="256"/>
      <c r="N415" s="256"/>
      <c r="O415" s="256"/>
      <c r="P415" s="256"/>
      <c r="Q415" s="256"/>
      <c r="R415" s="256"/>
      <c r="S415" s="256"/>
      <c r="T415" s="256"/>
      <c r="U415" s="256"/>
      <c r="V415" s="256"/>
      <c r="W415" s="256"/>
      <c r="X415" s="256"/>
      <c r="Y415" s="256"/>
      <c r="Z415" s="256"/>
    </row>
    <row r="416">
      <c r="A416" s="256"/>
      <c r="B416" s="256"/>
      <c r="C416" s="256"/>
      <c r="D416" s="256"/>
      <c r="E416" s="256"/>
      <c r="F416" s="256"/>
      <c r="G416" s="256"/>
      <c r="H416" s="256"/>
      <c r="I416" s="256"/>
      <c r="J416" s="256"/>
      <c r="K416" s="256"/>
      <c r="L416" s="256"/>
      <c r="M416" s="256"/>
      <c r="N416" s="256"/>
      <c r="O416" s="256"/>
      <c r="P416" s="256"/>
      <c r="Q416" s="256"/>
      <c r="R416" s="256"/>
      <c r="S416" s="256"/>
      <c r="T416" s="256"/>
      <c r="U416" s="256"/>
      <c r="V416" s="256"/>
      <c r="W416" s="256"/>
      <c r="X416" s="256"/>
      <c r="Y416" s="256"/>
      <c r="Z416" s="256"/>
    </row>
    <row r="417">
      <c r="A417" s="256"/>
      <c r="B417" s="256"/>
      <c r="C417" s="256"/>
      <c r="D417" s="256"/>
      <c r="E417" s="256"/>
      <c r="F417" s="256"/>
      <c r="G417" s="256"/>
      <c r="H417" s="256"/>
      <c r="I417" s="256"/>
      <c r="J417" s="256"/>
      <c r="K417" s="256"/>
      <c r="L417" s="256"/>
      <c r="M417" s="256"/>
      <c r="N417" s="256"/>
      <c r="O417" s="256"/>
      <c r="P417" s="256"/>
      <c r="Q417" s="256"/>
      <c r="R417" s="256"/>
      <c r="S417" s="256"/>
      <c r="T417" s="256"/>
      <c r="U417" s="256"/>
      <c r="V417" s="256"/>
      <c r="W417" s="256"/>
      <c r="X417" s="256"/>
      <c r="Y417" s="256"/>
      <c r="Z417" s="256"/>
    </row>
    <row r="418">
      <c r="A418" s="256"/>
      <c r="B418" s="256"/>
      <c r="C418" s="256"/>
      <c r="D418" s="256"/>
      <c r="E418" s="256"/>
      <c r="F418" s="256"/>
      <c r="G418" s="256"/>
      <c r="H418" s="256"/>
      <c r="I418" s="256"/>
      <c r="J418" s="256"/>
      <c r="K418" s="256"/>
      <c r="L418" s="256"/>
      <c r="M418" s="256"/>
      <c r="N418" s="256"/>
      <c r="O418" s="256"/>
      <c r="P418" s="256"/>
      <c r="Q418" s="256"/>
      <c r="R418" s="256"/>
      <c r="S418" s="256"/>
      <c r="T418" s="256"/>
      <c r="U418" s="256"/>
      <c r="V418" s="256"/>
      <c r="W418" s="256"/>
      <c r="X418" s="256"/>
      <c r="Y418" s="256"/>
      <c r="Z418" s="256"/>
    </row>
    <row r="419">
      <c r="A419" s="256"/>
      <c r="B419" s="256"/>
      <c r="C419" s="256"/>
      <c r="D419" s="256"/>
      <c r="E419" s="256"/>
      <c r="F419" s="256"/>
      <c r="G419" s="256"/>
      <c r="H419" s="256"/>
      <c r="I419" s="256"/>
      <c r="J419" s="256"/>
      <c r="K419" s="256"/>
      <c r="L419" s="256"/>
      <c r="M419" s="256"/>
      <c r="N419" s="256"/>
      <c r="O419" s="256"/>
      <c r="P419" s="256"/>
      <c r="Q419" s="256"/>
      <c r="R419" s="256"/>
      <c r="S419" s="256"/>
      <c r="T419" s="256"/>
      <c r="U419" s="256"/>
      <c r="V419" s="256"/>
      <c r="W419" s="256"/>
      <c r="X419" s="256"/>
      <c r="Y419" s="256"/>
      <c r="Z419" s="256"/>
    </row>
    <row r="420">
      <c r="A420" s="256"/>
      <c r="B420" s="256"/>
      <c r="C420" s="256"/>
      <c r="D420" s="256"/>
      <c r="E420" s="256"/>
      <c r="F420" s="256"/>
      <c r="G420" s="256"/>
      <c r="H420" s="256"/>
      <c r="I420" s="256"/>
      <c r="J420" s="256"/>
      <c r="K420" s="256"/>
      <c r="L420" s="256"/>
      <c r="M420" s="256"/>
      <c r="N420" s="256"/>
      <c r="O420" s="256"/>
      <c r="P420" s="256"/>
      <c r="Q420" s="256"/>
      <c r="R420" s="256"/>
      <c r="S420" s="256"/>
      <c r="T420" s="256"/>
      <c r="U420" s="256"/>
      <c r="V420" s="256"/>
      <c r="W420" s="256"/>
      <c r="X420" s="256"/>
      <c r="Y420" s="256"/>
      <c r="Z420" s="256"/>
    </row>
    <row r="421">
      <c r="A421" s="256"/>
      <c r="B421" s="256"/>
      <c r="C421" s="256"/>
      <c r="D421" s="256"/>
      <c r="E421" s="256"/>
      <c r="F421" s="256"/>
      <c r="G421" s="256"/>
      <c r="H421" s="256"/>
      <c r="I421" s="256"/>
      <c r="J421" s="256"/>
      <c r="K421" s="256"/>
      <c r="L421" s="256"/>
      <c r="M421" s="256"/>
      <c r="N421" s="256"/>
      <c r="O421" s="256"/>
      <c r="P421" s="256"/>
      <c r="Q421" s="256"/>
      <c r="R421" s="256"/>
      <c r="S421" s="256"/>
      <c r="T421" s="256"/>
      <c r="U421" s="256"/>
      <c r="V421" s="256"/>
      <c r="W421" s="256"/>
      <c r="X421" s="256"/>
      <c r="Y421" s="256"/>
      <c r="Z421" s="256"/>
    </row>
    <row r="422">
      <c r="A422" s="256"/>
      <c r="B422" s="256"/>
      <c r="C422" s="256"/>
      <c r="D422" s="256"/>
      <c r="E422" s="256"/>
      <c r="F422" s="256"/>
      <c r="G422" s="256"/>
      <c r="H422" s="256"/>
      <c r="I422" s="256"/>
      <c r="J422" s="256"/>
      <c r="K422" s="256"/>
      <c r="L422" s="256"/>
      <c r="M422" s="256"/>
      <c r="N422" s="256"/>
      <c r="O422" s="256"/>
      <c r="P422" s="256"/>
      <c r="Q422" s="256"/>
      <c r="R422" s="256"/>
      <c r="S422" s="256"/>
      <c r="T422" s="256"/>
      <c r="U422" s="256"/>
      <c r="V422" s="256"/>
      <c r="W422" s="256"/>
      <c r="X422" s="256"/>
      <c r="Y422" s="256"/>
      <c r="Z422" s="256"/>
    </row>
    <row r="423">
      <c r="A423" s="256"/>
      <c r="B423" s="256"/>
      <c r="C423" s="256"/>
      <c r="D423" s="256"/>
      <c r="E423" s="256"/>
      <c r="F423" s="256"/>
      <c r="G423" s="256"/>
      <c r="H423" s="256"/>
      <c r="I423" s="256"/>
      <c r="J423" s="256"/>
      <c r="K423" s="256"/>
      <c r="L423" s="256"/>
      <c r="M423" s="256"/>
      <c r="N423" s="256"/>
      <c r="O423" s="256"/>
      <c r="P423" s="256"/>
      <c r="Q423" s="256"/>
      <c r="R423" s="256"/>
      <c r="S423" s="256"/>
      <c r="T423" s="256"/>
      <c r="U423" s="256"/>
      <c r="V423" s="256"/>
      <c r="W423" s="256"/>
      <c r="X423" s="256"/>
      <c r="Y423" s="256"/>
      <c r="Z423" s="256"/>
    </row>
    <row r="424">
      <c r="A424" s="256"/>
      <c r="B424" s="256"/>
      <c r="C424" s="256"/>
      <c r="D424" s="256"/>
      <c r="E424" s="256"/>
      <c r="F424" s="256"/>
      <c r="G424" s="256"/>
      <c r="H424" s="256"/>
      <c r="I424" s="256"/>
      <c r="J424" s="256"/>
      <c r="K424" s="256"/>
      <c r="L424" s="256"/>
      <c r="M424" s="256"/>
      <c r="N424" s="256"/>
      <c r="O424" s="256"/>
      <c r="P424" s="256"/>
      <c r="Q424" s="256"/>
      <c r="R424" s="256"/>
      <c r="S424" s="256"/>
      <c r="T424" s="256"/>
      <c r="U424" s="256"/>
      <c r="V424" s="256"/>
      <c r="W424" s="256"/>
      <c r="X424" s="256"/>
      <c r="Y424" s="256"/>
      <c r="Z424" s="256"/>
    </row>
    <row r="425">
      <c r="A425" s="256"/>
      <c r="B425" s="256"/>
      <c r="C425" s="256"/>
      <c r="D425" s="256"/>
      <c r="E425" s="256"/>
      <c r="F425" s="256"/>
      <c r="G425" s="256"/>
      <c r="H425" s="256"/>
      <c r="I425" s="256"/>
      <c r="J425" s="256"/>
      <c r="K425" s="256"/>
      <c r="L425" s="256"/>
      <c r="M425" s="256"/>
      <c r="N425" s="256"/>
      <c r="O425" s="256"/>
      <c r="P425" s="256"/>
      <c r="Q425" s="256"/>
      <c r="R425" s="256"/>
      <c r="S425" s="256"/>
      <c r="T425" s="256"/>
      <c r="U425" s="256"/>
      <c r="V425" s="256"/>
      <c r="W425" s="256"/>
      <c r="X425" s="256"/>
      <c r="Y425" s="256"/>
      <c r="Z425" s="256"/>
    </row>
    <row r="426">
      <c r="A426" s="256"/>
      <c r="B426" s="256"/>
      <c r="C426" s="256"/>
      <c r="D426" s="256"/>
      <c r="E426" s="256"/>
      <c r="F426" s="256"/>
      <c r="G426" s="256"/>
      <c r="H426" s="256"/>
      <c r="I426" s="256"/>
      <c r="J426" s="256"/>
      <c r="K426" s="256"/>
      <c r="L426" s="256"/>
      <c r="M426" s="256"/>
      <c r="N426" s="256"/>
      <c r="O426" s="256"/>
      <c r="P426" s="256"/>
      <c r="Q426" s="256"/>
      <c r="R426" s="256"/>
      <c r="S426" s="256"/>
      <c r="T426" s="256"/>
      <c r="U426" s="256"/>
      <c r="V426" s="256"/>
      <c r="W426" s="256"/>
      <c r="X426" s="256"/>
      <c r="Y426" s="256"/>
      <c r="Z426" s="256"/>
    </row>
    <row r="427">
      <c r="A427" s="256"/>
      <c r="B427" s="256"/>
      <c r="C427" s="256"/>
      <c r="D427" s="256"/>
      <c r="E427" s="256"/>
      <c r="F427" s="256"/>
      <c r="G427" s="256"/>
      <c r="H427" s="256"/>
      <c r="I427" s="256"/>
      <c r="J427" s="256"/>
      <c r="K427" s="256"/>
      <c r="L427" s="256"/>
      <c r="M427" s="256"/>
      <c r="N427" s="256"/>
      <c r="O427" s="256"/>
      <c r="P427" s="256"/>
      <c r="Q427" s="256"/>
      <c r="R427" s="256"/>
      <c r="S427" s="256"/>
      <c r="T427" s="256"/>
      <c r="U427" s="256"/>
      <c r="V427" s="256"/>
      <c r="W427" s="256"/>
      <c r="X427" s="256"/>
      <c r="Y427" s="256"/>
      <c r="Z427" s="256"/>
    </row>
    <row r="428">
      <c r="A428" s="256"/>
      <c r="B428" s="256"/>
      <c r="C428" s="256"/>
      <c r="D428" s="256"/>
      <c r="E428" s="256"/>
      <c r="F428" s="256"/>
      <c r="G428" s="256"/>
      <c r="H428" s="256"/>
      <c r="I428" s="256"/>
      <c r="J428" s="256"/>
      <c r="K428" s="256"/>
      <c r="L428" s="256"/>
      <c r="M428" s="256"/>
      <c r="N428" s="256"/>
      <c r="O428" s="256"/>
      <c r="P428" s="256"/>
      <c r="Q428" s="256"/>
      <c r="R428" s="256"/>
      <c r="S428" s="256"/>
      <c r="T428" s="256"/>
      <c r="U428" s="256"/>
      <c r="V428" s="256"/>
      <c r="W428" s="256"/>
      <c r="X428" s="256"/>
      <c r="Y428" s="256"/>
      <c r="Z428" s="256"/>
    </row>
    <row r="429">
      <c r="A429" s="256"/>
      <c r="B429" s="256"/>
      <c r="C429" s="256"/>
      <c r="D429" s="256"/>
      <c r="E429" s="256"/>
      <c r="F429" s="256"/>
      <c r="G429" s="256"/>
      <c r="H429" s="256"/>
      <c r="I429" s="256"/>
      <c r="J429" s="256"/>
      <c r="K429" s="256"/>
      <c r="L429" s="256"/>
      <c r="M429" s="256"/>
      <c r="N429" s="256"/>
      <c r="O429" s="256"/>
      <c r="P429" s="256"/>
      <c r="Q429" s="256"/>
      <c r="R429" s="256"/>
      <c r="S429" s="256"/>
      <c r="T429" s="256"/>
      <c r="U429" s="256"/>
      <c r="V429" s="256"/>
      <c r="W429" s="256"/>
      <c r="X429" s="256"/>
      <c r="Y429" s="256"/>
      <c r="Z429" s="256"/>
    </row>
    <row r="430">
      <c r="A430" s="256"/>
      <c r="B430" s="256"/>
      <c r="C430" s="256"/>
      <c r="D430" s="256"/>
      <c r="E430" s="256"/>
      <c r="F430" s="256"/>
      <c r="G430" s="256"/>
      <c r="H430" s="256"/>
      <c r="I430" s="256"/>
      <c r="J430" s="256"/>
      <c r="K430" s="256"/>
      <c r="L430" s="256"/>
      <c r="M430" s="256"/>
      <c r="N430" s="256"/>
      <c r="O430" s="256"/>
      <c r="P430" s="256"/>
      <c r="Q430" s="256"/>
      <c r="R430" s="256"/>
      <c r="S430" s="256"/>
      <c r="T430" s="256"/>
      <c r="U430" s="256"/>
      <c r="V430" s="256"/>
      <c r="W430" s="256"/>
      <c r="X430" s="256"/>
      <c r="Y430" s="256"/>
      <c r="Z430" s="256"/>
    </row>
    <row r="431">
      <c r="A431" s="256"/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256"/>
      <c r="T431" s="256"/>
      <c r="U431" s="256"/>
      <c r="V431" s="256"/>
      <c r="W431" s="256"/>
      <c r="X431" s="256"/>
      <c r="Y431" s="256"/>
      <c r="Z431" s="256"/>
    </row>
    <row r="432">
      <c r="A432" s="256"/>
      <c r="B432" s="256"/>
      <c r="C432" s="256"/>
      <c r="D432" s="256"/>
      <c r="E432" s="256"/>
      <c r="F432" s="256"/>
      <c r="G432" s="256"/>
      <c r="H432" s="256"/>
      <c r="I432" s="256"/>
      <c r="J432" s="256"/>
      <c r="K432" s="256"/>
      <c r="L432" s="256"/>
      <c r="M432" s="256"/>
      <c r="N432" s="256"/>
      <c r="O432" s="256"/>
      <c r="P432" s="256"/>
      <c r="Q432" s="256"/>
      <c r="R432" s="256"/>
      <c r="S432" s="256"/>
      <c r="T432" s="256"/>
      <c r="U432" s="256"/>
      <c r="V432" s="256"/>
      <c r="W432" s="256"/>
      <c r="X432" s="256"/>
      <c r="Y432" s="256"/>
      <c r="Z432" s="256"/>
    </row>
    <row r="433">
      <c r="A433" s="256"/>
      <c r="B433" s="256"/>
      <c r="C433" s="256"/>
      <c r="D433" s="256"/>
      <c r="E433" s="256"/>
      <c r="F433" s="256"/>
      <c r="G433" s="256"/>
      <c r="H433" s="256"/>
      <c r="I433" s="256"/>
      <c r="J433" s="256"/>
      <c r="K433" s="256"/>
      <c r="L433" s="256"/>
      <c r="M433" s="256"/>
      <c r="N433" s="256"/>
      <c r="O433" s="256"/>
      <c r="P433" s="256"/>
      <c r="Q433" s="256"/>
      <c r="R433" s="256"/>
      <c r="S433" s="256"/>
      <c r="T433" s="256"/>
      <c r="U433" s="256"/>
      <c r="V433" s="256"/>
      <c r="W433" s="256"/>
      <c r="X433" s="256"/>
      <c r="Y433" s="256"/>
      <c r="Z433" s="256"/>
    </row>
    <row r="434">
      <c r="A434" s="256"/>
      <c r="B434" s="256"/>
      <c r="C434" s="256"/>
      <c r="D434" s="256"/>
      <c r="E434" s="256"/>
      <c r="F434" s="256"/>
      <c r="G434" s="256"/>
      <c r="H434" s="256"/>
      <c r="I434" s="256"/>
      <c r="J434" s="256"/>
      <c r="K434" s="256"/>
      <c r="L434" s="256"/>
      <c r="M434" s="256"/>
      <c r="N434" s="256"/>
      <c r="O434" s="256"/>
      <c r="P434" s="256"/>
      <c r="Q434" s="256"/>
      <c r="R434" s="256"/>
      <c r="S434" s="256"/>
      <c r="T434" s="256"/>
      <c r="U434" s="256"/>
      <c r="V434" s="256"/>
      <c r="W434" s="256"/>
      <c r="X434" s="256"/>
      <c r="Y434" s="256"/>
      <c r="Z434" s="256"/>
    </row>
    <row r="435">
      <c r="A435" s="256"/>
      <c r="B435" s="256"/>
      <c r="C435" s="256"/>
      <c r="D435" s="256"/>
      <c r="E435" s="256"/>
      <c r="F435" s="256"/>
      <c r="G435" s="256"/>
      <c r="H435" s="256"/>
      <c r="I435" s="256"/>
      <c r="J435" s="256"/>
      <c r="K435" s="256"/>
      <c r="L435" s="256"/>
      <c r="M435" s="256"/>
      <c r="N435" s="256"/>
      <c r="O435" s="256"/>
      <c r="P435" s="256"/>
      <c r="Q435" s="256"/>
      <c r="R435" s="256"/>
      <c r="S435" s="256"/>
      <c r="T435" s="256"/>
      <c r="U435" s="256"/>
      <c r="V435" s="256"/>
      <c r="W435" s="256"/>
      <c r="X435" s="256"/>
      <c r="Y435" s="256"/>
      <c r="Z435" s="256"/>
    </row>
    <row r="436">
      <c r="A436" s="256"/>
      <c r="B436" s="256"/>
      <c r="C436" s="256"/>
      <c r="D436" s="256"/>
      <c r="E436" s="256"/>
      <c r="F436" s="256"/>
      <c r="G436" s="256"/>
      <c r="H436" s="256"/>
      <c r="I436" s="256"/>
      <c r="J436" s="256"/>
      <c r="K436" s="256"/>
      <c r="L436" s="256"/>
      <c r="M436" s="256"/>
      <c r="N436" s="256"/>
      <c r="O436" s="256"/>
      <c r="P436" s="256"/>
      <c r="Q436" s="256"/>
      <c r="R436" s="256"/>
      <c r="S436" s="256"/>
      <c r="T436" s="256"/>
      <c r="U436" s="256"/>
      <c r="V436" s="256"/>
      <c r="W436" s="256"/>
      <c r="X436" s="256"/>
      <c r="Y436" s="256"/>
      <c r="Z436" s="256"/>
    </row>
    <row r="437">
      <c r="A437" s="256"/>
      <c r="B437" s="256"/>
      <c r="C437" s="256"/>
      <c r="D437" s="256"/>
      <c r="E437" s="256"/>
      <c r="F437" s="256"/>
      <c r="G437" s="256"/>
      <c r="H437" s="256"/>
      <c r="I437" s="256"/>
      <c r="J437" s="256"/>
      <c r="K437" s="256"/>
      <c r="L437" s="256"/>
      <c r="M437" s="256"/>
      <c r="N437" s="256"/>
      <c r="O437" s="256"/>
      <c r="P437" s="256"/>
      <c r="Q437" s="256"/>
      <c r="R437" s="256"/>
      <c r="S437" s="256"/>
      <c r="T437" s="256"/>
      <c r="U437" s="256"/>
      <c r="V437" s="256"/>
      <c r="W437" s="256"/>
      <c r="X437" s="256"/>
      <c r="Y437" s="256"/>
      <c r="Z437" s="256"/>
    </row>
    <row r="438">
      <c r="A438" s="256"/>
      <c r="B438" s="256"/>
      <c r="C438" s="256"/>
      <c r="D438" s="256"/>
      <c r="E438" s="256"/>
      <c r="F438" s="256"/>
      <c r="G438" s="256"/>
      <c r="H438" s="256"/>
      <c r="I438" s="256"/>
      <c r="J438" s="256"/>
      <c r="K438" s="256"/>
      <c r="L438" s="256"/>
      <c r="M438" s="256"/>
      <c r="N438" s="256"/>
      <c r="O438" s="256"/>
      <c r="P438" s="256"/>
      <c r="Q438" s="256"/>
      <c r="R438" s="256"/>
      <c r="S438" s="256"/>
      <c r="T438" s="256"/>
      <c r="U438" s="256"/>
      <c r="V438" s="256"/>
      <c r="W438" s="256"/>
      <c r="X438" s="256"/>
      <c r="Y438" s="256"/>
      <c r="Z438" s="256"/>
    </row>
    <row r="439">
      <c r="A439" s="256"/>
      <c r="B439" s="256"/>
      <c r="C439" s="256"/>
      <c r="D439" s="256"/>
      <c r="E439" s="256"/>
      <c r="F439" s="256"/>
      <c r="G439" s="256"/>
      <c r="H439" s="256"/>
      <c r="I439" s="256"/>
      <c r="J439" s="256"/>
      <c r="K439" s="256"/>
      <c r="L439" s="256"/>
      <c r="M439" s="256"/>
      <c r="N439" s="256"/>
      <c r="O439" s="256"/>
      <c r="P439" s="256"/>
      <c r="Q439" s="256"/>
      <c r="R439" s="256"/>
      <c r="S439" s="256"/>
      <c r="T439" s="256"/>
      <c r="U439" s="256"/>
      <c r="V439" s="256"/>
      <c r="W439" s="256"/>
      <c r="X439" s="256"/>
      <c r="Y439" s="256"/>
      <c r="Z439" s="256"/>
    </row>
    <row r="440">
      <c r="A440" s="256"/>
      <c r="B440" s="256"/>
      <c r="C440" s="256"/>
      <c r="D440" s="256"/>
      <c r="E440" s="256"/>
      <c r="F440" s="256"/>
      <c r="G440" s="256"/>
      <c r="H440" s="256"/>
      <c r="I440" s="256"/>
      <c r="J440" s="256"/>
      <c r="K440" s="256"/>
      <c r="L440" s="256"/>
      <c r="M440" s="256"/>
      <c r="N440" s="256"/>
      <c r="O440" s="256"/>
      <c r="P440" s="256"/>
      <c r="Q440" s="256"/>
      <c r="R440" s="256"/>
      <c r="S440" s="256"/>
      <c r="T440" s="256"/>
      <c r="U440" s="256"/>
      <c r="V440" s="256"/>
      <c r="W440" s="256"/>
      <c r="X440" s="256"/>
      <c r="Y440" s="256"/>
      <c r="Z440" s="256"/>
    </row>
    <row r="441">
      <c r="A441" s="256"/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256"/>
      <c r="T441" s="256"/>
      <c r="U441" s="256"/>
      <c r="V441" s="256"/>
      <c r="W441" s="256"/>
      <c r="X441" s="256"/>
      <c r="Y441" s="256"/>
      <c r="Z441" s="256"/>
    </row>
    <row r="442">
      <c r="A442" s="256"/>
      <c r="B442" s="256"/>
      <c r="C442" s="256"/>
      <c r="D442" s="256"/>
      <c r="E442" s="256"/>
      <c r="F442" s="256"/>
      <c r="G442" s="256"/>
      <c r="H442" s="256"/>
      <c r="I442" s="256"/>
      <c r="J442" s="256"/>
      <c r="K442" s="256"/>
      <c r="L442" s="256"/>
      <c r="M442" s="256"/>
      <c r="N442" s="256"/>
      <c r="O442" s="256"/>
      <c r="P442" s="256"/>
      <c r="Q442" s="256"/>
      <c r="R442" s="256"/>
      <c r="S442" s="256"/>
      <c r="T442" s="256"/>
      <c r="U442" s="256"/>
      <c r="V442" s="256"/>
      <c r="W442" s="256"/>
      <c r="X442" s="256"/>
      <c r="Y442" s="256"/>
      <c r="Z442" s="256"/>
    </row>
    <row r="443">
      <c r="A443" s="256"/>
      <c r="B443" s="256"/>
      <c r="C443" s="256"/>
      <c r="D443" s="256"/>
      <c r="E443" s="256"/>
      <c r="F443" s="256"/>
      <c r="G443" s="256"/>
      <c r="H443" s="256"/>
      <c r="I443" s="256"/>
      <c r="J443" s="256"/>
      <c r="K443" s="256"/>
      <c r="L443" s="256"/>
      <c r="M443" s="256"/>
      <c r="N443" s="256"/>
      <c r="O443" s="256"/>
      <c r="P443" s="256"/>
      <c r="Q443" s="256"/>
      <c r="R443" s="256"/>
      <c r="S443" s="256"/>
      <c r="T443" s="256"/>
      <c r="U443" s="256"/>
      <c r="V443" s="256"/>
      <c r="W443" s="256"/>
      <c r="X443" s="256"/>
      <c r="Y443" s="256"/>
      <c r="Z443" s="256"/>
    </row>
    <row r="444">
      <c r="A444" s="256"/>
      <c r="B444" s="256"/>
      <c r="C444" s="256"/>
      <c r="D444" s="256"/>
      <c r="E444" s="256"/>
      <c r="F444" s="256"/>
      <c r="G444" s="256"/>
      <c r="H444" s="256"/>
      <c r="I444" s="256"/>
      <c r="J444" s="256"/>
      <c r="K444" s="256"/>
      <c r="L444" s="256"/>
      <c r="M444" s="256"/>
      <c r="N444" s="256"/>
      <c r="O444" s="256"/>
      <c r="P444" s="256"/>
      <c r="Q444" s="256"/>
      <c r="R444" s="256"/>
      <c r="S444" s="256"/>
      <c r="T444" s="256"/>
      <c r="U444" s="256"/>
      <c r="V444" s="256"/>
      <c r="W444" s="256"/>
      <c r="X444" s="256"/>
      <c r="Y444" s="256"/>
      <c r="Z444" s="256"/>
    </row>
    <row r="445">
      <c r="A445" s="256"/>
      <c r="B445" s="256"/>
      <c r="C445" s="256"/>
      <c r="D445" s="256"/>
      <c r="E445" s="256"/>
      <c r="F445" s="256"/>
      <c r="G445" s="256"/>
      <c r="H445" s="256"/>
      <c r="I445" s="256"/>
      <c r="J445" s="256"/>
      <c r="K445" s="256"/>
      <c r="L445" s="256"/>
      <c r="M445" s="256"/>
      <c r="N445" s="256"/>
      <c r="O445" s="256"/>
      <c r="P445" s="256"/>
      <c r="Q445" s="256"/>
      <c r="R445" s="256"/>
      <c r="S445" s="256"/>
      <c r="T445" s="256"/>
      <c r="U445" s="256"/>
      <c r="V445" s="256"/>
      <c r="W445" s="256"/>
      <c r="X445" s="256"/>
      <c r="Y445" s="256"/>
      <c r="Z445" s="256"/>
    </row>
    <row r="446">
      <c r="A446" s="256"/>
      <c r="B446" s="256"/>
      <c r="C446" s="256"/>
      <c r="D446" s="256"/>
      <c r="E446" s="256"/>
      <c r="F446" s="256"/>
      <c r="G446" s="256"/>
      <c r="H446" s="256"/>
      <c r="I446" s="256"/>
      <c r="J446" s="256"/>
      <c r="K446" s="256"/>
      <c r="L446" s="256"/>
      <c r="M446" s="256"/>
      <c r="N446" s="256"/>
      <c r="O446" s="256"/>
      <c r="P446" s="256"/>
      <c r="Q446" s="256"/>
      <c r="R446" s="256"/>
      <c r="S446" s="256"/>
      <c r="T446" s="256"/>
      <c r="U446" s="256"/>
      <c r="V446" s="256"/>
      <c r="W446" s="256"/>
      <c r="X446" s="256"/>
      <c r="Y446" s="256"/>
      <c r="Z446" s="256"/>
    </row>
    <row r="447">
      <c r="A447" s="256"/>
      <c r="B447" s="256"/>
      <c r="C447" s="256"/>
      <c r="D447" s="256"/>
      <c r="E447" s="256"/>
      <c r="F447" s="256"/>
      <c r="G447" s="256"/>
      <c r="H447" s="256"/>
      <c r="I447" s="256"/>
      <c r="J447" s="256"/>
      <c r="K447" s="256"/>
      <c r="L447" s="256"/>
      <c r="M447" s="256"/>
      <c r="N447" s="256"/>
      <c r="O447" s="256"/>
      <c r="P447" s="256"/>
      <c r="Q447" s="256"/>
      <c r="R447" s="256"/>
      <c r="S447" s="256"/>
      <c r="T447" s="256"/>
      <c r="U447" s="256"/>
      <c r="V447" s="256"/>
      <c r="W447" s="256"/>
      <c r="X447" s="256"/>
      <c r="Y447" s="256"/>
      <c r="Z447" s="256"/>
    </row>
    <row r="448">
      <c r="A448" s="256"/>
      <c r="B448" s="256"/>
      <c r="C448" s="256"/>
      <c r="D448" s="256"/>
      <c r="E448" s="256"/>
      <c r="F448" s="256"/>
      <c r="G448" s="256"/>
      <c r="H448" s="256"/>
      <c r="I448" s="256"/>
      <c r="J448" s="256"/>
      <c r="K448" s="256"/>
      <c r="L448" s="256"/>
      <c r="M448" s="256"/>
      <c r="N448" s="256"/>
      <c r="O448" s="256"/>
      <c r="P448" s="256"/>
      <c r="Q448" s="256"/>
      <c r="R448" s="256"/>
      <c r="S448" s="256"/>
      <c r="T448" s="256"/>
      <c r="U448" s="256"/>
      <c r="V448" s="256"/>
      <c r="W448" s="256"/>
      <c r="X448" s="256"/>
      <c r="Y448" s="256"/>
      <c r="Z448" s="256"/>
    </row>
    <row r="449">
      <c r="A449" s="256"/>
      <c r="B449" s="256"/>
      <c r="C449" s="256"/>
      <c r="D449" s="256"/>
      <c r="E449" s="256"/>
      <c r="F449" s="256"/>
      <c r="G449" s="256"/>
      <c r="H449" s="256"/>
      <c r="I449" s="256"/>
      <c r="J449" s="256"/>
      <c r="K449" s="256"/>
      <c r="L449" s="256"/>
      <c r="M449" s="256"/>
      <c r="N449" s="256"/>
      <c r="O449" s="256"/>
      <c r="P449" s="256"/>
      <c r="Q449" s="256"/>
      <c r="R449" s="256"/>
      <c r="S449" s="256"/>
      <c r="T449" s="256"/>
      <c r="U449" s="256"/>
      <c r="V449" s="256"/>
      <c r="W449" s="256"/>
      <c r="X449" s="256"/>
      <c r="Y449" s="256"/>
      <c r="Z449" s="256"/>
    </row>
    <row r="450">
      <c r="A450" s="256"/>
      <c r="B450" s="256"/>
      <c r="C450" s="256"/>
      <c r="D450" s="256"/>
      <c r="E450" s="256"/>
      <c r="F450" s="256"/>
      <c r="G450" s="256"/>
      <c r="H450" s="256"/>
      <c r="I450" s="256"/>
      <c r="J450" s="256"/>
      <c r="K450" s="256"/>
      <c r="L450" s="256"/>
      <c r="M450" s="256"/>
      <c r="N450" s="256"/>
      <c r="O450" s="256"/>
      <c r="P450" s="256"/>
      <c r="Q450" s="256"/>
      <c r="R450" s="256"/>
      <c r="S450" s="256"/>
      <c r="T450" s="256"/>
      <c r="U450" s="256"/>
      <c r="V450" s="256"/>
      <c r="W450" s="256"/>
      <c r="X450" s="256"/>
      <c r="Y450" s="256"/>
      <c r="Z450" s="256"/>
    </row>
    <row r="451">
      <c r="A451" s="256"/>
      <c r="B451" s="256"/>
      <c r="C451" s="256"/>
      <c r="D451" s="256"/>
      <c r="E451" s="256"/>
      <c r="F451" s="256"/>
      <c r="G451" s="256"/>
      <c r="H451" s="256"/>
      <c r="I451" s="256"/>
      <c r="J451" s="256"/>
      <c r="K451" s="256"/>
      <c r="L451" s="256"/>
      <c r="M451" s="256"/>
      <c r="N451" s="256"/>
      <c r="O451" s="256"/>
      <c r="P451" s="256"/>
      <c r="Q451" s="256"/>
      <c r="R451" s="256"/>
      <c r="S451" s="256"/>
      <c r="T451" s="256"/>
      <c r="U451" s="256"/>
      <c r="V451" s="256"/>
      <c r="W451" s="256"/>
      <c r="X451" s="256"/>
      <c r="Y451" s="256"/>
      <c r="Z451" s="256"/>
    </row>
    <row r="452">
      <c r="A452" s="256"/>
      <c r="B452" s="256"/>
      <c r="C452" s="256"/>
      <c r="D452" s="256"/>
      <c r="E452" s="256"/>
      <c r="F452" s="256"/>
      <c r="G452" s="256"/>
      <c r="H452" s="256"/>
      <c r="I452" s="256"/>
      <c r="J452" s="256"/>
      <c r="K452" s="256"/>
      <c r="L452" s="256"/>
      <c r="M452" s="256"/>
      <c r="N452" s="256"/>
      <c r="O452" s="256"/>
      <c r="P452" s="256"/>
      <c r="Q452" s="256"/>
      <c r="R452" s="256"/>
      <c r="S452" s="256"/>
      <c r="T452" s="256"/>
      <c r="U452" s="256"/>
      <c r="V452" s="256"/>
      <c r="W452" s="256"/>
      <c r="X452" s="256"/>
      <c r="Y452" s="256"/>
      <c r="Z452" s="256"/>
    </row>
    <row r="453">
      <c r="A453" s="256"/>
      <c r="B453" s="256"/>
      <c r="C453" s="256"/>
      <c r="D453" s="256"/>
      <c r="E453" s="256"/>
      <c r="F453" s="256"/>
      <c r="G453" s="256"/>
      <c r="H453" s="256"/>
      <c r="I453" s="256"/>
      <c r="J453" s="256"/>
      <c r="K453" s="256"/>
      <c r="L453" s="256"/>
      <c r="M453" s="256"/>
      <c r="N453" s="256"/>
      <c r="O453" s="256"/>
      <c r="P453" s="256"/>
      <c r="Q453" s="256"/>
      <c r="R453" s="256"/>
      <c r="S453" s="256"/>
      <c r="T453" s="256"/>
      <c r="U453" s="256"/>
      <c r="V453" s="256"/>
      <c r="W453" s="256"/>
      <c r="X453" s="256"/>
      <c r="Y453" s="256"/>
      <c r="Z453" s="256"/>
    </row>
    <row r="454">
      <c r="A454" s="256"/>
      <c r="B454" s="256"/>
      <c r="C454" s="256"/>
      <c r="D454" s="256"/>
      <c r="E454" s="256"/>
      <c r="F454" s="256"/>
      <c r="G454" s="256"/>
      <c r="H454" s="256"/>
      <c r="I454" s="256"/>
      <c r="J454" s="256"/>
      <c r="K454" s="256"/>
      <c r="L454" s="256"/>
      <c r="M454" s="256"/>
      <c r="N454" s="256"/>
      <c r="O454" s="256"/>
      <c r="P454" s="256"/>
      <c r="Q454" s="256"/>
      <c r="R454" s="256"/>
      <c r="S454" s="256"/>
      <c r="T454" s="256"/>
      <c r="U454" s="256"/>
      <c r="V454" s="256"/>
      <c r="W454" s="256"/>
      <c r="X454" s="256"/>
      <c r="Y454" s="256"/>
      <c r="Z454" s="256"/>
    </row>
    <row r="455">
      <c r="A455" s="256"/>
      <c r="B455" s="256"/>
      <c r="C455" s="256"/>
      <c r="D455" s="256"/>
      <c r="E455" s="256"/>
      <c r="F455" s="256"/>
      <c r="G455" s="256"/>
      <c r="H455" s="256"/>
      <c r="I455" s="256"/>
      <c r="J455" s="256"/>
      <c r="K455" s="256"/>
      <c r="L455" s="256"/>
      <c r="M455" s="256"/>
      <c r="N455" s="256"/>
      <c r="O455" s="256"/>
      <c r="P455" s="256"/>
      <c r="Q455" s="256"/>
      <c r="R455" s="256"/>
      <c r="S455" s="256"/>
      <c r="T455" s="256"/>
      <c r="U455" s="256"/>
      <c r="V455" s="256"/>
      <c r="W455" s="256"/>
      <c r="X455" s="256"/>
      <c r="Y455" s="256"/>
      <c r="Z455" s="256"/>
    </row>
    <row r="456">
      <c r="A456" s="256"/>
      <c r="B456" s="256"/>
      <c r="C456" s="256"/>
      <c r="D456" s="256"/>
      <c r="E456" s="256"/>
      <c r="F456" s="256"/>
      <c r="G456" s="256"/>
      <c r="H456" s="256"/>
      <c r="I456" s="256"/>
      <c r="J456" s="256"/>
      <c r="K456" s="256"/>
      <c r="L456" s="256"/>
      <c r="M456" s="256"/>
      <c r="N456" s="256"/>
      <c r="O456" s="256"/>
      <c r="P456" s="256"/>
      <c r="Q456" s="256"/>
      <c r="R456" s="256"/>
      <c r="S456" s="256"/>
      <c r="T456" s="256"/>
      <c r="U456" s="256"/>
      <c r="V456" s="256"/>
      <c r="W456" s="256"/>
      <c r="X456" s="256"/>
      <c r="Y456" s="256"/>
      <c r="Z456" s="256"/>
    </row>
    <row r="457">
      <c r="A457" s="256"/>
      <c r="B457" s="256"/>
      <c r="C457" s="256"/>
      <c r="D457" s="256"/>
      <c r="E457" s="256"/>
      <c r="F457" s="256"/>
      <c r="G457" s="256"/>
      <c r="H457" s="256"/>
      <c r="I457" s="256"/>
      <c r="J457" s="256"/>
      <c r="K457" s="256"/>
      <c r="L457" s="256"/>
      <c r="M457" s="256"/>
      <c r="N457" s="256"/>
      <c r="O457" s="256"/>
      <c r="P457" s="256"/>
      <c r="Q457" s="256"/>
      <c r="R457" s="256"/>
      <c r="S457" s="256"/>
      <c r="T457" s="256"/>
      <c r="U457" s="256"/>
      <c r="V457" s="256"/>
      <c r="W457" s="256"/>
      <c r="X457" s="256"/>
      <c r="Y457" s="256"/>
      <c r="Z457" s="256"/>
    </row>
    <row r="458">
      <c r="A458" s="256"/>
      <c r="B458" s="256"/>
      <c r="C458" s="256"/>
      <c r="D458" s="256"/>
      <c r="E458" s="256"/>
      <c r="F458" s="256"/>
      <c r="G458" s="256"/>
      <c r="H458" s="256"/>
      <c r="I458" s="256"/>
      <c r="J458" s="256"/>
      <c r="K458" s="256"/>
      <c r="L458" s="256"/>
      <c r="M458" s="256"/>
      <c r="N458" s="256"/>
      <c r="O458" s="256"/>
      <c r="P458" s="256"/>
      <c r="Q458" s="256"/>
      <c r="R458" s="256"/>
      <c r="S458" s="256"/>
      <c r="T458" s="256"/>
      <c r="U458" s="256"/>
      <c r="V458" s="256"/>
      <c r="W458" s="256"/>
      <c r="X458" s="256"/>
      <c r="Y458" s="256"/>
      <c r="Z458" s="256"/>
    </row>
    <row r="459">
      <c r="A459" s="256"/>
      <c r="B459" s="256"/>
      <c r="C459" s="256"/>
      <c r="D459" s="256"/>
      <c r="E459" s="256"/>
      <c r="F459" s="256"/>
      <c r="G459" s="256"/>
      <c r="H459" s="256"/>
      <c r="I459" s="256"/>
      <c r="J459" s="256"/>
      <c r="K459" s="256"/>
      <c r="L459" s="256"/>
      <c r="M459" s="256"/>
      <c r="N459" s="256"/>
      <c r="O459" s="256"/>
      <c r="P459" s="256"/>
      <c r="Q459" s="256"/>
      <c r="R459" s="256"/>
      <c r="S459" s="256"/>
      <c r="T459" s="256"/>
      <c r="U459" s="256"/>
      <c r="V459" s="256"/>
      <c r="W459" s="256"/>
      <c r="X459" s="256"/>
      <c r="Y459" s="256"/>
      <c r="Z459" s="256"/>
    </row>
    <row r="460">
      <c r="A460" s="256"/>
      <c r="B460" s="256"/>
      <c r="C460" s="256"/>
      <c r="D460" s="256"/>
      <c r="E460" s="256"/>
      <c r="F460" s="256"/>
      <c r="G460" s="256"/>
      <c r="H460" s="256"/>
      <c r="I460" s="256"/>
      <c r="J460" s="256"/>
      <c r="K460" s="256"/>
      <c r="L460" s="256"/>
      <c r="M460" s="256"/>
      <c r="N460" s="256"/>
      <c r="O460" s="256"/>
      <c r="P460" s="256"/>
      <c r="Q460" s="256"/>
      <c r="R460" s="256"/>
      <c r="S460" s="256"/>
      <c r="T460" s="256"/>
      <c r="U460" s="256"/>
      <c r="V460" s="256"/>
      <c r="W460" s="256"/>
      <c r="X460" s="256"/>
      <c r="Y460" s="256"/>
      <c r="Z460" s="256"/>
    </row>
    <row r="461">
      <c r="A461" s="256"/>
      <c r="B461" s="256"/>
      <c r="C461" s="256"/>
      <c r="D461" s="256"/>
      <c r="E461" s="256"/>
      <c r="F461" s="256"/>
      <c r="G461" s="256"/>
      <c r="H461" s="256"/>
      <c r="I461" s="256"/>
      <c r="J461" s="256"/>
      <c r="K461" s="256"/>
      <c r="L461" s="256"/>
      <c r="M461" s="256"/>
      <c r="N461" s="256"/>
      <c r="O461" s="256"/>
      <c r="P461" s="256"/>
      <c r="Q461" s="256"/>
      <c r="R461" s="256"/>
      <c r="S461" s="256"/>
      <c r="T461" s="256"/>
      <c r="U461" s="256"/>
      <c r="V461" s="256"/>
      <c r="W461" s="256"/>
      <c r="X461" s="256"/>
      <c r="Y461" s="256"/>
      <c r="Z461" s="256"/>
    </row>
    <row r="462">
      <c r="A462" s="256"/>
      <c r="B462" s="256"/>
      <c r="C462" s="256"/>
      <c r="D462" s="256"/>
      <c r="E462" s="256"/>
      <c r="F462" s="256"/>
      <c r="G462" s="256"/>
      <c r="H462" s="256"/>
      <c r="I462" s="256"/>
      <c r="J462" s="256"/>
      <c r="K462" s="256"/>
      <c r="L462" s="256"/>
      <c r="M462" s="256"/>
      <c r="N462" s="256"/>
      <c r="O462" s="256"/>
      <c r="P462" s="256"/>
      <c r="Q462" s="256"/>
      <c r="R462" s="256"/>
      <c r="S462" s="256"/>
      <c r="T462" s="256"/>
      <c r="U462" s="256"/>
      <c r="V462" s="256"/>
      <c r="W462" s="256"/>
      <c r="X462" s="256"/>
      <c r="Y462" s="256"/>
      <c r="Z462" s="256"/>
    </row>
    <row r="463">
      <c r="A463" s="256"/>
      <c r="B463" s="256"/>
      <c r="C463" s="256"/>
      <c r="D463" s="256"/>
      <c r="E463" s="256"/>
      <c r="F463" s="256"/>
      <c r="G463" s="256"/>
      <c r="H463" s="256"/>
      <c r="I463" s="256"/>
      <c r="J463" s="256"/>
      <c r="K463" s="256"/>
      <c r="L463" s="256"/>
      <c r="M463" s="256"/>
      <c r="N463" s="256"/>
      <c r="O463" s="256"/>
      <c r="P463" s="256"/>
      <c r="Q463" s="256"/>
      <c r="R463" s="256"/>
      <c r="S463" s="256"/>
      <c r="T463" s="256"/>
      <c r="U463" s="256"/>
      <c r="V463" s="256"/>
      <c r="W463" s="256"/>
      <c r="X463" s="256"/>
      <c r="Y463" s="256"/>
      <c r="Z463" s="256"/>
    </row>
    <row r="464">
      <c r="A464" s="256"/>
      <c r="B464" s="256"/>
      <c r="C464" s="256"/>
      <c r="D464" s="256"/>
      <c r="E464" s="256"/>
      <c r="F464" s="256"/>
      <c r="G464" s="256"/>
      <c r="H464" s="256"/>
      <c r="I464" s="256"/>
      <c r="J464" s="256"/>
      <c r="K464" s="256"/>
      <c r="L464" s="256"/>
      <c r="M464" s="256"/>
      <c r="N464" s="256"/>
      <c r="O464" s="256"/>
      <c r="P464" s="256"/>
      <c r="Q464" s="256"/>
      <c r="R464" s="256"/>
      <c r="S464" s="256"/>
      <c r="T464" s="256"/>
      <c r="U464" s="256"/>
      <c r="V464" s="256"/>
      <c r="W464" s="256"/>
      <c r="X464" s="256"/>
      <c r="Y464" s="256"/>
      <c r="Z464" s="256"/>
    </row>
    <row r="465">
      <c r="A465" s="256"/>
      <c r="B465" s="256"/>
      <c r="C465" s="256"/>
      <c r="D465" s="256"/>
      <c r="E465" s="256"/>
      <c r="F465" s="256"/>
      <c r="G465" s="256"/>
      <c r="H465" s="256"/>
      <c r="I465" s="256"/>
      <c r="J465" s="256"/>
      <c r="K465" s="256"/>
      <c r="L465" s="256"/>
      <c r="M465" s="256"/>
      <c r="N465" s="256"/>
      <c r="O465" s="256"/>
      <c r="P465" s="256"/>
      <c r="Q465" s="256"/>
      <c r="R465" s="256"/>
      <c r="S465" s="256"/>
      <c r="T465" s="256"/>
      <c r="U465" s="256"/>
      <c r="V465" s="256"/>
      <c r="W465" s="256"/>
      <c r="X465" s="256"/>
      <c r="Y465" s="256"/>
      <c r="Z465" s="256"/>
    </row>
    <row r="466">
      <c r="A466" s="256"/>
      <c r="B466" s="256"/>
      <c r="C466" s="256"/>
      <c r="D466" s="256"/>
      <c r="E466" s="256"/>
      <c r="F466" s="256"/>
      <c r="G466" s="256"/>
      <c r="H466" s="256"/>
      <c r="I466" s="256"/>
      <c r="J466" s="256"/>
      <c r="K466" s="256"/>
      <c r="L466" s="256"/>
      <c r="M466" s="256"/>
      <c r="N466" s="256"/>
      <c r="O466" s="256"/>
      <c r="P466" s="256"/>
      <c r="Q466" s="256"/>
      <c r="R466" s="256"/>
      <c r="S466" s="256"/>
      <c r="T466" s="256"/>
      <c r="U466" s="256"/>
      <c r="V466" s="256"/>
      <c r="W466" s="256"/>
      <c r="X466" s="256"/>
      <c r="Y466" s="256"/>
      <c r="Z466" s="256"/>
    </row>
    <row r="467">
      <c r="A467" s="256"/>
      <c r="B467" s="256"/>
      <c r="C467" s="256"/>
      <c r="D467" s="256"/>
      <c r="E467" s="256"/>
      <c r="F467" s="256"/>
      <c r="G467" s="256"/>
      <c r="H467" s="256"/>
      <c r="I467" s="256"/>
      <c r="J467" s="256"/>
      <c r="K467" s="256"/>
      <c r="L467" s="256"/>
      <c r="M467" s="256"/>
      <c r="N467" s="256"/>
      <c r="O467" s="256"/>
      <c r="P467" s="256"/>
      <c r="Q467" s="256"/>
      <c r="R467" s="256"/>
      <c r="S467" s="256"/>
      <c r="T467" s="256"/>
      <c r="U467" s="256"/>
      <c r="V467" s="256"/>
      <c r="W467" s="256"/>
      <c r="X467" s="256"/>
      <c r="Y467" s="256"/>
      <c r="Z467" s="256"/>
    </row>
    <row r="468">
      <c r="A468" s="256"/>
      <c r="B468" s="256"/>
      <c r="C468" s="256"/>
      <c r="D468" s="256"/>
      <c r="E468" s="256"/>
      <c r="F468" s="256"/>
      <c r="G468" s="256"/>
      <c r="H468" s="256"/>
      <c r="I468" s="256"/>
      <c r="J468" s="256"/>
      <c r="K468" s="256"/>
      <c r="L468" s="256"/>
      <c r="M468" s="256"/>
      <c r="N468" s="256"/>
      <c r="O468" s="256"/>
      <c r="P468" s="256"/>
      <c r="Q468" s="256"/>
      <c r="R468" s="256"/>
      <c r="S468" s="256"/>
      <c r="T468" s="256"/>
      <c r="U468" s="256"/>
      <c r="V468" s="256"/>
      <c r="W468" s="256"/>
      <c r="X468" s="256"/>
      <c r="Y468" s="256"/>
      <c r="Z468" s="256"/>
    </row>
    <row r="469">
      <c r="A469" s="256"/>
      <c r="B469" s="256"/>
      <c r="C469" s="256"/>
      <c r="D469" s="256"/>
      <c r="E469" s="256"/>
      <c r="F469" s="256"/>
      <c r="G469" s="256"/>
      <c r="H469" s="256"/>
      <c r="I469" s="256"/>
      <c r="J469" s="256"/>
      <c r="K469" s="256"/>
      <c r="L469" s="256"/>
      <c r="M469" s="256"/>
      <c r="N469" s="256"/>
      <c r="O469" s="256"/>
      <c r="P469" s="256"/>
      <c r="Q469" s="256"/>
      <c r="R469" s="256"/>
      <c r="S469" s="256"/>
      <c r="T469" s="256"/>
      <c r="U469" s="256"/>
      <c r="V469" s="256"/>
      <c r="W469" s="256"/>
      <c r="X469" s="256"/>
      <c r="Y469" s="256"/>
      <c r="Z469" s="256"/>
    </row>
    <row r="470">
      <c r="A470" s="256"/>
      <c r="B470" s="256"/>
      <c r="C470" s="256"/>
      <c r="D470" s="256"/>
      <c r="E470" s="256"/>
      <c r="F470" s="256"/>
      <c r="G470" s="256"/>
      <c r="H470" s="256"/>
      <c r="I470" s="256"/>
      <c r="J470" s="256"/>
      <c r="K470" s="256"/>
      <c r="L470" s="256"/>
      <c r="M470" s="256"/>
      <c r="N470" s="256"/>
      <c r="O470" s="256"/>
      <c r="P470" s="256"/>
      <c r="Q470" s="256"/>
      <c r="R470" s="256"/>
      <c r="S470" s="256"/>
      <c r="T470" s="256"/>
      <c r="U470" s="256"/>
      <c r="V470" s="256"/>
      <c r="W470" s="256"/>
      <c r="X470" s="256"/>
      <c r="Y470" s="256"/>
      <c r="Z470" s="256"/>
    </row>
    <row r="471">
      <c r="A471" s="256"/>
      <c r="B471" s="256"/>
      <c r="C471" s="256"/>
      <c r="D471" s="256"/>
      <c r="E471" s="256"/>
      <c r="F471" s="256"/>
      <c r="G471" s="256"/>
      <c r="H471" s="256"/>
      <c r="I471" s="256"/>
      <c r="J471" s="256"/>
      <c r="K471" s="256"/>
      <c r="L471" s="256"/>
      <c r="M471" s="256"/>
      <c r="N471" s="256"/>
      <c r="O471" s="256"/>
      <c r="P471" s="256"/>
      <c r="Q471" s="256"/>
      <c r="R471" s="256"/>
      <c r="S471" s="256"/>
      <c r="T471" s="256"/>
      <c r="U471" s="256"/>
      <c r="V471" s="256"/>
      <c r="W471" s="256"/>
      <c r="X471" s="256"/>
      <c r="Y471" s="256"/>
      <c r="Z471" s="256"/>
    </row>
    <row r="472">
      <c r="A472" s="256"/>
      <c r="B472" s="256"/>
      <c r="C472" s="256"/>
      <c r="D472" s="256"/>
      <c r="E472" s="256"/>
      <c r="F472" s="256"/>
      <c r="G472" s="256"/>
      <c r="H472" s="256"/>
      <c r="I472" s="256"/>
      <c r="J472" s="256"/>
      <c r="K472" s="256"/>
      <c r="L472" s="256"/>
      <c r="M472" s="256"/>
      <c r="N472" s="256"/>
      <c r="O472" s="256"/>
      <c r="P472" s="256"/>
      <c r="Q472" s="256"/>
      <c r="R472" s="256"/>
      <c r="S472" s="256"/>
      <c r="T472" s="256"/>
      <c r="U472" s="256"/>
      <c r="V472" s="256"/>
      <c r="W472" s="256"/>
      <c r="X472" s="256"/>
      <c r="Y472" s="256"/>
      <c r="Z472" s="256"/>
    </row>
    <row r="473">
      <c r="A473" s="256"/>
      <c r="B473" s="256"/>
      <c r="C473" s="256"/>
      <c r="D473" s="256"/>
      <c r="E473" s="256"/>
      <c r="F473" s="256"/>
      <c r="G473" s="256"/>
      <c r="H473" s="256"/>
      <c r="I473" s="256"/>
      <c r="J473" s="256"/>
      <c r="K473" s="256"/>
      <c r="L473" s="256"/>
      <c r="M473" s="256"/>
      <c r="N473" s="256"/>
      <c r="O473" s="256"/>
      <c r="P473" s="256"/>
      <c r="Q473" s="256"/>
      <c r="R473" s="256"/>
      <c r="S473" s="256"/>
      <c r="T473" s="256"/>
      <c r="U473" s="256"/>
      <c r="V473" s="256"/>
      <c r="W473" s="256"/>
      <c r="X473" s="256"/>
      <c r="Y473" s="256"/>
      <c r="Z473" s="256"/>
    </row>
    <row r="474">
      <c r="A474" s="256"/>
      <c r="B474" s="256"/>
      <c r="C474" s="256"/>
      <c r="D474" s="256"/>
      <c r="E474" s="256"/>
      <c r="F474" s="256"/>
      <c r="G474" s="256"/>
      <c r="H474" s="256"/>
      <c r="I474" s="256"/>
      <c r="J474" s="256"/>
      <c r="K474" s="256"/>
      <c r="L474" s="256"/>
      <c r="M474" s="256"/>
      <c r="N474" s="256"/>
      <c r="O474" s="256"/>
      <c r="P474" s="256"/>
      <c r="Q474" s="256"/>
      <c r="R474" s="256"/>
      <c r="S474" s="256"/>
      <c r="T474" s="256"/>
      <c r="U474" s="256"/>
      <c r="V474" s="256"/>
      <c r="W474" s="256"/>
      <c r="X474" s="256"/>
      <c r="Y474" s="256"/>
      <c r="Z474" s="256"/>
    </row>
    <row r="475">
      <c r="A475" s="256"/>
      <c r="B475" s="256"/>
      <c r="C475" s="256"/>
      <c r="D475" s="256"/>
      <c r="E475" s="256"/>
      <c r="F475" s="256"/>
      <c r="G475" s="256"/>
      <c r="H475" s="256"/>
      <c r="I475" s="256"/>
      <c r="J475" s="256"/>
      <c r="K475" s="256"/>
      <c r="L475" s="256"/>
      <c r="M475" s="256"/>
      <c r="N475" s="256"/>
      <c r="O475" s="256"/>
      <c r="P475" s="256"/>
      <c r="Q475" s="256"/>
      <c r="R475" s="256"/>
      <c r="S475" s="256"/>
      <c r="T475" s="256"/>
      <c r="U475" s="256"/>
      <c r="V475" s="256"/>
      <c r="W475" s="256"/>
      <c r="X475" s="256"/>
      <c r="Y475" s="256"/>
      <c r="Z475" s="256"/>
    </row>
    <row r="476">
      <c r="A476" s="256"/>
      <c r="B476" s="256"/>
      <c r="C476" s="256"/>
      <c r="D476" s="256"/>
      <c r="E476" s="256"/>
      <c r="F476" s="256"/>
      <c r="G476" s="256"/>
      <c r="H476" s="256"/>
      <c r="I476" s="256"/>
      <c r="J476" s="256"/>
      <c r="K476" s="256"/>
      <c r="L476" s="256"/>
      <c r="M476" s="256"/>
      <c r="N476" s="256"/>
      <c r="O476" s="256"/>
      <c r="P476" s="256"/>
      <c r="Q476" s="256"/>
      <c r="R476" s="256"/>
      <c r="S476" s="256"/>
      <c r="T476" s="256"/>
      <c r="U476" s="256"/>
      <c r="V476" s="256"/>
      <c r="W476" s="256"/>
      <c r="X476" s="256"/>
      <c r="Y476" s="256"/>
      <c r="Z476" s="256"/>
    </row>
    <row r="477">
      <c r="A477" s="256"/>
      <c r="B477" s="256"/>
      <c r="C477" s="256"/>
      <c r="D477" s="256"/>
      <c r="E477" s="256"/>
      <c r="F477" s="256"/>
      <c r="G477" s="256"/>
      <c r="H477" s="256"/>
      <c r="I477" s="256"/>
      <c r="J477" s="256"/>
      <c r="K477" s="256"/>
      <c r="L477" s="256"/>
      <c r="M477" s="256"/>
      <c r="N477" s="256"/>
      <c r="O477" s="256"/>
      <c r="P477" s="256"/>
      <c r="Q477" s="256"/>
      <c r="R477" s="256"/>
      <c r="S477" s="256"/>
      <c r="T477" s="256"/>
      <c r="U477" s="256"/>
      <c r="V477" s="256"/>
      <c r="W477" s="256"/>
      <c r="X477" s="256"/>
      <c r="Y477" s="256"/>
      <c r="Z477" s="256"/>
    </row>
    <row r="478">
      <c r="A478" s="256"/>
      <c r="B478" s="256"/>
      <c r="C478" s="256"/>
      <c r="D478" s="256"/>
      <c r="E478" s="256"/>
      <c r="F478" s="256"/>
      <c r="G478" s="256"/>
      <c r="H478" s="256"/>
      <c r="I478" s="256"/>
      <c r="J478" s="256"/>
      <c r="K478" s="256"/>
      <c r="L478" s="256"/>
      <c r="M478" s="256"/>
      <c r="N478" s="256"/>
      <c r="O478" s="256"/>
      <c r="P478" s="256"/>
      <c r="Q478" s="256"/>
      <c r="R478" s="256"/>
      <c r="S478" s="256"/>
      <c r="T478" s="256"/>
      <c r="U478" s="256"/>
      <c r="V478" s="256"/>
      <c r="W478" s="256"/>
      <c r="X478" s="256"/>
      <c r="Y478" s="256"/>
      <c r="Z478" s="256"/>
    </row>
    <row r="479">
      <c r="A479" s="256"/>
      <c r="B479" s="256"/>
      <c r="C479" s="256"/>
      <c r="D479" s="256"/>
      <c r="E479" s="256"/>
      <c r="F479" s="256"/>
      <c r="G479" s="256"/>
      <c r="H479" s="256"/>
      <c r="I479" s="256"/>
      <c r="J479" s="256"/>
      <c r="K479" s="256"/>
      <c r="L479" s="256"/>
      <c r="M479" s="256"/>
      <c r="N479" s="256"/>
      <c r="O479" s="256"/>
      <c r="P479" s="256"/>
      <c r="Q479" s="256"/>
      <c r="R479" s="256"/>
      <c r="S479" s="256"/>
      <c r="T479" s="256"/>
      <c r="U479" s="256"/>
      <c r="V479" s="256"/>
      <c r="W479" s="256"/>
      <c r="X479" s="256"/>
      <c r="Y479" s="256"/>
      <c r="Z479" s="256"/>
    </row>
    <row r="480">
      <c r="A480" s="256"/>
      <c r="B480" s="256"/>
      <c r="C480" s="256"/>
      <c r="D480" s="256"/>
      <c r="E480" s="256"/>
      <c r="F480" s="256"/>
      <c r="G480" s="256"/>
      <c r="H480" s="256"/>
      <c r="I480" s="256"/>
      <c r="J480" s="256"/>
      <c r="K480" s="256"/>
      <c r="L480" s="256"/>
      <c r="M480" s="256"/>
      <c r="N480" s="256"/>
      <c r="O480" s="256"/>
      <c r="P480" s="256"/>
      <c r="Q480" s="256"/>
      <c r="R480" s="256"/>
      <c r="S480" s="256"/>
      <c r="T480" s="256"/>
      <c r="U480" s="256"/>
      <c r="V480" s="256"/>
      <c r="W480" s="256"/>
      <c r="X480" s="256"/>
      <c r="Y480" s="256"/>
      <c r="Z480" s="256"/>
    </row>
    <row r="481">
      <c r="A481" s="256"/>
      <c r="B481" s="256"/>
      <c r="C481" s="256"/>
      <c r="D481" s="256"/>
      <c r="E481" s="256"/>
      <c r="F481" s="256"/>
      <c r="G481" s="256"/>
      <c r="H481" s="256"/>
      <c r="I481" s="256"/>
      <c r="J481" s="256"/>
      <c r="K481" s="256"/>
      <c r="L481" s="256"/>
      <c r="M481" s="256"/>
      <c r="N481" s="256"/>
      <c r="O481" s="256"/>
      <c r="P481" s="256"/>
      <c r="Q481" s="256"/>
      <c r="R481" s="256"/>
      <c r="S481" s="256"/>
      <c r="T481" s="256"/>
      <c r="U481" s="256"/>
      <c r="V481" s="256"/>
      <c r="W481" s="256"/>
      <c r="X481" s="256"/>
      <c r="Y481" s="256"/>
      <c r="Z481" s="256"/>
    </row>
    <row r="482">
      <c r="A482" s="256"/>
      <c r="B482" s="256"/>
      <c r="C482" s="256"/>
      <c r="D482" s="256"/>
      <c r="E482" s="256"/>
      <c r="F482" s="256"/>
      <c r="G482" s="256"/>
      <c r="H482" s="256"/>
      <c r="I482" s="256"/>
      <c r="J482" s="256"/>
      <c r="K482" s="256"/>
      <c r="L482" s="256"/>
      <c r="M482" s="256"/>
      <c r="N482" s="256"/>
      <c r="O482" s="256"/>
      <c r="P482" s="256"/>
      <c r="Q482" s="256"/>
      <c r="R482" s="256"/>
      <c r="S482" s="256"/>
      <c r="T482" s="256"/>
      <c r="U482" s="256"/>
      <c r="V482" s="256"/>
      <c r="W482" s="256"/>
      <c r="X482" s="256"/>
      <c r="Y482" s="256"/>
      <c r="Z482" s="256"/>
    </row>
    <row r="483">
      <c r="A483" s="256"/>
      <c r="B483" s="256"/>
      <c r="C483" s="256"/>
      <c r="D483" s="256"/>
      <c r="E483" s="256"/>
      <c r="F483" s="256"/>
      <c r="G483" s="256"/>
      <c r="H483" s="256"/>
      <c r="I483" s="256"/>
      <c r="J483" s="256"/>
      <c r="K483" s="256"/>
      <c r="L483" s="256"/>
      <c r="M483" s="256"/>
      <c r="N483" s="256"/>
      <c r="O483" s="256"/>
      <c r="P483" s="256"/>
      <c r="Q483" s="256"/>
      <c r="R483" s="256"/>
      <c r="S483" s="256"/>
      <c r="T483" s="256"/>
      <c r="U483" s="256"/>
      <c r="V483" s="256"/>
      <c r="W483" s="256"/>
      <c r="X483" s="256"/>
      <c r="Y483" s="256"/>
      <c r="Z483" s="256"/>
    </row>
    <row r="484">
      <c r="A484" s="256"/>
      <c r="B484" s="256"/>
      <c r="C484" s="256"/>
      <c r="D484" s="256"/>
      <c r="E484" s="256"/>
      <c r="F484" s="256"/>
      <c r="G484" s="256"/>
      <c r="H484" s="256"/>
      <c r="I484" s="256"/>
      <c r="J484" s="256"/>
      <c r="K484" s="256"/>
      <c r="L484" s="256"/>
      <c r="M484" s="256"/>
      <c r="N484" s="256"/>
      <c r="O484" s="256"/>
      <c r="P484" s="256"/>
      <c r="Q484" s="256"/>
      <c r="R484" s="256"/>
      <c r="S484" s="256"/>
      <c r="T484" s="256"/>
      <c r="U484" s="256"/>
      <c r="V484" s="256"/>
      <c r="W484" s="256"/>
      <c r="X484" s="256"/>
      <c r="Y484" s="256"/>
      <c r="Z484" s="256"/>
    </row>
    <row r="485">
      <c r="A485" s="256"/>
      <c r="B485" s="256"/>
      <c r="C485" s="256"/>
      <c r="D485" s="256"/>
      <c r="E485" s="256"/>
      <c r="F485" s="256"/>
      <c r="G485" s="256"/>
      <c r="H485" s="256"/>
      <c r="I485" s="256"/>
      <c r="J485" s="256"/>
      <c r="K485" s="256"/>
      <c r="L485" s="256"/>
      <c r="M485" s="256"/>
      <c r="N485" s="256"/>
      <c r="O485" s="256"/>
      <c r="P485" s="256"/>
      <c r="Q485" s="256"/>
      <c r="R485" s="256"/>
      <c r="S485" s="256"/>
      <c r="T485" s="256"/>
      <c r="U485" s="256"/>
      <c r="V485" s="256"/>
      <c r="W485" s="256"/>
      <c r="X485" s="256"/>
      <c r="Y485" s="256"/>
      <c r="Z485" s="256"/>
    </row>
    <row r="486">
      <c r="A486" s="256"/>
      <c r="B486" s="256"/>
      <c r="C486" s="256"/>
      <c r="D486" s="256"/>
      <c r="E486" s="256"/>
      <c r="F486" s="256"/>
      <c r="G486" s="256"/>
      <c r="H486" s="256"/>
      <c r="I486" s="256"/>
      <c r="J486" s="256"/>
      <c r="K486" s="256"/>
      <c r="L486" s="256"/>
      <c r="M486" s="256"/>
      <c r="N486" s="256"/>
      <c r="O486" s="256"/>
      <c r="P486" s="256"/>
      <c r="Q486" s="256"/>
      <c r="R486" s="256"/>
      <c r="S486" s="256"/>
      <c r="T486" s="256"/>
      <c r="U486" s="256"/>
      <c r="V486" s="256"/>
      <c r="W486" s="256"/>
      <c r="X486" s="256"/>
      <c r="Y486" s="256"/>
      <c r="Z486" s="256"/>
    </row>
    <row r="487">
      <c r="A487" s="256"/>
      <c r="B487" s="256"/>
      <c r="C487" s="256"/>
      <c r="D487" s="256"/>
      <c r="E487" s="256"/>
      <c r="F487" s="256"/>
      <c r="G487" s="256"/>
      <c r="H487" s="256"/>
      <c r="I487" s="256"/>
      <c r="J487" s="256"/>
      <c r="K487" s="256"/>
      <c r="L487" s="256"/>
      <c r="M487" s="256"/>
      <c r="N487" s="256"/>
      <c r="O487" s="256"/>
      <c r="P487" s="256"/>
      <c r="Q487" s="256"/>
      <c r="R487" s="256"/>
      <c r="S487" s="256"/>
      <c r="T487" s="256"/>
      <c r="U487" s="256"/>
      <c r="V487" s="256"/>
      <c r="W487" s="256"/>
      <c r="X487" s="256"/>
      <c r="Y487" s="256"/>
      <c r="Z487" s="256"/>
    </row>
    <row r="488">
      <c r="A488" s="256"/>
      <c r="B488" s="256"/>
      <c r="C488" s="256"/>
      <c r="D488" s="256"/>
      <c r="E488" s="256"/>
      <c r="F488" s="256"/>
      <c r="G488" s="256"/>
      <c r="H488" s="256"/>
      <c r="I488" s="256"/>
      <c r="J488" s="256"/>
      <c r="K488" s="256"/>
      <c r="L488" s="256"/>
      <c r="M488" s="256"/>
      <c r="N488" s="256"/>
      <c r="O488" s="256"/>
      <c r="P488" s="256"/>
      <c r="Q488" s="256"/>
      <c r="R488" s="256"/>
      <c r="S488" s="256"/>
      <c r="T488" s="256"/>
      <c r="U488" s="256"/>
      <c r="V488" s="256"/>
      <c r="W488" s="256"/>
      <c r="X488" s="256"/>
      <c r="Y488" s="256"/>
      <c r="Z488" s="256"/>
    </row>
    <row r="489">
      <c r="A489" s="256"/>
      <c r="B489" s="256"/>
      <c r="C489" s="256"/>
      <c r="D489" s="256"/>
      <c r="E489" s="256"/>
      <c r="F489" s="256"/>
      <c r="G489" s="256"/>
      <c r="H489" s="256"/>
      <c r="I489" s="256"/>
      <c r="J489" s="256"/>
      <c r="K489" s="256"/>
      <c r="L489" s="256"/>
      <c r="M489" s="256"/>
      <c r="N489" s="256"/>
      <c r="O489" s="256"/>
      <c r="P489" s="256"/>
      <c r="Q489" s="256"/>
      <c r="R489" s="256"/>
      <c r="S489" s="256"/>
      <c r="T489" s="256"/>
      <c r="U489" s="256"/>
      <c r="V489" s="256"/>
      <c r="W489" s="256"/>
      <c r="X489" s="256"/>
      <c r="Y489" s="256"/>
      <c r="Z489" s="256"/>
    </row>
    <row r="490">
      <c r="A490" s="256"/>
      <c r="B490" s="256"/>
      <c r="C490" s="256"/>
      <c r="D490" s="256"/>
      <c r="E490" s="256"/>
      <c r="F490" s="256"/>
      <c r="G490" s="256"/>
      <c r="H490" s="256"/>
      <c r="I490" s="256"/>
      <c r="J490" s="256"/>
      <c r="K490" s="256"/>
      <c r="L490" s="256"/>
      <c r="M490" s="256"/>
      <c r="N490" s="256"/>
      <c r="O490" s="256"/>
      <c r="P490" s="256"/>
      <c r="Q490" s="256"/>
      <c r="R490" s="256"/>
      <c r="S490" s="256"/>
      <c r="T490" s="256"/>
      <c r="U490" s="256"/>
      <c r="V490" s="256"/>
      <c r="W490" s="256"/>
      <c r="X490" s="256"/>
      <c r="Y490" s="256"/>
      <c r="Z490" s="256"/>
    </row>
    <row r="491">
      <c r="A491" s="256"/>
      <c r="B491" s="256"/>
      <c r="C491" s="256"/>
      <c r="D491" s="256"/>
      <c r="E491" s="256"/>
      <c r="F491" s="256"/>
      <c r="G491" s="256"/>
      <c r="H491" s="256"/>
      <c r="I491" s="256"/>
      <c r="J491" s="256"/>
      <c r="K491" s="256"/>
      <c r="L491" s="256"/>
      <c r="M491" s="256"/>
      <c r="N491" s="256"/>
      <c r="O491" s="256"/>
      <c r="P491" s="256"/>
      <c r="Q491" s="256"/>
      <c r="R491" s="256"/>
      <c r="S491" s="256"/>
      <c r="T491" s="256"/>
      <c r="U491" s="256"/>
      <c r="V491" s="256"/>
      <c r="W491" s="256"/>
      <c r="X491" s="256"/>
      <c r="Y491" s="256"/>
      <c r="Z491" s="256"/>
    </row>
    <row r="492">
      <c r="A492" s="256"/>
      <c r="B492" s="256"/>
      <c r="C492" s="256"/>
      <c r="D492" s="256"/>
      <c r="E492" s="256"/>
      <c r="F492" s="256"/>
      <c r="G492" s="256"/>
      <c r="H492" s="256"/>
      <c r="I492" s="256"/>
      <c r="J492" s="256"/>
      <c r="K492" s="256"/>
      <c r="L492" s="256"/>
      <c r="M492" s="256"/>
      <c r="N492" s="256"/>
      <c r="O492" s="256"/>
      <c r="P492" s="256"/>
      <c r="Q492" s="256"/>
      <c r="R492" s="256"/>
      <c r="S492" s="256"/>
      <c r="T492" s="256"/>
      <c r="U492" s="256"/>
      <c r="V492" s="256"/>
      <c r="W492" s="256"/>
      <c r="X492" s="256"/>
      <c r="Y492" s="256"/>
      <c r="Z492" s="256"/>
    </row>
    <row r="493">
      <c r="A493" s="256"/>
      <c r="B493" s="256"/>
      <c r="C493" s="256"/>
      <c r="D493" s="256"/>
      <c r="E493" s="256"/>
      <c r="F493" s="256"/>
      <c r="G493" s="256"/>
      <c r="H493" s="256"/>
      <c r="I493" s="256"/>
      <c r="J493" s="256"/>
      <c r="K493" s="256"/>
      <c r="L493" s="256"/>
      <c r="M493" s="256"/>
      <c r="N493" s="256"/>
      <c r="O493" s="256"/>
      <c r="P493" s="256"/>
      <c r="Q493" s="256"/>
      <c r="R493" s="256"/>
      <c r="S493" s="256"/>
      <c r="T493" s="256"/>
      <c r="U493" s="256"/>
      <c r="V493" s="256"/>
      <c r="W493" s="256"/>
      <c r="X493" s="256"/>
      <c r="Y493" s="256"/>
      <c r="Z493" s="256"/>
    </row>
    <row r="494">
      <c r="A494" s="256"/>
      <c r="B494" s="256"/>
      <c r="C494" s="256"/>
      <c r="D494" s="256"/>
      <c r="E494" s="256"/>
      <c r="F494" s="256"/>
      <c r="G494" s="256"/>
      <c r="H494" s="256"/>
      <c r="I494" s="256"/>
      <c r="J494" s="256"/>
      <c r="K494" s="256"/>
      <c r="L494" s="256"/>
      <c r="M494" s="256"/>
      <c r="N494" s="256"/>
      <c r="O494" s="256"/>
      <c r="P494" s="256"/>
      <c r="Q494" s="256"/>
      <c r="R494" s="256"/>
      <c r="S494" s="256"/>
      <c r="T494" s="256"/>
      <c r="U494" s="256"/>
      <c r="V494" s="256"/>
      <c r="W494" s="256"/>
      <c r="X494" s="256"/>
      <c r="Y494" s="256"/>
      <c r="Z494" s="256"/>
    </row>
    <row r="495">
      <c r="A495" s="256"/>
      <c r="B495" s="256"/>
      <c r="C495" s="256"/>
      <c r="D495" s="256"/>
      <c r="E495" s="256"/>
      <c r="F495" s="256"/>
      <c r="G495" s="256"/>
      <c r="H495" s="256"/>
      <c r="I495" s="256"/>
      <c r="J495" s="256"/>
      <c r="K495" s="256"/>
      <c r="L495" s="256"/>
      <c r="M495" s="256"/>
      <c r="N495" s="256"/>
      <c r="O495" s="256"/>
      <c r="P495" s="256"/>
      <c r="Q495" s="256"/>
      <c r="R495" s="256"/>
      <c r="S495" s="256"/>
      <c r="T495" s="256"/>
      <c r="U495" s="256"/>
      <c r="V495" s="256"/>
      <c r="W495" s="256"/>
      <c r="X495" s="256"/>
      <c r="Y495" s="256"/>
      <c r="Z495" s="256"/>
    </row>
    <row r="496">
      <c r="A496" s="256"/>
      <c r="B496" s="256"/>
      <c r="C496" s="256"/>
      <c r="D496" s="256"/>
      <c r="E496" s="256"/>
      <c r="F496" s="256"/>
      <c r="G496" s="256"/>
      <c r="H496" s="256"/>
      <c r="I496" s="256"/>
      <c r="J496" s="256"/>
      <c r="K496" s="256"/>
      <c r="L496" s="256"/>
      <c r="M496" s="256"/>
      <c r="N496" s="256"/>
      <c r="O496" s="256"/>
      <c r="P496" s="256"/>
      <c r="Q496" s="256"/>
      <c r="R496" s="256"/>
      <c r="S496" s="256"/>
      <c r="T496" s="256"/>
      <c r="U496" s="256"/>
      <c r="V496" s="256"/>
      <c r="W496" s="256"/>
      <c r="X496" s="256"/>
      <c r="Y496" s="256"/>
      <c r="Z496" s="256"/>
    </row>
    <row r="497">
      <c r="A497" s="256"/>
      <c r="B497" s="256"/>
      <c r="C497" s="256"/>
      <c r="D497" s="256"/>
      <c r="E497" s="256"/>
      <c r="F497" s="256"/>
      <c r="G497" s="256"/>
      <c r="H497" s="256"/>
      <c r="I497" s="256"/>
      <c r="J497" s="256"/>
      <c r="K497" s="256"/>
      <c r="L497" s="256"/>
      <c r="M497" s="256"/>
      <c r="N497" s="256"/>
      <c r="O497" s="256"/>
      <c r="P497" s="256"/>
      <c r="Q497" s="256"/>
      <c r="R497" s="256"/>
      <c r="S497" s="256"/>
      <c r="T497" s="256"/>
      <c r="U497" s="256"/>
      <c r="V497" s="256"/>
      <c r="W497" s="256"/>
      <c r="X497" s="256"/>
      <c r="Y497" s="256"/>
      <c r="Z497" s="256"/>
    </row>
    <row r="498">
      <c r="A498" s="256"/>
      <c r="B498" s="256"/>
      <c r="C498" s="256"/>
      <c r="D498" s="256"/>
      <c r="E498" s="256"/>
      <c r="F498" s="256"/>
      <c r="G498" s="256"/>
      <c r="H498" s="256"/>
      <c r="I498" s="256"/>
      <c r="J498" s="256"/>
      <c r="K498" s="256"/>
      <c r="L498" s="256"/>
      <c r="M498" s="256"/>
      <c r="N498" s="256"/>
      <c r="O498" s="256"/>
      <c r="P498" s="256"/>
      <c r="Q498" s="256"/>
      <c r="R498" s="256"/>
      <c r="S498" s="256"/>
      <c r="T498" s="256"/>
      <c r="U498" s="256"/>
      <c r="V498" s="256"/>
      <c r="W498" s="256"/>
      <c r="X498" s="256"/>
      <c r="Y498" s="256"/>
      <c r="Z498" s="256"/>
    </row>
    <row r="499">
      <c r="A499" s="256"/>
      <c r="B499" s="256"/>
      <c r="C499" s="256"/>
      <c r="D499" s="256"/>
      <c r="E499" s="256"/>
      <c r="F499" s="256"/>
      <c r="G499" s="256"/>
      <c r="H499" s="256"/>
      <c r="I499" s="256"/>
      <c r="J499" s="256"/>
      <c r="K499" s="256"/>
      <c r="L499" s="256"/>
      <c r="M499" s="256"/>
      <c r="N499" s="256"/>
      <c r="O499" s="256"/>
      <c r="P499" s="256"/>
      <c r="Q499" s="256"/>
      <c r="R499" s="256"/>
      <c r="S499" s="256"/>
      <c r="T499" s="256"/>
      <c r="U499" s="256"/>
      <c r="V499" s="256"/>
      <c r="W499" s="256"/>
      <c r="X499" s="256"/>
      <c r="Y499" s="256"/>
      <c r="Z499" s="256"/>
    </row>
    <row r="500">
      <c r="A500" s="256"/>
      <c r="B500" s="256"/>
      <c r="C500" s="256"/>
      <c r="D500" s="256"/>
      <c r="E500" s="256"/>
      <c r="F500" s="256"/>
      <c r="G500" s="256"/>
      <c r="H500" s="256"/>
      <c r="I500" s="256"/>
      <c r="J500" s="256"/>
      <c r="K500" s="256"/>
      <c r="L500" s="256"/>
      <c r="M500" s="256"/>
      <c r="N500" s="256"/>
      <c r="O500" s="256"/>
      <c r="P500" s="256"/>
      <c r="Q500" s="256"/>
      <c r="R500" s="256"/>
      <c r="S500" s="256"/>
      <c r="T500" s="256"/>
      <c r="U500" s="256"/>
      <c r="V500" s="256"/>
      <c r="W500" s="256"/>
      <c r="X500" s="256"/>
      <c r="Y500" s="256"/>
      <c r="Z500" s="256"/>
    </row>
    <row r="501">
      <c r="A501" s="256"/>
      <c r="B501" s="256"/>
      <c r="C501" s="256"/>
      <c r="D501" s="256"/>
      <c r="E501" s="256"/>
      <c r="F501" s="256"/>
      <c r="G501" s="256"/>
      <c r="H501" s="256"/>
      <c r="I501" s="256"/>
      <c r="J501" s="256"/>
      <c r="K501" s="256"/>
      <c r="L501" s="256"/>
      <c r="M501" s="256"/>
      <c r="N501" s="256"/>
      <c r="O501" s="256"/>
      <c r="P501" s="256"/>
      <c r="Q501" s="256"/>
      <c r="R501" s="256"/>
      <c r="S501" s="256"/>
      <c r="T501" s="256"/>
      <c r="U501" s="256"/>
      <c r="V501" s="256"/>
      <c r="W501" s="256"/>
      <c r="X501" s="256"/>
      <c r="Y501" s="256"/>
      <c r="Z501" s="256"/>
    </row>
    <row r="502">
      <c r="A502" s="256"/>
      <c r="B502" s="256"/>
      <c r="C502" s="256"/>
      <c r="D502" s="256"/>
      <c r="E502" s="256"/>
      <c r="F502" s="256"/>
      <c r="G502" s="256"/>
      <c r="H502" s="256"/>
      <c r="I502" s="256"/>
      <c r="J502" s="256"/>
      <c r="K502" s="256"/>
      <c r="L502" s="256"/>
      <c r="M502" s="256"/>
      <c r="N502" s="256"/>
      <c r="O502" s="256"/>
      <c r="P502" s="256"/>
      <c r="Q502" s="256"/>
      <c r="R502" s="256"/>
      <c r="S502" s="256"/>
      <c r="T502" s="256"/>
      <c r="U502" s="256"/>
      <c r="V502" s="256"/>
      <c r="W502" s="256"/>
      <c r="X502" s="256"/>
      <c r="Y502" s="256"/>
      <c r="Z502" s="256"/>
    </row>
    <row r="503">
      <c r="A503" s="256"/>
      <c r="B503" s="256"/>
      <c r="C503" s="256"/>
      <c r="D503" s="256"/>
      <c r="E503" s="256"/>
      <c r="F503" s="256"/>
      <c r="G503" s="256"/>
      <c r="H503" s="256"/>
      <c r="I503" s="256"/>
      <c r="J503" s="256"/>
      <c r="K503" s="256"/>
      <c r="L503" s="256"/>
      <c r="M503" s="256"/>
      <c r="N503" s="256"/>
      <c r="O503" s="256"/>
      <c r="P503" s="256"/>
      <c r="Q503" s="256"/>
      <c r="R503" s="256"/>
      <c r="S503" s="256"/>
      <c r="T503" s="256"/>
      <c r="U503" s="256"/>
      <c r="V503" s="256"/>
      <c r="W503" s="256"/>
      <c r="X503" s="256"/>
      <c r="Y503" s="256"/>
      <c r="Z503" s="256"/>
    </row>
    <row r="504">
      <c r="A504" s="256"/>
      <c r="B504" s="256"/>
      <c r="C504" s="256"/>
      <c r="D504" s="256"/>
      <c r="E504" s="256"/>
      <c r="F504" s="256"/>
      <c r="G504" s="256"/>
      <c r="H504" s="256"/>
      <c r="I504" s="256"/>
      <c r="J504" s="256"/>
      <c r="K504" s="256"/>
      <c r="L504" s="256"/>
      <c r="M504" s="256"/>
      <c r="N504" s="256"/>
      <c r="O504" s="256"/>
      <c r="P504" s="256"/>
      <c r="Q504" s="256"/>
      <c r="R504" s="256"/>
      <c r="S504" s="256"/>
      <c r="T504" s="256"/>
      <c r="U504" s="256"/>
      <c r="V504" s="256"/>
      <c r="W504" s="256"/>
      <c r="X504" s="256"/>
      <c r="Y504" s="256"/>
      <c r="Z504" s="256"/>
    </row>
    <row r="505">
      <c r="A505" s="256"/>
      <c r="B505" s="256"/>
      <c r="C505" s="256"/>
      <c r="D505" s="256"/>
      <c r="E505" s="256"/>
      <c r="F505" s="256"/>
      <c r="G505" s="256"/>
      <c r="H505" s="256"/>
      <c r="I505" s="256"/>
      <c r="J505" s="256"/>
      <c r="K505" s="256"/>
      <c r="L505" s="256"/>
      <c r="M505" s="256"/>
      <c r="N505" s="256"/>
      <c r="O505" s="256"/>
      <c r="P505" s="256"/>
      <c r="Q505" s="256"/>
      <c r="R505" s="256"/>
      <c r="S505" s="256"/>
      <c r="T505" s="256"/>
      <c r="U505" s="256"/>
      <c r="V505" s="256"/>
      <c r="W505" s="256"/>
      <c r="X505" s="256"/>
      <c r="Y505" s="256"/>
      <c r="Z505" s="256"/>
    </row>
    <row r="506">
      <c r="A506" s="256"/>
      <c r="B506" s="256"/>
      <c r="C506" s="256"/>
      <c r="D506" s="256"/>
      <c r="E506" s="256"/>
      <c r="F506" s="256"/>
      <c r="G506" s="256"/>
      <c r="H506" s="256"/>
      <c r="I506" s="256"/>
      <c r="J506" s="256"/>
      <c r="K506" s="256"/>
      <c r="L506" s="256"/>
      <c r="M506" s="256"/>
      <c r="N506" s="256"/>
      <c r="O506" s="256"/>
      <c r="P506" s="256"/>
      <c r="Q506" s="256"/>
      <c r="R506" s="256"/>
      <c r="S506" s="256"/>
      <c r="T506" s="256"/>
      <c r="U506" s="256"/>
      <c r="V506" s="256"/>
      <c r="W506" s="256"/>
      <c r="X506" s="256"/>
      <c r="Y506" s="256"/>
      <c r="Z506" s="256"/>
    </row>
    <row r="507">
      <c r="A507" s="256"/>
      <c r="B507" s="256"/>
      <c r="C507" s="256"/>
      <c r="D507" s="256"/>
      <c r="E507" s="256"/>
      <c r="F507" s="256"/>
      <c r="G507" s="256"/>
      <c r="H507" s="256"/>
      <c r="I507" s="256"/>
      <c r="J507" s="256"/>
      <c r="K507" s="256"/>
      <c r="L507" s="256"/>
      <c r="M507" s="256"/>
      <c r="N507" s="256"/>
      <c r="O507" s="256"/>
      <c r="P507" s="256"/>
      <c r="Q507" s="256"/>
      <c r="R507" s="256"/>
      <c r="S507" s="256"/>
      <c r="T507" s="256"/>
      <c r="U507" s="256"/>
      <c r="V507" s="256"/>
      <c r="W507" s="256"/>
      <c r="X507" s="256"/>
      <c r="Y507" s="256"/>
      <c r="Z507" s="256"/>
    </row>
    <row r="508">
      <c r="A508" s="256"/>
      <c r="B508" s="256"/>
      <c r="C508" s="256"/>
      <c r="D508" s="256"/>
      <c r="E508" s="256"/>
      <c r="F508" s="256"/>
      <c r="G508" s="256"/>
      <c r="H508" s="256"/>
      <c r="I508" s="256"/>
      <c r="J508" s="256"/>
      <c r="K508" s="256"/>
      <c r="L508" s="256"/>
      <c r="M508" s="256"/>
      <c r="N508" s="256"/>
      <c r="O508" s="256"/>
      <c r="P508" s="256"/>
      <c r="Q508" s="256"/>
      <c r="R508" s="256"/>
      <c r="S508" s="256"/>
      <c r="T508" s="256"/>
      <c r="U508" s="256"/>
      <c r="V508" s="256"/>
      <c r="W508" s="256"/>
      <c r="X508" s="256"/>
      <c r="Y508" s="256"/>
      <c r="Z508" s="256"/>
    </row>
    <row r="509">
      <c r="A509" s="256"/>
      <c r="B509" s="256"/>
      <c r="C509" s="256"/>
      <c r="D509" s="256"/>
      <c r="E509" s="256"/>
      <c r="F509" s="256"/>
      <c r="G509" s="256"/>
      <c r="H509" s="256"/>
      <c r="I509" s="256"/>
      <c r="J509" s="256"/>
      <c r="K509" s="256"/>
      <c r="L509" s="256"/>
      <c r="M509" s="256"/>
      <c r="N509" s="256"/>
      <c r="O509" s="256"/>
      <c r="P509" s="256"/>
      <c r="Q509" s="256"/>
      <c r="R509" s="256"/>
      <c r="S509" s="256"/>
      <c r="T509" s="256"/>
      <c r="U509" s="256"/>
      <c r="V509" s="256"/>
      <c r="W509" s="256"/>
      <c r="X509" s="256"/>
      <c r="Y509" s="256"/>
      <c r="Z509" s="256"/>
    </row>
    <row r="510">
      <c r="A510" s="256"/>
      <c r="B510" s="256"/>
      <c r="C510" s="256"/>
      <c r="D510" s="256"/>
      <c r="E510" s="256"/>
      <c r="F510" s="256"/>
      <c r="G510" s="256"/>
      <c r="H510" s="256"/>
      <c r="I510" s="256"/>
      <c r="J510" s="256"/>
      <c r="K510" s="256"/>
      <c r="L510" s="256"/>
      <c r="M510" s="256"/>
      <c r="N510" s="256"/>
      <c r="O510" s="256"/>
      <c r="P510" s="256"/>
      <c r="Q510" s="256"/>
      <c r="R510" s="256"/>
      <c r="S510" s="256"/>
      <c r="T510" s="256"/>
      <c r="U510" s="256"/>
      <c r="V510" s="256"/>
      <c r="W510" s="256"/>
      <c r="X510" s="256"/>
      <c r="Y510" s="256"/>
      <c r="Z510" s="256"/>
    </row>
    <row r="511">
      <c r="A511" s="256"/>
      <c r="B511" s="256"/>
      <c r="C511" s="256"/>
      <c r="D511" s="256"/>
      <c r="E511" s="256"/>
      <c r="F511" s="256"/>
      <c r="G511" s="256"/>
      <c r="H511" s="256"/>
      <c r="I511" s="256"/>
      <c r="J511" s="256"/>
      <c r="K511" s="256"/>
      <c r="L511" s="256"/>
      <c r="M511" s="256"/>
      <c r="N511" s="256"/>
      <c r="O511" s="256"/>
      <c r="P511" s="256"/>
      <c r="Q511" s="256"/>
      <c r="R511" s="256"/>
      <c r="S511" s="256"/>
      <c r="T511" s="256"/>
      <c r="U511" s="256"/>
      <c r="V511" s="256"/>
      <c r="W511" s="256"/>
      <c r="X511" s="256"/>
      <c r="Y511" s="256"/>
      <c r="Z511" s="256"/>
    </row>
    <row r="512">
      <c r="A512" s="256"/>
      <c r="B512" s="256"/>
      <c r="C512" s="256"/>
      <c r="D512" s="256"/>
      <c r="E512" s="256"/>
      <c r="F512" s="256"/>
      <c r="G512" s="256"/>
      <c r="H512" s="256"/>
      <c r="I512" s="256"/>
      <c r="J512" s="256"/>
      <c r="K512" s="256"/>
      <c r="L512" s="256"/>
      <c r="M512" s="256"/>
      <c r="N512" s="256"/>
      <c r="O512" s="256"/>
      <c r="P512" s="256"/>
      <c r="Q512" s="256"/>
      <c r="R512" s="256"/>
      <c r="S512" s="256"/>
      <c r="T512" s="256"/>
      <c r="U512" s="256"/>
      <c r="V512" s="256"/>
      <c r="W512" s="256"/>
      <c r="X512" s="256"/>
      <c r="Y512" s="256"/>
      <c r="Z512" s="256"/>
    </row>
    <row r="513">
      <c r="A513" s="256"/>
      <c r="B513" s="256"/>
      <c r="C513" s="256"/>
      <c r="D513" s="256"/>
      <c r="E513" s="256"/>
      <c r="F513" s="256"/>
      <c r="G513" s="256"/>
      <c r="H513" s="256"/>
      <c r="I513" s="256"/>
      <c r="J513" s="256"/>
      <c r="K513" s="256"/>
      <c r="L513" s="256"/>
      <c r="M513" s="256"/>
      <c r="N513" s="256"/>
      <c r="O513" s="256"/>
      <c r="P513" s="256"/>
      <c r="Q513" s="256"/>
      <c r="R513" s="256"/>
      <c r="S513" s="256"/>
      <c r="T513" s="256"/>
      <c r="U513" s="256"/>
      <c r="V513" s="256"/>
      <c r="W513" s="256"/>
      <c r="X513" s="256"/>
      <c r="Y513" s="256"/>
      <c r="Z513" s="256"/>
    </row>
    <row r="514">
      <c r="A514" s="256"/>
      <c r="B514" s="256"/>
      <c r="C514" s="256"/>
      <c r="D514" s="256"/>
      <c r="E514" s="256"/>
      <c r="F514" s="256"/>
      <c r="G514" s="256"/>
      <c r="H514" s="256"/>
      <c r="I514" s="256"/>
      <c r="J514" s="256"/>
      <c r="K514" s="256"/>
      <c r="L514" s="256"/>
      <c r="M514" s="256"/>
      <c r="N514" s="256"/>
      <c r="O514" s="256"/>
      <c r="P514" s="256"/>
      <c r="Q514" s="256"/>
      <c r="R514" s="256"/>
      <c r="S514" s="256"/>
      <c r="T514" s="256"/>
      <c r="U514" s="256"/>
      <c r="V514" s="256"/>
      <c r="W514" s="256"/>
      <c r="X514" s="256"/>
      <c r="Y514" s="256"/>
      <c r="Z514" s="256"/>
    </row>
    <row r="515">
      <c r="A515" s="256"/>
      <c r="B515" s="256"/>
      <c r="C515" s="256"/>
      <c r="D515" s="256"/>
      <c r="E515" s="256"/>
      <c r="F515" s="256"/>
      <c r="G515" s="256"/>
      <c r="H515" s="256"/>
      <c r="I515" s="256"/>
      <c r="J515" s="256"/>
      <c r="K515" s="256"/>
      <c r="L515" s="256"/>
      <c r="M515" s="256"/>
      <c r="N515" s="256"/>
      <c r="O515" s="256"/>
      <c r="P515" s="256"/>
      <c r="Q515" s="256"/>
      <c r="R515" s="256"/>
      <c r="S515" s="256"/>
      <c r="T515" s="256"/>
      <c r="U515" s="256"/>
      <c r="V515" s="256"/>
      <c r="W515" s="256"/>
      <c r="X515" s="256"/>
      <c r="Y515" s="256"/>
      <c r="Z515" s="256"/>
    </row>
    <row r="516">
      <c r="A516" s="256"/>
      <c r="B516" s="256"/>
      <c r="C516" s="256"/>
      <c r="D516" s="256"/>
      <c r="E516" s="256"/>
      <c r="F516" s="256"/>
      <c r="G516" s="256"/>
      <c r="H516" s="256"/>
      <c r="I516" s="256"/>
      <c r="J516" s="256"/>
      <c r="K516" s="256"/>
      <c r="L516" s="256"/>
      <c r="M516" s="256"/>
      <c r="N516" s="256"/>
      <c r="O516" s="256"/>
      <c r="P516" s="256"/>
      <c r="Q516" s="256"/>
      <c r="R516" s="256"/>
      <c r="S516" s="256"/>
      <c r="T516" s="256"/>
      <c r="U516" s="256"/>
      <c r="V516" s="256"/>
      <c r="W516" s="256"/>
      <c r="X516" s="256"/>
      <c r="Y516" s="256"/>
      <c r="Z516" s="256"/>
    </row>
    <row r="517">
      <c r="A517" s="256"/>
      <c r="B517" s="256"/>
      <c r="C517" s="256"/>
      <c r="D517" s="256"/>
      <c r="E517" s="256"/>
      <c r="F517" s="256"/>
      <c r="G517" s="256"/>
      <c r="H517" s="256"/>
      <c r="I517" s="256"/>
      <c r="J517" s="256"/>
      <c r="K517" s="256"/>
      <c r="L517" s="256"/>
      <c r="M517" s="256"/>
      <c r="N517" s="256"/>
      <c r="O517" s="256"/>
      <c r="P517" s="256"/>
      <c r="Q517" s="256"/>
      <c r="R517" s="256"/>
      <c r="S517" s="256"/>
      <c r="T517" s="256"/>
      <c r="U517" s="256"/>
      <c r="V517" s="256"/>
      <c r="W517" s="256"/>
      <c r="X517" s="256"/>
      <c r="Y517" s="256"/>
      <c r="Z517" s="256"/>
    </row>
    <row r="518">
      <c r="A518" s="256"/>
      <c r="B518" s="256"/>
      <c r="C518" s="256"/>
      <c r="D518" s="256"/>
      <c r="E518" s="256"/>
      <c r="F518" s="256"/>
      <c r="G518" s="256"/>
      <c r="H518" s="256"/>
      <c r="I518" s="256"/>
      <c r="J518" s="256"/>
      <c r="K518" s="256"/>
      <c r="L518" s="256"/>
      <c r="M518" s="256"/>
      <c r="N518" s="256"/>
      <c r="O518" s="256"/>
      <c r="P518" s="256"/>
      <c r="Q518" s="256"/>
      <c r="R518" s="256"/>
      <c r="S518" s="256"/>
      <c r="T518" s="256"/>
      <c r="U518" s="256"/>
      <c r="V518" s="256"/>
      <c r="W518" s="256"/>
      <c r="X518" s="256"/>
      <c r="Y518" s="256"/>
      <c r="Z518" s="256"/>
    </row>
    <row r="519">
      <c r="A519" s="256"/>
      <c r="B519" s="256"/>
      <c r="C519" s="256"/>
      <c r="D519" s="256"/>
      <c r="E519" s="256"/>
      <c r="F519" s="256"/>
      <c r="G519" s="256"/>
      <c r="H519" s="256"/>
      <c r="I519" s="256"/>
      <c r="J519" s="256"/>
      <c r="K519" s="256"/>
      <c r="L519" s="256"/>
      <c r="M519" s="256"/>
      <c r="N519" s="256"/>
      <c r="O519" s="256"/>
      <c r="P519" s="256"/>
      <c r="Q519" s="256"/>
      <c r="R519" s="256"/>
      <c r="S519" s="256"/>
      <c r="T519" s="256"/>
      <c r="U519" s="256"/>
      <c r="V519" s="256"/>
      <c r="W519" s="256"/>
      <c r="X519" s="256"/>
      <c r="Y519" s="256"/>
      <c r="Z519" s="256"/>
    </row>
    <row r="520">
      <c r="A520" s="256"/>
      <c r="B520" s="256"/>
      <c r="C520" s="256"/>
      <c r="D520" s="256"/>
      <c r="E520" s="256"/>
      <c r="F520" s="256"/>
      <c r="G520" s="256"/>
      <c r="H520" s="256"/>
      <c r="I520" s="256"/>
      <c r="J520" s="256"/>
      <c r="K520" s="256"/>
      <c r="L520" s="256"/>
      <c r="M520" s="256"/>
      <c r="N520" s="256"/>
      <c r="O520" s="256"/>
      <c r="P520" s="256"/>
      <c r="Q520" s="256"/>
      <c r="R520" s="256"/>
      <c r="S520" s="256"/>
      <c r="T520" s="256"/>
      <c r="U520" s="256"/>
      <c r="V520" s="256"/>
      <c r="W520" s="256"/>
      <c r="X520" s="256"/>
      <c r="Y520" s="256"/>
      <c r="Z520" s="256"/>
    </row>
    <row r="521">
      <c r="A521" s="256"/>
      <c r="B521" s="256"/>
      <c r="C521" s="256"/>
      <c r="D521" s="256"/>
      <c r="E521" s="256"/>
      <c r="F521" s="256"/>
      <c r="G521" s="256"/>
      <c r="H521" s="256"/>
      <c r="I521" s="256"/>
      <c r="J521" s="256"/>
      <c r="K521" s="256"/>
      <c r="L521" s="256"/>
      <c r="M521" s="256"/>
      <c r="N521" s="256"/>
      <c r="O521" s="256"/>
      <c r="P521" s="256"/>
      <c r="Q521" s="256"/>
      <c r="R521" s="256"/>
      <c r="S521" s="256"/>
      <c r="T521" s="256"/>
      <c r="U521" s="256"/>
      <c r="V521" s="256"/>
      <c r="W521" s="256"/>
      <c r="X521" s="256"/>
      <c r="Y521" s="256"/>
      <c r="Z521" s="256"/>
    </row>
    <row r="522">
      <c r="A522" s="256"/>
      <c r="B522" s="256"/>
      <c r="C522" s="256"/>
      <c r="D522" s="256"/>
      <c r="E522" s="256"/>
      <c r="F522" s="256"/>
      <c r="G522" s="256"/>
      <c r="H522" s="256"/>
      <c r="I522" s="256"/>
      <c r="J522" s="256"/>
      <c r="K522" s="256"/>
      <c r="L522" s="256"/>
      <c r="M522" s="256"/>
      <c r="N522" s="256"/>
      <c r="O522" s="256"/>
      <c r="P522" s="256"/>
      <c r="Q522" s="256"/>
      <c r="R522" s="256"/>
      <c r="S522" s="256"/>
      <c r="T522" s="256"/>
      <c r="U522" s="256"/>
      <c r="V522" s="256"/>
      <c r="W522" s="256"/>
      <c r="X522" s="256"/>
      <c r="Y522" s="256"/>
      <c r="Z522" s="256"/>
    </row>
    <row r="523">
      <c r="A523" s="256"/>
      <c r="B523" s="256"/>
      <c r="C523" s="256"/>
      <c r="D523" s="256"/>
      <c r="E523" s="256"/>
      <c r="F523" s="256"/>
      <c r="G523" s="256"/>
      <c r="H523" s="256"/>
      <c r="I523" s="256"/>
      <c r="J523" s="256"/>
      <c r="K523" s="256"/>
      <c r="L523" s="256"/>
      <c r="M523" s="256"/>
      <c r="N523" s="256"/>
      <c r="O523" s="256"/>
      <c r="P523" s="256"/>
      <c r="Q523" s="256"/>
      <c r="R523" s="256"/>
      <c r="S523" s="256"/>
      <c r="T523" s="256"/>
      <c r="U523" s="256"/>
      <c r="V523" s="256"/>
      <c r="W523" s="256"/>
      <c r="X523" s="256"/>
      <c r="Y523" s="256"/>
      <c r="Z523" s="256"/>
    </row>
    <row r="524">
      <c r="A524" s="256"/>
      <c r="B524" s="256"/>
      <c r="C524" s="256"/>
      <c r="D524" s="256"/>
      <c r="E524" s="256"/>
      <c r="F524" s="256"/>
      <c r="G524" s="256"/>
      <c r="H524" s="256"/>
      <c r="I524" s="256"/>
      <c r="J524" s="256"/>
      <c r="K524" s="256"/>
      <c r="L524" s="256"/>
      <c r="M524" s="256"/>
      <c r="N524" s="256"/>
      <c r="O524" s="256"/>
      <c r="P524" s="256"/>
      <c r="Q524" s="256"/>
      <c r="R524" s="256"/>
      <c r="S524" s="256"/>
      <c r="T524" s="256"/>
      <c r="U524" s="256"/>
      <c r="V524" s="256"/>
      <c r="W524" s="256"/>
      <c r="X524" s="256"/>
      <c r="Y524" s="256"/>
      <c r="Z524" s="256"/>
    </row>
    <row r="525">
      <c r="A525" s="256"/>
      <c r="B525" s="256"/>
      <c r="C525" s="256"/>
      <c r="D525" s="256"/>
      <c r="E525" s="256"/>
      <c r="F525" s="256"/>
      <c r="G525" s="256"/>
      <c r="H525" s="256"/>
      <c r="I525" s="256"/>
      <c r="J525" s="256"/>
      <c r="K525" s="256"/>
      <c r="L525" s="256"/>
      <c r="M525" s="256"/>
      <c r="N525" s="256"/>
      <c r="O525" s="256"/>
      <c r="P525" s="256"/>
      <c r="Q525" s="256"/>
      <c r="R525" s="256"/>
      <c r="S525" s="256"/>
      <c r="T525" s="256"/>
      <c r="U525" s="256"/>
      <c r="V525" s="256"/>
      <c r="W525" s="256"/>
      <c r="X525" s="256"/>
      <c r="Y525" s="256"/>
      <c r="Z525" s="256"/>
    </row>
    <row r="526">
      <c r="A526" s="256"/>
      <c r="B526" s="256"/>
      <c r="C526" s="256"/>
      <c r="D526" s="256"/>
      <c r="E526" s="256"/>
      <c r="F526" s="256"/>
      <c r="G526" s="256"/>
      <c r="H526" s="256"/>
      <c r="I526" s="256"/>
      <c r="J526" s="256"/>
      <c r="K526" s="256"/>
      <c r="L526" s="256"/>
      <c r="M526" s="256"/>
      <c r="N526" s="256"/>
      <c r="O526" s="256"/>
      <c r="P526" s="256"/>
      <c r="Q526" s="256"/>
      <c r="R526" s="256"/>
      <c r="S526" s="256"/>
      <c r="T526" s="256"/>
      <c r="U526" s="256"/>
      <c r="V526" s="256"/>
      <c r="W526" s="256"/>
      <c r="X526" s="256"/>
      <c r="Y526" s="256"/>
      <c r="Z526" s="256"/>
    </row>
    <row r="527">
      <c r="A527" s="256"/>
      <c r="B527" s="256"/>
      <c r="C527" s="256"/>
      <c r="D527" s="256"/>
      <c r="E527" s="256"/>
      <c r="F527" s="256"/>
      <c r="G527" s="256"/>
      <c r="H527" s="256"/>
      <c r="I527" s="256"/>
      <c r="J527" s="256"/>
      <c r="K527" s="256"/>
      <c r="L527" s="256"/>
      <c r="M527" s="256"/>
      <c r="N527" s="256"/>
      <c r="O527" s="256"/>
      <c r="P527" s="256"/>
      <c r="Q527" s="256"/>
      <c r="R527" s="256"/>
      <c r="S527" s="256"/>
      <c r="T527" s="256"/>
      <c r="U527" s="256"/>
      <c r="V527" s="256"/>
      <c r="W527" s="256"/>
      <c r="X527" s="256"/>
      <c r="Y527" s="256"/>
      <c r="Z527" s="256"/>
    </row>
    <row r="528">
      <c r="A528" s="256"/>
      <c r="B528" s="256"/>
      <c r="C528" s="256"/>
      <c r="D528" s="256"/>
      <c r="E528" s="256"/>
      <c r="F528" s="256"/>
      <c r="G528" s="256"/>
      <c r="H528" s="256"/>
      <c r="I528" s="256"/>
      <c r="J528" s="256"/>
      <c r="K528" s="256"/>
      <c r="L528" s="256"/>
      <c r="M528" s="256"/>
      <c r="N528" s="256"/>
      <c r="O528" s="256"/>
      <c r="P528" s="256"/>
      <c r="Q528" s="256"/>
      <c r="R528" s="256"/>
      <c r="S528" s="256"/>
      <c r="T528" s="256"/>
      <c r="U528" s="256"/>
      <c r="V528" s="256"/>
      <c r="W528" s="256"/>
      <c r="X528" s="256"/>
      <c r="Y528" s="256"/>
      <c r="Z528" s="256"/>
    </row>
    <row r="529">
      <c r="A529" s="256"/>
      <c r="B529" s="256"/>
      <c r="C529" s="256"/>
      <c r="D529" s="256"/>
      <c r="E529" s="256"/>
      <c r="F529" s="256"/>
      <c r="G529" s="256"/>
      <c r="H529" s="256"/>
      <c r="I529" s="256"/>
      <c r="J529" s="256"/>
      <c r="K529" s="256"/>
      <c r="L529" s="256"/>
      <c r="M529" s="256"/>
      <c r="N529" s="256"/>
      <c r="O529" s="256"/>
      <c r="P529" s="256"/>
      <c r="Q529" s="256"/>
      <c r="R529" s="256"/>
      <c r="S529" s="256"/>
      <c r="T529" s="256"/>
      <c r="U529" s="256"/>
      <c r="V529" s="256"/>
      <c r="W529" s="256"/>
      <c r="X529" s="256"/>
      <c r="Y529" s="256"/>
      <c r="Z529" s="256"/>
    </row>
    <row r="530">
      <c r="A530" s="256"/>
      <c r="B530" s="256"/>
      <c r="C530" s="256"/>
      <c r="D530" s="256"/>
      <c r="E530" s="256"/>
      <c r="F530" s="256"/>
      <c r="G530" s="256"/>
      <c r="H530" s="256"/>
      <c r="I530" s="256"/>
      <c r="J530" s="256"/>
      <c r="K530" s="256"/>
      <c r="L530" s="256"/>
      <c r="M530" s="256"/>
      <c r="N530" s="256"/>
      <c r="O530" s="256"/>
      <c r="P530" s="256"/>
      <c r="Q530" s="256"/>
      <c r="R530" s="256"/>
      <c r="S530" s="256"/>
      <c r="T530" s="256"/>
      <c r="U530" s="256"/>
      <c r="V530" s="256"/>
      <c r="W530" s="256"/>
      <c r="X530" s="256"/>
      <c r="Y530" s="256"/>
      <c r="Z530" s="256"/>
    </row>
    <row r="531">
      <c r="A531" s="256"/>
      <c r="B531" s="256"/>
      <c r="C531" s="256"/>
      <c r="D531" s="256"/>
      <c r="E531" s="256"/>
      <c r="F531" s="256"/>
      <c r="G531" s="256"/>
      <c r="H531" s="256"/>
      <c r="I531" s="256"/>
      <c r="J531" s="256"/>
      <c r="K531" s="256"/>
      <c r="L531" s="256"/>
      <c r="M531" s="256"/>
      <c r="N531" s="256"/>
      <c r="O531" s="256"/>
      <c r="P531" s="256"/>
      <c r="Q531" s="256"/>
      <c r="R531" s="256"/>
      <c r="S531" s="256"/>
      <c r="T531" s="256"/>
      <c r="U531" s="256"/>
      <c r="V531" s="256"/>
      <c r="W531" s="256"/>
      <c r="X531" s="256"/>
      <c r="Y531" s="256"/>
      <c r="Z531" s="256"/>
    </row>
    <row r="532">
      <c r="A532" s="256"/>
      <c r="B532" s="256"/>
      <c r="C532" s="256"/>
      <c r="D532" s="256"/>
      <c r="E532" s="256"/>
      <c r="F532" s="256"/>
      <c r="G532" s="256"/>
      <c r="H532" s="256"/>
      <c r="I532" s="256"/>
      <c r="J532" s="256"/>
      <c r="K532" s="256"/>
      <c r="L532" s="256"/>
      <c r="M532" s="256"/>
      <c r="N532" s="256"/>
      <c r="O532" s="256"/>
      <c r="P532" s="256"/>
      <c r="Q532" s="256"/>
      <c r="R532" s="256"/>
      <c r="S532" s="256"/>
      <c r="T532" s="256"/>
      <c r="U532" s="256"/>
      <c r="V532" s="256"/>
      <c r="W532" s="256"/>
      <c r="X532" s="256"/>
      <c r="Y532" s="256"/>
      <c r="Z532" s="256"/>
    </row>
    <row r="533">
      <c r="A533" s="256"/>
      <c r="B533" s="256"/>
      <c r="C533" s="256"/>
      <c r="D533" s="256"/>
      <c r="E533" s="256"/>
      <c r="F533" s="256"/>
      <c r="G533" s="256"/>
      <c r="H533" s="256"/>
      <c r="I533" s="256"/>
      <c r="J533" s="256"/>
      <c r="K533" s="256"/>
      <c r="L533" s="256"/>
      <c r="M533" s="256"/>
      <c r="N533" s="256"/>
      <c r="O533" s="256"/>
      <c r="P533" s="256"/>
      <c r="Q533" s="256"/>
      <c r="R533" s="256"/>
      <c r="S533" s="256"/>
      <c r="T533" s="256"/>
      <c r="U533" s="256"/>
      <c r="V533" s="256"/>
      <c r="W533" s="256"/>
      <c r="X533" s="256"/>
      <c r="Y533" s="256"/>
      <c r="Z533" s="256"/>
    </row>
    <row r="534">
      <c r="A534" s="256"/>
      <c r="B534" s="256"/>
      <c r="C534" s="256"/>
      <c r="D534" s="256"/>
      <c r="E534" s="256"/>
      <c r="F534" s="256"/>
      <c r="G534" s="256"/>
      <c r="H534" s="256"/>
      <c r="I534" s="256"/>
      <c r="J534" s="256"/>
      <c r="K534" s="256"/>
      <c r="L534" s="256"/>
      <c r="M534" s="256"/>
      <c r="N534" s="256"/>
      <c r="O534" s="256"/>
      <c r="P534" s="256"/>
      <c r="Q534" s="256"/>
      <c r="R534" s="256"/>
      <c r="S534" s="256"/>
      <c r="T534" s="256"/>
      <c r="U534" s="256"/>
      <c r="V534" s="256"/>
      <c r="W534" s="256"/>
      <c r="X534" s="256"/>
      <c r="Y534" s="256"/>
      <c r="Z534" s="256"/>
    </row>
    <row r="535">
      <c r="A535" s="256"/>
      <c r="B535" s="256"/>
      <c r="C535" s="256"/>
      <c r="D535" s="256"/>
      <c r="E535" s="256"/>
      <c r="F535" s="256"/>
      <c r="G535" s="256"/>
      <c r="H535" s="256"/>
      <c r="I535" s="256"/>
      <c r="J535" s="256"/>
      <c r="K535" s="256"/>
      <c r="L535" s="256"/>
      <c r="M535" s="256"/>
      <c r="N535" s="256"/>
      <c r="O535" s="256"/>
      <c r="P535" s="256"/>
      <c r="Q535" s="256"/>
      <c r="R535" s="256"/>
      <c r="S535" s="256"/>
      <c r="T535" s="256"/>
      <c r="U535" s="256"/>
      <c r="V535" s="256"/>
      <c r="W535" s="256"/>
      <c r="X535" s="256"/>
      <c r="Y535" s="256"/>
      <c r="Z535" s="256"/>
    </row>
    <row r="536">
      <c r="A536" s="256"/>
      <c r="B536" s="256"/>
      <c r="C536" s="256"/>
      <c r="D536" s="256"/>
      <c r="E536" s="256"/>
      <c r="F536" s="256"/>
      <c r="G536" s="256"/>
      <c r="H536" s="256"/>
      <c r="I536" s="256"/>
      <c r="J536" s="256"/>
      <c r="K536" s="256"/>
      <c r="L536" s="256"/>
      <c r="M536" s="256"/>
      <c r="N536" s="256"/>
      <c r="O536" s="256"/>
      <c r="P536" s="256"/>
      <c r="Q536" s="256"/>
      <c r="R536" s="256"/>
      <c r="S536" s="256"/>
      <c r="T536" s="256"/>
      <c r="U536" s="256"/>
      <c r="V536" s="256"/>
      <c r="W536" s="256"/>
      <c r="X536" s="256"/>
      <c r="Y536" s="256"/>
      <c r="Z536" s="256"/>
    </row>
    <row r="537">
      <c r="A537" s="256"/>
      <c r="B537" s="256"/>
      <c r="C537" s="256"/>
      <c r="D537" s="256"/>
      <c r="E537" s="256"/>
      <c r="F537" s="256"/>
      <c r="G537" s="256"/>
      <c r="H537" s="256"/>
      <c r="I537" s="256"/>
      <c r="J537" s="256"/>
      <c r="K537" s="256"/>
      <c r="L537" s="256"/>
      <c r="M537" s="256"/>
      <c r="N537" s="256"/>
      <c r="O537" s="256"/>
      <c r="P537" s="256"/>
      <c r="Q537" s="256"/>
      <c r="R537" s="256"/>
      <c r="S537" s="256"/>
      <c r="T537" s="256"/>
      <c r="U537" s="256"/>
      <c r="V537" s="256"/>
      <c r="W537" s="256"/>
      <c r="X537" s="256"/>
      <c r="Y537" s="256"/>
      <c r="Z537" s="256"/>
    </row>
    <row r="538">
      <c r="A538" s="256"/>
      <c r="B538" s="256"/>
      <c r="C538" s="256"/>
      <c r="D538" s="256"/>
      <c r="E538" s="256"/>
      <c r="F538" s="256"/>
      <c r="G538" s="256"/>
      <c r="H538" s="256"/>
      <c r="I538" s="256"/>
      <c r="J538" s="256"/>
      <c r="K538" s="256"/>
      <c r="L538" s="256"/>
      <c r="M538" s="256"/>
      <c r="N538" s="256"/>
      <c r="O538" s="256"/>
      <c r="P538" s="256"/>
      <c r="Q538" s="256"/>
      <c r="R538" s="256"/>
      <c r="S538" s="256"/>
      <c r="T538" s="256"/>
      <c r="U538" s="256"/>
      <c r="V538" s="256"/>
      <c r="W538" s="256"/>
      <c r="X538" s="256"/>
      <c r="Y538" s="256"/>
      <c r="Z538" s="256"/>
    </row>
    <row r="539">
      <c r="A539" s="256"/>
      <c r="B539" s="256"/>
      <c r="C539" s="256"/>
      <c r="D539" s="256"/>
      <c r="E539" s="256"/>
      <c r="F539" s="256"/>
      <c r="G539" s="256"/>
      <c r="H539" s="256"/>
      <c r="I539" s="256"/>
      <c r="J539" s="256"/>
      <c r="K539" s="256"/>
      <c r="L539" s="256"/>
      <c r="M539" s="256"/>
      <c r="N539" s="256"/>
      <c r="O539" s="256"/>
      <c r="P539" s="256"/>
      <c r="Q539" s="256"/>
      <c r="R539" s="256"/>
      <c r="S539" s="256"/>
      <c r="T539" s="256"/>
      <c r="U539" s="256"/>
      <c r="V539" s="256"/>
      <c r="W539" s="256"/>
      <c r="X539" s="256"/>
      <c r="Y539" s="256"/>
      <c r="Z539" s="256"/>
    </row>
    <row r="540">
      <c r="A540" s="256"/>
      <c r="B540" s="256"/>
      <c r="C540" s="256"/>
      <c r="D540" s="256"/>
      <c r="E540" s="256"/>
      <c r="F540" s="256"/>
      <c r="G540" s="256"/>
      <c r="H540" s="256"/>
      <c r="I540" s="256"/>
      <c r="J540" s="256"/>
      <c r="K540" s="256"/>
      <c r="L540" s="256"/>
      <c r="M540" s="256"/>
      <c r="N540" s="256"/>
      <c r="O540" s="256"/>
      <c r="P540" s="256"/>
      <c r="Q540" s="256"/>
      <c r="R540" s="256"/>
      <c r="S540" s="256"/>
      <c r="T540" s="256"/>
      <c r="U540" s="256"/>
      <c r="V540" s="256"/>
      <c r="W540" s="256"/>
      <c r="X540" s="256"/>
      <c r="Y540" s="256"/>
      <c r="Z540" s="256"/>
    </row>
    <row r="541">
      <c r="A541" s="256"/>
      <c r="B541" s="256"/>
      <c r="C541" s="256"/>
      <c r="D541" s="256"/>
      <c r="E541" s="256"/>
      <c r="F541" s="256"/>
      <c r="G541" s="256"/>
      <c r="H541" s="256"/>
      <c r="I541" s="256"/>
      <c r="J541" s="256"/>
      <c r="K541" s="256"/>
      <c r="L541" s="256"/>
      <c r="M541" s="256"/>
      <c r="N541" s="256"/>
      <c r="O541" s="256"/>
      <c r="P541" s="256"/>
      <c r="Q541" s="256"/>
      <c r="R541" s="256"/>
      <c r="S541" s="256"/>
      <c r="T541" s="256"/>
      <c r="U541" s="256"/>
      <c r="V541" s="256"/>
      <c r="W541" s="256"/>
      <c r="X541" s="256"/>
      <c r="Y541" s="256"/>
      <c r="Z541" s="256"/>
    </row>
    <row r="542">
      <c r="A542" s="256"/>
      <c r="B542" s="256"/>
      <c r="C542" s="256"/>
      <c r="D542" s="256"/>
      <c r="E542" s="256"/>
      <c r="F542" s="256"/>
      <c r="G542" s="256"/>
      <c r="H542" s="256"/>
      <c r="I542" s="256"/>
      <c r="J542" s="256"/>
      <c r="K542" s="256"/>
      <c r="L542" s="256"/>
      <c r="M542" s="256"/>
      <c r="N542" s="256"/>
      <c r="O542" s="256"/>
      <c r="P542" s="256"/>
      <c r="Q542" s="256"/>
      <c r="R542" s="256"/>
      <c r="S542" s="256"/>
      <c r="T542" s="256"/>
      <c r="U542" s="256"/>
      <c r="V542" s="256"/>
      <c r="W542" s="256"/>
      <c r="X542" s="256"/>
      <c r="Y542" s="256"/>
      <c r="Z542" s="256"/>
    </row>
    <row r="543">
      <c r="A543" s="256"/>
      <c r="B543" s="256"/>
      <c r="C543" s="256"/>
      <c r="D543" s="256"/>
      <c r="E543" s="256"/>
      <c r="F543" s="256"/>
      <c r="G543" s="256"/>
      <c r="H543" s="256"/>
      <c r="I543" s="256"/>
      <c r="J543" s="256"/>
      <c r="K543" s="256"/>
      <c r="L543" s="256"/>
      <c r="M543" s="256"/>
      <c r="N543" s="256"/>
      <c r="O543" s="256"/>
      <c r="P543" s="256"/>
      <c r="Q543" s="256"/>
      <c r="R543" s="256"/>
      <c r="S543" s="256"/>
      <c r="T543" s="256"/>
      <c r="U543" s="256"/>
      <c r="V543" s="256"/>
      <c r="W543" s="256"/>
      <c r="X543" s="256"/>
      <c r="Y543" s="256"/>
      <c r="Z543" s="256"/>
    </row>
    <row r="544">
      <c r="A544" s="256"/>
      <c r="B544" s="256"/>
      <c r="C544" s="256"/>
      <c r="D544" s="256"/>
      <c r="E544" s="256"/>
      <c r="F544" s="256"/>
      <c r="G544" s="256"/>
      <c r="H544" s="256"/>
      <c r="I544" s="256"/>
      <c r="J544" s="256"/>
      <c r="K544" s="256"/>
      <c r="L544" s="256"/>
      <c r="M544" s="256"/>
      <c r="N544" s="256"/>
      <c r="O544" s="256"/>
      <c r="P544" s="256"/>
      <c r="Q544" s="256"/>
      <c r="R544" s="256"/>
      <c r="S544" s="256"/>
      <c r="T544" s="256"/>
      <c r="U544" s="256"/>
      <c r="V544" s="256"/>
      <c r="W544" s="256"/>
      <c r="X544" s="256"/>
      <c r="Y544" s="256"/>
      <c r="Z544" s="256"/>
    </row>
    <row r="545">
      <c r="A545" s="256"/>
      <c r="B545" s="256"/>
      <c r="C545" s="256"/>
      <c r="D545" s="256"/>
      <c r="E545" s="256"/>
      <c r="F545" s="256"/>
      <c r="G545" s="256"/>
      <c r="H545" s="256"/>
      <c r="I545" s="256"/>
      <c r="J545" s="256"/>
      <c r="K545" s="256"/>
      <c r="L545" s="256"/>
      <c r="M545" s="256"/>
      <c r="N545" s="256"/>
      <c r="O545" s="256"/>
      <c r="P545" s="256"/>
      <c r="Q545" s="256"/>
      <c r="R545" s="256"/>
      <c r="S545" s="256"/>
      <c r="T545" s="256"/>
      <c r="U545" s="256"/>
      <c r="V545" s="256"/>
      <c r="W545" s="256"/>
      <c r="X545" s="256"/>
      <c r="Y545" s="256"/>
      <c r="Z545" s="256"/>
    </row>
    <row r="546">
      <c r="A546" s="256"/>
      <c r="B546" s="256"/>
      <c r="C546" s="256"/>
      <c r="D546" s="256"/>
      <c r="E546" s="256"/>
      <c r="F546" s="256"/>
      <c r="G546" s="256"/>
      <c r="H546" s="256"/>
      <c r="I546" s="256"/>
      <c r="J546" s="256"/>
      <c r="K546" s="256"/>
      <c r="L546" s="256"/>
      <c r="M546" s="256"/>
      <c r="N546" s="256"/>
      <c r="O546" s="256"/>
      <c r="P546" s="256"/>
      <c r="Q546" s="256"/>
      <c r="R546" s="256"/>
      <c r="S546" s="256"/>
      <c r="T546" s="256"/>
      <c r="U546" s="256"/>
      <c r="V546" s="256"/>
      <c r="W546" s="256"/>
      <c r="X546" s="256"/>
      <c r="Y546" s="256"/>
      <c r="Z546" s="256"/>
    </row>
    <row r="547">
      <c r="A547" s="256"/>
      <c r="B547" s="256"/>
      <c r="C547" s="256"/>
      <c r="D547" s="256"/>
      <c r="E547" s="256"/>
      <c r="F547" s="256"/>
      <c r="G547" s="256"/>
      <c r="H547" s="256"/>
      <c r="I547" s="256"/>
      <c r="J547" s="256"/>
      <c r="K547" s="256"/>
      <c r="L547" s="256"/>
      <c r="M547" s="256"/>
      <c r="N547" s="256"/>
      <c r="O547" s="256"/>
      <c r="P547" s="256"/>
      <c r="Q547" s="256"/>
      <c r="R547" s="256"/>
      <c r="S547" s="256"/>
      <c r="T547" s="256"/>
      <c r="U547" s="256"/>
      <c r="V547" s="256"/>
      <c r="W547" s="256"/>
      <c r="X547" s="256"/>
      <c r="Y547" s="256"/>
      <c r="Z547" s="256"/>
    </row>
    <row r="548">
      <c r="A548" s="256"/>
      <c r="B548" s="256"/>
      <c r="C548" s="256"/>
      <c r="D548" s="256"/>
      <c r="E548" s="256"/>
      <c r="F548" s="256"/>
      <c r="G548" s="256"/>
      <c r="H548" s="256"/>
      <c r="I548" s="256"/>
      <c r="J548" s="256"/>
      <c r="K548" s="256"/>
      <c r="L548" s="256"/>
      <c r="M548" s="256"/>
      <c r="N548" s="256"/>
      <c r="O548" s="256"/>
      <c r="P548" s="256"/>
      <c r="Q548" s="256"/>
      <c r="R548" s="256"/>
      <c r="S548" s="256"/>
      <c r="T548" s="256"/>
      <c r="U548" s="256"/>
      <c r="V548" s="256"/>
      <c r="W548" s="256"/>
      <c r="X548" s="256"/>
      <c r="Y548" s="256"/>
      <c r="Z548" s="256"/>
    </row>
    <row r="549">
      <c r="A549" s="256"/>
      <c r="B549" s="256"/>
      <c r="C549" s="256"/>
      <c r="D549" s="256"/>
      <c r="E549" s="256"/>
      <c r="F549" s="256"/>
      <c r="G549" s="256"/>
      <c r="H549" s="256"/>
      <c r="I549" s="256"/>
      <c r="J549" s="256"/>
      <c r="K549" s="256"/>
      <c r="L549" s="256"/>
      <c r="M549" s="256"/>
      <c r="N549" s="256"/>
      <c r="O549" s="256"/>
      <c r="P549" s="256"/>
      <c r="Q549" s="256"/>
      <c r="R549" s="256"/>
      <c r="S549" s="256"/>
      <c r="T549" s="256"/>
      <c r="U549" s="256"/>
      <c r="V549" s="256"/>
      <c r="W549" s="256"/>
      <c r="X549" s="256"/>
      <c r="Y549" s="256"/>
      <c r="Z549" s="256"/>
    </row>
    <row r="550">
      <c r="A550" s="256"/>
      <c r="B550" s="256"/>
      <c r="C550" s="256"/>
      <c r="D550" s="256"/>
      <c r="E550" s="256"/>
      <c r="F550" s="256"/>
      <c r="G550" s="256"/>
      <c r="H550" s="256"/>
      <c r="I550" s="256"/>
      <c r="J550" s="256"/>
      <c r="K550" s="256"/>
      <c r="L550" s="256"/>
      <c r="M550" s="256"/>
      <c r="N550" s="256"/>
      <c r="O550" s="256"/>
      <c r="P550" s="256"/>
      <c r="Q550" s="256"/>
      <c r="R550" s="256"/>
      <c r="S550" s="256"/>
      <c r="T550" s="256"/>
      <c r="U550" s="256"/>
      <c r="V550" s="256"/>
      <c r="W550" s="256"/>
      <c r="X550" s="256"/>
      <c r="Y550" s="256"/>
      <c r="Z550" s="256"/>
    </row>
    <row r="551">
      <c r="A551" s="256"/>
      <c r="B551" s="256"/>
      <c r="C551" s="256"/>
      <c r="D551" s="256"/>
      <c r="E551" s="256"/>
      <c r="F551" s="256"/>
      <c r="G551" s="256"/>
      <c r="H551" s="256"/>
      <c r="I551" s="256"/>
      <c r="J551" s="256"/>
      <c r="K551" s="256"/>
      <c r="L551" s="256"/>
      <c r="M551" s="256"/>
      <c r="N551" s="256"/>
      <c r="O551" s="256"/>
      <c r="P551" s="256"/>
      <c r="Q551" s="256"/>
      <c r="R551" s="256"/>
      <c r="S551" s="256"/>
      <c r="T551" s="256"/>
      <c r="U551" s="256"/>
      <c r="V551" s="256"/>
      <c r="W551" s="256"/>
      <c r="X551" s="256"/>
      <c r="Y551" s="256"/>
      <c r="Z551" s="256"/>
    </row>
    <row r="552">
      <c r="A552" s="256"/>
      <c r="B552" s="256"/>
      <c r="C552" s="256"/>
      <c r="D552" s="256"/>
      <c r="E552" s="256"/>
      <c r="F552" s="256"/>
      <c r="G552" s="256"/>
      <c r="H552" s="256"/>
      <c r="I552" s="256"/>
      <c r="J552" s="256"/>
      <c r="K552" s="256"/>
      <c r="L552" s="256"/>
      <c r="M552" s="256"/>
      <c r="N552" s="256"/>
      <c r="O552" s="256"/>
      <c r="P552" s="256"/>
      <c r="Q552" s="256"/>
      <c r="R552" s="256"/>
      <c r="S552" s="256"/>
      <c r="T552" s="256"/>
      <c r="U552" s="256"/>
      <c r="V552" s="256"/>
      <c r="W552" s="256"/>
      <c r="X552" s="256"/>
      <c r="Y552" s="256"/>
      <c r="Z552" s="256"/>
    </row>
    <row r="553">
      <c r="A553" s="256"/>
      <c r="B553" s="256"/>
      <c r="C553" s="256"/>
      <c r="D553" s="256"/>
      <c r="E553" s="256"/>
      <c r="F553" s="256"/>
      <c r="G553" s="256"/>
      <c r="H553" s="256"/>
      <c r="I553" s="256"/>
      <c r="J553" s="256"/>
      <c r="K553" s="256"/>
      <c r="L553" s="256"/>
      <c r="M553" s="256"/>
      <c r="N553" s="256"/>
      <c r="O553" s="256"/>
      <c r="P553" s="256"/>
      <c r="Q553" s="256"/>
      <c r="R553" s="256"/>
      <c r="S553" s="256"/>
      <c r="T553" s="256"/>
      <c r="U553" s="256"/>
      <c r="V553" s="256"/>
      <c r="W553" s="256"/>
      <c r="X553" s="256"/>
      <c r="Y553" s="256"/>
      <c r="Z553" s="256"/>
    </row>
    <row r="554">
      <c r="A554" s="256"/>
      <c r="B554" s="256"/>
      <c r="C554" s="256"/>
      <c r="D554" s="256"/>
      <c r="E554" s="256"/>
      <c r="F554" s="256"/>
      <c r="G554" s="256"/>
      <c r="H554" s="256"/>
      <c r="I554" s="256"/>
      <c r="J554" s="256"/>
      <c r="K554" s="256"/>
      <c r="L554" s="256"/>
      <c r="M554" s="256"/>
      <c r="N554" s="256"/>
      <c r="O554" s="256"/>
      <c r="P554" s="256"/>
      <c r="Q554" s="256"/>
      <c r="R554" s="256"/>
      <c r="S554" s="256"/>
      <c r="T554" s="256"/>
      <c r="U554" s="256"/>
      <c r="V554" s="256"/>
      <c r="W554" s="256"/>
      <c r="X554" s="256"/>
      <c r="Y554" s="256"/>
      <c r="Z554" s="256"/>
    </row>
    <row r="555">
      <c r="A555" s="256"/>
      <c r="B555" s="256"/>
      <c r="C555" s="256"/>
      <c r="D555" s="256"/>
      <c r="E555" s="256"/>
      <c r="F555" s="256"/>
      <c r="G555" s="256"/>
      <c r="H555" s="256"/>
      <c r="I555" s="256"/>
      <c r="J555" s="256"/>
      <c r="K555" s="256"/>
      <c r="L555" s="256"/>
      <c r="M555" s="256"/>
      <c r="N555" s="256"/>
      <c r="O555" s="256"/>
      <c r="P555" s="256"/>
      <c r="Q555" s="256"/>
      <c r="R555" s="256"/>
      <c r="S555" s="256"/>
      <c r="T555" s="256"/>
      <c r="U555" s="256"/>
      <c r="V555" s="256"/>
      <c r="W555" s="256"/>
      <c r="X555" s="256"/>
      <c r="Y555" s="256"/>
      <c r="Z555" s="256"/>
    </row>
    <row r="556">
      <c r="A556" s="256"/>
      <c r="B556" s="256"/>
      <c r="C556" s="256"/>
      <c r="D556" s="256"/>
      <c r="E556" s="256"/>
      <c r="F556" s="256"/>
      <c r="G556" s="256"/>
      <c r="H556" s="256"/>
      <c r="I556" s="256"/>
      <c r="J556" s="256"/>
      <c r="K556" s="256"/>
      <c r="L556" s="256"/>
      <c r="M556" s="256"/>
      <c r="N556" s="256"/>
      <c r="O556" s="256"/>
      <c r="P556" s="256"/>
      <c r="Q556" s="256"/>
      <c r="R556" s="256"/>
      <c r="S556" s="256"/>
      <c r="T556" s="256"/>
      <c r="U556" s="256"/>
      <c r="V556" s="256"/>
      <c r="W556" s="256"/>
      <c r="X556" s="256"/>
      <c r="Y556" s="256"/>
      <c r="Z556" s="256"/>
    </row>
    <row r="557">
      <c r="A557" s="256"/>
      <c r="B557" s="256"/>
      <c r="C557" s="256"/>
      <c r="D557" s="256"/>
      <c r="E557" s="256"/>
      <c r="F557" s="256"/>
      <c r="G557" s="256"/>
      <c r="H557" s="256"/>
      <c r="I557" s="256"/>
      <c r="J557" s="256"/>
      <c r="K557" s="256"/>
      <c r="L557" s="256"/>
      <c r="M557" s="256"/>
      <c r="N557" s="256"/>
      <c r="O557" s="256"/>
      <c r="P557" s="256"/>
      <c r="Q557" s="256"/>
      <c r="R557" s="256"/>
      <c r="S557" s="256"/>
      <c r="T557" s="256"/>
      <c r="U557" s="256"/>
      <c r="V557" s="256"/>
      <c r="W557" s="256"/>
      <c r="X557" s="256"/>
      <c r="Y557" s="256"/>
      <c r="Z557" s="256"/>
    </row>
    <row r="558">
      <c r="A558" s="256"/>
      <c r="B558" s="256"/>
      <c r="C558" s="256"/>
      <c r="D558" s="256"/>
      <c r="E558" s="256"/>
      <c r="F558" s="256"/>
      <c r="G558" s="256"/>
      <c r="H558" s="256"/>
      <c r="I558" s="256"/>
      <c r="J558" s="256"/>
      <c r="K558" s="256"/>
      <c r="L558" s="256"/>
      <c r="M558" s="256"/>
      <c r="N558" s="256"/>
      <c r="O558" s="256"/>
      <c r="P558" s="256"/>
      <c r="Q558" s="256"/>
      <c r="R558" s="256"/>
      <c r="S558" s="256"/>
      <c r="T558" s="256"/>
      <c r="U558" s="256"/>
      <c r="V558" s="256"/>
      <c r="W558" s="256"/>
      <c r="X558" s="256"/>
      <c r="Y558" s="256"/>
      <c r="Z558" s="256"/>
    </row>
    <row r="559">
      <c r="A559" s="256"/>
      <c r="B559" s="256"/>
      <c r="C559" s="256"/>
      <c r="D559" s="256"/>
      <c r="E559" s="256"/>
      <c r="F559" s="256"/>
      <c r="G559" s="256"/>
      <c r="H559" s="256"/>
      <c r="I559" s="256"/>
      <c r="J559" s="256"/>
      <c r="K559" s="256"/>
      <c r="L559" s="256"/>
      <c r="M559" s="256"/>
      <c r="N559" s="256"/>
      <c r="O559" s="256"/>
      <c r="P559" s="256"/>
      <c r="Q559" s="256"/>
      <c r="R559" s="256"/>
      <c r="S559" s="256"/>
      <c r="T559" s="256"/>
      <c r="U559" s="256"/>
      <c r="V559" s="256"/>
      <c r="W559" s="256"/>
      <c r="X559" s="256"/>
      <c r="Y559" s="256"/>
      <c r="Z559" s="256"/>
    </row>
    <row r="560">
      <c r="A560" s="256"/>
      <c r="B560" s="256"/>
      <c r="C560" s="256"/>
      <c r="D560" s="256"/>
      <c r="E560" s="256"/>
      <c r="F560" s="256"/>
      <c r="G560" s="256"/>
      <c r="H560" s="256"/>
      <c r="I560" s="256"/>
      <c r="J560" s="256"/>
      <c r="K560" s="256"/>
      <c r="L560" s="256"/>
      <c r="M560" s="256"/>
      <c r="N560" s="256"/>
      <c r="O560" s="256"/>
      <c r="P560" s="256"/>
      <c r="Q560" s="256"/>
      <c r="R560" s="256"/>
      <c r="S560" s="256"/>
      <c r="T560" s="256"/>
      <c r="U560" s="256"/>
      <c r="V560" s="256"/>
      <c r="W560" s="256"/>
      <c r="X560" s="256"/>
      <c r="Y560" s="256"/>
      <c r="Z560" s="256"/>
    </row>
    <row r="561">
      <c r="A561" s="256"/>
      <c r="B561" s="256"/>
      <c r="C561" s="256"/>
      <c r="D561" s="256"/>
      <c r="E561" s="256"/>
      <c r="F561" s="256"/>
      <c r="G561" s="256"/>
      <c r="H561" s="256"/>
      <c r="I561" s="256"/>
      <c r="J561" s="256"/>
      <c r="K561" s="256"/>
      <c r="L561" s="256"/>
      <c r="M561" s="256"/>
      <c r="N561" s="256"/>
      <c r="O561" s="256"/>
      <c r="P561" s="256"/>
      <c r="Q561" s="256"/>
      <c r="R561" s="256"/>
      <c r="S561" s="256"/>
      <c r="T561" s="256"/>
      <c r="U561" s="256"/>
      <c r="V561" s="256"/>
      <c r="W561" s="256"/>
      <c r="X561" s="256"/>
      <c r="Y561" s="256"/>
      <c r="Z561" s="256"/>
    </row>
    <row r="562">
      <c r="A562" s="256"/>
      <c r="B562" s="256"/>
      <c r="C562" s="256"/>
      <c r="D562" s="256"/>
      <c r="E562" s="256"/>
      <c r="F562" s="256"/>
      <c r="G562" s="256"/>
      <c r="H562" s="256"/>
      <c r="I562" s="256"/>
      <c r="J562" s="256"/>
      <c r="K562" s="256"/>
      <c r="L562" s="256"/>
      <c r="M562" s="256"/>
      <c r="N562" s="256"/>
      <c r="O562" s="256"/>
      <c r="P562" s="256"/>
      <c r="Q562" s="256"/>
      <c r="R562" s="256"/>
      <c r="S562" s="256"/>
      <c r="T562" s="256"/>
      <c r="U562" s="256"/>
      <c r="V562" s="256"/>
      <c r="W562" s="256"/>
      <c r="X562" s="256"/>
      <c r="Y562" s="256"/>
      <c r="Z562" s="256"/>
    </row>
    <row r="563">
      <c r="A563" s="256"/>
      <c r="B563" s="256"/>
      <c r="C563" s="256"/>
      <c r="D563" s="256"/>
      <c r="E563" s="256"/>
      <c r="F563" s="256"/>
      <c r="G563" s="256"/>
      <c r="H563" s="256"/>
      <c r="I563" s="256"/>
      <c r="J563" s="256"/>
      <c r="K563" s="256"/>
      <c r="L563" s="256"/>
      <c r="M563" s="256"/>
      <c r="N563" s="256"/>
      <c r="O563" s="256"/>
      <c r="P563" s="256"/>
      <c r="Q563" s="256"/>
      <c r="R563" s="256"/>
      <c r="S563" s="256"/>
      <c r="T563" s="256"/>
      <c r="U563" s="256"/>
      <c r="V563" s="256"/>
      <c r="W563" s="256"/>
      <c r="X563" s="256"/>
      <c r="Y563" s="256"/>
      <c r="Z563" s="256"/>
    </row>
    <row r="564">
      <c r="A564" s="256"/>
      <c r="B564" s="256"/>
      <c r="C564" s="256"/>
      <c r="D564" s="256"/>
      <c r="E564" s="256"/>
      <c r="F564" s="256"/>
      <c r="G564" s="256"/>
      <c r="H564" s="256"/>
      <c r="I564" s="256"/>
      <c r="J564" s="256"/>
      <c r="K564" s="256"/>
      <c r="L564" s="256"/>
      <c r="M564" s="256"/>
      <c r="N564" s="256"/>
      <c r="O564" s="256"/>
      <c r="P564" s="256"/>
      <c r="Q564" s="256"/>
      <c r="R564" s="256"/>
      <c r="S564" s="256"/>
      <c r="T564" s="256"/>
      <c r="U564" s="256"/>
      <c r="V564" s="256"/>
      <c r="W564" s="256"/>
      <c r="X564" s="256"/>
      <c r="Y564" s="256"/>
      <c r="Z564" s="256"/>
    </row>
    <row r="565">
      <c r="A565" s="256"/>
      <c r="B565" s="256"/>
      <c r="C565" s="256"/>
      <c r="D565" s="256"/>
      <c r="E565" s="256"/>
      <c r="F565" s="256"/>
      <c r="G565" s="256"/>
      <c r="H565" s="256"/>
      <c r="I565" s="256"/>
      <c r="J565" s="256"/>
      <c r="K565" s="256"/>
      <c r="L565" s="256"/>
      <c r="M565" s="256"/>
      <c r="N565" s="256"/>
      <c r="O565" s="256"/>
      <c r="P565" s="256"/>
      <c r="Q565" s="256"/>
      <c r="R565" s="256"/>
      <c r="S565" s="256"/>
      <c r="T565" s="256"/>
      <c r="U565" s="256"/>
      <c r="V565" s="256"/>
      <c r="W565" s="256"/>
      <c r="X565" s="256"/>
      <c r="Y565" s="256"/>
      <c r="Z565" s="256"/>
    </row>
    <row r="566">
      <c r="A566" s="256"/>
      <c r="B566" s="256"/>
      <c r="C566" s="256"/>
      <c r="D566" s="256"/>
      <c r="E566" s="256"/>
      <c r="F566" s="256"/>
      <c r="G566" s="256"/>
      <c r="H566" s="256"/>
      <c r="I566" s="256"/>
      <c r="J566" s="256"/>
      <c r="K566" s="256"/>
      <c r="L566" s="256"/>
      <c r="M566" s="256"/>
      <c r="N566" s="256"/>
      <c r="O566" s="256"/>
      <c r="P566" s="256"/>
      <c r="Q566" s="256"/>
      <c r="R566" s="256"/>
      <c r="S566" s="256"/>
      <c r="T566" s="256"/>
      <c r="U566" s="256"/>
      <c r="V566" s="256"/>
      <c r="W566" s="256"/>
      <c r="X566" s="256"/>
      <c r="Y566" s="256"/>
      <c r="Z566" s="256"/>
    </row>
    <row r="567">
      <c r="A567" s="256"/>
      <c r="B567" s="256"/>
      <c r="C567" s="256"/>
      <c r="D567" s="256"/>
      <c r="E567" s="256"/>
      <c r="F567" s="256"/>
      <c r="G567" s="256"/>
      <c r="H567" s="256"/>
      <c r="I567" s="256"/>
      <c r="J567" s="256"/>
      <c r="K567" s="256"/>
      <c r="L567" s="256"/>
      <c r="M567" s="256"/>
      <c r="N567" s="256"/>
      <c r="O567" s="256"/>
      <c r="P567" s="256"/>
      <c r="Q567" s="256"/>
      <c r="R567" s="256"/>
      <c r="S567" s="256"/>
      <c r="T567" s="256"/>
      <c r="U567" s="256"/>
      <c r="V567" s="256"/>
      <c r="W567" s="256"/>
      <c r="X567" s="256"/>
      <c r="Y567" s="256"/>
      <c r="Z567" s="256"/>
    </row>
    <row r="568">
      <c r="A568" s="256"/>
      <c r="B568" s="256"/>
      <c r="C568" s="256"/>
      <c r="D568" s="256"/>
      <c r="E568" s="256"/>
      <c r="F568" s="256"/>
      <c r="G568" s="256"/>
      <c r="H568" s="256"/>
      <c r="I568" s="256"/>
      <c r="J568" s="256"/>
      <c r="K568" s="256"/>
      <c r="L568" s="256"/>
      <c r="M568" s="256"/>
      <c r="N568" s="256"/>
      <c r="O568" s="256"/>
      <c r="P568" s="256"/>
      <c r="Q568" s="256"/>
      <c r="R568" s="256"/>
      <c r="S568" s="256"/>
      <c r="T568" s="256"/>
      <c r="U568" s="256"/>
      <c r="V568" s="256"/>
      <c r="W568" s="256"/>
      <c r="X568" s="256"/>
      <c r="Y568" s="256"/>
      <c r="Z568" s="256"/>
    </row>
    <row r="569">
      <c r="A569" s="256"/>
      <c r="B569" s="256"/>
      <c r="C569" s="256"/>
      <c r="D569" s="256"/>
      <c r="E569" s="256"/>
      <c r="F569" s="256"/>
      <c r="G569" s="256"/>
      <c r="H569" s="256"/>
      <c r="I569" s="256"/>
      <c r="J569" s="256"/>
      <c r="K569" s="256"/>
      <c r="L569" s="256"/>
      <c r="M569" s="256"/>
      <c r="N569" s="256"/>
      <c r="O569" s="256"/>
      <c r="P569" s="256"/>
      <c r="Q569" s="256"/>
      <c r="R569" s="256"/>
      <c r="S569" s="256"/>
      <c r="T569" s="256"/>
      <c r="U569" s="256"/>
      <c r="V569" s="256"/>
      <c r="W569" s="256"/>
      <c r="X569" s="256"/>
      <c r="Y569" s="256"/>
      <c r="Z569" s="256"/>
    </row>
    <row r="570">
      <c r="A570" s="256"/>
      <c r="B570" s="256"/>
      <c r="C570" s="256"/>
      <c r="D570" s="256"/>
      <c r="E570" s="256"/>
      <c r="F570" s="256"/>
      <c r="G570" s="256"/>
      <c r="H570" s="256"/>
      <c r="I570" s="256"/>
      <c r="J570" s="256"/>
      <c r="K570" s="256"/>
      <c r="L570" s="256"/>
      <c r="M570" s="256"/>
      <c r="N570" s="256"/>
      <c r="O570" s="256"/>
      <c r="P570" s="256"/>
      <c r="Q570" s="256"/>
      <c r="R570" s="256"/>
      <c r="S570" s="256"/>
      <c r="T570" s="256"/>
      <c r="U570" s="256"/>
      <c r="V570" s="256"/>
      <c r="W570" s="256"/>
      <c r="X570" s="256"/>
      <c r="Y570" s="256"/>
      <c r="Z570" s="256"/>
    </row>
    <row r="571">
      <c r="A571" s="256"/>
      <c r="B571" s="256"/>
      <c r="C571" s="256"/>
      <c r="D571" s="256"/>
      <c r="E571" s="256"/>
      <c r="F571" s="256"/>
      <c r="G571" s="256"/>
      <c r="H571" s="256"/>
      <c r="I571" s="256"/>
      <c r="J571" s="256"/>
      <c r="K571" s="256"/>
      <c r="L571" s="256"/>
      <c r="M571" s="256"/>
      <c r="N571" s="256"/>
      <c r="O571" s="256"/>
      <c r="P571" s="256"/>
      <c r="Q571" s="256"/>
      <c r="R571" s="256"/>
      <c r="S571" s="256"/>
      <c r="T571" s="256"/>
      <c r="U571" s="256"/>
      <c r="V571" s="256"/>
      <c r="W571" s="256"/>
      <c r="X571" s="256"/>
      <c r="Y571" s="256"/>
      <c r="Z571" s="256"/>
    </row>
    <row r="572">
      <c r="A572" s="256"/>
      <c r="B572" s="256"/>
      <c r="C572" s="256"/>
      <c r="D572" s="256"/>
      <c r="E572" s="256"/>
      <c r="F572" s="256"/>
      <c r="G572" s="256"/>
      <c r="H572" s="256"/>
      <c r="I572" s="256"/>
      <c r="J572" s="256"/>
      <c r="K572" s="256"/>
      <c r="L572" s="256"/>
      <c r="M572" s="256"/>
      <c r="N572" s="256"/>
      <c r="O572" s="256"/>
      <c r="P572" s="256"/>
      <c r="Q572" s="256"/>
      <c r="R572" s="256"/>
      <c r="S572" s="256"/>
      <c r="T572" s="256"/>
      <c r="U572" s="256"/>
      <c r="V572" s="256"/>
      <c r="W572" s="256"/>
      <c r="X572" s="256"/>
      <c r="Y572" s="256"/>
      <c r="Z572" s="256"/>
    </row>
    <row r="573">
      <c r="A573" s="256"/>
      <c r="B573" s="256"/>
      <c r="C573" s="256"/>
      <c r="D573" s="256"/>
      <c r="E573" s="256"/>
      <c r="F573" s="256"/>
      <c r="G573" s="256"/>
      <c r="H573" s="256"/>
      <c r="I573" s="256"/>
      <c r="J573" s="256"/>
      <c r="K573" s="256"/>
      <c r="L573" s="256"/>
      <c r="M573" s="256"/>
      <c r="N573" s="256"/>
      <c r="O573" s="256"/>
      <c r="P573" s="256"/>
      <c r="Q573" s="256"/>
      <c r="R573" s="256"/>
      <c r="S573" s="256"/>
      <c r="T573" s="256"/>
      <c r="U573" s="256"/>
      <c r="V573" s="256"/>
      <c r="W573" s="256"/>
      <c r="X573" s="256"/>
      <c r="Y573" s="256"/>
      <c r="Z573" s="256"/>
    </row>
    <row r="574">
      <c r="A574" s="256"/>
      <c r="B574" s="256"/>
      <c r="C574" s="256"/>
      <c r="D574" s="256"/>
      <c r="E574" s="256"/>
      <c r="F574" s="256"/>
      <c r="G574" s="256"/>
      <c r="H574" s="256"/>
      <c r="I574" s="256"/>
      <c r="J574" s="256"/>
      <c r="K574" s="256"/>
      <c r="L574" s="256"/>
      <c r="M574" s="256"/>
      <c r="N574" s="256"/>
      <c r="O574" s="256"/>
      <c r="P574" s="256"/>
      <c r="Q574" s="256"/>
      <c r="R574" s="256"/>
      <c r="S574" s="256"/>
      <c r="T574" s="256"/>
      <c r="U574" s="256"/>
      <c r="V574" s="256"/>
      <c r="W574" s="256"/>
      <c r="X574" s="256"/>
      <c r="Y574" s="256"/>
      <c r="Z574" s="256"/>
    </row>
    <row r="575">
      <c r="A575" s="256"/>
      <c r="B575" s="256"/>
      <c r="C575" s="256"/>
      <c r="D575" s="256"/>
      <c r="E575" s="256"/>
      <c r="F575" s="256"/>
      <c r="G575" s="256"/>
      <c r="H575" s="256"/>
      <c r="I575" s="256"/>
      <c r="J575" s="256"/>
      <c r="K575" s="256"/>
      <c r="L575" s="256"/>
      <c r="M575" s="256"/>
      <c r="N575" s="256"/>
      <c r="O575" s="256"/>
      <c r="P575" s="256"/>
      <c r="Q575" s="256"/>
      <c r="R575" s="256"/>
      <c r="S575" s="256"/>
      <c r="T575" s="256"/>
      <c r="U575" s="256"/>
      <c r="V575" s="256"/>
      <c r="W575" s="256"/>
      <c r="X575" s="256"/>
      <c r="Y575" s="256"/>
      <c r="Z575" s="256"/>
    </row>
    <row r="576">
      <c r="A576" s="256"/>
      <c r="B576" s="256"/>
      <c r="C576" s="256"/>
      <c r="D576" s="256"/>
      <c r="E576" s="256"/>
      <c r="F576" s="256"/>
      <c r="G576" s="256"/>
      <c r="H576" s="256"/>
      <c r="I576" s="256"/>
      <c r="J576" s="256"/>
      <c r="K576" s="256"/>
      <c r="L576" s="256"/>
      <c r="M576" s="256"/>
      <c r="N576" s="256"/>
      <c r="O576" s="256"/>
      <c r="P576" s="256"/>
      <c r="Q576" s="256"/>
      <c r="R576" s="256"/>
      <c r="S576" s="256"/>
      <c r="T576" s="256"/>
      <c r="U576" s="256"/>
      <c r="V576" s="256"/>
      <c r="W576" s="256"/>
      <c r="X576" s="256"/>
      <c r="Y576" s="256"/>
      <c r="Z576" s="256"/>
    </row>
    <row r="577">
      <c r="A577" s="256"/>
      <c r="B577" s="256"/>
      <c r="C577" s="256"/>
      <c r="D577" s="256"/>
      <c r="E577" s="256"/>
      <c r="F577" s="256"/>
      <c r="G577" s="256"/>
      <c r="H577" s="256"/>
      <c r="I577" s="256"/>
      <c r="J577" s="256"/>
      <c r="K577" s="256"/>
      <c r="L577" s="256"/>
      <c r="M577" s="256"/>
      <c r="N577" s="256"/>
      <c r="O577" s="256"/>
      <c r="P577" s="256"/>
      <c r="Q577" s="256"/>
      <c r="R577" s="256"/>
      <c r="S577" s="256"/>
      <c r="T577" s="256"/>
      <c r="U577" s="256"/>
      <c r="V577" s="256"/>
      <c r="W577" s="256"/>
      <c r="X577" s="256"/>
      <c r="Y577" s="256"/>
      <c r="Z577" s="256"/>
    </row>
    <row r="578">
      <c r="A578" s="256"/>
      <c r="B578" s="256"/>
      <c r="C578" s="256"/>
      <c r="D578" s="256"/>
      <c r="E578" s="256"/>
      <c r="F578" s="256"/>
      <c r="G578" s="256"/>
      <c r="H578" s="256"/>
      <c r="I578" s="256"/>
      <c r="J578" s="256"/>
      <c r="K578" s="256"/>
      <c r="L578" s="256"/>
      <c r="M578" s="256"/>
      <c r="N578" s="256"/>
      <c r="O578" s="256"/>
      <c r="P578" s="256"/>
      <c r="Q578" s="256"/>
      <c r="R578" s="256"/>
      <c r="S578" s="256"/>
      <c r="T578" s="256"/>
      <c r="U578" s="256"/>
      <c r="V578" s="256"/>
      <c r="W578" s="256"/>
      <c r="X578" s="256"/>
      <c r="Y578" s="256"/>
      <c r="Z578" s="256"/>
    </row>
    <row r="579">
      <c r="A579" s="256"/>
      <c r="B579" s="256"/>
      <c r="C579" s="256"/>
      <c r="D579" s="256"/>
      <c r="E579" s="256"/>
      <c r="F579" s="256"/>
      <c r="G579" s="256"/>
      <c r="H579" s="256"/>
      <c r="I579" s="256"/>
      <c r="J579" s="256"/>
      <c r="K579" s="256"/>
      <c r="L579" s="256"/>
      <c r="M579" s="256"/>
      <c r="N579" s="256"/>
      <c r="O579" s="256"/>
      <c r="P579" s="256"/>
      <c r="Q579" s="256"/>
      <c r="R579" s="256"/>
      <c r="S579" s="256"/>
      <c r="T579" s="256"/>
      <c r="U579" s="256"/>
      <c r="V579" s="256"/>
      <c r="W579" s="256"/>
      <c r="X579" s="256"/>
      <c r="Y579" s="256"/>
      <c r="Z579" s="256"/>
    </row>
    <row r="580">
      <c r="A580" s="256"/>
      <c r="B580" s="256"/>
      <c r="C580" s="256"/>
      <c r="D580" s="256"/>
      <c r="E580" s="256"/>
      <c r="F580" s="256"/>
      <c r="G580" s="256"/>
      <c r="H580" s="256"/>
      <c r="I580" s="256"/>
      <c r="J580" s="256"/>
      <c r="K580" s="256"/>
      <c r="L580" s="256"/>
      <c r="M580" s="256"/>
      <c r="N580" s="256"/>
      <c r="O580" s="256"/>
      <c r="P580" s="256"/>
      <c r="Q580" s="256"/>
      <c r="R580" s="256"/>
      <c r="S580" s="256"/>
      <c r="T580" s="256"/>
      <c r="U580" s="256"/>
      <c r="V580" s="256"/>
      <c r="W580" s="256"/>
      <c r="X580" s="256"/>
      <c r="Y580" s="256"/>
      <c r="Z580" s="256"/>
    </row>
    <row r="581">
      <c r="A581" s="256"/>
      <c r="B581" s="256"/>
      <c r="C581" s="256"/>
      <c r="D581" s="256"/>
      <c r="E581" s="256"/>
      <c r="F581" s="256"/>
      <c r="G581" s="256"/>
      <c r="H581" s="256"/>
      <c r="I581" s="256"/>
      <c r="J581" s="256"/>
      <c r="K581" s="256"/>
      <c r="L581" s="256"/>
      <c r="M581" s="256"/>
      <c r="N581" s="256"/>
      <c r="O581" s="256"/>
      <c r="P581" s="256"/>
      <c r="Q581" s="256"/>
      <c r="R581" s="256"/>
      <c r="S581" s="256"/>
      <c r="T581" s="256"/>
      <c r="U581" s="256"/>
      <c r="V581" s="256"/>
      <c r="W581" s="256"/>
      <c r="X581" s="256"/>
      <c r="Y581" s="256"/>
      <c r="Z581" s="256"/>
    </row>
    <row r="582">
      <c r="A582" s="256"/>
      <c r="B582" s="256"/>
      <c r="C582" s="256"/>
      <c r="D582" s="256"/>
      <c r="E582" s="256"/>
      <c r="F582" s="256"/>
      <c r="G582" s="256"/>
      <c r="H582" s="256"/>
      <c r="I582" s="256"/>
      <c r="J582" s="256"/>
      <c r="K582" s="256"/>
      <c r="L582" s="256"/>
      <c r="M582" s="256"/>
      <c r="N582" s="256"/>
      <c r="O582" s="256"/>
      <c r="P582" s="256"/>
      <c r="Q582" s="256"/>
      <c r="R582" s="256"/>
      <c r="S582" s="256"/>
      <c r="T582" s="256"/>
      <c r="U582" s="256"/>
      <c r="V582" s="256"/>
      <c r="W582" s="256"/>
      <c r="X582" s="256"/>
      <c r="Y582" s="256"/>
      <c r="Z582" s="256"/>
    </row>
    <row r="583">
      <c r="A583" s="256"/>
      <c r="B583" s="256"/>
      <c r="C583" s="256"/>
      <c r="D583" s="256"/>
      <c r="E583" s="256"/>
      <c r="F583" s="256"/>
      <c r="G583" s="256"/>
      <c r="H583" s="256"/>
      <c r="I583" s="256"/>
      <c r="J583" s="256"/>
      <c r="K583" s="256"/>
      <c r="L583" s="256"/>
      <c r="M583" s="256"/>
      <c r="N583" s="256"/>
      <c r="O583" s="256"/>
      <c r="P583" s="256"/>
      <c r="Q583" s="256"/>
      <c r="R583" s="256"/>
      <c r="S583" s="256"/>
      <c r="T583" s="256"/>
      <c r="U583" s="256"/>
      <c r="V583" s="256"/>
      <c r="W583" s="256"/>
      <c r="X583" s="256"/>
      <c r="Y583" s="256"/>
      <c r="Z583" s="256"/>
    </row>
    <row r="584">
      <c r="A584" s="256"/>
      <c r="B584" s="256"/>
      <c r="C584" s="256"/>
      <c r="D584" s="256"/>
      <c r="E584" s="256"/>
      <c r="F584" s="256"/>
      <c r="G584" s="256"/>
      <c r="H584" s="256"/>
      <c r="I584" s="256"/>
      <c r="J584" s="256"/>
      <c r="K584" s="256"/>
      <c r="L584" s="256"/>
      <c r="M584" s="256"/>
      <c r="N584" s="256"/>
      <c r="O584" s="256"/>
      <c r="P584" s="256"/>
      <c r="Q584" s="256"/>
      <c r="R584" s="256"/>
      <c r="S584" s="256"/>
      <c r="T584" s="256"/>
      <c r="U584" s="256"/>
      <c r="V584" s="256"/>
      <c r="W584" s="256"/>
      <c r="X584" s="256"/>
      <c r="Y584" s="256"/>
      <c r="Z584" s="256"/>
    </row>
    <row r="585">
      <c r="A585" s="256"/>
      <c r="B585" s="256"/>
      <c r="C585" s="256"/>
      <c r="D585" s="256"/>
      <c r="E585" s="256"/>
      <c r="F585" s="256"/>
      <c r="G585" s="256"/>
      <c r="H585" s="256"/>
      <c r="I585" s="256"/>
      <c r="J585" s="256"/>
      <c r="K585" s="256"/>
      <c r="L585" s="256"/>
      <c r="M585" s="256"/>
      <c r="N585" s="256"/>
      <c r="O585" s="256"/>
      <c r="P585" s="256"/>
      <c r="Q585" s="256"/>
      <c r="R585" s="256"/>
      <c r="S585" s="256"/>
      <c r="T585" s="256"/>
      <c r="U585" s="256"/>
      <c r="V585" s="256"/>
      <c r="W585" s="256"/>
      <c r="X585" s="256"/>
      <c r="Y585" s="256"/>
      <c r="Z585" s="256"/>
    </row>
    <row r="586">
      <c r="A586" s="256"/>
      <c r="B586" s="256"/>
      <c r="C586" s="256"/>
      <c r="D586" s="256"/>
      <c r="E586" s="256"/>
      <c r="F586" s="256"/>
      <c r="G586" s="256"/>
      <c r="H586" s="256"/>
      <c r="I586" s="256"/>
      <c r="J586" s="256"/>
      <c r="K586" s="256"/>
      <c r="L586" s="256"/>
      <c r="M586" s="256"/>
      <c r="N586" s="256"/>
      <c r="O586" s="256"/>
      <c r="P586" s="256"/>
      <c r="Q586" s="256"/>
      <c r="R586" s="256"/>
      <c r="S586" s="256"/>
      <c r="T586" s="256"/>
      <c r="U586" s="256"/>
      <c r="V586" s="256"/>
      <c r="W586" s="256"/>
      <c r="X586" s="256"/>
      <c r="Y586" s="256"/>
      <c r="Z586" s="256"/>
    </row>
    <row r="587">
      <c r="A587" s="256"/>
      <c r="B587" s="256"/>
      <c r="C587" s="256"/>
      <c r="D587" s="256"/>
      <c r="E587" s="256"/>
      <c r="F587" s="256"/>
      <c r="G587" s="256"/>
      <c r="H587" s="256"/>
      <c r="I587" s="256"/>
      <c r="J587" s="256"/>
      <c r="K587" s="256"/>
      <c r="L587" s="256"/>
      <c r="M587" s="256"/>
      <c r="N587" s="256"/>
      <c r="O587" s="256"/>
      <c r="P587" s="256"/>
      <c r="Q587" s="256"/>
      <c r="R587" s="256"/>
      <c r="S587" s="256"/>
      <c r="T587" s="256"/>
      <c r="U587" s="256"/>
      <c r="V587" s="256"/>
      <c r="W587" s="256"/>
      <c r="X587" s="256"/>
      <c r="Y587" s="256"/>
      <c r="Z587" s="256"/>
    </row>
    <row r="588">
      <c r="A588" s="256"/>
      <c r="B588" s="256"/>
      <c r="C588" s="256"/>
      <c r="D588" s="256"/>
      <c r="E588" s="256"/>
      <c r="F588" s="256"/>
      <c r="G588" s="256"/>
      <c r="H588" s="256"/>
      <c r="I588" s="256"/>
      <c r="J588" s="256"/>
      <c r="K588" s="256"/>
      <c r="L588" s="256"/>
      <c r="M588" s="256"/>
      <c r="N588" s="256"/>
      <c r="O588" s="256"/>
      <c r="P588" s="256"/>
      <c r="Q588" s="256"/>
      <c r="R588" s="256"/>
      <c r="S588" s="256"/>
      <c r="T588" s="256"/>
      <c r="U588" s="256"/>
      <c r="V588" s="256"/>
      <c r="W588" s="256"/>
      <c r="X588" s="256"/>
      <c r="Y588" s="256"/>
      <c r="Z588" s="256"/>
    </row>
    <row r="589">
      <c r="A589" s="256"/>
      <c r="B589" s="256"/>
      <c r="C589" s="256"/>
      <c r="D589" s="256"/>
      <c r="E589" s="256"/>
      <c r="F589" s="256"/>
      <c r="G589" s="256"/>
      <c r="H589" s="256"/>
      <c r="I589" s="256"/>
      <c r="J589" s="256"/>
      <c r="K589" s="256"/>
      <c r="L589" s="256"/>
      <c r="M589" s="256"/>
      <c r="N589" s="256"/>
      <c r="O589" s="256"/>
      <c r="P589" s="256"/>
      <c r="Q589" s="256"/>
      <c r="R589" s="256"/>
      <c r="S589" s="256"/>
      <c r="T589" s="256"/>
      <c r="U589" s="256"/>
      <c r="V589" s="256"/>
      <c r="W589" s="256"/>
      <c r="X589" s="256"/>
      <c r="Y589" s="256"/>
      <c r="Z589" s="256"/>
    </row>
    <row r="590">
      <c r="A590" s="256"/>
      <c r="B590" s="256"/>
      <c r="C590" s="256"/>
      <c r="D590" s="256"/>
      <c r="E590" s="256"/>
      <c r="F590" s="256"/>
      <c r="G590" s="256"/>
      <c r="H590" s="256"/>
      <c r="I590" s="256"/>
      <c r="J590" s="256"/>
      <c r="K590" s="256"/>
      <c r="L590" s="256"/>
      <c r="M590" s="256"/>
      <c r="N590" s="256"/>
      <c r="O590" s="256"/>
      <c r="P590" s="256"/>
      <c r="Q590" s="256"/>
      <c r="R590" s="256"/>
      <c r="S590" s="256"/>
      <c r="T590" s="256"/>
      <c r="U590" s="256"/>
      <c r="V590" s="256"/>
      <c r="W590" s="256"/>
      <c r="X590" s="256"/>
      <c r="Y590" s="256"/>
      <c r="Z590" s="256"/>
    </row>
    <row r="591">
      <c r="A591" s="256"/>
      <c r="B591" s="256"/>
      <c r="C591" s="256"/>
      <c r="D591" s="256"/>
      <c r="E591" s="256"/>
      <c r="F591" s="256"/>
      <c r="G591" s="256"/>
      <c r="H591" s="256"/>
      <c r="I591" s="256"/>
      <c r="J591" s="256"/>
      <c r="K591" s="256"/>
      <c r="L591" s="256"/>
      <c r="M591" s="256"/>
      <c r="N591" s="256"/>
      <c r="O591" s="256"/>
      <c r="P591" s="256"/>
      <c r="Q591" s="256"/>
      <c r="R591" s="256"/>
      <c r="S591" s="256"/>
      <c r="T591" s="256"/>
      <c r="U591" s="256"/>
      <c r="V591" s="256"/>
      <c r="W591" s="256"/>
      <c r="X591" s="256"/>
      <c r="Y591" s="256"/>
      <c r="Z591" s="256"/>
    </row>
    <row r="592">
      <c r="A592" s="256"/>
      <c r="B592" s="256"/>
      <c r="C592" s="256"/>
      <c r="D592" s="256"/>
      <c r="E592" s="256"/>
      <c r="F592" s="256"/>
      <c r="G592" s="256"/>
      <c r="H592" s="256"/>
      <c r="I592" s="256"/>
      <c r="J592" s="256"/>
      <c r="K592" s="256"/>
      <c r="L592" s="256"/>
      <c r="M592" s="256"/>
      <c r="N592" s="256"/>
      <c r="O592" s="256"/>
      <c r="P592" s="256"/>
      <c r="Q592" s="256"/>
      <c r="R592" s="256"/>
      <c r="S592" s="256"/>
      <c r="T592" s="256"/>
      <c r="U592" s="256"/>
      <c r="V592" s="256"/>
      <c r="W592" s="256"/>
      <c r="X592" s="256"/>
      <c r="Y592" s="256"/>
      <c r="Z592" s="256"/>
    </row>
    <row r="593">
      <c r="A593" s="256"/>
      <c r="B593" s="256"/>
      <c r="C593" s="256"/>
      <c r="D593" s="256"/>
      <c r="E593" s="256"/>
      <c r="F593" s="256"/>
      <c r="G593" s="256"/>
      <c r="H593" s="256"/>
      <c r="I593" s="256"/>
      <c r="J593" s="256"/>
      <c r="K593" s="256"/>
      <c r="L593" s="256"/>
      <c r="M593" s="256"/>
      <c r="N593" s="256"/>
      <c r="O593" s="256"/>
      <c r="P593" s="256"/>
      <c r="Q593" s="256"/>
      <c r="R593" s="256"/>
      <c r="S593" s="256"/>
      <c r="T593" s="256"/>
      <c r="U593" s="256"/>
      <c r="V593" s="256"/>
      <c r="W593" s="256"/>
      <c r="X593" s="256"/>
      <c r="Y593" s="256"/>
      <c r="Z593" s="256"/>
    </row>
    <row r="594">
      <c r="A594" s="256"/>
      <c r="B594" s="256"/>
      <c r="C594" s="256"/>
      <c r="D594" s="256"/>
      <c r="E594" s="256"/>
      <c r="F594" s="256"/>
      <c r="G594" s="256"/>
      <c r="H594" s="256"/>
      <c r="I594" s="256"/>
      <c r="J594" s="256"/>
      <c r="K594" s="256"/>
      <c r="L594" s="256"/>
      <c r="M594" s="256"/>
      <c r="N594" s="256"/>
      <c r="O594" s="256"/>
      <c r="P594" s="256"/>
      <c r="Q594" s="256"/>
      <c r="R594" s="256"/>
      <c r="S594" s="256"/>
      <c r="T594" s="256"/>
      <c r="U594" s="256"/>
      <c r="V594" s="256"/>
      <c r="W594" s="256"/>
      <c r="X594" s="256"/>
      <c r="Y594" s="256"/>
      <c r="Z594" s="256"/>
    </row>
    <row r="595">
      <c r="A595" s="256"/>
      <c r="B595" s="256"/>
      <c r="C595" s="256"/>
      <c r="D595" s="256"/>
      <c r="E595" s="256"/>
      <c r="F595" s="256"/>
      <c r="G595" s="256"/>
      <c r="H595" s="256"/>
      <c r="I595" s="256"/>
      <c r="J595" s="256"/>
      <c r="K595" s="256"/>
      <c r="L595" s="256"/>
      <c r="M595" s="256"/>
      <c r="N595" s="256"/>
      <c r="O595" s="256"/>
      <c r="P595" s="256"/>
      <c r="Q595" s="256"/>
      <c r="R595" s="256"/>
      <c r="S595" s="256"/>
      <c r="T595" s="256"/>
      <c r="U595" s="256"/>
      <c r="V595" s="256"/>
      <c r="W595" s="256"/>
      <c r="X595" s="256"/>
      <c r="Y595" s="256"/>
      <c r="Z595" s="256"/>
    </row>
    <row r="596">
      <c r="A596" s="256"/>
      <c r="B596" s="256"/>
      <c r="C596" s="256"/>
      <c r="D596" s="256"/>
      <c r="E596" s="256"/>
      <c r="F596" s="256"/>
      <c r="G596" s="256"/>
      <c r="H596" s="256"/>
      <c r="I596" s="256"/>
      <c r="J596" s="256"/>
      <c r="K596" s="256"/>
      <c r="L596" s="256"/>
      <c r="M596" s="256"/>
      <c r="N596" s="256"/>
      <c r="O596" s="256"/>
      <c r="P596" s="256"/>
      <c r="Q596" s="256"/>
      <c r="R596" s="256"/>
      <c r="S596" s="256"/>
      <c r="T596" s="256"/>
      <c r="U596" s="256"/>
      <c r="V596" s="256"/>
      <c r="W596" s="256"/>
      <c r="X596" s="256"/>
      <c r="Y596" s="256"/>
      <c r="Z596" s="256"/>
    </row>
    <row r="597">
      <c r="A597" s="256"/>
      <c r="B597" s="256"/>
      <c r="C597" s="256"/>
      <c r="D597" s="256"/>
      <c r="E597" s="256"/>
      <c r="F597" s="256"/>
      <c r="G597" s="256"/>
      <c r="H597" s="256"/>
      <c r="I597" s="256"/>
      <c r="J597" s="256"/>
      <c r="K597" s="256"/>
      <c r="L597" s="256"/>
      <c r="M597" s="256"/>
      <c r="N597" s="256"/>
      <c r="O597" s="256"/>
      <c r="P597" s="256"/>
      <c r="Q597" s="256"/>
      <c r="R597" s="256"/>
      <c r="S597" s="256"/>
      <c r="T597" s="256"/>
      <c r="U597" s="256"/>
      <c r="V597" s="256"/>
      <c r="W597" s="256"/>
      <c r="X597" s="256"/>
      <c r="Y597" s="256"/>
      <c r="Z597" s="256"/>
    </row>
    <row r="598">
      <c r="A598" s="256"/>
      <c r="B598" s="256"/>
      <c r="C598" s="256"/>
      <c r="D598" s="256"/>
      <c r="E598" s="256"/>
      <c r="F598" s="256"/>
      <c r="G598" s="256"/>
      <c r="H598" s="256"/>
      <c r="I598" s="256"/>
      <c r="J598" s="256"/>
      <c r="K598" s="256"/>
      <c r="L598" s="256"/>
      <c r="M598" s="256"/>
      <c r="N598" s="256"/>
      <c r="O598" s="256"/>
      <c r="P598" s="256"/>
      <c r="Q598" s="256"/>
      <c r="R598" s="256"/>
      <c r="S598" s="256"/>
      <c r="T598" s="256"/>
      <c r="U598" s="256"/>
      <c r="V598" s="256"/>
      <c r="W598" s="256"/>
      <c r="X598" s="256"/>
      <c r="Y598" s="256"/>
      <c r="Z598" s="256"/>
    </row>
    <row r="599">
      <c r="A599" s="256"/>
      <c r="B599" s="256"/>
      <c r="C599" s="256"/>
      <c r="D599" s="256"/>
      <c r="E599" s="256"/>
      <c r="F599" s="256"/>
      <c r="G599" s="256"/>
      <c r="H599" s="256"/>
      <c r="I599" s="256"/>
      <c r="J599" s="256"/>
      <c r="K599" s="256"/>
      <c r="L599" s="256"/>
      <c r="M599" s="256"/>
      <c r="N599" s="256"/>
      <c r="O599" s="256"/>
      <c r="P599" s="256"/>
      <c r="Q599" s="256"/>
      <c r="R599" s="256"/>
      <c r="S599" s="256"/>
      <c r="T599" s="256"/>
      <c r="U599" s="256"/>
      <c r="V599" s="256"/>
      <c r="W599" s="256"/>
      <c r="X599" s="256"/>
      <c r="Y599" s="256"/>
      <c r="Z599" s="256"/>
    </row>
    <row r="600">
      <c r="A600" s="256"/>
      <c r="B600" s="256"/>
      <c r="C600" s="256"/>
      <c r="D600" s="256"/>
      <c r="E600" s="256"/>
      <c r="F600" s="256"/>
      <c r="G600" s="256"/>
      <c r="H600" s="256"/>
      <c r="I600" s="256"/>
      <c r="J600" s="256"/>
      <c r="K600" s="256"/>
      <c r="L600" s="256"/>
      <c r="M600" s="256"/>
      <c r="N600" s="256"/>
      <c r="O600" s="256"/>
      <c r="P600" s="256"/>
      <c r="Q600" s="256"/>
      <c r="R600" s="256"/>
      <c r="S600" s="256"/>
      <c r="T600" s="256"/>
      <c r="U600" s="256"/>
      <c r="V600" s="256"/>
      <c r="W600" s="256"/>
      <c r="X600" s="256"/>
      <c r="Y600" s="256"/>
      <c r="Z600" s="256"/>
    </row>
    <row r="601">
      <c r="A601" s="256"/>
      <c r="B601" s="256"/>
      <c r="C601" s="256"/>
      <c r="D601" s="256"/>
      <c r="E601" s="256"/>
      <c r="F601" s="256"/>
      <c r="G601" s="256"/>
      <c r="H601" s="256"/>
      <c r="I601" s="256"/>
      <c r="J601" s="256"/>
      <c r="K601" s="256"/>
      <c r="L601" s="256"/>
      <c r="M601" s="256"/>
      <c r="N601" s="256"/>
      <c r="O601" s="256"/>
      <c r="P601" s="256"/>
      <c r="Q601" s="256"/>
      <c r="R601" s="256"/>
      <c r="S601" s="256"/>
      <c r="T601" s="256"/>
      <c r="U601" s="256"/>
      <c r="V601" s="256"/>
      <c r="W601" s="256"/>
      <c r="X601" s="256"/>
      <c r="Y601" s="256"/>
      <c r="Z601" s="256"/>
    </row>
    <row r="602">
      <c r="A602" s="256"/>
      <c r="B602" s="256"/>
      <c r="C602" s="256"/>
      <c r="D602" s="256"/>
      <c r="E602" s="256"/>
      <c r="F602" s="256"/>
      <c r="G602" s="256"/>
      <c r="H602" s="256"/>
      <c r="I602" s="256"/>
      <c r="J602" s="256"/>
      <c r="K602" s="256"/>
      <c r="L602" s="256"/>
      <c r="M602" s="256"/>
      <c r="N602" s="256"/>
      <c r="O602" s="256"/>
      <c r="P602" s="256"/>
      <c r="Q602" s="256"/>
      <c r="R602" s="256"/>
      <c r="S602" s="256"/>
      <c r="T602" s="256"/>
      <c r="U602" s="256"/>
      <c r="V602" s="256"/>
      <c r="W602" s="256"/>
      <c r="X602" s="256"/>
      <c r="Y602" s="256"/>
      <c r="Z602" s="256"/>
    </row>
    <row r="603">
      <c r="A603" s="256"/>
      <c r="B603" s="256"/>
      <c r="C603" s="256"/>
      <c r="D603" s="256"/>
      <c r="E603" s="256"/>
      <c r="F603" s="256"/>
      <c r="G603" s="256"/>
      <c r="H603" s="256"/>
      <c r="I603" s="256"/>
      <c r="J603" s="256"/>
      <c r="K603" s="256"/>
      <c r="L603" s="256"/>
      <c r="M603" s="256"/>
      <c r="N603" s="256"/>
      <c r="O603" s="256"/>
      <c r="P603" s="256"/>
      <c r="Q603" s="256"/>
      <c r="R603" s="256"/>
      <c r="S603" s="256"/>
      <c r="T603" s="256"/>
      <c r="U603" s="256"/>
      <c r="V603" s="256"/>
      <c r="W603" s="256"/>
      <c r="X603" s="256"/>
      <c r="Y603" s="256"/>
      <c r="Z603" s="256"/>
    </row>
    <row r="604">
      <c r="A604" s="256"/>
      <c r="B604" s="256"/>
      <c r="C604" s="256"/>
      <c r="D604" s="256"/>
      <c r="E604" s="256"/>
      <c r="F604" s="256"/>
      <c r="G604" s="256"/>
      <c r="H604" s="256"/>
      <c r="I604" s="256"/>
      <c r="J604" s="256"/>
      <c r="K604" s="256"/>
      <c r="L604" s="256"/>
      <c r="M604" s="256"/>
      <c r="N604" s="256"/>
      <c r="O604" s="256"/>
      <c r="P604" s="256"/>
      <c r="Q604" s="256"/>
      <c r="R604" s="256"/>
      <c r="S604" s="256"/>
      <c r="T604" s="256"/>
      <c r="U604" s="256"/>
      <c r="V604" s="256"/>
      <c r="W604" s="256"/>
      <c r="X604" s="256"/>
      <c r="Y604" s="256"/>
      <c r="Z604" s="256"/>
    </row>
    <row r="605">
      <c r="A605" s="256"/>
      <c r="B605" s="256"/>
      <c r="C605" s="256"/>
      <c r="D605" s="256"/>
      <c r="E605" s="256"/>
      <c r="F605" s="256"/>
      <c r="G605" s="256"/>
      <c r="H605" s="256"/>
      <c r="I605" s="256"/>
      <c r="J605" s="256"/>
      <c r="K605" s="256"/>
      <c r="L605" s="256"/>
      <c r="M605" s="256"/>
      <c r="N605" s="256"/>
      <c r="O605" s="256"/>
      <c r="P605" s="256"/>
      <c r="Q605" s="256"/>
      <c r="R605" s="256"/>
      <c r="S605" s="256"/>
      <c r="T605" s="256"/>
      <c r="U605" s="256"/>
      <c r="V605" s="256"/>
      <c r="W605" s="256"/>
      <c r="X605" s="256"/>
      <c r="Y605" s="256"/>
      <c r="Z605" s="256"/>
    </row>
    <row r="606">
      <c r="A606" s="256"/>
      <c r="B606" s="256"/>
      <c r="C606" s="256"/>
      <c r="D606" s="256"/>
      <c r="E606" s="256"/>
      <c r="F606" s="256"/>
      <c r="G606" s="256"/>
      <c r="H606" s="256"/>
      <c r="I606" s="256"/>
      <c r="J606" s="256"/>
      <c r="K606" s="256"/>
      <c r="L606" s="256"/>
      <c r="M606" s="256"/>
      <c r="N606" s="256"/>
      <c r="O606" s="256"/>
      <c r="P606" s="256"/>
      <c r="Q606" s="256"/>
      <c r="R606" s="256"/>
      <c r="S606" s="256"/>
      <c r="T606" s="256"/>
      <c r="U606" s="256"/>
      <c r="V606" s="256"/>
      <c r="W606" s="256"/>
      <c r="X606" s="256"/>
      <c r="Y606" s="256"/>
      <c r="Z606" s="256"/>
    </row>
    <row r="607">
      <c r="A607" s="256"/>
      <c r="B607" s="256"/>
      <c r="C607" s="256"/>
      <c r="D607" s="256"/>
      <c r="E607" s="256"/>
      <c r="F607" s="256"/>
      <c r="G607" s="256"/>
      <c r="H607" s="256"/>
      <c r="I607" s="256"/>
      <c r="J607" s="256"/>
      <c r="K607" s="256"/>
      <c r="L607" s="256"/>
      <c r="M607" s="256"/>
      <c r="N607" s="256"/>
      <c r="O607" s="256"/>
      <c r="P607" s="256"/>
      <c r="Q607" s="256"/>
      <c r="R607" s="256"/>
      <c r="S607" s="256"/>
      <c r="T607" s="256"/>
      <c r="U607" s="256"/>
      <c r="V607" s="256"/>
      <c r="W607" s="256"/>
      <c r="X607" s="256"/>
      <c r="Y607" s="256"/>
      <c r="Z607" s="256"/>
    </row>
    <row r="608">
      <c r="A608" s="256"/>
      <c r="B608" s="256"/>
      <c r="C608" s="256"/>
      <c r="D608" s="256"/>
      <c r="E608" s="256"/>
      <c r="F608" s="256"/>
      <c r="G608" s="256"/>
      <c r="H608" s="256"/>
      <c r="I608" s="256"/>
      <c r="J608" s="256"/>
      <c r="K608" s="256"/>
      <c r="L608" s="256"/>
      <c r="M608" s="256"/>
      <c r="N608" s="256"/>
      <c r="O608" s="256"/>
      <c r="P608" s="256"/>
      <c r="Q608" s="256"/>
      <c r="R608" s="256"/>
      <c r="S608" s="256"/>
      <c r="T608" s="256"/>
      <c r="U608" s="256"/>
      <c r="V608" s="256"/>
      <c r="W608" s="256"/>
      <c r="X608" s="256"/>
      <c r="Y608" s="256"/>
      <c r="Z608" s="256"/>
    </row>
    <row r="609">
      <c r="A609" s="256"/>
      <c r="B609" s="256"/>
      <c r="C609" s="256"/>
      <c r="D609" s="256"/>
      <c r="E609" s="256"/>
      <c r="F609" s="256"/>
      <c r="G609" s="256"/>
      <c r="H609" s="256"/>
      <c r="I609" s="256"/>
      <c r="J609" s="256"/>
      <c r="K609" s="256"/>
      <c r="L609" s="256"/>
      <c r="M609" s="256"/>
      <c r="N609" s="256"/>
      <c r="O609" s="256"/>
      <c r="P609" s="256"/>
      <c r="Q609" s="256"/>
      <c r="R609" s="256"/>
      <c r="S609" s="256"/>
      <c r="T609" s="256"/>
      <c r="U609" s="256"/>
      <c r="V609" s="256"/>
      <c r="W609" s="256"/>
      <c r="X609" s="256"/>
      <c r="Y609" s="256"/>
      <c r="Z609" s="256"/>
    </row>
    <row r="610">
      <c r="A610" s="256"/>
      <c r="B610" s="256"/>
      <c r="C610" s="256"/>
      <c r="D610" s="256"/>
      <c r="E610" s="256"/>
      <c r="F610" s="256"/>
      <c r="G610" s="256"/>
      <c r="H610" s="256"/>
      <c r="I610" s="256"/>
      <c r="J610" s="256"/>
      <c r="K610" s="256"/>
      <c r="L610" s="256"/>
      <c r="M610" s="256"/>
      <c r="N610" s="256"/>
      <c r="O610" s="256"/>
      <c r="P610" s="256"/>
      <c r="Q610" s="256"/>
      <c r="R610" s="256"/>
      <c r="S610" s="256"/>
      <c r="T610" s="256"/>
      <c r="U610" s="256"/>
      <c r="V610" s="256"/>
      <c r="W610" s="256"/>
      <c r="X610" s="256"/>
      <c r="Y610" s="256"/>
      <c r="Z610" s="256"/>
    </row>
    <row r="611">
      <c r="A611" s="256"/>
      <c r="B611" s="256"/>
      <c r="C611" s="256"/>
      <c r="D611" s="256"/>
      <c r="E611" s="256"/>
      <c r="F611" s="256"/>
      <c r="G611" s="256"/>
      <c r="H611" s="256"/>
      <c r="I611" s="256"/>
      <c r="J611" s="256"/>
      <c r="K611" s="256"/>
      <c r="L611" s="256"/>
      <c r="M611" s="256"/>
      <c r="N611" s="256"/>
      <c r="O611" s="256"/>
      <c r="P611" s="256"/>
      <c r="Q611" s="256"/>
      <c r="R611" s="256"/>
      <c r="S611" s="256"/>
      <c r="T611" s="256"/>
      <c r="U611" s="256"/>
      <c r="V611" s="256"/>
      <c r="W611" s="256"/>
      <c r="X611" s="256"/>
      <c r="Y611" s="256"/>
      <c r="Z611" s="256"/>
    </row>
    <row r="612">
      <c r="A612" s="256"/>
      <c r="B612" s="256"/>
      <c r="C612" s="256"/>
      <c r="D612" s="256"/>
      <c r="E612" s="256"/>
      <c r="F612" s="256"/>
      <c r="G612" s="256"/>
      <c r="H612" s="256"/>
      <c r="I612" s="256"/>
      <c r="J612" s="256"/>
      <c r="K612" s="256"/>
      <c r="L612" s="256"/>
      <c r="M612" s="256"/>
      <c r="N612" s="256"/>
      <c r="O612" s="256"/>
      <c r="P612" s="256"/>
      <c r="Q612" s="256"/>
      <c r="R612" s="256"/>
      <c r="S612" s="256"/>
      <c r="T612" s="256"/>
      <c r="U612" s="256"/>
      <c r="V612" s="256"/>
      <c r="W612" s="256"/>
      <c r="X612" s="256"/>
      <c r="Y612" s="256"/>
      <c r="Z612" s="256"/>
    </row>
    <row r="613">
      <c r="A613" s="256"/>
      <c r="B613" s="256"/>
      <c r="C613" s="256"/>
      <c r="D613" s="256"/>
      <c r="E613" s="256"/>
      <c r="F613" s="256"/>
      <c r="G613" s="256"/>
      <c r="H613" s="256"/>
      <c r="I613" s="256"/>
      <c r="J613" s="256"/>
      <c r="K613" s="256"/>
      <c r="L613" s="256"/>
      <c r="M613" s="256"/>
      <c r="N613" s="256"/>
      <c r="O613" s="256"/>
      <c r="P613" s="256"/>
      <c r="Q613" s="256"/>
      <c r="R613" s="256"/>
      <c r="S613" s="256"/>
      <c r="T613" s="256"/>
      <c r="U613" s="256"/>
      <c r="V613" s="256"/>
      <c r="W613" s="256"/>
      <c r="X613" s="256"/>
      <c r="Y613" s="256"/>
      <c r="Z613" s="256"/>
    </row>
    <row r="614">
      <c r="A614" s="256"/>
      <c r="B614" s="256"/>
      <c r="C614" s="256"/>
      <c r="D614" s="256"/>
      <c r="E614" s="256"/>
      <c r="F614" s="256"/>
      <c r="G614" s="256"/>
      <c r="H614" s="256"/>
      <c r="I614" s="256"/>
      <c r="J614" s="256"/>
      <c r="K614" s="256"/>
      <c r="L614" s="256"/>
      <c r="M614" s="256"/>
      <c r="N614" s="256"/>
      <c r="O614" s="256"/>
      <c r="P614" s="256"/>
      <c r="Q614" s="256"/>
      <c r="R614" s="256"/>
      <c r="S614" s="256"/>
      <c r="T614" s="256"/>
      <c r="U614" s="256"/>
      <c r="V614" s="256"/>
      <c r="W614" s="256"/>
      <c r="X614" s="256"/>
      <c r="Y614" s="256"/>
      <c r="Z614" s="256"/>
    </row>
    <row r="615">
      <c r="A615" s="256"/>
      <c r="B615" s="256"/>
      <c r="C615" s="256"/>
      <c r="D615" s="256"/>
      <c r="E615" s="256"/>
      <c r="F615" s="256"/>
      <c r="G615" s="256"/>
      <c r="H615" s="256"/>
      <c r="I615" s="256"/>
      <c r="J615" s="256"/>
      <c r="K615" s="256"/>
      <c r="L615" s="256"/>
      <c r="M615" s="256"/>
      <c r="N615" s="256"/>
      <c r="O615" s="256"/>
      <c r="P615" s="256"/>
      <c r="Q615" s="256"/>
      <c r="R615" s="256"/>
      <c r="S615" s="256"/>
      <c r="T615" s="256"/>
      <c r="U615" s="256"/>
      <c r="V615" s="256"/>
      <c r="W615" s="256"/>
      <c r="X615" s="256"/>
      <c r="Y615" s="256"/>
      <c r="Z615" s="256"/>
    </row>
    <row r="616">
      <c r="A616" s="256"/>
      <c r="B616" s="256"/>
      <c r="C616" s="256"/>
      <c r="D616" s="256"/>
      <c r="E616" s="256"/>
      <c r="F616" s="256"/>
      <c r="G616" s="256"/>
      <c r="H616" s="256"/>
      <c r="I616" s="256"/>
      <c r="J616" s="256"/>
      <c r="K616" s="256"/>
      <c r="L616" s="256"/>
      <c r="M616" s="256"/>
      <c r="N616" s="256"/>
      <c r="O616" s="256"/>
      <c r="P616" s="256"/>
      <c r="Q616" s="256"/>
      <c r="R616" s="256"/>
      <c r="S616" s="256"/>
      <c r="T616" s="256"/>
      <c r="U616" s="256"/>
      <c r="V616" s="256"/>
      <c r="W616" s="256"/>
      <c r="X616" s="256"/>
      <c r="Y616" s="256"/>
      <c r="Z616" s="256"/>
    </row>
    <row r="617">
      <c r="A617" s="256"/>
      <c r="B617" s="256"/>
      <c r="C617" s="256"/>
      <c r="D617" s="256"/>
      <c r="E617" s="256"/>
      <c r="F617" s="256"/>
      <c r="G617" s="256"/>
      <c r="H617" s="256"/>
      <c r="I617" s="256"/>
      <c r="J617" s="256"/>
      <c r="K617" s="256"/>
      <c r="L617" s="256"/>
      <c r="M617" s="256"/>
      <c r="N617" s="256"/>
      <c r="O617" s="256"/>
      <c r="P617" s="256"/>
      <c r="Q617" s="256"/>
      <c r="R617" s="256"/>
      <c r="S617" s="256"/>
      <c r="T617" s="256"/>
      <c r="U617" s="256"/>
      <c r="V617" s="256"/>
      <c r="W617" s="256"/>
      <c r="X617" s="256"/>
      <c r="Y617" s="256"/>
      <c r="Z617" s="256"/>
    </row>
    <row r="618">
      <c r="A618" s="256"/>
      <c r="B618" s="256"/>
      <c r="C618" s="256"/>
      <c r="D618" s="256"/>
      <c r="E618" s="256"/>
      <c r="F618" s="256"/>
      <c r="G618" s="256"/>
      <c r="H618" s="256"/>
      <c r="I618" s="256"/>
      <c r="J618" s="256"/>
      <c r="K618" s="256"/>
      <c r="L618" s="256"/>
      <c r="M618" s="256"/>
      <c r="N618" s="256"/>
      <c r="O618" s="256"/>
      <c r="P618" s="256"/>
      <c r="Q618" s="256"/>
      <c r="R618" s="256"/>
      <c r="S618" s="256"/>
      <c r="T618" s="256"/>
      <c r="U618" s="256"/>
      <c r="V618" s="256"/>
      <c r="W618" s="256"/>
      <c r="X618" s="256"/>
      <c r="Y618" s="256"/>
      <c r="Z618" s="256"/>
    </row>
    <row r="619">
      <c r="A619" s="256"/>
      <c r="B619" s="256"/>
      <c r="C619" s="256"/>
      <c r="D619" s="256"/>
      <c r="E619" s="256"/>
      <c r="F619" s="256"/>
      <c r="G619" s="256"/>
      <c r="H619" s="256"/>
      <c r="I619" s="256"/>
      <c r="J619" s="256"/>
      <c r="K619" s="256"/>
      <c r="L619" s="256"/>
      <c r="M619" s="256"/>
      <c r="N619" s="256"/>
      <c r="O619" s="256"/>
      <c r="P619" s="256"/>
      <c r="Q619" s="256"/>
      <c r="R619" s="256"/>
      <c r="S619" s="256"/>
      <c r="T619" s="256"/>
      <c r="U619" s="256"/>
      <c r="V619" s="256"/>
      <c r="W619" s="256"/>
      <c r="X619" s="256"/>
      <c r="Y619" s="256"/>
      <c r="Z619" s="256"/>
    </row>
    <row r="620">
      <c r="A620" s="256"/>
      <c r="B620" s="256"/>
      <c r="C620" s="256"/>
      <c r="D620" s="256"/>
      <c r="E620" s="256"/>
      <c r="F620" s="256"/>
      <c r="G620" s="256"/>
      <c r="H620" s="256"/>
      <c r="I620" s="256"/>
      <c r="J620" s="256"/>
      <c r="K620" s="256"/>
      <c r="L620" s="256"/>
      <c r="M620" s="256"/>
      <c r="N620" s="256"/>
      <c r="O620" s="256"/>
      <c r="P620" s="256"/>
      <c r="Q620" s="256"/>
      <c r="R620" s="256"/>
      <c r="S620" s="256"/>
      <c r="T620" s="256"/>
      <c r="U620" s="256"/>
      <c r="V620" s="256"/>
      <c r="W620" s="256"/>
      <c r="X620" s="256"/>
      <c r="Y620" s="256"/>
      <c r="Z620" s="256"/>
    </row>
    <row r="621">
      <c r="A621" s="256"/>
      <c r="B621" s="256"/>
      <c r="C621" s="256"/>
      <c r="D621" s="256"/>
      <c r="E621" s="256"/>
      <c r="F621" s="256"/>
      <c r="G621" s="256"/>
      <c r="H621" s="256"/>
      <c r="I621" s="256"/>
      <c r="J621" s="256"/>
      <c r="K621" s="256"/>
      <c r="L621" s="256"/>
      <c r="M621" s="256"/>
      <c r="N621" s="256"/>
      <c r="O621" s="256"/>
      <c r="P621" s="256"/>
      <c r="Q621" s="256"/>
      <c r="R621" s="256"/>
      <c r="S621" s="256"/>
      <c r="T621" s="256"/>
      <c r="U621" s="256"/>
      <c r="V621" s="256"/>
      <c r="W621" s="256"/>
      <c r="X621" s="256"/>
      <c r="Y621" s="256"/>
      <c r="Z621" s="256"/>
    </row>
    <row r="622">
      <c r="A622" s="256"/>
      <c r="B622" s="256"/>
      <c r="C622" s="256"/>
      <c r="D622" s="256"/>
      <c r="E622" s="256"/>
      <c r="F622" s="256"/>
      <c r="G622" s="256"/>
      <c r="H622" s="256"/>
      <c r="I622" s="256"/>
      <c r="J622" s="256"/>
      <c r="K622" s="256"/>
      <c r="L622" s="256"/>
      <c r="M622" s="256"/>
      <c r="N622" s="256"/>
      <c r="O622" s="256"/>
      <c r="P622" s="256"/>
      <c r="Q622" s="256"/>
      <c r="R622" s="256"/>
      <c r="S622" s="256"/>
      <c r="T622" s="256"/>
      <c r="U622" s="256"/>
      <c r="V622" s="256"/>
      <c r="W622" s="256"/>
      <c r="X622" s="256"/>
      <c r="Y622" s="256"/>
      <c r="Z622" s="256"/>
    </row>
    <row r="623">
      <c r="A623" s="256"/>
      <c r="B623" s="256"/>
      <c r="C623" s="256"/>
      <c r="D623" s="256"/>
      <c r="E623" s="256"/>
      <c r="F623" s="256"/>
      <c r="G623" s="256"/>
      <c r="H623" s="256"/>
      <c r="I623" s="256"/>
      <c r="J623" s="256"/>
      <c r="K623" s="256"/>
      <c r="L623" s="256"/>
      <c r="M623" s="256"/>
      <c r="N623" s="256"/>
      <c r="O623" s="256"/>
      <c r="P623" s="256"/>
      <c r="Q623" s="256"/>
      <c r="R623" s="256"/>
      <c r="S623" s="256"/>
      <c r="T623" s="256"/>
      <c r="U623" s="256"/>
      <c r="V623" s="256"/>
      <c r="W623" s="256"/>
      <c r="X623" s="256"/>
      <c r="Y623" s="256"/>
      <c r="Z623" s="256"/>
    </row>
    <row r="624">
      <c r="A624" s="256"/>
      <c r="B624" s="256"/>
      <c r="C624" s="256"/>
      <c r="D624" s="256"/>
      <c r="E624" s="256"/>
      <c r="F624" s="256"/>
      <c r="G624" s="256"/>
      <c r="H624" s="256"/>
      <c r="I624" s="256"/>
      <c r="J624" s="256"/>
      <c r="K624" s="256"/>
      <c r="L624" s="256"/>
      <c r="M624" s="256"/>
      <c r="N624" s="256"/>
      <c r="O624" s="256"/>
      <c r="P624" s="256"/>
      <c r="Q624" s="256"/>
      <c r="R624" s="256"/>
      <c r="S624" s="256"/>
      <c r="T624" s="256"/>
      <c r="U624" s="256"/>
      <c r="V624" s="256"/>
      <c r="W624" s="256"/>
      <c r="X624" s="256"/>
      <c r="Y624" s="256"/>
      <c r="Z624" s="256"/>
    </row>
    <row r="625">
      <c r="A625" s="256"/>
      <c r="B625" s="256"/>
      <c r="C625" s="256"/>
      <c r="D625" s="256"/>
      <c r="E625" s="256"/>
      <c r="F625" s="256"/>
      <c r="G625" s="256"/>
      <c r="H625" s="256"/>
      <c r="I625" s="256"/>
      <c r="J625" s="256"/>
      <c r="K625" s="256"/>
      <c r="L625" s="256"/>
      <c r="M625" s="256"/>
      <c r="N625" s="256"/>
      <c r="O625" s="256"/>
      <c r="P625" s="256"/>
      <c r="Q625" s="256"/>
      <c r="R625" s="256"/>
      <c r="S625" s="256"/>
      <c r="T625" s="256"/>
      <c r="U625" s="256"/>
      <c r="V625" s="256"/>
      <c r="W625" s="256"/>
      <c r="X625" s="256"/>
      <c r="Y625" s="256"/>
      <c r="Z625" s="256"/>
    </row>
    <row r="626">
      <c r="A626" s="256"/>
      <c r="B626" s="256"/>
      <c r="C626" s="256"/>
      <c r="D626" s="256"/>
      <c r="E626" s="256"/>
      <c r="F626" s="256"/>
      <c r="G626" s="256"/>
      <c r="H626" s="256"/>
      <c r="I626" s="256"/>
      <c r="J626" s="256"/>
      <c r="K626" s="256"/>
      <c r="L626" s="256"/>
      <c r="M626" s="256"/>
      <c r="N626" s="256"/>
      <c r="O626" s="256"/>
      <c r="P626" s="256"/>
      <c r="Q626" s="256"/>
      <c r="R626" s="256"/>
      <c r="S626" s="256"/>
      <c r="T626" s="256"/>
      <c r="U626" s="256"/>
      <c r="V626" s="256"/>
      <c r="W626" s="256"/>
      <c r="X626" s="256"/>
      <c r="Y626" s="256"/>
      <c r="Z626" s="256"/>
    </row>
    <row r="627">
      <c r="A627" s="256"/>
      <c r="B627" s="256"/>
      <c r="C627" s="256"/>
      <c r="D627" s="256"/>
      <c r="E627" s="256"/>
      <c r="F627" s="256"/>
      <c r="G627" s="256"/>
      <c r="H627" s="256"/>
      <c r="I627" s="256"/>
      <c r="J627" s="256"/>
      <c r="K627" s="256"/>
      <c r="L627" s="256"/>
      <c r="M627" s="256"/>
      <c r="N627" s="256"/>
      <c r="O627" s="256"/>
      <c r="P627" s="256"/>
      <c r="Q627" s="256"/>
      <c r="R627" s="256"/>
      <c r="S627" s="256"/>
      <c r="T627" s="256"/>
      <c r="U627" s="256"/>
      <c r="V627" s="256"/>
      <c r="W627" s="256"/>
      <c r="X627" s="256"/>
      <c r="Y627" s="256"/>
      <c r="Z627" s="256"/>
    </row>
    <row r="628">
      <c r="A628" s="256"/>
      <c r="B628" s="256"/>
      <c r="C628" s="256"/>
      <c r="D628" s="256"/>
      <c r="E628" s="256"/>
      <c r="F628" s="256"/>
      <c r="G628" s="256"/>
      <c r="H628" s="256"/>
      <c r="I628" s="256"/>
      <c r="J628" s="256"/>
      <c r="K628" s="256"/>
      <c r="L628" s="256"/>
      <c r="M628" s="256"/>
      <c r="N628" s="256"/>
      <c r="O628" s="256"/>
      <c r="P628" s="256"/>
      <c r="Q628" s="256"/>
      <c r="R628" s="256"/>
      <c r="S628" s="256"/>
      <c r="T628" s="256"/>
      <c r="U628" s="256"/>
      <c r="V628" s="256"/>
      <c r="W628" s="256"/>
      <c r="X628" s="256"/>
      <c r="Y628" s="256"/>
      <c r="Z628" s="256"/>
    </row>
    <row r="629">
      <c r="A629" s="256"/>
      <c r="B629" s="256"/>
      <c r="C629" s="256"/>
      <c r="D629" s="256"/>
      <c r="E629" s="256"/>
      <c r="F629" s="256"/>
      <c r="G629" s="256"/>
      <c r="H629" s="256"/>
      <c r="I629" s="256"/>
      <c r="J629" s="256"/>
      <c r="K629" s="256"/>
      <c r="L629" s="256"/>
      <c r="M629" s="256"/>
      <c r="N629" s="256"/>
      <c r="O629" s="256"/>
      <c r="P629" s="256"/>
      <c r="Q629" s="256"/>
      <c r="R629" s="256"/>
      <c r="S629" s="256"/>
      <c r="T629" s="256"/>
      <c r="U629" s="256"/>
      <c r="V629" s="256"/>
      <c r="W629" s="256"/>
      <c r="X629" s="256"/>
      <c r="Y629" s="256"/>
      <c r="Z629" s="256"/>
    </row>
    <row r="630">
      <c r="A630" s="256"/>
      <c r="B630" s="256"/>
      <c r="C630" s="256"/>
      <c r="D630" s="256"/>
      <c r="E630" s="256"/>
      <c r="F630" s="256"/>
      <c r="G630" s="256"/>
      <c r="H630" s="256"/>
      <c r="I630" s="256"/>
      <c r="J630" s="256"/>
      <c r="K630" s="256"/>
      <c r="L630" s="256"/>
      <c r="M630" s="256"/>
      <c r="N630" s="256"/>
      <c r="O630" s="256"/>
      <c r="P630" s="256"/>
      <c r="Q630" s="256"/>
      <c r="R630" s="256"/>
      <c r="S630" s="256"/>
      <c r="T630" s="256"/>
      <c r="U630" s="256"/>
      <c r="V630" s="256"/>
      <c r="W630" s="256"/>
      <c r="X630" s="256"/>
      <c r="Y630" s="256"/>
      <c r="Z630" s="256"/>
    </row>
    <row r="631">
      <c r="A631" s="256"/>
      <c r="B631" s="256"/>
      <c r="C631" s="256"/>
      <c r="D631" s="256"/>
      <c r="E631" s="256"/>
      <c r="F631" s="256"/>
      <c r="G631" s="256"/>
      <c r="H631" s="256"/>
      <c r="I631" s="256"/>
      <c r="J631" s="256"/>
      <c r="K631" s="256"/>
      <c r="L631" s="256"/>
      <c r="M631" s="256"/>
      <c r="N631" s="256"/>
      <c r="O631" s="256"/>
      <c r="P631" s="256"/>
      <c r="Q631" s="256"/>
      <c r="R631" s="256"/>
      <c r="S631" s="256"/>
      <c r="T631" s="256"/>
      <c r="U631" s="256"/>
      <c r="V631" s="256"/>
      <c r="W631" s="256"/>
      <c r="X631" s="256"/>
      <c r="Y631" s="256"/>
      <c r="Z631" s="256"/>
    </row>
    <row r="632">
      <c r="A632" s="256"/>
      <c r="B632" s="256"/>
      <c r="C632" s="256"/>
      <c r="D632" s="256"/>
      <c r="E632" s="256"/>
      <c r="F632" s="256"/>
      <c r="G632" s="256"/>
      <c r="H632" s="256"/>
      <c r="I632" s="256"/>
      <c r="J632" s="256"/>
      <c r="K632" s="256"/>
      <c r="L632" s="256"/>
      <c r="M632" s="256"/>
      <c r="N632" s="256"/>
      <c r="O632" s="256"/>
      <c r="P632" s="256"/>
      <c r="Q632" s="256"/>
      <c r="R632" s="256"/>
      <c r="S632" s="256"/>
      <c r="T632" s="256"/>
      <c r="U632" s="256"/>
      <c r="V632" s="256"/>
      <c r="W632" s="256"/>
      <c r="X632" s="256"/>
      <c r="Y632" s="256"/>
      <c r="Z632" s="256"/>
    </row>
    <row r="633">
      <c r="A633" s="256"/>
      <c r="B633" s="256"/>
      <c r="C633" s="256"/>
      <c r="D633" s="256"/>
      <c r="E633" s="256"/>
      <c r="F633" s="256"/>
      <c r="G633" s="256"/>
      <c r="H633" s="256"/>
      <c r="I633" s="256"/>
      <c r="J633" s="256"/>
      <c r="K633" s="256"/>
      <c r="L633" s="256"/>
      <c r="M633" s="256"/>
      <c r="N633" s="256"/>
      <c r="O633" s="256"/>
      <c r="P633" s="256"/>
      <c r="Q633" s="256"/>
      <c r="R633" s="256"/>
      <c r="S633" s="256"/>
      <c r="T633" s="256"/>
      <c r="U633" s="256"/>
      <c r="V633" s="256"/>
      <c r="W633" s="256"/>
      <c r="X633" s="256"/>
      <c r="Y633" s="256"/>
      <c r="Z633" s="256"/>
    </row>
    <row r="634">
      <c r="A634" s="256"/>
      <c r="B634" s="256"/>
      <c r="C634" s="256"/>
      <c r="D634" s="256"/>
      <c r="E634" s="256"/>
      <c r="F634" s="256"/>
      <c r="G634" s="256"/>
      <c r="H634" s="256"/>
      <c r="I634" s="256"/>
      <c r="J634" s="256"/>
      <c r="K634" s="256"/>
      <c r="L634" s="256"/>
      <c r="M634" s="256"/>
      <c r="N634" s="256"/>
      <c r="O634" s="256"/>
      <c r="P634" s="256"/>
      <c r="Q634" s="256"/>
      <c r="R634" s="256"/>
      <c r="S634" s="256"/>
      <c r="T634" s="256"/>
      <c r="U634" s="256"/>
      <c r="V634" s="256"/>
      <c r="W634" s="256"/>
      <c r="X634" s="256"/>
      <c r="Y634" s="256"/>
      <c r="Z634" s="256"/>
    </row>
    <row r="635">
      <c r="A635" s="256"/>
      <c r="B635" s="256"/>
      <c r="C635" s="256"/>
      <c r="D635" s="256"/>
      <c r="E635" s="256"/>
      <c r="F635" s="256"/>
      <c r="G635" s="256"/>
      <c r="H635" s="256"/>
      <c r="I635" s="256"/>
      <c r="J635" s="256"/>
      <c r="K635" s="256"/>
      <c r="L635" s="256"/>
      <c r="M635" s="256"/>
      <c r="N635" s="256"/>
      <c r="O635" s="256"/>
      <c r="P635" s="256"/>
      <c r="Q635" s="256"/>
      <c r="R635" s="256"/>
      <c r="S635" s="256"/>
      <c r="T635" s="256"/>
      <c r="U635" s="256"/>
      <c r="V635" s="256"/>
      <c r="W635" s="256"/>
      <c r="X635" s="256"/>
      <c r="Y635" s="256"/>
      <c r="Z635" s="256"/>
    </row>
    <row r="636">
      <c r="A636" s="256"/>
      <c r="B636" s="256"/>
      <c r="C636" s="256"/>
      <c r="D636" s="256"/>
      <c r="E636" s="256"/>
      <c r="F636" s="256"/>
      <c r="G636" s="256"/>
      <c r="H636" s="256"/>
      <c r="I636" s="256"/>
      <c r="J636" s="256"/>
      <c r="K636" s="256"/>
      <c r="L636" s="256"/>
      <c r="M636" s="256"/>
      <c r="N636" s="256"/>
      <c r="O636" s="256"/>
      <c r="P636" s="256"/>
      <c r="Q636" s="256"/>
      <c r="R636" s="256"/>
      <c r="S636" s="256"/>
      <c r="T636" s="256"/>
      <c r="U636" s="256"/>
      <c r="V636" s="256"/>
      <c r="W636" s="256"/>
      <c r="X636" s="256"/>
      <c r="Y636" s="256"/>
      <c r="Z636" s="256"/>
    </row>
    <row r="637">
      <c r="A637" s="256"/>
      <c r="B637" s="256"/>
      <c r="C637" s="256"/>
      <c r="D637" s="256"/>
      <c r="E637" s="256"/>
      <c r="F637" s="256"/>
      <c r="G637" s="256"/>
      <c r="H637" s="256"/>
      <c r="I637" s="256"/>
      <c r="J637" s="256"/>
      <c r="K637" s="256"/>
      <c r="L637" s="256"/>
      <c r="M637" s="256"/>
      <c r="N637" s="256"/>
      <c r="O637" s="256"/>
      <c r="P637" s="256"/>
      <c r="Q637" s="256"/>
      <c r="R637" s="256"/>
      <c r="S637" s="256"/>
      <c r="T637" s="256"/>
      <c r="U637" s="256"/>
      <c r="V637" s="256"/>
      <c r="W637" s="256"/>
      <c r="X637" s="256"/>
      <c r="Y637" s="256"/>
      <c r="Z637" s="256"/>
    </row>
    <row r="638">
      <c r="A638" s="256"/>
      <c r="B638" s="256"/>
      <c r="C638" s="256"/>
      <c r="D638" s="256"/>
      <c r="E638" s="256"/>
      <c r="F638" s="256"/>
      <c r="G638" s="256"/>
      <c r="H638" s="256"/>
      <c r="I638" s="256"/>
      <c r="J638" s="256"/>
      <c r="K638" s="256"/>
      <c r="L638" s="256"/>
      <c r="M638" s="256"/>
      <c r="N638" s="256"/>
      <c r="O638" s="256"/>
      <c r="P638" s="256"/>
      <c r="Q638" s="256"/>
      <c r="R638" s="256"/>
      <c r="S638" s="256"/>
      <c r="T638" s="256"/>
      <c r="U638" s="256"/>
      <c r="V638" s="256"/>
      <c r="W638" s="256"/>
      <c r="X638" s="256"/>
      <c r="Y638" s="256"/>
      <c r="Z638" s="256"/>
    </row>
    <row r="639">
      <c r="A639" s="256"/>
      <c r="B639" s="256"/>
      <c r="C639" s="256"/>
      <c r="D639" s="256"/>
      <c r="E639" s="256"/>
      <c r="F639" s="256"/>
      <c r="G639" s="256"/>
      <c r="H639" s="256"/>
      <c r="I639" s="256"/>
      <c r="J639" s="256"/>
      <c r="K639" s="256"/>
      <c r="L639" s="256"/>
      <c r="M639" s="256"/>
      <c r="N639" s="256"/>
      <c r="O639" s="256"/>
      <c r="P639" s="256"/>
      <c r="Q639" s="256"/>
      <c r="R639" s="256"/>
      <c r="S639" s="256"/>
      <c r="T639" s="256"/>
      <c r="U639" s="256"/>
      <c r="V639" s="256"/>
      <c r="W639" s="256"/>
      <c r="X639" s="256"/>
      <c r="Y639" s="256"/>
      <c r="Z639" s="256"/>
    </row>
    <row r="640">
      <c r="A640" s="256"/>
      <c r="B640" s="256"/>
      <c r="C640" s="256"/>
      <c r="D640" s="256"/>
      <c r="E640" s="256"/>
      <c r="F640" s="256"/>
      <c r="G640" s="256"/>
      <c r="H640" s="256"/>
      <c r="I640" s="256"/>
      <c r="J640" s="256"/>
      <c r="K640" s="256"/>
      <c r="L640" s="256"/>
      <c r="M640" s="256"/>
      <c r="N640" s="256"/>
      <c r="O640" s="256"/>
      <c r="P640" s="256"/>
      <c r="Q640" s="256"/>
      <c r="R640" s="256"/>
      <c r="S640" s="256"/>
      <c r="T640" s="256"/>
      <c r="U640" s="256"/>
      <c r="V640" s="256"/>
      <c r="W640" s="256"/>
      <c r="X640" s="256"/>
      <c r="Y640" s="256"/>
      <c r="Z640" s="256"/>
    </row>
    <row r="641">
      <c r="A641" s="256"/>
      <c r="B641" s="256"/>
      <c r="C641" s="256"/>
      <c r="D641" s="256"/>
      <c r="E641" s="256"/>
      <c r="F641" s="256"/>
      <c r="G641" s="256"/>
      <c r="H641" s="256"/>
      <c r="I641" s="256"/>
      <c r="J641" s="256"/>
      <c r="K641" s="256"/>
      <c r="L641" s="256"/>
      <c r="M641" s="256"/>
      <c r="N641" s="256"/>
      <c r="O641" s="256"/>
      <c r="P641" s="256"/>
      <c r="Q641" s="256"/>
      <c r="R641" s="256"/>
      <c r="S641" s="256"/>
      <c r="T641" s="256"/>
      <c r="U641" s="256"/>
      <c r="V641" s="256"/>
      <c r="W641" s="256"/>
      <c r="X641" s="256"/>
      <c r="Y641" s="256"/>
      <c r="Z641" s="256"/>
    </row>
    <row r="642">
      <c r="A642" s="256"/>
      <c r="B642" s="256"/>
      <c r="C642" s="256"/>
      <c r="D642" s="256"/>
      <c r="E642" s="256"/>
      <c r="F642" s="256"/>
      <c r="G642" s="256"/>
      <c r="H642" s="256"/>
      <c r="I642" s="256"/>
      <c r="J642" s="256"/>
      <c r="K642" s="256"/>
      <c r="L642" s="256"/>
      <c r="M642" s="256"/>
      <c r="N642" s="256"/>
      <c r="O642" s="256"/>
      <c r="P642" s="256"/>
      <c r="Q642" s="256"/>
      <c r="R642" s="256"/>
      <c r="S642" s="256"/>
      <c r="T642" s="256"/>
      <c r="U642" s="256"/>
      <c r="V642" s="256"/>
      <c r="W642" s="256"/>
      <c r="X642" s="256"/>
      <c r="Y642" s="256"/>
      <c r="Z642" s="256"/>
    </row>
    <row r="643">
      <c r="A643" s="256"/>
      <c r="B643" s="256"/>
      <c r="C643" s="256"/>
      <c r="D643" s="256"/>
      <c r="E643" s="256"/>
      <c r="F643" s="256"/>
      <c r="G643" s="256"/>
      <c r="H643" s="256"/>
      <c r="I643" s="256"/>
      <c r="J643" s="256"/>
      <c r="K643" s="256"/>
      <c r="L643" s="256"/>
      <c r="M643" s="256"/>
      <c r="N643" s="256"/>
      <c r="O643" s="256"/>
      <c r="P643" s="256"/>
      <c r="Q643" s="256"/>
      <c r="R643" s="256"/>
      <c r="S643" s="256"/>
      <c r="T643" s="256"/>
      <c r="U643" s="256"/>
      <c r="V643" s="256"/>
      <c r="W643" s="256"/>
      <c r="X643" s="256"/>
      <c r="Y643" s="256"/>
      <c r="Z643" s="256"/>
    </row>
    <row r="644">
      <c r="A644" s="256"/>
      <c r="B644" s="256"/>
      <c r="C644" s="256"/>
      <c r="D644" s="256"/>
      <c r="E644" s="256"/>
      <c r="F644" s="256"/>
      <c r="G644" s="256"/>
      <c r="H644" s="256"/>
      <c r="I644" s="256"/>
      <c r="J644" s="256"/>
      <c r="K644" s="256"/>
      <c r="L644" s="256"/>
      <c r="M644" s="256"/>
      <c r="N644" s="256"/>
      <c r="O644" s="256"/>
      <c r="P644" s="256"/>
      <c r="Q644" s="256"/>
      <c r="R644" s="256"/>
      <c r="S644" s="256"/>
      <c r="T644" s="256"/>
      <c r="U644" s="256"/>
      <c r="V644" s="256"/>
      <c r="W644" s="256"/>
      <c r="X644" s="256"/>
      <c r="Y644" s="256"/>
      <c r="Z644" s="256"/>
    </row>
    <row r="645">
      <c r="A645" s="256"/>
      <c r="B645" s="256"/>
      <c r="C645" s="256"/>
      <c r="D645" s="256"/>
      <c r="E645" s="256"/>
      <c r="F645" s="256"/>
      <c r="G645" s="256"/>
      <c r="H645" s="256"/>
      <c r="I645" s="256"/>
      <c r="J645" s="256"/>
      <c r="K645" s="256"/>
      <c r="L645" s="256"/>
      <c r="M645" s="256"/>
      <c r="N645" s="256"/>
      <c r="O645" s="256"/>
      <c r="P645" s="256"/>
      <c r="Q645" s="256"/>
      <c r="R645" s="256"/>
      <c r="S645" s="256"/>
      <c r="T645" s="256"/>
      <c r="U645" s="256"/>
      <c r="V645" s="256"/>
      <c r="W645" s="256"/>
      <c r="X645" s="256"/>
      <c r="Y645" s="256"/>
      <c r="Z645" s="256"/>
    </row>
    <row r="646">
      <c r="A646" s="256"/>
      <c r="B646" s="256"/>
      <c r="C646" s="256"/>
      <c r="D646" s="256"/>
      <c r="E646" s="256"/>
      <c r="F646" s="256"/>
      <c r="G646" s="256"/>
      <c r="H646" s="256"/>
      <c r="I646" s="256"/>
      <c r="J646" s="256"/>
      <c r="K646" s="256"/>
      <c r="L646" s="256"/>
      <c r="M646" s="256"/>
      <c r="N646" s="256"/>
      <c r="O646" s="256"/>
      <c r="P646" s="256"/>
      <c r="Q646" s="256"/>
      <c r="R646" s="256"/>
      <c r="S646" s="256"/>
      <c r="T646" s="256"/>
      <c r="U646" s="256"/>
      <c r="V646" s="256"/>
      <c r="W646" s="256"/>
      <c r="X646" s="256"/>
      <c r="Y646" s="256"/>
      <c r="Z646" s="256"/>
    </row>
    <row r="647">
      <c r="A647" s="256"/>
      <c r="B647" s="256"/>
      <c r="C647" s="256"/>
      <c r="D647" s="256"/>
      <c r="E647" s="256"/>
      <c r="F647" s="256"/>
      <c r="G647" s="256"/>
      <c r="H647" s="256"/>
      <c r="I647" s="256"/>
      <c r="J647" s="256"/>
      <c r="K647" s="256"/>
      <c r="L647" s="256"/>
      <c r="M647" s="256"/>
      <c r="N647" s="256"/>
      <c r="O647" s="256"/>
      <c r="P647" s="256"/>
      <c r="Q647" s="256"/>
      <c r="R647" s="256"/>
      <c r="S647" s="256"/>
      <c r="T647" s="256"/>
      <c r="U647" s="256"/>
      <c r="V647" s="256"/>
      <c r="W647" s="256"/>
      <c r="X647" s="256"/>
      <c r="Y647" s="256"/>
      <c r="Z647" s="256"/>
    </row>
    <row r="648">
      <c r="A648" s="256"/>
      <c r="B648" s="256"/>
      <c r="C648" s="256"/>
      <c r="D648" s="256"/>
      <c r="E648" s="256"/>
      <c r="F648" s="256"/>
      <c r="G648" s="256"/>
      <c r="H648" s="256"/>
      <c r="I648" s="256"/>
      <c r="J648" s="256"/>
      <c r="K648" s="256"/>
      <c r="L648" s="256"/>
      <c r="M648" s="256"/>
      <c r="N648" s="256"/>
      <c r="O648" s="256"/>
      <c r="P648" s="256"/>
      <c r="Q648" s="256"/>
      <c r="R648" s="256"/>
      <c r="S648" s="256"/>
      <c r="T648" s="256"/>
      <c r="U648" s="256"/>
      <c r="V648" s="256"/>
      <c r="W648" s="256"/>
      <c r="X648" s="256"/>
      <c r="Y648" s="256"/>
      <c r="Z648" s="256"/>
    </row>
    <row r="649">
      <c r="A649" s="256"/>
      <c r="B649" s="256"/>
      <c r="C649" s="256"/>
      <c r="D649" s="256"/>
      <c r="E649" s="256"/>
      <c r="F649" s="256"/>
      <c r="G649" s="256"/>
      <c r="H649" s="256"/>
      <c r="I649" s="256"/>
      <c r="J649" s="256"/>
      <c r="K649" s="256"/>
      <c r="L649" s="256"/>
      <c r="M649" s="256"/>
      <c r="N649" s="256"/>
      <c r="O649" s="256"/>
      <c r="P649" s="256"/>
      <c r="Q649" s="256"/>
      <c r="R649" s="256"/>
      <c r="S649" s="256"/>
      <c r="T649" s="256"/>
      <c r="U649" s="256"/>
      <c r="V649" s="256"/>
      <c r="W649" s="256"/>
      <c r="X649" s="256"/>
      <c r="Y649" s="256"/>
      <c r="Z649" s="256"/>
    </row>
    <row r="650">
      <c r="A650" s="256"/>
      <c r="B650" s="256"/>
      <c r="C650" s="256"/>
      <c r="D650" s="256"/>
      <c r="E650" s="256"/>
      <c r="F650" s="256"/>
      <c r="G650" s="256"/>
      <c r="H650" s="256"/>
      <c r="I650" s="256"/>
      <c r="J650" s="256"/>
      <c r="K650" s="256"/>
      <c r="L650" s="256"/>
      <c r="M650" s="256"/>
      <c r="N650" s="256"/>
      <c r="O650" s="256"/>
      <c r="P650" s="256"/>
      <c r="Q650" s="256"/>
      <c r="R650" s="256"/>
      <c r="S650" s="256"/>
      <c r="T650" s="256"/>
      <c r="U650" s="256"/>
      <c r="V650" s="256"/>
      <c r="W650" s="256"/>
      <c r="X650" s="256"/>
      <c r="Y650" s="256"/>
      <c r="Z650" s="256"/>
    </row>
    <row r="651">
      <c r="A651" s="256"/>
      <c r="B651" s="256"/>
      <c r="C651" s="256"/>
      <c r="D651" s="256"/>
      <c r="E651" s="256"/>
      <c r="F651" s="256"/>
      <c r="G651" s="256"/>
      <c r="H651" s="256"/>
      <c r="I651" s="256"/>
      <c r="J651" s="256"/>
      <c r="K651" s="256"/>
      <c r="L651" s="256"/>
      <c r="M651" s="256"/>
      <c r="N651" s="256"/>
      <c r="O651" s="256"/>
      <c r="P651" s="256"/>
      <c r="Q651" s="256"/>
      <c r="R651" s="256"/>
      <c r="S651" s="256"/>
      <c r="T651" s="256"/>
      <c r="U651" s="256"/>
      <c r="V651" s="256"/>
      <c r="W651" s="256"/>
      <c r="X651" s="256"/>
      <c r="Y651" s="256"/>
      <c r="Z651" s="256"/>
    </row>
    <row r="652">
      <c r="A652" s="256"/>
      <c r="B652" s="256"/>
      <c r="C652" s="256"/>
      <c r="D652" s="256"/>
      <c r="E652" s="256"/>
      <c r="F652" s="256"/>
      <c r="G652" s="256"/>
      <c r="H652" s="256"/>
      <c r="I652" s="256"/>
      <c r="J652" s="256"/>
      <c r="K652" s="256"/>
      <c r="L652" s="256"/>
      <c r="M652" s="256"/>
      <c r="N652" s="256"/>
      <c r="O652" s="256"/>
      <c r="P652" s="256"/>
      <c r="Q652" s="256"/>
      <c r="R652" s="256"/>
      <c r="S652" s="256"/>
      <c r="T652" s="256"/>
      <c r="U652" s="256"/>
      <c r="V652" s="256"/>
      <c r="W652" s="256"/>
      <c r="X652" s="256"/>
      <c r="Y652" s="256"/>
      <c r="Z652" s="256"/>
    </row>
    <row r="653">
      <c r="A653" s="256"/>
      <c r="B653" s="256"/>
      <c r="C653" s="256"/>
      <c r="D653" s="256"/>
      <c r="E653" s="256"/>
      <c r="F653" s="256"/>
      <c r="G653" s="256"/>
      <c r="H653" s="256"/>
      <c r="I653" s="256"/>
      <c r="J653" s="256"/>
      <c r="K653" s="256"/>
      <c r="L653" s="256"/>
      <c r="M653" s="256"/>
      <c r="N653" s="256"/>
      <c r="O653" s="256"/>
      <c r="P653" s="256"/>
      <c r="Q653" s="256"/>
      <c r="R653" s="256"/>
      <c r="S653" s="256"/>
      <c r="T653" s="256"/>
      <c r="U653" s="256"/>
      <c r="V653" s="256"/>
      <c r="W653" s="256"/>
      <c r="X653" s="256"/>
      <c r="Y653" s="256"/>
      <c r="Z653" s="256"/>
    </row>
    <row r="654">
      <c r="A654" s="256"/>
      <c r="B654" s="256"/>
      <c r="C654" s="256"/>
      <c r="D654" s="256"/>
      <c r="E654" s="256"/>
      <c r="F654" s="256"/>
      <c r="G654" s="256"/>
      <c r="H654" s="256"/>
      <c r="I654" s="256"/>
      <c r="J654" s="256"/>
      <c r="K654" s="256"/>
      <c r="L654" s="256"/>
      <c r="M654" s="256"/>
      <c r="N654" s="256"/>
      <c r="O654" s="256"/>
      <c r="P654" s="256"/>
      <c r="Q654" s="256"/>
      <c r="R654" s="256"/>
      <c r="S654" s="256"/>
      <c r="T654" s="256"/>
      <c r="U654" s="256"/>
      <c r="V654" s="256"/>
      <c r="W654" s="256"/>
      <c r="X654" s="256"/>
      <c r="Y654" s="256"/>
      <c r="Z654" s="256"/>
    </row>
    <row r="655">
      <c r="A655" s="256"/>
      <c r="B655" s="256"/>
      <c r="C655" s="256"/>
      <c r="D655" s="256"/>
      <c r="E655" s="256"/>
      <c r="F655" s="256"/>
      <c r="G655" s="256"/>
      <c r="H655" s="256"/>
      <c r="I655" s="256"/>
      <c r="J655" s="256"/>
      <c r="K655" s="256"/>
      <c r="L655" s="256"/>
      <c r="M655" s="256"/>
      <c r="N655" s="256"/>
      <c r="O655" s="256"/>
      <c r="P655" s="256"/>
      <c r="Q655" s="256"/>
      <c r="R655" s="256"/>
      <c r="S655" s="256"/>
      <c r="T655" s="256"/>
      <c r="U655" s="256"/>
      <c r="V655" s="256"/>
      <c r="W655" s="256"/>
      <c r="X655" s="256"/>
      <c r="Y655" s="256"/>
      <c r="Z655" s="256"/>
    </row>
    <row r="656">
      <c r="A656" s="256"/>
      <c r="B656" s="256"/>
      <c r="C656" s="256"/>
      <c r="D656" s="256"/>
      <c r="E656" s="256"/>
      <c r="F656" s="256"/>
      <c r="G656" s="256"/>
      <c r="H656" s="256"/>
      <c r="I656" s="256"/>
      <c r="J656" s="256"/>
      <c r="K656" s="256"/>
      <c r="L656" s="256"/>
      <c r="M656" s="256"/>
      <c r="N656" s="256"/>
      <c r="O656" s="256"/>
      <c r="P656" s="256"/>
      <c r="Q656" s="256"/>
      <c r="R656" s="256"/>
      <c r="S656" s="256"/>
      <c r="T656" s="256"/>
      <c r="U656" s="256"/>
      <c r="V656" s="256"/>
      <c r="W656" s="256"/>
      <c r="X656" s="256"/>
      <c r="Y656" s="256"/>
      <c r="Z656" s="256"/>
    </row>
    <row r="657">
      <c r="A657" s="256"/>
      <c r="B657" s="256"/>
      <c r="C657" s="256"/>
      <c r="D657" s="256"/>
      <c r="E657" s="256"/>
      <c r="F657" s="256"/>
      <c r="G657" s="256"/>
      <c r="H657" s="256"/>
      <c r="I657" s="256"/>
      <c r="J657" s="256"/>
      <c r="K657" s="256"/>
      <c r="L657" s="256"/>
      <c r="M657" s="256"/>
      <c r="N657" s="256"/>
      <c r="O657" s="256"/>
      <c r="P657" s="256"/>
      <c r="Q657" s="256"/>
      <c r="R657" s="256"/>
      <c r="S657" s="256"/>
      <c r="T657" s="256"/>
      <c r="U657" s="256"/>
      <c r="V657" s="256"/>
      <c r="W657" s="256"/>
      <c r="X657" s="256"/>
      <c r="Y657" s="256"/>
      <c r="Z657" s="256"/>
    </row>
    <row r="658">
      <c r="A658" s="256"/>
      <c r="B658" s="256"/>
      <c r="C658" s="256"/>
      <c r="D658" s="256"/>
      <c r="E658" s="256"/>
      <c r="F658" s="256"/>
      <c r="G658" s="256"/>
      <c r="H658" s="256"/>
      <c r="I658" s="256"/>
      <c r="J658" s="256"/>
      <c r="K658" s="256"/>
      <c r="L658" s="256"/>
      <c r="M658" s="256"/>
      <c r="N658" s="256"/>
      <c r="O658" s="256"/>
      <c r="P658" s="256"/>
      <c r="Q658" s="256"/>
      <c r="R658" s="256"/>
      <c r="S658" s="256"/>
      <c r="T658" s="256"/>
      <c r="U658" s="256"/>
      <c r="V658" s="256"/>
      <c r="W658" s="256"/>
      <c r="X658" s="256"/>
      <c r="Y658" s="256"/>
      <c r="Z658" s="256"/>
    </row>
    <row r="659">
      <c r="A659" s="256"/>
      <c r="B659" s="256"/>
      <c r="C659" s="256"/>
      <c r="D659" s="256"/>
      <c r="E659" s="256"/>
      <c r="F659" s="256"/>
      <c r="G659" s="256"/>
      <c r="H659" s="256"/>
      <c r="I659" s="256"/>
      <c r="J659" s="256"/>
      <c r="K659" s="256"/>
      <c r="L659" s="256"/>
      <c r="M659" s="256"/>
      <c r="N659" s="256"/>
      <c r="O659" s="256"/>
      <c r="P659" s="256"/>
      <c r="Q659" s="256"/>
      <c r="R659" s="256"/>
      <c r="S659" s="256"/>
      <c r="T659" s="256"/>
      <c r="U659" s="256"/>
      <c r="V659" s="256"/>
      <c r="W659" s="256"/>
      <c r="X659" s="256"/>
      <c r="Y659" s="256"/>
      <c r="Z659" s="256"/>
    </row>
    <row r="660">
      <c r="A660" s="256"/>
      <c r="B660" s="256"/>
      <c r="C660" s="256"/>
      <c r="D660" s="256"/>
      <c r="E660" s="256"/>
      <c r="F660" s="256"/>
      <c r="G660" s="256"/>
      <c r="H660" s="256"/>
      <c r="I660" s="256"/>
      <c r="J660" s="256"/>
      <c r="K660" s="256"/>
      <c r="L660" s="256"/>
      <c r="M660" s="256"/>
      <c r="N660" s="256"/>
      <c r="O660" s="256"/>
      <c r="P660" s="256"/>
      <c r="Q660" s="256"/>
      <c r="R660" s="256"/>
      <c r="S660" s="256"/>
      <c r="T660" s="256"/>
      <c r="U660" s="256"/>
      <c r="V660" s="256"/>
      <c r="W660" s="256"/>
      <c r="X660" s="256"/>
      <c r="Y660" s="256"/>
      <c r="Z660" s="256"/>
    </row>
    <row r="661">
      <c r="A661" s="256"/>
      <c r="B661" s="256"/>
      <c r="C661" s="256"/>
      <c r="D661" s="256"/>
      <c r="E661" s="256"/>
      <c r="F661" s="256"/>
      <c r="G661" s="256"/>
      <c r="H661" s="256"/>
      <c r="I661" s="256"/>
      <c r="J661" s="256"/>
      <c r="K661" s="256"/>
      <c r="L661" s="256"/>
      <c r="M661" s="256"/>
      <c r="N661" s="256"/>
      <c r="O661" s="256"/>
      <c r="P661" s="256"/>
      <c r="Q661" s="256"/>
      <c r="R661" s="256"/>
      <c r="S661" s="256"/>
      <c r="T661" s="256"/>
      <c r="U661" s="256"/>
      <c r="V661" s="256"/>
      <c r="W661" s="256"/>
      <c r="X661" s="256"/>
      <c r="Y661" s="256"/>
      <c r="Z661" s="256"/>
    </row>
    <row r="662">
      <c r="A662" s="256"/>
      <c r="B662" s="256"/>
      <c r="C662" s="256"/>
      <c r="D662" s="256"/>
      <c r="E662" s="256"/>
      <c r="F662" s="256"/>
      <c r="G662" s="256"/>
      <c r="H662" s="256"/>
      <c r="I662" s="256"/>
      <c r="J662" s="256"/>
      <c r="K662" s="256"/>
      <c r="L662" s="256"/>
      <c r="M662" s="256"/>
      <c r="N662" s="256"/>
      <c r="O662" s="256"/>
      <c r="P662" s="256"/>
      <c r="Q662" s="256"/>
      <c r="R662" s="256"/>
      <c r="S662" s="256"/>
      <c r="T662" s="256"/>
      <c r="U662" s="256"/>
      <c r="V662" s="256"/>
      <c r="W662" s="256"/>
      <c r="X662" s="256"/>
      <c r="Y662" s="256"/>
      <c r="Z662" s="256"/>
    </row>
    <row r="663">
      <c r="A663" s="256"/>
      <c r="B663" s="256"/>
      <c r="C663" s="256"/>
      <c r="D663" s="256"/>
      <c r="E663" s="256"/>
      <c r="F663" s="256"/>
      <c r="G663" s="256"/>
      <c r="H663" s="256"/>
      <c r="I663" s="256"/>
      <c r="J663" s="256"/>
      <c r="K663" s="256"/>
      <c r="L663" s="256"/>
      <c r="M663" s="256"/>
      <c r="N663" s="256"/>
      <c r="O663" s="256"/>
      <c r="P663" s="256"/>
      <c r="Q663" s="256"/>
      <c r="R663" s="256"/>
      <c r="S663" s="256"/>
      <c r="T663" s="256"/>
      <c r="U663" s="256"/>
      <c r="V663" s="256"/>
      <c r="W663" s="256"/>
      <c r="X663" s="256"/>
      <c r="Y663" s="256"/>
      <c r="Z663" s="256"/>
    </row>
    <row r="664">
      <c r="A664" s="256"/>
      <c r="B664" s="256"/>
      <c r="C664" s="256"/>
      <c r="D664" s="256"/>
      <c r="E664" s="256"/>
      <c r="F664" s="256"/>
      <c r="G664" s="256"/>
      <c r="H664" s="256"/>
      <c r="I664" s="256"/>
      <c r="J664" s="256"/>
      <c r="K664" s="256"/>
      <c r="L664" s="256"/>
      <c r="M664" s="256"/>
      <c r="N664" s="256"/>
      <c r="O664" s="256"/>
      <c r="P664" s="256"/>
      <c r="Q664" s="256"/>
      <c r="R664" s="256"/>
      <c r="S664" s="256"/>
      <c r="T664" s="256"/>
      <c r="U664" s="256"/>
      <c r="V664" s="256"/>
      <c r="W664" s="256"/>
      <c r="X664" s="256"/>
      <c r="Y664" s="256"/>
      <c r="Z664" s="256"/>
    </row>
    <row r="665">
      <c r="A665" s="256"/>
      <c r="B665" s="256"/>
      <c r="C665" s="256"/>
      <c r="D665" s="256"/>
      <c r="E665" s="256"/>
      <c r="F665" s="256"/>
      <c r="G665" s="256"/>
      <c r="H665" s="256"/>
      <c r="I665" s="256"/>
      <c r="J665" s="256"/>
      <c r="K665" s="256"/>
      <c r="L665" s="256"/>
      <c r="M665" s="256"/>
      <c r="N665" s="256"/>
      <c r="O665" s="256"/>
      <c r="P665" s="256"/>
      <c r="Q665" s="256"/>
      <c r="R665" s="256"/>
      <c r="S665" s="256"/>
      <c r="T665" s="256"/>
      <c r="U665" s="256"/>
      <c r="V665" s="256"/>
      <c r="W665" s="256"/>
      <c r="X665" s="256"/>
      <c r="Y665" s="256"/>
      <c r="Z665" s="256"/>
    </row>
    <row r="666">
      <c r="A666" s="256"/>
      <c r="B666" s="256"/>
      <c r="C666" s="256"/>
      <c r="D666" s="256"/>
      <c r="E666" s="256"/>
      <c r="F666" s="256"/>
      <c r="G666" s="256"/>
      <c r="H666" s="256"/>
      <c r="I666" s="256"/>
      <c r="J666" s="256"/>
      <c r="K666" s="256"/>
      <c r="L666" s="256"/>
      <c r="M666" s="256"/>
      <c r="N666" s="256"/>
      <c r="O666" s="256"/>
      <c r="P666" s="256"/>
      <c r="Q666" s="256"/>
      <c r="R666" s="256"/>
      <c r="S666" s="256"/>
      <c r="T666" s="256"/>
      <c r="U666" s="256"/>
      <c r="V666" s="256"/>
      <c r="W666" s="256"/>
      <c r="X666" s="256"/>
      <c r="Y666" s="256"/>
      <c r="Z666" s="256"/>
    </row>
    <row r="667">
      <c r="A667" s="256"/>
      <c r="B667" s="256"/>
      <c r="C667" s="256"/>
      <c r="D667" s="256"/>
      <c r="E667" s="256"/>
      <c r="F667" s="256"/>
      <c r="G667" s="256"/>
      <c r="H667" s="256"/>
      <c r="I667" s="256"/>
      <c r="J667" s="256"/>
      <c r="K667" s="256"/>
      <c r="L667" s="256"/>
      <c r="M667" s="256"/>
      <c r="N667" s="256"/>
      <c r="O667" s="256"/>
      <c r="P667" s="256"/>
      <c r="Q667" s="256"/>
      <c r="R667" s="256"/>
      <c r="S667" s="256"/>
      <c r="T667" s="256"/>
      <c r="U667" s="256"/>
      <c r="V667" s="256"/>
      <c r="W667" s="256"/>
      <c r="X667" s="256"/>
      <c r="Y667" s="256"/>
      <c r="Z667" s="256"/>
    </row>
    <row r="668">
      <c r="A668" s="256"/>
      <c r="B668" s="256"/>
      <c r="C668" s="256"/>
      <c r="D668" s="256"/>
      <c r="E668" s="256"/>
      <c r="F668" s="256"/>
      <c r="G668" s="256"/>
      <c r="H668" s="256"/>
      <c r="I668" s="256"/>
      <c r="J668" s="256"/>
      <c r="K668" s="256"/>
      <c r="L668" s="256"/>
      <c r="M668" s="256"/>
      <c r="N668" s="256"/>
      <c r="O668" s="256"/>
      <c r="P668" s="256"/>
      <c r="Q668" s="256"/>
      <c r="R668" s="256"/>
      <c r="S668" s="256"/>
      <c r="T668" s="256"/>
      <c r="U668" s="256"/>
      <c r="V668" s="256"/>
      <c r="W668" s="256"/>
      <c r="X668" s="256"/>
      <c r="Y668" s="256"/>
      <c r="Z668" s="256"/>
    </row>
    <row r="669">
      <c r="A669" s="256"/>
      <c r="B669" s="256"/>
      <c r="C669" s="256"/>
      <c r="D669" s="256"/>
      <c r="E669" s="256"/>
      <c r="F669" s="256"/>
      <c r="G669" s="256"/>
      <c r="H669" s="256"/>
      <c r="I669" s="256"/>
      <c r="J669" s="256"/>
      <c r="K669" s="256"/>
      <c r="L669" s="256"/>
      <c r="M669" s="256"/>
      <c r="N669" s="256"/>
      <c r="O669" s="256"/>
      <c r="P669" s="256"/>
      <c r="Q669" s="256"/>
      <c r="R669" s="256"/>
      <c r="S669" s="256"/>
      <c r="T669" s="256"/>
      <c r="U669" s="256"/>
      <c r="V669" s="256"/>
      <c r="W669" s="256"/>
      <c r="X669" s="256"/>
      <c r="Y669" s="256"/>
      <c r="Z669" s="256"/>
    </row>
    <row r="670">
      <c r="A670" s="256"/>
      <c r="B670" s="256"/>
      <c r="C670" s="256"/>
      <c r="D670" s="256"/>
      <c r="E670" s="256"/>
      <c r="F670" s="256"/>
      <c r="G670" s="256"/>
      <c r="H670" s="256"/>
      <c r="I670" s="256"/>
      <c r="J670" s="256"/>
      <c r="K670" s="256"/>
      <c r="L670" s="256"/>
      <c r="M670" s="256"/>
      <c r="N670" s="256"/>
      <c r="O670" s="256"/>
      <c r="P670" s="256"/>
      <c r="Q670" s="256"/>
      <c r="R670" s="256"/>
      <c r="S670" s="256"/>
      <c r="T670" s="256"/>
      <c r="U670" s="256"/>
      <c r="V670" s="256"/>
      <c r="W670" s="256"/>
      <c r="X670" s="256"/>
      <c r="Y670" s="256"/>
      <c r="Z670" s="256"/>
    </row>
    <row r="671">
      <c r="A671" s="256"/>
      <c r="B671" s="256"/>
      <c r="C671" s="256"/>
      <c r="D671" s="256"/>
      <c r="E671" s="256"/>
      <c r="F671" s="256"/>
      <c r="G671" s="256"/>
      <c r="H671" s="256"/>
      <c r="I671" s="256"/>
      <c r="J671" s="256"/>
      <c r="K671" s="256"/>
      <c r="L671" s="256"/>
      <c r="M671" s="256"/>
      <c r="N671" s="256"/>
      <c r="O671" s="256"/>
      <c r="P671" s="256"/>
      <c r="Q671" s="256"/>
      <c r="R671" s="256"/>
      <c r="S671" s="256"/>
      <c r="T671" s="256"/>
      <c r="U671" s="256"/>
      <c r="V671" s="256"/>
      <c r="W671" s="256"/>
      <c r="X671" s="256"/>
      <c r="Y671" s="256"/>
      <c r="Z671" s="256"/>
    </row>
    <row r="672">
      <c r="A672" s="256"/>
      <c r="B672" s="256"/>
      <c r="C672" s="256"/>
      <c r="D672" s="256"/>
      <c r="E672" s="256"/>
      <c r="F672" s="256"/>
      <c r="G672" s="256"/>
      <c r="H672" s="256"/>
      <c r="I672" s="256"/>
      <c r="J672" s="256"/>
      <c r="K672" s="256"/>
      <c r="L672" s="256"/>
      <c r="M672" s="256"/>
      <c r="N672" s="256"/>
      <c r="O672" s="256"/>
      <c r="P672" s="256"/>
      <c r="Q672" s="256"/>
      <c r="R672" s="256"/>
      <c r="S672" s="256"/>
      <c r="T672" s="256"/>
      <c r="U672" s="256"/>
      <c r="V672" s="256"/>
      <c r="W672" s="256"/>
      <c r="X672" s="256"/>
      <c r="Y672" s="256"/>
      <c r="Z672" s="256"/>
    </row>
    <row r="673">
      <c r="A673" s="256"/>
      <c r="B673" s="256"/>
      <c r="C673" s="256"/>
      <c r="D673" s="256"/>
      <c r="E673" s="256"/>
      <c r="F673" s="256"/>
      <c r="G673" s="256"/>
      <c r="H673" s="256"/>
      <c r="I673" s="256"/>
      <c r="J673" s="256"/>
      <c r="K673" s="256"/>
      <c r="L673" s="256"/>
      <c r="M673" s="256"/>
      <c r="N673" s="256"/>
      <c r="O673" s="256"/>
      <c r="P673" s="256"/>
      <c r="Q673" s="256"/>
      <c r="R673" s="256"/>
      <c r="S673" s="256"/>
      <c r="T673" s="256"/>
      <c r="U673" s="256"/>
      <c r="V673" s="256"/>
      <c r="W673" s="256"/>
      <c r="X673" s="256"/>
      <c r="Y673" s="256"/>
      <c r="Z673" s="256"/>
    </row>
    <row r="674">
      <c r="A674" s="256"/>
      <c r="B674" s="256"/>
      <c r="C674" s="256"/>
      <c r="D674" s="256"/>
      <c r="E674" s="256"/>
      <c r="F674" s="256"/>
      <c r="G674" s="256"/>
      <c r="H674" s="256"/>
      <c r="I674" s="256"/>
      <c r="J674" s="256"/>
      <c r="K674" s="256"/>
      <c r="L674" s="256"/>
      <c r="M674" s="256"/>
      <c r="N674" s="256"/>
      <c r="O674" s="256"/>
      <c r="P674" s="256"/>
      <c r="Q674" s="256"/>
      <c r="R674" s="256"/>
      <c r="S674" s="256"/>
      <c r="T674" s="256"/>
      <c r="U674" s="256"/>
      <c r="V674" s="256"/>
      <c r="W674" s="256"/>
      <c r="X674" s="256"/>
      <c r="Y674" s="256"/>
      <c r="Z674" s="256"/>
    </row>
    <row r="675">
      <c r="A675" s="256"/>
      <c r="B675" s="256"/>
      <c r="C675" s="256"/>
      <c r="D675" s="256"/>
      <c r="E675" s="256"/>
      <c r="F675" s="256"/>
      <c r="G675" s="256"/>
      <c r="H675" s="256"/>
      <c r="I675" s="256"/>
      <c r="J675" s="256"/>
      <c r="K675" s="256"/>
      <c r="L675" s="256"/>
      <c r="M675" s="256"/>
      <c r="N675" s="256"/>
      <c r="O675" s="256"/>
      <c r="P675" s="256"/>
      <c r="Q675" s="256"/>
      <c r="R675" s="256"/>
      <c r="S675" s="256"/>
      <c r="T675" s="256"/>
      <c r="U675" s="256"/>
      <c r="V675" s="256"/>
      <c r="W675" s="256"/>
      <c r="X675" s="256"/>
      <c r="Y675" s="256"/>
      <c r="Z675" s="256"/>
    </row>
    <row r="676">
      <c r="A676" s="256"/>
      <c r="B676" s="256"/>
      <c r="C676" s="256"/>
      <c r="D676" s="256"/>
      <c r="E676" s="256"/>
      <c r="F676" s="256"/>
      <c r="G676" s="256"/>
      <c r="H676" s="256"/>
      <c r="I676" s="256"/>
      <c r="J676" s="256"/>
      <c r="K676" s="256"/>
      <c r="L676" s="256"/>
      <c r="M676" s="256"/>
      <c r="N676" s="256"/>
      <c r="O676" s="256"/>
      <c r="P676" s="256"/>
      <c r="Q676" s="256"/>
      <c r="R676" s="256"/>
      <c r="S676" s="256"/>
      <c r="T676" s="256"/>
      <c r="U676" s="256"/>
      <c r="V676" s="256"/>
      <c r="W676" s="256"/>
      <c r="X676" s="256"/>
      <c r="Y676" s="256"/>
      <c r="Z676" s="256"/>
    </row>
    <row r="677">
      <c r="A677" s="256"/>
      <c r="B677" s="256"/>
      <c r="C677" s="256"/>
      <c r="D677" s="256"/>
      <c r="E677" s="256"/>
      <c r="F677" s="256"/>
      <c r="G677" s="256"/>
      <c r="H677" s="256"/>
      <c r="I677" s="256"/>
      <c r="J677" s="256"/>
      <c r="K677" s="256"/>
      <c r="L677" s="256"/>
      <c r="M677" s="256"/>
      <c r="N677" s="256"/>
      <c r="O677" s="256"/>
      <c r="P677" s="256"/>
      <c r="Q677" s="256"/>
      <c r="R677" s="256"/>
      <c r="S677" s="256"/>
      <c r="T677" s="256"/>
      <c r="U677" s="256"/>
      <c r="V677" s="256"/>
      <c r="W677" s="256"/>
      <c r="X677" s="256"/>
      <c r="Y677" s="256"/>
      <c r="Z677" s="256"/>
    </row>
    <row r="678">
      <c r="A678" s="256"/>
      <c r="B678" s="256"/>
      <c r="C678" s="256"/>
      <c r="D678" s="256"/>
      <c r="E678" s="256"/>
      <c r="F678" s="256"/>
      <c r="G678" s="256"/>
      <c r="H678" s="256"/>
      <c r="I678" s="256"/>
      <c r="J678" s="256"/>
      <c r="K678" s="256"/>
      <c r="L678" s="256"/>
      <c r="M678" s="256"/>
      <c r="N678" s="256"/>
      <c r="O678" s="256"/>
      <c r="P678" s="256"/>
      <c r="Q678" s="256"/>
      <c r="R678" s="256"/>
      <c r="S678" s="256"/>
      <c r="T678" s="256"/>
      <c r="U678" s="256"/>
      <c r="V678" s="256"/>
      <c r="W678" s="256"/>
      <c r="X678" s="256"/>
      <c r="Y678" s="256"/>
      <c r="Z678" s="256"/>
    </row>
    <row r="679">
      <c r="A679" s="256"/>
      <c r="B679" s="256"/>
      <c r="C679" s="256"/>
      <c r="D679" s="256"/>
      <c r="E679" s="256"/>
      <c r="F679" s="256"/>
      <c r="G679" s="256"/>
      <c r="H679" s="256"/>
      <c r="I679" s="256"/>
      <c r="J679" s="256"/>
      <c r="K679" s="256"/>
      <c r="L679" s="256"/>
      <c r="M679" s="256"/>
      <c r="N679" s="256"/>
      <c r="O679" s="256"/>
      <c r="P679" s="256"/>
      <c r="Q679" s="256"/>
      <c r="R679" s="256"/>
      <c r="S679" s="256"/>
      <c r="T679" s="256"/>
      <c r="U679" s="256"/>
      <c r="V679" s="256"/>
      <c r="W679" s="256"/>
      <c r="X679" s="256"/>
      <c r="Y679" s="256"/>
      <c r="Z679" s="256"/>
    </row>
    <row r="680">
      <c r="A680" s="256"/>
      <c r="B680" s="256"/>
      <c r="C680" s="256"/>
      <c r="D680" s="256"/>
      <c r="E680" s="256"/>
      <c r="F680" s="256"/>
      <c r="G680" s="256"/>
      <c r="H680" s="256"/>
      <c r="I680" s="256"/>
      <c r="J680" s="256"/>
      <c r="K680" s="256"/>
      <c r="L680" s="256"/>
      <c r="M680" s="256"/>
      <c r="N680" s="256"/>
      <c r="O680" s="256"/>
      <c r="P680" s="256"/>
      <c r="Q680" s="256"/>
      <c r="R680" s="256"/>
      <c r="S680" s="256"/>
      <c r="T680" s="256"/>
      <c r="U680" s="256"/>
      <c r="V680" s="256"/>
      <c r="W680" s="256"/>
      <c r="X680" s="256"/>
      <c r="Y680" s="256"/>
      <c r="Z680" s="256"/>
    </row>
    <row r="681">
      <c r="A681" s="256"/>
      <c r="B681" s="256"/>
      <c r="C681" s="256"/>
      <c r="D681" s="256"/>
      <c r="E681" s="256"/>
      <c r="F681" s="256"/>
      <c r="G681" s="256"/>
      <c r="H681" s="256"/>
      <c r="I681" s="256"/>
      <c r="J681" s="256"/>
      <c r="K681" s="256"/>
      <c r="L681" s="256"/>
      <c r="M681" s="256"/>
      <c r="N681" s="256"/>
      <c r="O681" s="256"/>
      <c r="P681" s="256"/>
      <c r="Q681" s="256"/>
      <c r="R681" s="256"/>
      <c r="S681" s="256"/>
      <c r="T681" s="256"/>
      <c r="U681" s="256"/>
      <c r="V681" s="256"/>
      <c r="W681" s="256"/>
      <c r="X681" s="256"/>
      <c r="Y681" s="256"/>
      <c r="Z681" s="256"/>
    </row>
    <row r="682">
      <c r="A682" s="256"/>
      <c r="B682" s="256"/>
      <c r="C682" s="256"/>
      <c r="D682" s="256"/>
      <c r="E682" s="256"/>
      <c r="F682" s="256"/>
      <c r="G682" s="256"/>
      <c r="H682" s="256"/>
      <c r="I682" s="256"/>
      <c r="J682" s="256"/>
      <c r="K682" s="256"/>
      <c r="L682" s="256"/>
      <c r="M682" s="256"/>
      <c r="N682" s="256"/>
      <c r="O682" s="256"/>
      <c r="P682" s="256"/>
      <c r="Q682" s="256"/>
      <c r="R682" s="256"/>
      <c r="S682" s="256"/>
      <c r="T682" s="256"/>
      <c r="U682" s="256"/>
      <c r="V682" s="256"/>
      <c r="W682" s="256"/>
      <c r="X682" s="256"/>
      <c r="Y682" s="256"/>
      <c r="Z682" s="256"/>
    </row>
    <row r="683">
      <c r="A683" s="256"/>
      <c r="B683" s="256"/>
      <c r="C683" s="256"/>
      <c r="D683" s="256"/>
      <c r="E683" s="256"/>
      <c r="F683" s="256"/>
      <c r="G683" s="256"/>
      <c r="H683" s="256"/>
      <c r="I683" s="256"/>
      <c r="J683" s="256"/>
      <c r="K683" s="256"/>
      <c r="L683" s="256"/>
      <c r="M683" s="256"/>
      <c r="N683" s="256"/>
      <c r="O683" s="256"/>
      <c r="P683" s="256"/>
      <c r="Q683" s="256"/>
      <c r="R683" s="256"/>
      <c r="S683" s="256"/>
      <c r="T683" s="256"/>
      <c r="U683" s="256"/>
      <c r="V683" s="256"/>
      <c r="W683" s="256"/>
      <c r="X683" s="256"/>
      <c r="Y683" s="256"/>
      <c r="Z683" s="256"/>
    </row>
    <row r="684">
      <c r="A684" s="256"/>
      <c r="B684" s="256"/>
      <c r="C684" s="256"/>
      <c r="D684" s="256"/>
      <c r="E684" s="256"/>
      <c r="F684" s="256"/>
      <c r="G684" s="256"/>
      <c r="H684" s="256"/>
      <c r="I684" s="256"/>
      <c r="J684" s="256"/>
      <c r="K684" s="256"/>
      <c r="L684" s="256"/>
      <c r="M684" s="256"/>
      <c r="N684" s="256"/>
      <c r="O684" s="256"/>
      <c r="P684" s="256"/>
      <c r="Q684" s="256"/>
      <c r="R684" s="256"/>
      <c r="S684" s="256"/>
      <c r="T684" s="256"/>
      <c r="U684" s="256"/>
      <c r="V684" s="256"/>
      <c r="W684" s="256"/>
      <c r="X684" s="256"/>
      <c r="Y684" s="256"/>
      <c r="Z684" s="256"/>
    </row>
    <row r="685">
      <c r="A685" s="256"/>
      <c r="B685" s="256"/>
      <c r="C685" s="256"/>
      <c r="D685" s="256"/>
      <c r="E685" s="256"/>
      <c r="F685" s="256"/>
      <c r="G685" s="256"/>
      <c r="H685" s="256"/>
      <c r="I685" s="256"/>
      <c r="J685" s="256"/>
      <c r="K685" s="256"/>
      <c r="L685" s="256"/>
      <c r="M685" s="256"/>
      <c r="N685" s="256"/>
      <c r="O685" s="256"/>
      <c r="P685" s="256"/>
      <c r="Q685" s="256"/>
      <c r="R685" s="256"/>
      <c r="S685" s="256"/>
      <c r="T685" s="256"/>
      <c r="U685" s="256"/>
      <c r="V685" s="256"/>
      <c r="W685" s="256"/>
      <c r="X685" s="256"/>
      <c r="Y685" s="256"/>
      <c r="Z685" s="256"/>
    </row>
    <row r="686">
      <c r="A686" s="256"/>
      <c r="B686" s="256"/>
      <c r="C686" s="256"/>
      <c r="D686" s="256"/>
      <c r="E686" s="256"/>
      <c r="F686" s="256"/>
      <c r="G686" s="256"/>
      <c r="H686" s="256"/>
      <c r="I686" s="256"/>
      <c r="J686" s="256"/>
      <c r="K686" s="256"/>
      <c r="L686" s="256"/>
      <c r="M686" s="256"/>
      <c r="N686" s="256"/>
      <c r="O686" s="256"/>
      <c r="P686" s="256"/>
      <c r="Q686" s="256"/>
      <c r="R686" s="256"/>
      <c r="S686" s="256"/>
      <c r="T686" s="256"/>
      <c r="U686" s="256"/>
      <c r="V686" s="256"/>
      <c r="W686" s="256"/>
      <c r="X686" s="256"/>
      <c r="Y686" s="256"/>
      <c r="Z686" s="256"/>
    </row>
    <row r="687">
      <c r="A687" s="256"/>
      <c r="B687" s="256"/>
      <c r="C687" s="256"/>
      <c r="D687" s="256"/>
      <c r="E687" s="256"/>
      <c r="F687" s="256"/>
      <c r="G687" s="256"/>
      <c r="H687" s="256"/>
      <c r="I687" s="256"/>
      <c r="J687" s="256"/>
      <c r="K687" s="256"/>
      <c r="L687" s="256"/>
      <c r="M687" s="256"/>
      <c r="N687" s="256"/>
      <c r="O687" s="256"/>
      <c r="P687" s="256"/>
      <c r="Q687" s="256"/>
      <c r="R687" s="256"/>
      <c r="S687" s="256"/>
      <c r="T687" s="256"/>
      <c r="U687" s="256"/>
      <c r="V687" s="256"/>
      <c r="W687" s="256"/>
      <c r="X687" s="256"/>
      <c r="Y687" s="256"/>
      <c r="Z687" s="256"/>
    </row>
    <row r="688">
      <c r="A688" s="256"/>
      <c r="B688" s="256"/>
      <c r="C688" s="256"/>
      <c r="D688" s="256"/>
      <c r="E688" s="256"/>
      <c r="F688" s="256"/>
      <c r="G688" s="256"/>
      <c r="H688" s="256"/>
      <c r="I688" s="256"/>
      <c r="J688" s="256"/>
      <c r="K688" s="256"/>
      <c r="L688" s="256"/>
      <c r="M688" s="256"/>
      <c r="N688" s="256"/>
      <c r="O688" s="256"/>
      <c r="P688" s="256"/>
      <c r="Q688" s="256"/>
      <c r="R688" s="256"/>
      <c r="S688" s="256"/>
      <c r="T688" s="256"/>
      <c r="U688" s="256"/>
      <c r="V688" s="256"/>
      <c r="W688" s="256"/>
      <c r="X688" s="256"/>
      <c r="Y688" s="256"/>
      <c r="Z688" s="256"/>
    </row>
    <row r="689">
      <c r="A689" s="256"/>
      <c r="B689" s="256"/>
      <c r="C689" s="256"/>
      <c r="D689" s="256"/>
      <c r="E689" s="256"/>
      <c r="F689" s="256"/>
      <c r="G689" s="256"/>
      <c r="H689" s="256"/>
      <c r="I689" s="256"/>
      <c r="J689" s="256"/>
      <c r="K689" s="256"/>
      <c r="L689" s="256"/>
      <c r="M689" s="256"/>
      <c r="N689" s="256"/>
      <c r="O689" s="256"/>
      <c r="P689" s="256"/>
      <c r="Q689" s="256"/>
      <c r="R689" s="256"/>
      <c r="S689" s="256"/>
      <c r="T689" s="256"/>
      <c r="U689" s="256"/>
      <c r="V689" s="256"/>
      <c r="W689" s="256"/>
      <c r="X689" s="256"/>
      <c r="Y689" s="256"/>
      <c r="Z689" s="256"/>
    </row>
    <row r="690">
      <c r="A690" s="256"/>
      <c r="B690" s="256"/>
      <c r="C690" s="256"/>
      <c r="D690" s="256"/>
      <c r="E690" s="256"/>
      <c r="F690" s="256"/>
      <c r="G690" s="256"/>
      <c r="H690" s="256"/>
      <c r="I690" s="256"/>
      <c r="J690" s="256"/>
      <c r="K690" s="256"/>
      <c r="L690" s="256"/>
      <c r="M690" s="256"/>
      <c r="N690" s="256"/>
      <c r="O690" s="256"/>
      <c r="P690" s="256"/>
      <c r="Q690" s="256"/>
      <c r="R690" s="256"/>
      <c r="S690" s="256"/>
      <c r="T690" s="256"/>
      <c r="U690" s="256"/>
      <c r="V690" s="256"/>
      <c r="W690" s="256"/>
      <c r="X690" s="256"/>
      <c r="Y690" s="256"/>
      <c r="Z690" s="256"/>
    </row>
    <row r="691">
      <c r="A691" s="256"/>
      <c r="B691" s="256"/>
      <c r="C691" s="256"/>
      <c r="D691" s="256"/>
      <c r="E691" s="256"/>
      <c r="F691" s="256"/>
      <c r="G691" s="256"/>
      <c r="H691" s="256"/>
      <c r="I691" s="256"/>
      <c r="J691" s="256"/>
      <c r="K691" s="256"/>
      <c r="L691" s="256"/>
      <c r="M691" s="256"/>
      <c r="N691" s="256"/>
      <c r="O691" s="256"/>
      <c r="P691" s="256"/>
      <c r="Q691" s="256"/>
      <c r="R691" s="256"/>
      <c r="S691" s="256"/>
      <c r="T691" s="256"/>
      <c r="U691" s="256"/>
      <c r="V691" s="256"/>
      <c r="W691" s="256"/>
      <c r="X691" s="256"/>
      <c r="Y691" s="256"/>
      <c r="Z691" s="256"/>
    </row>
    <row r="692">
      <c r="A692" s="256"/>
      <c r="B692" s="256"/>
      <c r="C692" s="256"/>
      <c r="D692" s="256"/>
      <c r="E692" s="256"/>
      <c r="F692" s="256"/>
      <c r="G692" s="256"/>
      <c r="H692" s="256"/>
      <c r="I692" s="256"/>
      <c r="J692" s="256"/>
      <c r="K692" s="256"/>
      <c r="L692" s="256"/>
      <c r="M692" s="256"/>
      <c r="N692" s="256"/>
      <c r="O692" s="256"/>
      <c r="P692" s="256"/>
      <c r="Q692" s="256"/>
      <c r="R692" s="256"/>
      <c r="S692" s="256"/>
      <c r="T692" s="256"/>
      <c r="U692" s="256"/>
      <c r="V692" s="256"/>
      <c r="W692" s="256"/>
      <c r="X692" s="256"/>
      <c r="Y692" s="256"/>
      <c r="Z692" s="256"/>
    </row>
    <row r="693">
      <c r="A693" s="256"/>
      <c r="B693" s="256"/>
      <c r="C693" s="256"/>
      <c r="D693" s="256"/>
      <c r="E693" s="256"/>
      <c r="F693" s="256"/>
      <c r="G693" s="256"/>
      <c r="H693" s="256"/>
      <c r="I693" s="256"/>
      <c r="J693" s="256"/>
      <c r="K693" s="256"/>
      <c r="L693" s="256"/>
      <c r="M693" s="256"/>
      <c r="N693" s="256"/>
      <c r="O693" s="256"/>
      <c r="P693" s="256"/>
      <c r="Q693" s="256"/>
      <c r="R693" s="256"/>
      <c r="S693" s="256"/>
      <c r="T693" s="256"/>
      <c r="U693" s="256"/>
      <c r="V693" s="256"/>
      <c r="W693" s="256"/>
      <c r="X693" s="256"/>
      <c r="Y693" s="256"/>
      <c r="Z693" s="256"/>
    </row>
    <row r="694">
      <c r="A694" s="256"/>
      <c r="B694" s="256"/>
      <c r="C694" s="256"/>
      <c r="D694" s="256"/>
      <c r="E694" s="256"/>
      <c r="F694" s="256"/>
      <c r="G694" s="256"/>
      <c r="H694" s="256"/>
      <c r="I694" s="256"/>
      <c r="J694" s="256"/>
      <c r="K694" s="256"/>
      <c r="L694" s="256"/>
      <c r="M694" s="256"/>
      <c r="N694" s="256"/>
      <c r="O694" s="256"/>
      <c r="P694" s="256"/>
      <c r="Q694" s="256"/>
      <c r="R694" s="256"/>
      <c r="S694" s="256"/>
      <c r="T694" s="256"/>
      <c r="U694" s="256"/>
      <c r="V694" s="256"/>
      <c r="W694" s="256"/>
      <c r="X694" s="256"/>
      <c r="Y694" s="256"/>
      <c r="Z694" s="256"/>
    </row>
    <row r="695">
      <c r="A695" s="256"/>
      <c r="B695" s="256"/>
      <c r="C695" s="256"/>
      <c r="D695" s="256"/>
      <c r="E695" s="256"/>
      <c r="F695" s="256"/>
      <c r="G695" s="256"/>
      <c r="H695" s="256"/>
      <c r="I695" s="256"/>
      <c r="J695" s="256"/>
      <c r="K695" s="256"/>
      <c r="L695" s="256"/>
      <c r="M695" s="256"/>
      <c r="N695" s="256"/>
      <c r="O695" s="256"/>
      <c r="P695" s="256"/>
      <c r="Q695" s="256"/>
      <c r="R695" s="256"/>
      <c r="S695" s="256"/>
      <c r="T695" s="256"/>
      <c r="U695" s="256"/>
      <c r="V695" s="256"/>
      <c r="W695" s="256"/>
      <c r="X695" s="256"/>
      <c r="Y695" s="256"/>
      <c r="Z695" s="256"/>
    </row>
    <row r="696">
      <c r="A696" s="256"/>
      <c r="B696" s="256"/>
      <c r="C696" s="256"/>
      <c r="D696" s="256"/>
      <c r="E696" s="256"/>
      <c r="F696" s="256"/>
      <c r="G696" s="256"/>
      <c r="H696" s="256"/>
      <c r="I696" s="256"/>
      <c r="J696" s="256"/>
      <c r="K696" s="256"/>
      <c r="L696" s="256"/>
      <c r="M696" s="256"/>
      <c r="N696" s="256"/>
      <c r="O696" s="256"/>
      <c r="P696" s="256"/>
      <c r="Q696" s="256"/>
      <c r="R696" s="256"/>
      <c r="S696" s="256"/>
      <c r="T696" s="256"/>
      <c r="U696" s="256"/>
      <c r="V696" s="256"/>
      <c r="W696" s="256"/>
      <c r="X696" s="256"/>
      <c r="Y696" s="256"/>
      <c r="Z696" s="256"/>
    </row>
    <row r="697">
      <c r="A697" s="256"/>
      <c r="B697" s="256"/>
      <c r="C697" s="256"/>
      <c r="D697" s="256"/>
      <c r="E697" s="256"/>
      <c r="F697" s="256"/>
      <c r="G697" s="256"/>
      <c r="H697" s="256"/>
      <c r="I697" s="256"/>
      <c r="J697" s="256"/>
      <c r="K697" s="256"/>
      <c r="L697" s="256"/>
      <c r="M697" s="256"/>
      <c r="N697" s="256"/>
      <c r="O697" s="256"/>
      <c r="P697" s="256"/>
      <c r="Q697" s="256"/>
      <c r="R697" s="256"/>
      <c r="S697" s="256"/>
      <c r="T697" s="256"/>
      <c r="U697" s="256"/>
      <c r="V697" s="256"/>
      <c r="W697" s="256"/>
      <c r="X697" s="256"/>
      <c r="Y697" s="256"/>
      <c r="Z697" s="256"/>
    </row>
    <row r="698">
      <c r="A698" s="256"/>
      <c r="B698" s="256"/>
      <c r="C698" s="256"/>
      <c r="D698" s="256"/>
      <c r="E698" s="256"/>
      <c r="F698" s="256"/>
      <c r="G698" s="256"/>
      <c r="H698" s="256"/>
      <c r="I698" s="256"/>
      <c r="J698" s="256"/>
      <c r="K698" s="256"/>
      <c r="L698" s="256"/>
      <c r="M698" s="256"/>
      <c r="N698" s="256"/>
      <c r="O698" s="256"/>
      <c r="P698" s="256"/>
      <c r="Q698" s="256"/>
      <c r="R698" s="256"/>
      <c r="S698" s="256"/>
      <c r="T698" s="256"/>
      <c r="U698" s="256"/>
      <c r="V698" s="256"/>
      <c r="W698" s="256"/>
      <c r="X698" s="256"/>
      <c r="Y698" s="256"/>
      <c r="Z698" s="256"/>
    </row>
    <row r="699">
      <c r="A699" s="256"/>
      <c r="B699" s="256"/>
      <c r="C699" s="256"/>
      <c r="D699" s="256"/>
      <c r="E699" s="256"/>
      <c r="F699" s="256"/>
      <c r="G699" s="256"/>
      <c r="H699" s="256"/>
      <c r="I699" s="256"/>
      <c r="J699" s="256"/>
      <c r="K699" s="256"/>
      <c r="L699" s="256"/>
      <c r="M699" s="256"/>
      <c r="N699" s="256"/>
      <c r="O699" s="256"/>
      <c r="P699" s="256"/>
      <c r="Q699" s="256"/>
      <c r="R699" s="256"/>
      <c r="S699" s="256"/>
      <c r="T699" s="256"/>
      <c r="U699" s="256"/>
      <c r="V699" s="256"/>
      <c r="W699" s="256"/>
      <c r="X699" s="256"/>
      <c r="Y699" s="256"/>
      <c r="Z699" s="256"/>
    </row>
    <row r="700">
      <c r="A700" s="256"/>
      <c r="B700" s="256"/>
      <c r="C700" s="256"/>
      <c r="D700" s="256"/>
      <c r="E700" s="256"/>
      <c r="F700" s="256"/>
      <c r="G700" s="256"/>
      <c r="H700" s="256"/>
      <c r="I700" s="256"/>
      <c r="J700" s="256"/>
      <c r="K700" s="256"/>
      <c r="L700" s="256"/>
      <c r="M700" s="256"/>
      <c r="N700" s="256"/>
      <c r="O700" s="256"/>
      <c r="P700" s="256"/>
      <c r="Q700" s="256"/>
      <c r="R700" s="256"/>
      <c r="S700" s="256"/>
      <c r="T700" s="256"/>
      <c r="U700" s="256"/>
      <c r="V700" s="256"/>
      <c r="W700" s="256"/>
      <c r="X700" s="256"/>
      <c r="Y700" s="256"/>
      <c r="Z700" s="256"/>
    </row>
    <row r="701">
      <c r="A701" s="256"/>
      <c r="B701" s="256"/>
      <c r="C701" s="256"/>
      <c r="D701" s="256"/>
      <c r="E701" s="256"/>
      <c r="F701" s="256"/>
      <c r="G701" s="256"/>
      <c r="H701" s="256"/>
      <c r="I701" s="256"/>
      <c r="J701" s="256"/>
      <c r="K701" s="256"/>
      <c r="L701" s="256"/>
      <c r="M701" s="256"/>
      <c r="N701" s="256"/>
      <c r="O701" s="256"/>
      <c r="P701" s="256"/>
      <c r="Q701" s="256"/>
      <c r="R701" s="256"/>
      <c r="S701" s="256"/>
      <c r="T701" s="256"/>
      <c r="U701" s="256"/>
      <c r="V701" s="256"/>
      <c r="W701" s="256"/>
      <c r="X701" s="256"/>
      <c r="Y701" s="256"/>
      <c r="Z701" s="256"/>
    </row>
    <row r="702">
      <c r="A702" s="256"/>
      <c r="B702" s="256"/>
      <c r="C702" s="256"/>
      <c r="D702" s="256"/>
      <c r="E702" s="256"/>
      <c r="F702" s="256"/>
      <c r="G702" s="256"/>
      <c r="H702" s="256"/>
      <c r="I702" s="256"/>
      <c r="J702" s="256"/>
      <c r="K702" s="256"/>
      <c r="L702" s="256"/>
      <c r="M702" s="256"/>
      <c r="N702" s="256"/>
      <c r="O702" s="256"/>
      <c r="P702" s="256"/>
      <c r="Q702" s="256"/>
      <c r="R702" s="256"/>
      <c r="S702" s="256"/>
      <c r="T702" s="256"/>
      <c r="U702" s="256"/>
      <c r="V702" s="256"/>
      <c r="W702" s="256"/>
      <c r="X702" s="256"/>
      <c r="Y702" s="256"/>
      <c r="Z702" s="256"/>
    </row>
    <row r="703">
      <c r="A703" s="256"/>
      <c r="B703" s="256"/>
      <c r="C703" s="256"/>
      <c r="D703" s="256"/>
      <c r="E703" s="256"/>
      <c r="F703" s="256"/>
      <c r="G703" s="256"/>
      <c r="H703" s="256"/>
      <c r="I703" s="256"/>
      <c r="J703" s="256"/>
      <c r="K703" s="256"/>
      <c r="L703" s="256"/>
      <c r="M703" s="256"/>
      <c r="N703" s="256"/>
      <c r="O703" s="256"/>
      <c r="P703" s="256"/>
      <c r="Q703" s="256"/>
      <c r="R703" s="256"/>
      <c r="S703" s="256"/>
      <c r="T703" s="256"/>
      <c r="U703" s="256"/>
      <c r="V703" s="256"/>
      <c r="W703" s="256"/>
      <c r="X703" s="256"/>
      <c r="Y703" s="256"/>
      <c r="Z703" s="256"/>
    </row>
    <row r="704">
      <c r="A704" s="256"/>
      <c r="B704" s="256"/>
      <c r="C704" s="256"/>
      <c r="D704" s="256"/>
      <c r="E704" s="256"/>
      <c r="F704" s="256"/>
      <c r="G704" s="256"/>
      <c r="H704" s="256"/>
      <c r="I704" s="256"/>
      <c r="J704" s="256"/>
      <c r="K704" s="256"/>
      <c r="L704" s="256"/>
      <c r="M704" s="256"/>
      <c r="N704" s="256"/>
      <c r="O704" s="256"/>
      <c r="P704" s="256"/>
      <c r="Q704" s="256"/>
      <c r="R704" s="256"/>
      <c r="S704" s="256"/>
      <c r="T704" s="256"/>
      <c r="U704" s="256"/>
      <c r="V704" s="256"/>
      <c r="W704" s="256"/>
      <c r="X704" s="256"/>
      <c r="Y704" s="256"/>
      <c r="Z704" s="256"/>
    </row>
    <row r="705">
      <c r="A705" s="256"/>
      <c r="B705" s="256"/>
      <c r="C705" s="256"/>
      <c r="D705" s="256"/>
      <c r="E705" s="256"/>
      <c r="F705" s="256"/>
      <c r="G705" s="256"/>
      <c r="H705" s="256"/>
      <c r="I705" s="256"/>
      <c r="J705" s="256"/>
      <c r="K705" s="256"/>
      <c r="L705" s="256"/>
      <c r="M705" s="256"/>
      <c r="N705" s="256"/>
      <c r="O705" s="256"/>
      <c r="P705" s="256"/>
      <c r="Q705" s="256"/>
      <c r="R705" s="256"/>
      <c r="S705" s="256"/>
      <c r="T705" s="256"/>
      <c r="U705" s="256"/>
      <c r="V705" s="256"/>
      <c r="W705" s="256"/>
      <c r="X705" s="256"/>
      <c r="Y705" s="256"/>
      <c r="Z705" s="256"/>
    </row>
    <row r="706">
      <c r="A706" s="256"/>
      <c r="B706" s="256"/>
      <c r="C706" s="256"/>
      <c r="D706" s="256"/>
      <c r="E706" s="256"/>
      <c r="F706" s="256"/>
      <c r="G706" s="256"/>
      <c r="H706" s="256"/>
      <c r="I706" s="256"/>
      <c r="J706" s="256"/>
      <c r="K706" s="256"/>
      <c r="L706" s="256"/>
      <c r="M706" s="256"/>
      <c r="N706" s="256"/>
      <c r="O706" s="256"/>
      <c r="P706" s="256"/>
      <c r="Q706" s="256"/>
      <c r="R706" s="256"/>
      <c r="S706" s="256"/>
      <c r="T706" s="256"/>
      <c r="U706" s="256"/>
      <c r="V706" s="256"/>
      <c r="W706" s="256"/>
      <c r="X706" s="256"/>
      <c r="Y706" s="256"/>
      <c r="Z706" s="256"/>
    </row>
    <row r="707">
      <c r="A707" s="256"/>
      <c r="B707" s="256"/>
      <c r="C707" s="256"/>
      <c r="D707" s="256"/>
      <c r="E707" s="256"/>
      <c r="F707" s="256"/>
      <c r="G707" s="256"/>
      <c r="H707" s="256"/>
      <c r="I707" s="256"/>
      <c r="J707" s="256"/>
      <c r="K707" s="256"/>
      <c r="L707" s="256"/>
      <c r="M707" s="256"/>
      <c r="N707" s="256"/>
      <c r="O707" s="256"/>
      <c r="P707" s="256"/>
      <c r="Q707" s="256"/>
      <c r="R707" s="256"/>
      <c r="S707" s="256"/>
      <c r="T707" s="256"/>
      <c r="U707" s="256"/>
      <c r="V707" s="256"/>
      <c r="W707" s="256"/>
      <c r="X707" s="256"/>
      <c r="Y707" s="256"/>
      <c r="Z707" s="256"/>
    </row>
    <row r="708">
      <c r="A708" s="256"/>
      <c r="B708" s="256"/>
      <c r="C708" s="256"/>
      <c r="D708" s="256"/>
      <c r="E708" s="256"/>
      <c r="F708" s="256"/>
      <c r="G708" s="256"/>
      <c r="H708" s="256"/>
      <c r="I708" s="256"/>
      <c r="J708" s="256"/>
      <c r="K708" s="256"/>
      <c r="L708" s="256"/>
      <c r="M708" s="256"/>
      <c r="N708" s="256"/>
      <c r="O708" s="256"/>
      <c r="P708" s="256"/>
      <c r="Q708" s="256"/>
      <c r="R708" s="256"/>
      <c r="S708" s="256"/>
      <c r="T708" s="256"/>
      <c r="U708" s="256"/>
      <c r="V708" s="256"/>
      <c r="W708" s="256"/>
      <c r="X708" s="256"/>
      <c r="Y708" s="256"/>
      <c r="Z708" s="256"/>
    </row>
    <row r="709">
      <c r="A709" s="256"/>
      <c r="B709" s="256"/>
      <c r="C709" s="256"/>
      <c r="D709" s="256"/>
      <c r="E709" s="256"/>
      <c r="F709" s="256"/>
      <c r="G709" s="256"/>
      <c r="H709" s="256"/>
      <c r="I709" s="256"/>
      <c r="J709" s="256"/>
      <c r="K709" s="256"/>
      <c r="L709" s="256"/>
      <c r="M709" s="256"/>
      <c r="N709" s="256"/>
      <c r="O709" s="256"/>
      <c r="P709" s="256"/>
      <c r="Q709" s="256"/>
      <c r="R709" s="256"/>
      <c r="S709" s="256"/>
      <c r="T709" s="256"/>
      <c r="U709" s="256"/>
      <c r="V709" s="256"/>
      <c r="W709" s="256"/>
      <c r="X709" s="256"/>
      <c r="Y709" s="256"/>
      <c r="Z709" s="256"/>
    </row>
    <row r="710">
      <c r="A710" s="256"/>
      <c r="B710" s="256"/>
      <c r="C710" s="256"/>
      <c r="D710" s="256"/>
      <c r="E710" s="256"/>
      <c r="F710" s="256"/>
      <c r="G710" s="256"/>
      <c r="H710" s="256"/>
      <c r="I710" s="256"/>
      <c r="J710" s="256"/>
      <c r="K710" s="256"/>
      <c r="L710" s="256"/>
      <c r="M710" s="256"/>
      <c r="N710" s="256"/>
      <c r="O710" s="256"/>
      <c r="P710" s="256"/>
      <c r="Q710" s="256"/>
      <c r="R710" s="256"/>
      <c r="S710" s="256"/>
      <c r="T710" s="256"/>
      <c r="U710" s="256"/>
      <c r="V710" s="256"/>
      <c r="W710" s="256"/>
      <c r="X710" s="256"/>
      <c r="Y710" s="256"/>
      <c r="Z710" s="256"/>
    </row>
    <row r="711">
      <c r="A711" s="256"/>
      <c r="B711" s="256"/>
      <c r="C711" s="256"/>
      <c r="D711" s="256"/>
      <c r="E711" s="256"/>
      <c r="F711" s="256"/>
      <c r="G711" s="256"/>
      <c r="H711" s="256"/>
      <c r="I711" s="256"/>
      <c r="J711" s="256"/>
      <c r="K711" s="256"/>
      <c r="L711" s="256"/>
      <c r="M711" s="256"/>
      <c r="N711" s="256"/>
      <c r="O711" s="256"/>
      <c r="P711" s="256"/>
      <c r="Q711" s="256"/>
      <c r="R711" s="256"/>
      <c r="S711" s="256"/>
      <c r="T711" s="256"/>
      <c r="U711" s="256"/>
      <c r="V711" s="256"/>
      <c r="W711" s="256"/>
      <c r="X711" s="256"/>
      <c r="Y711" s="256"/>
      <c r="Z711" s="256"/>
    </row>
    <row r="712">
      <c r="A712" s="256"/>
      <c r="B712" s="256"/>
      <c r="C712" s="256"/>
      <c r="D712" s="256"/>
      <c r="E712" s="256"/>
      <c r="F712" s="256"/>
      <c r="G712" s="256"/>
      <c r="H712" s="256"/>
      <c r="I712" s="256"/>
      <c r="J712" s="256"/>
      <c r="K712" s="256"/>
      <c r="L712" s="256"/>
      <c r="M712" s="256"/>
      <c r="N712" s="256"/>
      <c r="O712" s="256"/>
      <c r="P712" s="256"/>
      <c r="Q712" s="256"/>
      <c r="R712" s="256"/>
      <c r="S712" s="256"/>
      <c r="T712" s="256"/>
      <c r="U712" s="256"/>
      <c r="V712" s="256"/>
      <c r="W712" s="256"/>
      <c r="X712" s="256"/>
      <c r="Y712" s="256"/>
      <c r="Z712" s="256"/>
    </row>
    <row r="713">
      <c r="A713" s="256"/>
      <c r="B713" s="256"/>
      <c r="C713" s="256"/>
      <c r="D713" s="256"/>
      <c r="E713" s="256"/>
      <c r="F713" s="256"/>
      <c r="G713" s="256"/>
      <c r="H713" s="256"/>
      <c r="I713" s="256"/>
      <c r="J713" s="256"/>
      <c r="K713" s="256"/>
      <c r="L713" s="256"/>
      <c r="M713" s="256"/>
      <c r="N713" s="256"/>
      <c r="O713" s="256"/>
      <c r="P713" s="256"/>
      <c r="Q713" s="256"/>
      <c r="R713" s="256"/>
      <c r="S713" s="256"/>
      <c r="T713" s="256"/>
      <c r="U713" s="256"/>
      <c r="V713" s="256"/>
      <c r="W713" s="256"/>
      <c r="X713" s="256"/>
      <c r="Y713" s="256"/>
      <c r="Z713" s="256"/>
    </row>
    <row r="714">
      <c r="A714" s="256"/>
      <c r="B714" s="256"/>
      <c r="C714" s="256"/>
      <c r="D714" s="256"/>
      <c r="E714" s="256"/>
      <c r="F714" s="256"/>
      <c r="G714" s="256"/>
      <c r="H714" s="256"/>
      <c r="I714" s="256"/>
      <c r="J714" s="256"/>
      <c r="K714" s="256"/>
      <c r="L714" s="256"/>
      <c r="M714" s="256"/>
      <c r="N714" s="256"/>
      <c r="O714" s="256"/>
      <c r="P714" s="256"/>
      <c r="Q714" s="256"/>
      <c r="R714" s="256"/>
      <c r="S714" s="256"/>
      <c r="T714" s="256"/>
      <c r="U714" s="256"/>
      <c r="V714" s="256"/>
      <c r="W714" s="256"/>
      <c r="X714" s="256"/>
      <c r="Y714" s="256"/>
      <c r="Z714" s="256"/>
    </row>
    <row r="715">
      <c r="A715" s="256"/>
      <c r="B715" s="256"/>
      <c r="C715" s="256"/>
      <c r="D715" s="256"/>
      <c r="E715" s="256"/>
      <c r="F715" s="256"/>
      <c r="G715" s="256"/>
      <c r="H715" s="256"/>
      <c r="I715" s="256"/>
      <c r="J715" s="256"/>
      <c r="K715" s="256"/>
      <c r="L715" s="256"/>
      <c r="M715" s="256"/>
      <c r="N715" s="256"/>
      <c r="O715" s="256"/>
      <c r="P715" s="256"/>
      <c r="Q715" s="256"/>
      <c r="R715" s="256"/>
      <c r="S715" s="256"/>
      <c r="T715" s="256"/>
      <c r="U715" s="256"/>
      <c r="V715" s="256"/>
      <c r="W715" s="256"/>
      <c r="X715" s="256"/>
      <c r="Y715" s="256"/>
      <c r="Z715" s="256"/>
    </row>
    <row r="716">
      <c r="A716" s="256"/>
      <c r="B716" s="256"/>
      <c r="C716" s="256"/>
      <c r="D716" s="256"/>
      <c r="E716" s="256"/>
      <c r="F716" s="256"/>
      <c r="G716" s="256"/>
      <c r="H716" s="256"/>
      <c r="I716" s="256"/>
      <c r="J716" s="256"/>
      <c r="K716" s="256"/>
      <c r="L716" s="256"/>
      <c r="M716" s="256"/>
      <c r="N716" s="256"/>
      <c r="O716" s="256"/>
      <c r="P716" s="256"/>
      <c r="Q716" s="256"/>
      <c r="R716" s="256"/>
      <c r="S716" s="256"/>
      <c r="T716" s="256"/>
      <c r="U716" s="256"/>
      <c r="V716" s="256"/>
      <c r="W716" s="256"/>
      <c r="X716" s="256"/>
      <c r="Y716" s="256"/>
      <c r="Z716" s="256"/>
    </row>
    <row r="717">
      <c r="A717" s="256"/>
      <c r="B717" s="256"/>
      <c r="C717" s="256"/>
      <c r="D717" s="256"/>
      <c r="E717" s="256"/>
      <c r="F717" s="256"/>
      <c r="G717" s="256"/>
      <c r="H717" s="256"/>
      <c r="I717" s="256"/>
      <c r="J717" s="256"/>
      <c r="K717" s="256"/>
      <c r="L717" s="256"/>
      <c r="M717" s="256"/>
      <c r="N717" s="256"/>
      <c r="O717" s="256"/>
      <c r="P717" s="256"/>
      <c r="Q717" s="256"/>
      <c r="R717" s="256"/>
      <c r="S717" s="256"/>
      <c r="T717" s="256"/>
      <c r="U717" s="256"/>
      <c r="V717" s="256"/>
      <c r="W717" s="256"/>
      <c r="X717" s="256"/>
      <c r="Y717" s="256"/>
      <c r="Z717" s="256"/>
    </row>
    <row r="718">
      <c r="A718" s="256"/>
      <c r="B718" s="256"/>
      <c r="C718" s="256"/>
      <c r="D718" s="256"/>
      <c r="E718" s="256"/>
      <c r="F718" s="256"/>
      <c r="G718" s="256"/>
      <c r="H718" s="256"/>
      <c r="I718" s="256"/>
      <c r="J718" s="256"/>
      <c r="K718" s="256"/>
      <c r="L718" s="256"/>
      <c r="M718" s="256"/>
      <c r="N718" s="256"/>
      <c r="O718" s="256"/>
      <c r="P718" s="256"/>
      <c r="Q718" s="256"/>
      <c r="R718" s="256"/>
      <c r="S718" s="256"/>
      <c r="T718" s="256"/>
      <c r="U718" s="256"/>
      <c r="V718" s="256"/>
      <c r="W718" s="256"/>
      <c r="X718" s="256"/>
      <c r="Y718" s="256"/>
      <c r="Z718" s="256"/>
    </row>
    <row r="719">
      <c r="A719" s="256"/>
      <c r="B719" s="256"/>
      <c r="C719" s="256"/>
      <c r="D719" s="256"/>
      <c r="E719" s="256"/>
      <c r="F719" s="256"/>
      <c r="G719" s="256"/>
      <c r="H719" s="256"/>
      <c r="I719" s="256"/>
      <c r="J719" s="256"/>
      <c r="K719" s="256"/>
      <c r="L719" s="256"/>
      <c r="M719" s="256"/>
      <c r="N719" s="256"/>
      <c r="O719" s="256"/>
      <c r="P719" s="256"/>
      <c r="Q719" s="256"/>
      <c r="R719" s="256"/>
      <c r="S719" s="256"/>
      <c r="T719" s="256"/>
      <c r="U719" s="256"/>
      <c r="V719" s="256"/>
      <c r="W719" s="256"/>
      <c r="X719" s="256"/>
      <c r="Y719" s="256"/>
      <c r="Z719" s="256"/>
    </row>
    <row r="720">
      <c r="A720" s="256"/>
      <c r="B720" s="256"/>
      <c r="C720" s="256"/>
      <c r="D720" s="256"/>
      <c r="E720" s="256"/>
      <c r="F720" s="256"/>
      <c r="G720" s="256"/>
      <c r="H720" s="256"/>
      <c r="I720" s="256"/>
      <c r="J720" s="256"/>
      <c r="K720" s="256"/>
      <c r="L720" s="256"/>
      <c r="M720" s="256"/>
      <c r="N720" s="256"/>
      <c r="O720" s="256"/>
      <c r="P720" s="256"/>
      <c r="Q720" s="256"/>
      <c r="R720" s="256"/>
      <c r="S720" s="256"/>
      <c r="T720" s="256"/>
      <c r="U720" s="256"/>
      <c r="V720" s="256"/>
      <c r="W720" s="256"/>
      <c r="X720" s="256"/>
      <c r="Y720" s="256"/>
      <c r="Z720" s="256"/>
    </row>
    <row r="721">
      <c r="A721" s="256"/>
      <c r="B721" s="256"/>
      <c r="C721" s="256"/>
      <c r="D721" s="256"/>
      <c r="E721" s="256"/>
      <c r="F721" s="256"/>
      <c r="G721" s="256"/>
      <c r="H721" s="256"/>
      <c r="I721" s="256"/>
      <c r="J721" s="256"/>
      <c r="K721" s="256"/>
      <c r="L721" s="256"/>
      <c r="M721" s="256"/>
      <c r="N721" s="256"/>
      <c r="O721" s="256"/>
      <c r="P721" s="256"/>
      <c r="Q721" s="256"/>
      <c r="R721" s="256"/>
      <c r="S721" s="256"/>
      <c r="T721" s="256"/>
      <c r="U721" s="256"/>
      <c r="V721" s="256"/>
      <c r="W721" s="256"/>
      <c r="X721" s="256"/>
      <c r="Y721" s="256"/>
      <c r="Z721" s="256"/>
    </row>
    <row r="722">
      <c r="A722" s="256"/>
      <c r="B722" s="256"/>
      <c r="C722" s="256"/>
      <c r="D722" s="256"/>
      <c r="E722" s="256"/>
      <c r="F722" s="256"/>
      <c r="G722" s="256"/>
      <c r="H722" s="256"/>
      <c r="I722" s="256"/>
      <c r="J722" s="256"/>
      <c r="K722" s="256"/>
      <c r="L722" s="256"/>
      <c r="M722" s="256"/>
      <c r="N722" s="256"/>
      <c r="O722" s="256"/>
      <c r="P722" s="256"/>
      <c r="Q722" s="256"/>
      <c r="R722" s="256"/>
      <c r="S722" s="256"/>
      <c r="T722" s="256"/>
      <c r="U722" s="256"/>
      <c r="V722" s="256"/>
      <c r="W722" s="256"/>
      <c r="X722" s="256"/>
      <c r="Y722" s="256"/>
      <c r="Z722" s="256"/>
    </row>
    <row r="723">
      <c r="A723" s="256"/>
      <c r="B723" s="256"/>
      <c r="C723" s="256"/>
      <c r="D723" s="256"/>
      <c r="E723" s="256"/>
      <c r="F723" s="256"/>
      <c r="G723" s="256"/>
      <c r="H723" s="256"/>
      <c r="I723" s="256"/>
      <c r="J723" s="256"/>
      <c r="K723" s="256"/>
      <c r="L723" s="256"/>
      <c r="M723" s="256"/>
      <c r="N723" s="256"/>
      <c r="O723" s="256"/>
      <c r="P723" s="256"/>
      <c r="Q723" s="256"/>
      <c r="R723" s="256"/>
      <c r="S723" s="256"/>
      <c r="T723" s="256"/>
      <c r="U723" s="256"/>
      <c r="V723" s="256"/>
      <c r="W723" s="256"/>
      <c r="X723" s="256"/>
      <c r="Y723" s="256"/>
      <c r="Z723" s="256"/>
    </row>
    <row r="724">
      <c r="A724" s="256"/>
      <c r="B724" s="256"/>
      <c r="C724" s="256"/>
      <c r="D724" s="256"/>
      <c r="E724" s="256"/>
      <c r="F724" s="256"/>
      <c r="G724" s="256"/>
      <c r="H724" s="256"/>
      <c r="I724" s="256"/>
      <c r="J724" s="256"/>
      <c r="K724" s="256"/>
      <c r="L724" s="256"/>
      <c r="M724" s="256"/>
      <c r="N724" s="256"/>
      <c r="O724" s="256"/>
      <c r="P724" s="256"/>
      <c r="Q724" s="256"/>
      <c r="R724" s="256"/>
      <c r="S724" s="256"/>
      <c r="T724" s="256"/>
      <c r="U724" s="256"/>
      <c r="V724" s="256"/>
      <c r="W724" s="256"/>
      <c r="X724" s="256"/>
      <c r="Y724" s="256"/>
      <c r="Z724" s="256"/>
    </row>
    <row r="725">
      <c r="A725" s="256"/>
      <c r="B725" s="256"/>
      <c r="C725" s="256"/>
      <c r="D725" s="256"/>
      <c r="E725" s="256"/>
      <c r="F725" s="256"/>
      <c r="G725" s="256"/>
      <c r="H725" s="256"/>
      <c r="I725" s="256"/>
      <c r="J725" s="256"/>
      <c r="K725" s="256"/>
      <c r="L725" s="256"/>
      <c r="M725" s="256"/>
      <c r="N725" s="256"/>
      <c r="O725" s="256"/>
      <c r="P725" s="256"/>
      <c r="Q725" s="256"/>
      <c r="R725" s="256"/>
      <c r="S725" s="256"/>
      <c r="T725" s="256"/>
      <c r="U725" s="256"/>
      <c r="V725" s="256"/>
      <c r="W725" s="256"/>
      <c r="X725" s="256"/>
      <c r="Y725" s="256"/>
      <c r="Z725" s="256"/>
    </row>
    <row r="726">
      <c r="A726" s="256"/>
      <c r="B726" s="256"/>
      <c r="C726" s="256"/>
      <c r="D726" s="256"/>
      <c r="E726" s="256"/>
      <c r="F726" s="256"/>
      <c r="G726" s="256"/>
      <c r="H726" s="256"/>
      <c r="I726" s="256"/>
      <c r="J726" s="256"/>
      <c r="K726" s="256"/>
      <c r="L726" s="256"/>
      <c r="M726" s="256"/>
      <c r="N726" s="256"/>
      <c r="O726" s="256"/>
      <c r="P726" s="256"/>
      <c r="Q726" s="256"/>
      <c r="R726" s="256"/>
      <c r="S726" s="256"/>
      <c r="T726" s="256"/>
      <c r="U726" s="256"/>
      <c r="V726" s="256"/>
      <c r="W726" s="256"/>
      <c r="X726" s="256"/>
      <c r="Y726" s="256"/>
      <c r="Z726" s="256"/>
    </row>
    <row r="727">
      <c r="A727" s="256"/>
      <c r="B727" s="256"/>
      <c r="C727" s="256"/>
      <c r="D727" s="256"/>
      <c r="E727" s="256"/>
      <c r="F727" s="256"/>
      <c r="G727" s="256"/>
      <c r="H727" s="256"/>
      <c r="I727" s="256"/>
      <c r="J727" s="256"/>
      <c r="K727" s="256"/>
      <c r="L727" s="256"/>
      <c r="M727" s="256"/>
      <c r="N727" s="256"/>
      <c r="O727" s="256"/>
      <c r="P727" s="256"/>
      <c r="Q727" s="256"/>
      <c r="R727" s="256"/>
      <c r="S727" s="256"/>
      <c r="T727" s="256"/>
      <c r="U727" s="256"/>
      <c r="V727" s="256"/>
      <c r="W727" s="256"/>
      <c r="X727" s="256"/>
      <c r="Y727" s="256"/>
      <c r="Z727" s="256"/>
    </row>
    <row r="728">
      <c r="A728" s="256"/>
      <c r="B728" s="256"/>
      <c r="C728" s="256"/>
      <c r="D728" s="256"/>
      <c r="E728" s="256"/>
      <c r="F728" s="256"/>
      <c r="G728" s="256"/>
      <c r="H728" s="256"/>
      <c r="I728" s="256"/>
      <c r="J728" s="256"/>
      <c r="K728" s="256"/>
      <c r="L728" s="256"/>
      <c r="M728" s="256"/>
      <c r="N728" s="256"/>
      <c r="O728" s="256"/>
      <c r="P728" s="256"/>
      <c r="Q728" s="256"/>
      <c r="R728" s="256"/>
      <c r="S728" s="256"/>
      <c r="T728" s="256"/>
      <c r="U728" s="256"/>
      <c r="V728" s="256"/>
      <c r="W728" s="256"/>
      <c r="X728" s="256"/>
      <c r="Y728" s="256"/>
      <c r="Z728" s="256"/>
    </row>
    <row r="729">
      <c r="A729" s="256"/>
      <c r="B729" s="256"/>
      <c r="C729" s="256"/>
      <c r="D729" s="256"/>
      <c r="E729" s="256"/>
      <c r="F729" s="256"/>
      <c r="G729" s="256"/>
      <c r="H729" s="256"/>
      <c r="I729" s="256"/>
      <c r="J729" s="256"/>
      <c r="K729" s="256"/>
      <c r="L729" s="256"/>
      <c r="M729" s="256"/>
      <c r="N729" s="256"/>
      <c r="O729" s="256"/>
      <c r="P729" s="256"/>
      <c r="Q729" s="256"/>
      <c r="R729" s="256"/>
      <c r="S729" s="256"/>
      <c r="T729" s="256"/>
      <c r="U729" s="256"/>
      <c r="V729" s="256"/>
      <c r="W729" s="256"/>
      <c r="X729" s="256"/>
      <c r="Y729" s="256"/>
      <c r="Z729" s="256"/>
    </row>
    <row r="730">
      <c r="A730" s="256"/>
      <c r="B730" s="256"/>
      <c r="C730" s="256"/>
      <c r="D730" s="256"/>
      <c r="E730" s="256"/>
      <c r="F730" s="256"/>
      <c r="G730" s="256"/>
      <c r="H730" s="256"/>
      <c r="I730" s="256"/>
      <c r="J730" s="256"/>
      <c r="K730" s="256"/>
      <c r="L730" s="256"/>
      <c r="M730" s="256"/>
      <c r="N730" s="256"/>
      <c r="O730" s="256"/>
      <c r="P730" s="256"/>
      <c r="Q730" s="256"/>
      <c r="R730" s="256"/>
      <c r="S730" s="256"/>
      <c r="T730" s="256"/>
      <c r="U730" s="256"/>
      <c r="V730" s="256"/>
      <c r="W730" s="256"/>
      <c r="X730" s="256"/>
      <c r="Y730" s="256"/>
      <c r="Z730" s="256"/>
    </row>
    <row r="731">
      <c r="A731" s="256"/>
      <c r="B731" s="256"/>
      <c r="C731" s="256"/>
      <c r="D731" s="256"/>
      <c r="E731" s="256"/>
      <c r="F731" s="256"/>
      <c r="G731" s="256"/>
      <c r="H731" s="256"/>
      <c r="I731" s="256"/>
      <c r="J731" s="256"/>
      <c r="K731" s="256"/>
      <c r="L731" s="256"/>
      <c r="M731" s="256"/>
      <c r="N731" s="256"/>
      <c r="O731" s="256"/>
      <c r="P731" s="256"/>
      <c r="Q731" s="256"/>
      <c r="R731" s="256"/>
      <c r="S731" s="256"/>
      <c r="T731" s="256"/>
      <c r="U731" s="256"/>
      <c r="V731" s="256"/>
      <c r="W731" s="256"/>
      <c r="X731" s="256"/>
      <c r="Y731" s="256"/>
      <c r="Z731" s="256"/>
    </row>
    <row r="732">
      <c r="A732" s="256"/>
      <c r="B732" s="256"/>
      <c r="C732" s="256"/>
      <c r="D732" s="256"/>
      <c r="E732" s="256"/>
      <c r="F732" s="256"/>
      <c r="G732" s="256"/>
      <c r="H732" s="256"/>
      <c r="I732" s="256"/>
      <c r="J732" s="256"/>
      <c r="K732" s="256"/>
      <c r="L732" s="256"/>
      <c r="M732" s="256"/>
      <c r="N732" s="256"/>
      <c r="O732" s="256"/>
      <c r="P732" s="256"/>
      <c r="Q732" s="256"/>
      <c r="R732" s="256"/>
      <c r="S732" s="256"/>
      <c r="T732" s="256"/>
      <c r="U732" s="256"/>
      <c r="V732" s="256"/>
      <c r="W732" s="256"/>
      <c r="X732" s="256"/>
      <c r="Y732" s="256"/>
      <c r="Z732" s="256"/>
    </row>
    <row r="733">
      <c r="A733" s="256"/>
      <c r="B733" s="256"/>
      <c r="C733" s="256"/>
      <c r="D733" s="256"/>
      <c r="E733" s="256"/>
      <c r="F733" s="256"/>
      <c r="G733" s="256"/>
      <c r="H733" s="256"/>
      <c r="I733" s="256"/>
      <c r="J733" s="256"/>
      <c r="K733" s="256"/>
      <c r="L733" s="256"/>
      <c r="M733" s="256"/>
      <c r="N733" s="256"/>
      <c r="O733" s="256"/>
      <c r="P733" s="256"/>
      <c r="Q733" s="256"/>
      <c r="R733" s="256"/>
      <c r="S733" s="256"/>
      <c r="T733" s="256"/>
      <c r="U733" s="256"/>
      <c r="V733" s="256"/>
      <c r="W733" s="256"/>
      <c r="X733" s="256"/>
      <c r="Y733" s="256"/>
      <c r="Z733" s="256"/>
    </row>
    <row r="734">
      <c r="A734" s="256"/>
      <c r="B734" s="256"/>
      <c r="C734" s="256"/>
      <c r="D734" s="256"/>
      <c r="E734" s="256"/>
      <c r="F734" s="256"/>
      <c r="G734" s="256"/>
      <c r="H734" s="256"/>
      <c r="I734" s="256"/>
      <c r="J734" s="256"/>
      <c r="K734" s="256"/>
      <c r="L734" s="256"/>
      <c r="M734" s="256"/>
      <c r="N734" s="256"/>
      <c r="O734" s="256"/>
      <c r="P734" s="256"/>
      <c r="Q734" s="256"/>
      <c r="R734" s="256"/>
      <c r="S734" s="256"/>
      <c r="T734" s="256"/>
      <c r="U734" s="256"/>
      <c r="V734" s="256"/>
      <c r="W734" s="256"/>
      <c r="X734" s="256"/>
      <c r="Y734" s="256"/>
      <c r="Z734" s="256"/>
    </row>
    <row r="735">
      <c r="A735" s="256"/>
      <c r="B735" s="256"/>
      <c r="C735" s="256"/>
      <c r="D735" s="256"/>
      <c r="E735" s="256"/>
      <c r="F735" s="256"/>
      <c r="G735" s="256"/>
      <c r="H735" s="256"/>
      <c r="I735" s="256"/>
      <c r="J735" s="256"/>
      <c r="K735" s="256"/>
      <c r="L735" s="256"/>
      <c r="M735" s="256"/>
      <c r="N735" s="256"/>
      <c r="O735" s="256"/>
      <c r="P735" s="256"/>
      <c r="Q735" s="256"/>
      <c r="R735" s="256"/>
      <c r="S735" s="256"/>
      <c r="T735" s="256"/>
      <c r="U735" s="256"/>
      <c r="V735" s="256"/>
      <c r="W735" s="256"/>
      <c r="X735" s="256"/>
      <c r="Y735" s="256"/>
      <c r="Z735" s="256"/>
    </row>
    <row r="736">
      <c r="A736" s="256"/>
      <c r="B736" s="256"/>
      <c r="C736" s="256"/>
      <c r="D736" s="256"/>
      <c r="E736" s="256"/>
      <c r="F736" s="256"/>
      <c r="G736" s="256"/>
      <c r="H736" s="256"/>
      <c r="I736" s="256"/>
      <c r="J736" s="256"/>
      <c r="K736" s="256"/>
      <c r="L736" s="256"/>
      <c r="M736" s="256"/>
      <c r="N736" s="256"/>
      <c r="O736" s="256"/>
      <c r="P736" s="256"/>
      <c r="Q736" s="256"/>
      <c r="R736" s="256"/>
      <c r="S736" s="256"/>
      <c r="T736" s="256"/>
      <c r="U736" s="256"/>
      <c r="V736" s="256"/>
      <c r="W736" s="256"/>
      <c r="X736" s="256"/>
      <c r="Y736" s="256"/>
      <c r="Z736" s="256"/>
    </row>
    <row r="737">
      <c r="A737" s="256"/>
      <c r="B737" s="256"/>
      <c r="C737" s="256"/>
      <c r="D737" s="256"/>
      <c r="E737" s="256"/>
      <c r="F737" s="256"/>
      <c r="G737" s="256"/>
      <c r="H737" s="256"/>
      <c r="I737" s="256"/>
      <c r="J737" s="256"/>
      <c r="K737" s="256"/>
      <c r="L737" s="256"/>
      <c r="M737" s="256"/>
      <c r="N737" s="256"/>
      <c r="O737" s="256"/>
      <c r="P737" s="256"/>
      <c r="Q737" s="256"/>
      <c r="R737" s="256"/>
      <c r="S737" s="256"/>
      <c r="T737" s="256"/>
      <c r="U737" s="256"/>
      <c r="V737" s="256"/>
      <c r="W737" s="256"/>
      <c r="X737" s="256"/>
      <c r="Y737" s="256"/>
      <c r="Z737" s="256"/>
    </row>
    <row r="738">
      <c r="A738" s="256"/>
      <c r="B738" s="256"/>
      <c r="C738" s="256"/>
      <c r="D738" s="256"/>
      <c r="E738" s="256"/>
      <c r="F738" s="256"/>
      <c r="G738" s="256"/>
      <c r="H738" s="256"/>
      <c r="I738" s="256"/>
      <c r="J738" s="256"/>
      <c r="K738" s="256"/>
      <c r="L738" s="256"/>
      <c r="M738" s="256"/>
      <c r="N738" s="256"/>
      <c r="O738" s="256"/>
      <c r="P738" s="256"/>
      <c r="Q738" s="256"/>
      <c r="R738" s="256"/>
      <c r="S738" s="256"/>
      <c r="T738" s="256"/>
      <c r="U738" s="256"/>
      <c r="V738" s="256"/>
      <c r="W738" s="256"/>
      <c r="X738" s="256"/>
      <c r="Y738" s="256"/>
      <c r="Z738" s="256"/>
    </row>
    <row r="739">
      <c r="A739" s="256"/>
      <c r="B739" s="256"/>
      <c r="C739" s="256"/>
      <c r="D739" s="256"/>
      <c r="E739" s="256"/>
      <c r="F739" s="256"/>
      <c r="G739" s="256"/>
      <c r="H739" s="256"/>
      <c r="I739" s="256"/>
      <c r="J739" s="256"/>
      <c r="K739" s="256"/>
      <c r="L739" s="256"/>
      <c r="M739" s="256"/>
      <c r="N739" s="256"/>
      <c r="O739" s="256"/>
      <c r="P739" s="256"/>
      <c r="Q739" s="256"/>
      <c r="R739" s="256"/>
      <c r="S739" s="256"/>
      <c r="T739" s="256"/>
      <c r="U739" s="256"/>
      <c r="V739" s="256"/>
      <c r="W739" s="256"/>
      <c r="X739" s="256"/>
      <c r="Y739" s="256"/>
      <c r="Z739" s="256"/>
    </row>
    <row r="740">
      <c r="A740" s="256"/>
      <c r="B740" s="256"/>
      <c r="C740" s="256"/>
      <c r="D740" s="256"/>
      <c r="E740" s="256"/>
      <c r="F740" s="256"/>
      <c r="G740" s="256"/>
      <c r="H740" s="256"/>
      <c r="I740" s="256"/>
      <c r="J740" s="256"/>
      <c r="K740" s="256"/>
      <c r="L740" s="256"/>
      <c r="M740" s="256"/>
      <c r="N740" s="256"/>
      <c r="O740" s="256"/>
      <c r="P740" s="256"/>
      <c r="Q740" s="256"/>
      <c r="R740" s="256"/>
      <c r="S740" s="256"/>
      <c r="T740" s="256"/>
      <c r="U740" s="256"/>
      <c r="V740" s="256"/>
      <c r="W740" s="256"/>
      <c r="X740" s="256"/>
      <c r="Y740" s="256"/>
      <c r="Z740" s="256"/>
    </row>
    <row r="741">
      <c r="A741" s="256"/>
      <c r="B741" s="256"/>
      <c r="C741" s="256"/>
      <c r="D741" s="256"/>
      <c r="E741" s="256"/>
      <c r="F741" s="256"/>
      <c r="G741" s="256"/>
      <c r="H741" s="256"/>
      <c r="I741" s="256"/>
      <c r="J741" s="256"/>
      <c r="K741" s="256"/>
      <c r="L741" s="256"/>
      <c r="M741" s="256"/>
      <c r="N741" s="256"/>
      <c r="O741" s="256"/>
      <c r="P741" s="256"/>
      <c r="Q741" s="256"/>
      <c r="R741" s="256"/>
      <c r="S741" s="256"/>
      <c r="T741" s="256"/>
      <c r="U741" s="256"/>
      <c r="V741" s="256"/>
      <c r="W741" s="256"/>
      <c r="X741" s="256"/>
      <c r="Y741" s="256"/>
      <c r="Z741" s="256"/>
    </row>
    <row r="742">
      <c r="A742" s="256"/>
      <c r="B742" s="256"/>
      <c r="C742" s="256"/>
      <c r="D742" s="256"/>
      <c r="E742" s="256"/>
      <c r="F742" s="256"/>
      <c r="G742" s="256"/>
      <c r="H742" s="256"/>
      <c r="I742" s="256"/>
      <c r="J742" s="256"/>
      <c r="K742" s="256"/>
      <c r="L742" s="256"/>
      <c r="M742" s="256"/>
      <c r="N742" s="256"/>
      <c r="O742" s="256"/>
      <c r="P742" s="256"/>
      <c r="Q742" s="256"/>
      <c r="R742" s="256"/>
      <c r="S742" s="256"/>
      <c r="T742" s="256"/>
      <c r="U742" s="256"/>
      <c r="V742" s="256"/>
      <c r="W742" s="256"/>
      <c r="X742" s="256"/>
      <c r="Y742" s="256"/>
      <c r="Z742" s="256"/>
    </row>
    <row r="743">
      <c r="A743" s="256"/>
      <c r="B743" s="256"/>
      <c r="C743" s="256"/>
      <c r="D743" s="256"/>
      <c r="E743" s="256"/>
      <c r="F743" s="256"/>
      <c r="G743" s="256"/>
      <c r="H743" s="256"/>
      <c r="I743" s="256"/>
      <c r="J743" s="256"/>
      <c r="K743" s="256"/>
      <c r="L743" s="256"/>
      <c r="M743" s="256"/>
      <c r="N743" s="256"/>
      <c r="O743" s="256"/>
      <c r="P743" s="256"/>
      <c r="Q743" s="256"/>
      <c r="R743" s="256"/>
      <c r="S743" s="256"/>
      <c r="T743" s="256"/>
      <c r="U743" s="256"/>
      <c r="V743" s="256"/>
      <c r="W743" s="256"/>
      <c r="X743" s="256"/>
      <c r="Y743" s="256"/>
      <c r="Z743" s="256"/>
    </row>
    <row r="744">
      <c r="A744" s="256"/>
      <c r="B744" s="256"/>
      <c r="C744" s="256"/>
      <c r="D744" s="256"/>
      <c r="E744" s="256"/>
      <c r="F744" s="256"/>
      <c r="G744" s="256"/>
      <c r="H744" s="256"/>
      <c r="I744" s="256"/>
      <c r="J744" s="256"/>
      <c r="K744" s="256"/>
      <c r="L744" s="256"/>
      <c r="M744" s="256"/>
      <c r="N744" s="256"/>
      <c r="O744" s="256"/>
      <c r="P744" s="256"/>
      <c r="Q744" s="256"/>
      <c r="R744" s="256"/>
      <c r="S744" s="256"/>
      <c r="T744" s="256"/>
      <c r="U744" s="256"/>
      <c r="V744" s="256"/>
      <c r="W744" s="256"/>
      <c r="X744" s="256"/>
      <c r="Y744" s="256"/>
      <c r="Z744" s="256"/>
    </row>
    <row r="745">
      <c r="A745" s="256"/>
      <c r="B745" s="256"/>
      <c r="C745" s="256"/>
      <c r="D745" s="256"/>
      <c r="E745" s="256"/>
      <c r="F745" s="256"/>
      <c r="G745" s="256"/>
      <c r="H745" s="256"/>
      <c r="I745" s="256"/>
      <c r="J745" s="256"/>
      <c r="K745" s="256"/>
      <c r="L745" s="256"/>
      <c r="M745" s="256"/>
      <c r="N745" s="256"/>
      <c r="O745" s="256"/>
      <c r="P745" s="256"/>
      <c r="Q745" s="256"/>
      <c r="R745" s="256"/>
      <c r="S745" s="256"/>
      <c r="T745" s="256"/>
      <c r="U745" s="256"/>
      <c r="V745" s="256"/>
      <c r="W745" s="256"/>
      <c r="X745" s="256"/>
      <c r="Y745" s="256"/>
      <c r="Z745" s="256"/>
    </row>
    <row r="746">
      <c r="A746" s="256"/>
      <c r="B746" s="256"/>
      <c r="C746" s="256"/>
      <c r="D746" s="256"/>
      <c r="E746" s="256"/>
      <c r="F746" s="256"/>
      <c r="G746" s="256"/>
      <c r="H746" s="256"/>
      <c r="I746" s="256"/>
      <c r="J746" s="256"/>
      <c r="K746" s="256"/>
      <c r="L746" s="256"/>
      <c r="M746" s="256"/>
      <c r="N746" s="256"/>
      <c r="O746" s="256"/>
      <c r="P746" s="256"/>
      <c r="Q746" s="256"/>
      <c r="R746" s="256"/>
      <c r="S746" s="256"/>
      <c r="T746" s="256"/>
      <c r="U746" s="256"/>
      <c r="V746" s="256"/>
      <c r="W746" s="256"/>
      <c r="X746" s="256"/>
      <c r="Y746" s="256"/>
      <c r="Z746" s="256"/>
    </row>
    <row r="747">
      <c r="A747" s="256"/>
      <c r="B747" s="256"/>
      <c r="C747" s="256"/>
      <c r="D747" s="256"/>
      <c r="E747" s="256"/>
      <c r="F747" s="256"/>
      <c r="G747" s="256"/>
      <c r="H747" s="256"/>
      <c r="I747" s="256"/>
      <c r="J747" s="256"/>
      <c r="K747" s="256"/>
      <c r="L747" s="256"/>
      <c r="M747" s="256"/>
      <c r="N747" s="256"/>
      <c r="O747" s="256"/>
      <c r="P747" s="256"/>
      <c r="Q747" s="256"/>
      <c r="R747" s="256"/>
      <c r="S747" s="256"/>
      <c r="T747" s="256"/>
      <c r="U747" s="256"/>
      <c r="V747" s="256"/>
      <c r="W747" s="256"/>
      <c r="X747" s="256"/>
      <c r="Y747" s="256"/>
      <c r="Z747" s="256"/>
    </row>
    <row r="748">
      <c r="A748" s="256"/>
      <c r="B748" s="256"/>
      <c r="C748" s="256"/>
      <c r="D748" s="256"/>
      <c r="E748" s="256"/>
      <c r="F748" s="256"/>
      <c r="G748" s="256"/>
      <c r="H748" s="256"/>
      <c r="I748" s="256"/>
      <c r="J748" s="256"/>
      <c r="K748" s="256"/>
      <c r="L748" s="256"/>
      <c r="M748" s="256"/>
      <c r="N748" s="256"/>
      <c r="O748" s="256"/>
      <c r="P748" s="256"/>
      <c r="Q748" s="256"/>
      <c r="R748" s="256"/>
      <c r="S748" s="256"/>
      <c r="T748" s="256"/>
      <c r="U748" s="256"/>
      <c r="V748" s="256"/>
      <c r="W748" s="256"/>
      <c r="X748" s="256"/>
      <c r="Y748" s="256"/>
      <c r="Z748" s="256"/>
    </row>
    <row r="749">
      <c r="A749" s="256"/>
      <c r="B749" s="256"/>
      <c r="C749" s="256"/>
      <c r="D749" s="256"/>
      <c r="E749" s="256"/>
      <c r="F749" s="256"/>
      <c r="G749" s="256"/>
      <c r="H749" s="256"/>
      <c r="I749" s="256"/>
      <c r="J749" s="256"/>
      <c r="K749" s="256"/>
      <c r="L749" s="256"/>
      <c r="M749" s="256"/>
      <c r="N749" s="256"/>
      <c r="O749" s="256"/>
      <c r="P749" s="256"/>
      <c r="Q749" s="256"/>
      <c r="R749" s="256"/>
      <c r="S749" s="256"/>
      <c r="T749" s="256"/>
      <c r="U749" s="256"/>
      <c r="V749" s="256"/>
      <c r="W749" s="256"/>
      <c r="X749" s="256"/>
      <c r="Y749" s="256"/>
      <c r="Z749" s="256"/>
    </row>
    <row r="750">
      <c r="A750" s="256"/>
      <c r="B750" s="256"/>
      <c r="C750" s="256"/>
      <c r="D750" s="256"/>
      <c r="E750" s="256"/>
      <c r="F750" s="256"/>
      <c r="G750" s="256"/>
      <c r="H750" s="256"/>
      <c r="I750" s="256"/>
      <c r="J750" s="256"/>
      <c r="K750" s="256"/>
      <c r="L750" s="256"/>
      <c r="M750" s="256"/>
      <c r="N750" s="256"/>
      <c r="O750" s="256"/>
      <c r="P750" s="256"/>
      <c r="Q750" s="256"/>
      <c r="R750" s="256"/>
      <c r="S750" s="256"/>
      <c r="T750" s="256"/>
      <c r="U750" s="256"/>
      <c r="V750" s="256"/>
      <c r="W750" s="256"/>
      <c r="X750" s="256"/>
      <c r="Y750" s="256"/>
      <c r="Z750" s="256"/>
    </row>
    <row r="751">
      <c r="A751" s="256"/>
      <c r="B751" s="256"/>
      <c r="C751" s="256"/>
      <c r="D751" s="256"/>
      <c r="E751" s="256"/>
      <c r="F751" s="256"/>
      <c r="G751" s="256"/>
      <c r="H751" s="256"/>
      <c r="I751" s="256"/>
      <c r="J751" s="256"/>
      <c r="K751" s="256"/>
      <c r="L751" s="256"/>
      <c r="M751" s="256"/>
      <c r="N751" s="256"/>
      <c r="O751" s="256"/>
      <c r="P751" s="256"/>
      <c r="Q751" s="256"/>
      <c r="R751" s="256"/>
      <c r="S751" s="256"/>
      <c r="T751" s="256"/>
      <c r="U751" s="256"/>
      <c r="V751" s="256"/>
      <c r="W751" s="256"/>
      <c r="X751" s="256"/>
      <c r="Y751" s="256"/>
      <c r="Z751" s="256"/>
    </row>
    <row r="752">
      <c r="A752" s="256"/>
      <c r="B752" s="256"/>
      <c r="C752" s="256"/>
      <c r="D752" s="256"/>
      <c r="E752" s="256"/>
      <c r="F752" s="256"/>
      <c r="G752" s="256"/>
      <c r="H752" s="256"/>
      <c r="I752" s="256"/>
      <c r="J752" s="256"/>
      <c r="K752" s="256"/>
      <c r="L752" s="256"/>
      <c r="M752" s="256"/>
      <c r="N752" s="256"/>
      <c r="O752" s="256"/>
      <c r="P752" s="256"/>
      <c r="Q752" s="256"/>
      <c r="R752" s="256"/>
      <c r="S752" s="256"/>
      <c r="T752" s="256"/>
      <c r="U752" s="256"/>
      <c r="V752" s="256"/>
      <c r="W752" s="256"/>
      <c r="X752" s="256"/>
      <c r="Y752" s="256"/>
      <c r="Z752" s="256"/>
    </row>
    <row r="753">
      <c r="A753" s="256"/>
      <c r="B753" s="256"/>
      <c r="C753" s="256"/>
      <c r="D753" s="256"/>
      <c r="E753" s="256"/>
      <c r="F753" s="256"/>
      <c r="G753" s="256"/>
      <c r="H753" s="256"/>
      <c r="I753" s="256"/>
      <c r="J753" s="256"/>
      <c r="K753" s="256"/>
      <c r="L753" s="256"/>
      <c r="M753" s="256"/>
      <c r="N753" s="256"/>
      <c r="O753" s="256"/>
      <c r="P753" s="256"/>
      <c r="Q753" s="256"/>
      <c r="R753" s="256"/>
      <c r="S753" s="256"/>
      <c r="T753" s="256"/>
      <c r="U753" s="256"/>
      <c r="V753" s="256"/>
      <c r="W753" s="256"/>
      <c r="X753" s="256"/>
      <c r="Y753" s="256"/>
      <c r="Z753" s="256"/>
    </row>
    <row r="754">
      <c r="A754" s="256"/>
      <c r="B754" s="256"/>
      <c r="C754" s="256"/>
      <c r="D754" s="256"/>
      <c r="E754" s="256"/>
      <c r="F754" s="256"/>
      <c r="G754" s="256"/>
      <c r="H754" s="256"/>
      <c r="I754" s="256"/>
      <c r="J754" s="256"/>
      <c r="K754" s="256"/>
      <c r="L754" s="256"/>
      <c r="M754" s="256"/>
      <c r="N754" s="256"/>
      <c r="O754" s="256"/>
      <c r="P754" s="256"/>
      <c r="Q754" s="256"/>
      <c r="R754" s="256"/>
      <c r="S754" s="256"/>
      <c r="T754" s="256"/>
      <c r="U754" s="256"/>
      <c r="V754" s="256"/>
      <c r="W754" s="256"/>
      <c r="X754" s="256"/>
      <c r="Y754" s="256"/>
      <c r="Z754" s="256"/>
    </row>
    <row r="755">
      <c r="A755" s="256"/>
      <c r="B755" s="256"/>
      <c r="C755" s="256"/>
      <c r="D755" s="256"/>
      <c r="E755" s="256"/>
      <c r="F755" s="256"/>
      <c r="G755" s="256"/>
      <c r="H755" s="256"/>
      <c r="I755" s="256"/>
      <c r="J755" s="256"/>
      <c r="K755" s="256"/>
      <c r="L755" s="256"/>
      <c r="M755" s="256"/>
      <c r="N755" s="256"/>
      <c r="O755" s="256"/>
      <c r="P755" s="256"/>
      <c r="Q755" s="256"/>
      <c r="R755" s="256"/>
      <c r="S755" s="256"/>
      <c r="T755" s="256"/>
      <c r="U755" s="256"/>
      <c r="V755" s="256"/>
      <c r="W755" s="256"/>
      <c r="X755" s="256"/>
      <c r="Y755" s="256"/>
      <c r="Z755" s="256"/>
    </row>
    <row r="756">
      <c r="A756" s="256"/>
      <c r="B756" s="256"/>
      <c r="C756" s="256"/>
      <c r="D756" s="256"/>
      <c r="E756" s="256"/>
      <c r="F756" s="256"/>
      <c r="G756" s="256"/>
      <c r="H756" s="256"/>
      <c r="I756" s="256"/>
      <c r="J756" s="256"/>
      <c r="K756" s="256"/>
      <c r="L756" s="256"/>
      <c r="M756" s="256"/>
      <c r="N756" s="256"/>
      <c r="O756" s="256"/>
      <c r="P756" s="256"/>
      <c r="Q756" s="256"/>
      <c r="R756" s="256"/>
      <c r="S756" s="256"/>
      <c r="T756" s="256"/>
      <c r="U756" s="256"/>
      <c r="V756" s="256"/>
      <c r="W756" s="256"/>
      <c r="X756" s="256"/>
      <c r="Y756" s="256"/>
      <c r="Z756" s="256"/>
    </row>
    <row r="757">
      <c r="A757" s="256"/>
      <c r="B757" s="256"/>
      <c r="C757" s="256"/>
      <c r="D757" s="256"/>
      <c r="E757" s="256"/>
      <c r="F757" s="256"/>
      <c r="G757" s="256"/>
      <c r="H757" s="256"/>
      <c r="I757" s="256"/>
      <c r="J757" s="256"/>
      <c r="K757" s="256"/>
      <c r="L757" s="256"/>
      <c r="M757" s="256"/>
      <c r="N757" s="256"/>
      <c r="O757" s="256"/>
      <c r="P757" s="256"/>
      <c r="Q757" s="256"/>
      <c r="R757" s="256"/>
      <c r="S757" s="256"/>
      <c r="T757" s="256"/>
      <c r="U757" s="256"/>
      <c r="V757" s="256"/>
      <c r="W757" s="256"/>
      <c r="X757" s="256"/>
      <c r="Y757" s="256"/>
      <c r="Z757" s="256"/>
    </row>
    <row r="758">
      <c r="A758" s="256"/>
      <c r="B758" s="256"/>
      <c r="C758" s="256"/>
      <c r="D758" s="256"/>
      <c r="E758" s="256"/>
      <c r="F758" s="256"/>
      <c r="G758" s="256"/>
      <c r="H758" s="256"/>
      <c r="I758" s="256"/>
      <c r="J758" s="256"/>
      <c r="K758" s="256"/>
      <c r="L758" s="256"/>
      <c r="M758" s="256"/>
      <c r="N758" s="256"/>
      <c r="O758" s="256"/>
      <c r="P758" s="256"/>
      <c r="Q758" s="256"/>
      <c r="R758" s="256"/>
      <c r="S758" s="256"/>
      <c r="T758" s="256"/>
      <c r="U758" s="256"/>
      <c r="V758" s="256"/>
      <c r="W758" s="256"/>
      <c r="X758" s="256"/>
      <c r="Y758" s="256"/>
      <c r="Z758" s="256"/>
    </row>
    <row r="759">
      <c r="A759" s="256"/>
      <c r="B759" s="256"/>
      <c r="C759" s="256"/>
      <c r="D759" s="256"/>
      <c r="E759" s="256"/>
      <c r="F759" s="256"/>
      <c r="G759" s="256"/>
      <c r="H759" s="256"/>
      <c r="I759" s="256"/>
      <c r="J759" s="256"/>
      <c r="K759" s="256"/>
      <c r="L759" s="256"/>
      <c r="M759" s="256"/>
      <c r="N759" s="256"/>
      <c r="O759" s="256"/>
      <c r="P759" s="256"/>
      <c r="Q759" s="256"/>
      <c r="R759" s="256"/>
      <c r="S759" s="256"/>
      <c r="T759" s="256"/>
      <c r="U759" s="256"/>
      <c r="V759" s="256"/>
      <c r="W759" s="256"/>
      <c r="X759" s="256"/>
      <c r="Y759" s="256"/>
      <c r="Z759" s="256"/>
    </row>
    <row r="760">
      <c r="A760" s="256"/>
      <c r="B760" s="256"/>
      <c r="C760" s="256"/>
      <c r="D760" s="256"/>
      <c r="E760" s="256"/>
      <c r="F760" s="256"/>
      <c r="G760" s="256"/>
      <c r="H760" s="256"/>
      <c r="I760" s="256"/>
      <c r="J760" s="256"/>
      <c r="K760" s="256"/>
      <c r="L760" s="256"/>
      <c r="M760" s="256"/>
      <c r="N760" s="256"/>
      <c r="O760" s="256"/>
      <c r="P760" s="256"/>
      <c r="Q760" s="256"/>
      <c r="R760" s="256"/>
      <c r="S760" s="256"/>
      <c r="T760" s="256"/>
      <c r="U760" s="256"/>
      <c r="V760" s="256"/>
      <c r="W760" s="256"/>
      <c r="X760" s="256"/>
      <c r="Y760" s="256"/>
      <c r="Z760" s="256"/>
    </row>
    <row r="761">
      <c r="A761" s="256"/>
      <c r="B761" s="256"/>
      <c r="C761" s="256"/>
      <c r="D761" s="256"/>
      <c r="E761" s="256"/>
      <c r="F761" s="256"/>
      <c r="G761" s="256"/>
      <c r="H761" s="256"/>
      <c r="I761" s="256"/>
      <c r="J761" s="256"/>
      <c r="K761" s="256"/>
      <c r="L761" s="256"/>
      <c r="M761" s="256"/>
      <c r="N761" s="256"/>
      <c r="O761" s="256"/>
      <c r="P761" s="256"/>
      <c r="Q761" s="256"/>
      <c r="R761" s="256"/>
      <c r="S761" s="256"/>
      <c r="T761" s="256"/>
      <c r="U761" s="256"/>
      <c r="V761" s="256"/>
      <c r="W761" s="256"/>
      <c r="X761" s="256"/>
      <c r="Y761" s="256"/>
      <c r="Z761" s="256"/>
    </row>
    <row r="762">
      <c r="A762" s="256"/>
      <c r="B762" s="256"/>
      <c r="C762" s="256"/>
      <c r="D762" s="256"/>
      <c r="E762" s="256"/>
      <c r="F762" s="256"/>
      <c r="G762" s="256"/>
      <c r="H762" s="256"/>
      <c r="I762" s="256"/>
      <c r="J762" s="256"/>
      <c r="K762" s="256"/>
      <c r="L762" s="256"/>
      <c r="M762" s="256"/>
      <c r="N762" s="256"/>
      <c r="O762" s="256"/>
      <c r="P762" s="256"/>
      <c r="Q762" s="256"/>
      <c r="R762" s="256"/>
      <c r="S762" s="256"/>
      <c r="T762" s="256"/>
      <c r="U762" s="256"/>
      <c r="V762" s="256"/>
      <c r="W762" s="256"/>
      <c r="X762" s="256"/>
      <c r="Y762" s="256"/>
      <c r="Z762" s="256"/>
    </row>
    <row r="763">
      <c r="A763" s="256"/>
      <c r="B763" s="256"/>
      <c r="C763" s="256"/>
      <c r="D763" s="256"/>
      <c r="E763" s="256"/>
      <c r="F763" s="256"/>
      <c r="G763" s="256"/>
      <c r="H763" s="256"/>
      <c r="I763" s="256"/>
      <c r="J763" s="256"/>
      <c r="K763" s="256"/>
      <c r="L763" s="256"/>
      <c r="M763" s="256"/>
      <c r="N763" s="256"/>
      <c r="O763" s="256"/>
      <c r="P763" s="256"/>
      <c r="Q763" s="256"/>
      <c r="R763" s="256"/>
      <c r="S763" s="256"/>
      <c r="T763" s="256"/>
      <c r="U763" s="256"/>
      <c r="V763" s="256"/>
      <c r="W763" s="256"/>
      <c r="X763" s="256"/>
      <c r="Y763" s="256"/>
      <c r="Z763" s="256"/>
    </row>
    <row r="764">
      <c r="A764" s="256"/>
      <c r="B764" s="256"/>
      <c r="C764" s="256"/>
      <c r="D764" s="256"/>
      <c r="E764" s="256"/>
      <c r="F764" s="256"/>
      <c r="G764" s="256"/>
      <c r="H764" s="256"/>
      <c r="I764" s="256"/>
      <c r="J764" s="256"/>
      <c r="K764" s="256"/>
      <c r="L764" s="256"/>
      <c r="M764" s="256"/>
      <c r="N764" s="256"/>
      <c r="O764" s="256"/>
      <c r="P764" s="256"/>
      <c r="Q764" s="256"/>
      <c r="R764" s="256"/>
      <c r="S764" s="256"/>
      <c r="T764" s="256"/>
      <c r="U764" s="256"/>
      <c r="V764" s="256"/>
      <c r="W764" s="256"/>
      <c r="X764" s="256"/>
      <c r="Y764" s="256"/>
      <c r="Z764" s="256"/>
    </row>
    <row r="765">
      <c r="A765" s="256"/>
      <c r="B765" s="256"/>
      <c r="C765" s="256"/>
      <c r="D765" s="256"/>
      <c r="E765" s="256"/>
      <c r="F765" s="256"/>
      <c r="G765" s="256"/>
      <c r="H765" s="256"/>
      <c r="I765" s="256"/>
      <c r="J765" s="256"/>
      <c r="K765" s="256"/>
      <c r="L765" s="256"/>
      <c r="M765" s="256"/>
      <c r="N765" s="256"/>
      <c r="O765" s="256"/>
      <c r="P765" s="256"/>
      <c r="Q765" s="256"/>
      <c r="R765" s="256"/>
      <c r="S765" s="256"/>
      <c r="T765" s="256"/>
      <c r="U765" s="256"/>
      <c r="V765" s="256"/>
      <c r="W765" s="256"/>
      <c r="X765" s="256"/>
      <c r="Y765" s="256"/>
      <c r="Z765" s="256"/>
    </row>
    <row r="766">
      <c r="A766" s="256"/>
      <c r="B766" s="256"/>
      <c r="C766" s="256"/>
      <c r="D766" s="256"/>
      <c r="E766" s="256"/>
      <c r="F766" s="256"/>
      <c r="G766" s="256"/>
      <c r="H766" s="256"/>
      <c r="I766" s="256"/>
      <c r="J766" s="256"/>
      <c r="K766" s="256"/>
      <c r="L766" s="256"/>
      <c r="M766" s="256"/>
      <c r="N766" s="256"/>
      <c r="O766" s="256"/>
      <c r="P766" s="256"/>
      <c r="Q766" s="256"/>
      <c r="R766" s="256"/>
      <c r="S766" s="256"/>
      <c r="T766" s="256"/>
      <c r="U766" s="256"/>
      <c r="V766" s="256"/>
      <c r="W766" s="256"/>
      <c r="X766" s="256"/>
      <c r="Y766" s="256"/>
      <c r="Z766" s="256"/>
    </row>
    <row r="767">
      <c r="A767" s="256"/>
      <c r="B767" s="256"/>
      <c r="C767" s="256"/>
      <c r="D767" s="256"/>
      <c r="E767" s="256"/>
      <c r="F767" s="256"/>
      <c r="G767" s="256"/>
      <c r="H767" s="256"/>
      <c r="I767" s="256"/>
      <c r="J767" s="256"/>
      <c r="K767" s="256"/>
      <c r="L767" s="256"/>
      <c r="M767" s="256"/>
      <c r="N767" s="256"/>
      <c r="O767" s="256"/>
      <c r="P767" s="256"/>
      <c r="Q767" s="256"/>
      <c r="R767" s="256"/>
      <c r="S767" s="256"/>
      <c r="T767" s="256"/>
      <c r="U767" s="256"/>
      <c r="V767" s="256"/>
      <c r="W767" s="256"/>
      <c r="X767" s="256"/>
      <c r="Y767" s="256"/>
      <c r="Z767" s="256"/>
    </row>
    <row r="768">
      <c r="A768" s="256"/>
      <c r="B768" s="256"/>
      <c r="C768" s="256"/>
      <c r="D768" s="256"/>
      <c r="E768" s="256"/>
      <c r="F768" s="256"/>
      <c r="G768" s="256"/>
      <c r="H768" s="256"/>
      <c r="I768" s="256"/>
      <c r="J768" s="256"/>
      <c r="K768" s="256"/>
      <c r="L768" s="256"/>
      <c r="M768" s="256"/>
      <c r="N768" s="256"/>
      <c r="O768" s="256"/>
      <c r="P768" s="256"/>
      <c r="Q768" s="256"/>
      <c r="R768" s="256"/>
      <c r="S768" s="256"/>
      <c r="T768" s="256"/>
      <c r="U768" s="256"/>
      <c r="V768" s="256"/>
      <c r="W768" s="256"/>
      <c r="X768" s="256"/>
      <c r="Y768" s="256"/>
      <c r="Z768" s="256"/>
    </row>
    <row r="769">
      <c r="A769" s="256"/>
      <c r="B769" s="256"/>
      <c r="C769" s="256"/>
      <c r="D769" s="256"/>
      <c r="E769" s="256"/>
      <c r="F769" s="256"/>
      <c r="G769" s="256"/>
      <c r="H769" s="256"/>
      <c r="I769" s="256"/>
      <c r="J769" s="256"/>
      <c r="K769" s="256"/>
      <c r="L769" s="256"/>
      <c r="M769" s="256"/>
      <c r="N769" s="256"/>
      <c r="O769" s="256"/>
      <c r="P769" s="256"/>
      <c r="Q769" s="256"/>
      <c r="R769" s="256"/>
      <c r="S769" s="256"/>
      <c r="T769" s="256"/>
      <c r="U769" s="256"/>
      <c r="V769" s="256"/>
      <c r="W769" s="256"/>
      <c r="X769" s="256"/>
      <c r="Y769" s="256"/>
      <c r="Z769" s="256"/>
    </row>
    <row r="770">
      <c r="A770" s="256"/>
      <c r="B770" s="256"/>
      <c r="C770" s="256"/>
      <c r="D770" s="256"/>
      <c r="E770" s="256"/>
      <c r="F770" s="256"/>
      <c r="G770" s="256"/>
      <c r="H770" s="256"/>
      <c r="I770" s="256"/>
      <c r="J770" s="256"/>
      <c r="K770" s="256"/>
      <c r="L770" s="256"/>
      <c r="M770" s="256"/>
      <c r="N770" s="256"/>
      <c r="O770" s="256"/>
      <c r="P770" s="256"/>
      <c r="Q770" s="256"/>
      <c r="R770" s="256"/>
      <c r="S770" s="256"/>
      <c r="T770" s="256"/>
      <c r="U770" s="256"/>
      <c r="V770" s="256"/>
      <c r="W770" s="256"/>
      <c r="X770" s="256"/>
      <c r="Y770" s="256"/>
      <c r="Z770" s="256"/>
    </row>
    <row r="771">
      <c r="A771" s="256"/>
      <c r="B771" s="256"/>
      <c r="C771" s="256"/>
      <c r="D771" s="256"/>
      <c r="E771" s="256"/>
      <c r="F771" s="256"/>
      <c r="G771" s="256"/>
      <c r="H771" s="256"/>
      <c r="I771" s="256"/>
      <c r="J771" s="256"/>
      <c r="K771" s="256"/>
      <c r="L771" s="256"/>
      <c r="M771" s="256"/>
      <c r="N771" s="256"/>
      <c r="O771" s="256"/>
      <c r="P771" s="256"/>
      <c r="Q771" s="256"/>
      <c r="R771" s="256"/>
      <c r="S771" s="256"/>
      <c r="T771" s="256"/>
      <c r="U771" s="256"/>
      <c r="V771" s="256"/>
      <c r="W771" s="256"/>
      <c r="X771" s="256"/>
      <c r="Y771" s="256"/>
      <c r="Z771" s="256"/>
    </row>
    <row r="772">
      <c r="A772" s="256"/>
      <c r="B772" s="256"/>
      <c r="C772" s="256"/>
      <c r="D772" s="256"/>
      <c r="E772" s="256"/>
      <c r="F772" s="256"/>
      <c r="G772" s="256"/>
      <c r="H772" s="256"/>
      <c r="I772" s="256"/>
      <c r="J772" s="256"/>
      <c r="K772" s="256"/>
      <c r="L772" s="256"/>
      <c r="M772" s="256"/>
      <c r="N772" s="256"/>
      <c r="O772" s="256"/>
      <c r="P772" s="256"/>
      <c r="Q772" s="256"/>
      <c r="R772" s="256"/>
      <c r="S772" s="256"/>
      <c r="T772" s="256"/>
      <c r="U772" s="256"/>
      <c r="V772" s="256"/>
      <c r="W772" s="256"/>
      <c r="X772" s="256"/>
      <c r="Y772" s="256"/>
      <c r="Z772" s="256"/>
    </row>
    <row r="773">
      <c r="A773" s="256"/>
      <c r="B773" s="256"/>
      <c r="C773" s="256"/>
      <c r="D773" s="256"/>
      <c r="E773" s="256"/>
      <c r="F773" s="256"/>
      <c r="G773" s="256"/>
      <c r="H773" s="256"/>
      <c r="I773" s="256"/>
      <c r="J773" s="256"/>
      <c r="K773" s="256"/>
      <c r="L773" s="256"/>
      <c r="M773" s="256"/>
      <c r="N773" s="256"/>
      <c r="O773" s="256"/>
      <c r="P773" s="256"/>
      <c r="Q773" s="256"/>
      <c r="R773" s="256"/>
      <c r="S773" s="256"/>
      <c r="T773" s="256"/>
      <c r="U773" s="256"/>
      <c r="V773" s="256"/>
      <c r="W773" s="256"/>
      <c r="X773" s="256"/>
      <c r="Y773" s="256"/>
      <c r="Z773" s="256"/>
    </row>
    <row r="774">
      <c r="A774" s="256"/>
      <c r="B774" s="256"/>
      <c r="C774" s="256"/>
      <c r="D774" s="256"/>
      <c r="E774" s="256"/>
      <c r="F774" s="256"/>
      <c r="G774" s="256"/>
      <c r="H774" s="256"/>
      <c r="I774" s="256"/>
      <c r="J774" s="256"/>
      <c r="K774" s="256"/>
      <c r="L774" s="256"/>
      <c r="M774" s="256"/>
      <c r="N774" s="256"/>
      <c r="O774" s="256"/>
      <c r="P774" s="256"/>
      <c r="Q774" s="256"/>
      <c r="R774" s="256"/>
      <c r="S774" s="256"/>
      <c r="T774" s="256"/>
      <c r="U774" s="256"/>
      <c r="V774" s="256"/>
      <c r="W774" s="256"/>
      <c r="X774" s="256"/>
      <c r="Y774" s="256"/>
      <c r="Z774" s="256"/>
    </row>
    <row r="775">
      <c r="A775" s="256"/>
      <c r="B775" s="256"/>
      <c r="C775" s="256"/>
      <c r="D775" s="256"/>
      <c r="E775" s="256"/>
      <c r="F775" s="256"/>
      <c r="G775" s="256"/>
      <c r="H775" s="256"/>
      <c r="I775" s="256"/>
      <c r="J775" s="256"/>
      <c r="K775" s="256"/>
      <c r="L775" s="256"/>
      <c r="M775" s="256"/>
      <c r="N775" s="256"/>
      <c r="O775" s="256"/>
      <c r="P775" s="256"/>
      <c r="Q775" s="256"/>
      <c r="R775" s="256"/>
      <c r="S775" s="256"/>
      <c r="T775" s="256"/>
      <c r="U775" s="256"/>
      <c r="V775" s="256"/>
      <c r="W775" s="256"/>
      <c r="X775" s="256"/>
      <c r="Y775" s="256"/>
      <c r="Z775" s="256"/>
    </row>
    <row r="776">
      <c r="A776" s="256"/>
      <c r="B776" s="256"/>
      <c r="C776" s="256"/>
      <c r="D776" s="256"/>
      <c r="E776" s="256"/>
      <c r="F776" s="256"/>
      <c r="G776" s="256"/>
      <c r="H776" s="256"/>
      <c r="I776" s="256"/>
      <c r="J776" s="256"/>
      <c r="K776" s="256"/>
      <c r="L776" s="256"/>
      <c r="M776" s="256"/>
      <c r="N776" s="256"/>
      <c r="O776" s="256"/>
      <c r="P776" s="256"/>
      <c r="Q776" s="256"/>
      <c r="R776" s="256"/>
      <c r="S776" s="256"/>
      <c r="T776" s="256"/>
      <c r="U776" s="256"/>
      <c r="V776" s="256"/>
      <c r="W776" s="256"/>
      <c r="X776" s="256"/>
      <c r="Y776" s="256"/>
      <c r="Z776" s="256"/>
    </row>
    <row r="777">
      <c r="A777" s="256"/>
      <c r="B777" s="256"/>
      <c r="C777" s="256"/>
      <c r="D777" s="256"/>
      <c r="E777" s="256"/>
      <c r="F777" s="256"/>
      <c r="G777" s="256"/>
      <c r="H777" s="256"/>
      <c r="I777" s="256"/>
      <c r="J777" s="256"/>
      <c r="K777" s="256"/>
      <c r="L777" s="256"/>
      <c r="M777" s="256"/>
      <c r="N777" s="256"/>
      <c r="O777" s="256"/>
      <c r="P777" s="256"/>
      <c r="Q777" s="256"/>
      <c r="R777" s="256"/>
      <c r="S777" s="256"/>
      <c r="T777" s="256"/>
      <c r="U777" s="256"/>
      <c r="V777" s="256"/>
      <c r="W777" s="256"/>
      <c r="X777" s="256"/>
      <c r="Y777" s="256"/>
      <c r="Z777" s="256"/>
    </row>
    <row r="778">
      <c r="A778" s="256"/>
      <c r="B778" s="256"/>
      <c r="C778" s="256"/>
      <c r="D778" s="256"/>
      <c r="E778" s="256"/>
      <c r="F778" s="256"/>
      <c r="G778" s="256"/>
      <c r="H778" s="256"/>
      <c r="I778" s="256"/>
      <c r="J778" s="256"/>
      <c r="K778" s="256"/>
      <c r="L778" s="256"/>
      <c r="M778" s="256"/>
      <c r="N778" s="256"/>
      <c r="O778" s="256"/>
      <c r="P778" s="256"/>
      <c r="Q778" s="256"/>
      <c r="R778" s="256"/>
      <c r="S778" s="256"/>
      <c r="T778" s="256"/>
      <c r="U778" s="256"/>
      <c r="V778" s="256"/>
      <c r="W778" s="256"/>
      <c r="X778" s="256"/>
      <c r="Y778" s="256"/>
      <c r="Z778" s="256"/>
    </row>
    <row r="779">
      <c r="A779" s="256"/>
      <c r="B779" s="256"/>
      <c r="C779" s="256"/>
      <c r="D779" s="256"/>
      <c r="E779" s="256"/>
      <c r="F779" s="256"/>
      <c r="G779" s="256"/>
      <c r="H779" s="256"/>
      <c r="I779" s="256"/>
      <c r="J779" s="256"/>
      <c r="K779" s="256"/>
      <c r="L779" s="256"/>
      <c r="M779" s="256"/>
      <c r="N779" s="256"/>
      <c r="O779" s="256"/>
      <c r="P779" s="256"/>
      <c r="Q779" s="256"/>
      <c r="R779" s="256"/>
      <c r="S779" s="256"/>
      <c r="T779" s="256"/>
      <c r="U779" s="256"/>
      <c r="V779" s="256"/>
      <c r="W779" s="256"/>
      <c r="X779" s="256"/>
      <c r="Y779" s="256"/>
      <c r="Z779" s="256"/>
    </row>
    <row r="780">
      <c r="A780" s="256"/>
      <c r="B780" s="256"/>
      <c r="C780" s="256"/>
      <c r="D780" s="256"/>
      <c r="E780" s="256"/>
      <c r="F780" s="256"/>
      <c r="G780" s="256"/>
      <c r="H780" s="256"/>
      <c r="I780" s="256"/>
      <c r="J780" s="256"/>
      <c r="K780" s="256"/>
      <c r="L780" s="256"/>
      <c r="M780" s="256"/>
      <c r="N780" s="256"/>
      <c r="O780" s="256"/>
      <c r="P780" s="256"/>
      <c r="Q780" s="256"/>
      <c r="R780" s="256"/>
      <c r="S780" s="256"/>
      <c r="T780" s="256"/>
      <c r="U780" s="256"/>
      <c r="V780" s="256"/>
      <c r="W780" s="256"/>
      <c r="X780" s="256"/>
      <c r="Y780" s="256"/>
      <c r="Z780" s="256"/>
    </row>
    <row r="781">
      <c r="A781" s="256"/>
      <c r="B781" s="256"/>
      <c r="C781" s="256"/>
      <c r="D781" s="256"/>
      <c r="E781" s="256"/>
      <c r="F781" s="256"/>
      <c r="G781" s="256"/>
      <c r="H781" s="256"/>
      <c r="I781" s="256"/>
      <c r="J781" s="256"/>
      <c r="K781" s="256"/>
      <c r="L781" s="256"/>
      <c r="M781" s="256"/>
      <c r="N781" s="256"/>
      <c r="O781" s="256"/>
      <c r="P781" s="256"/>
      <c r="Q781" s="256"/>
      <c r="R781" s="256"/>
      <c r="S781" s="256"/>
      <c r="T781" s="256"/>
      <c r="U781" s="256"/>
      <c r="V781" s="256"/>
      <c r="W781" s="256"/>
      <c r="X781" s="256"/>
      <c r="Y781" s="256"/>
      <c r="Z781" s="256"/>
    </row>
    <row r="782">
      <c r="A782" s="256"/>
      <c r="B782" s="256"/>
      <c r="C782" s="256"/>
      <c r="D782" s="256"/>
      <c r="E782" s="256"/>
      <c r="F782" s="256"/>
      <c r="G782" s="256"/>
      <c r="H782" s="256"/>
      <c r="I782" s="256"/>
      <c r="J782" s="256"/>
      <c r="K782" s="256"/>
      <c r="L782" s="256"/>
      <c r="M782" s="256"/>
      <c r="N782" s="256"/>
      <c r="O782" s="256"/>
      <c r="P782" s="256"/>
      <c r="Q782" s="256"/>
      <c r="R782" s="256"/>
      <c r="S782" s="256"/>
      <c r="T782" s="256"/>
      <c r="U782" s="256"/>
      <c r="V782" s="256"/>
      <c r="W782" s="256"/>
      <c r="X782" s="256"/>
      <c r="Y782" s="256"/>
      <c r="Z782" s="256"/>
    </row>
    <row r="783">
      <c r="A783" s="256"/>
      <c r="B783" s="256"/>
      <c r="C783" s="256"/>
      <c r="D783" s="256"/>
      <c r="E783" s="256"/>
      <c r="F783" s="256"/>
      <c r="G783" s="256"/>
      <c r="H783" s="256"/>
      <c r="I783" s="256"/>
      <c r="J783" s="256"/>
      <c r="K783" s="256"/>
      <c r="L783" s="256"/>
      <c r="M783" s="256"/>
      <c r="N783" s="256"/>
      <c r="O783" s="256"/>
      <c r="P783" s="256"/>
      <c r="Q783" s="256"/>
      <c r="R783" s="256"/>
      <c r="S783" s="256"/>
      <c r="T783" s="256"/>
      <c r="U783" s="256"/>
      <c r="V783" s="256"/>
      <c r="W783" s="256"/>
      <c r="X783" s="256"/>
      <c r="Y783" s="256"/>
      <c r="Z783" s="256"/>
    </row>
    <row r="784">
      <c r="A784" s="256"/>
      <c r="B784" s="256"/>
      <c r="C784" s="256"/>
      <c r="D784" s="256"/>
      <c r="E784" s="256"/>
      <c r="F784" s="256"/>
      <c r="G784" s="256"/>
      <c r="H784" s="256"/>
      <c r="I784" s="256"/>
      <c r="J784" s="256"/>
      <c r="K784" s="256"/>
      <c r="L784" s="256"/>
      <c r="M784" s="256"/>
      <c r="N784" s="256"/>
      <c r="O784" s="256"/>
      <c r="P784" s="256"/>
      <c r="Q784" s="256"/>
      <c r="R784" s="256"/>
      <c r="S784" s="256"/>
      <c r="T784" s="256"/>
      <c r="U784" s="256"/>
      <c r="V784" s="256"/>
      <c r="W784" s="256"/>
      <c r="X784" s="256"/>
      <c r="Y784" s="256"/>
      <c r="Z784" s="256"/>
    </row>
    <row r="785">
      <c r="A785" s="256"/>
      <c r="B785" s="256"/>
      <c r="C785" s="256"/>
      <c r="D785" s="256"/>
      <c r="E785" s="256"/>
      <c r="F785" s="256"/>
      <c r="G785" s="256"/>
      <c r="H785" s="256"/>
      <c r="I785" s="256"/>
      <c r="J785" s="256"/>
      <c r="K785" s="256"/>
      <c r="L785" s="256"/>
      <c r="M785" s="256"/>
      <c r="N785" s="256"/>
      <c r="O785" s="256"/>
      <c r="P785" s="256"/>
      <c r="Q785" s="256"/>
      <c r="R785" s="256"/>
      <c r="S785" s="256"/>
      <c r="T785" s="256"/>
      <c r="U785" s="256"/>
      <c r="V785" s="256"/>
      <c r="W785" s="256"/>
      <c r="X785" s="256"/>
      <c r="Y785" s="256"/>
      <c r="Z785" s="256"/>
    </row>
    <row r="786">
      <c r="A786" s="256"/>
      <c r="B786" s="256"/>
      <c r="C786" s="256"/>
      <c r="D786" s="256"/>
      <c r="E786" s="256"/>
      <c r="F786" s="256"/>
      <c r="G786" s="256"/>
      <c r="H786" s="256"/>
      <c r="I786" s="256"/>
      <c r="J786" s="256"/>
      <c r="K786" s="256"/>
      <c r="L786" s="256"/>
      <c r="M786" s="256"/>
      <c r="N786" s="256"/>
      <c r="O786" s="256"/>
      <c r="P786" s="256"/>
      <c r="Q786" s="256"/>
      <c r="R786" s="256"/>
      <c r="S786" s="256"/>
      <c r="T786" s="256"/>
      <c r="U786" s="256"/>
      <c r="V786" s="256"/>
      <c r="W786" s="256"/>
      <c r="X786" s="256"/>
      <c r="Y786" s="256"/>
      <c r="Z786" s="256"/>
    </row>
    <row r="787">
      <c r="A787" s="256"/>
      <c r="B787" s="256"/>
      <c r="C787" s="256"/>
      <c r="D787" s="256"/>
      <c r="E787" s="256"/>
      <c r="F787" s="256"/>
      <c r="G787" s="256"/>
      <c r="H787" s="256"/>
      <c r="I787" s="256"/>
      <c r="J787" s="256"/>
      <c r="K787" s="256"/>
      <c r="L787" s="256"/>
      <c r="M787" s="256"/>
      <c r="N787" s="256"/>
      <c r="O787" s="256"/>
      <c r="P787" s="256"/>
      <c r="Q787" s="256"/>
      <c r="R787" s="256"/>
      <c r="S787" s="256"/>
      <c r="T787" s="256"/>
      <c r="U787" s="256"/>
      <c r="V787" s="256"/>
      <c r="W787" s="256"/>
      <c r="X787" s="256"/>
      <c r="Y787" s="256"/>
      <c r="Z787" s="256"/>
    </row>
    <row r="788">
      <c r="A788" s="256"/>
      <c r="B788" s="256"/>
      <c r="C788" s="256"/>
      <c r="D788" s="256"/>
      <c r="E788" s="256"/>
      <c r="F788" s="256"/>
      <c r="G788" s="256"/>
      <c r="H788" s="256"/>
      <c r="I788" s="256"/>
      <c r="J788" s="256"/>
      <c r="K788" s="256"/>
      <c r="L788" s="256"/>
      <c r="M788" s="256"/>
      <c r="N788" s="256"/>
      <c r="O788" s="256"/>
      <c r="P788" s="256"/>
      <c r="Q788" s="256"/>
      <c r="R788" s="256"/>
      <c r="S788" s="256"/>
      <c r="T788" s="256"/>
      <c r="U788" s="256"/>
      <c r="V788" s="256"/>
      <c r="W788" s="256"/>
      <c r="X788" s="256"/>
      <c r="Y788" s="256"/>
      <c r="Z788" s="256"/>
    </row>
    <row r="789">
      <c r="A789" s="256"/>
      <c r="B789" s="256"/>
      <c r="C789" s="256"/>
      <c r="D789" s="256"/>
      <c r="E789" s="256"/>
      <c r="F789" s="256"/>
      <c r="G789" s="256"/>
      <c r="H789" s="256"/>
      <c r="I789" s="256"/>
      <c r="J789" s="256"/>
      <c r="K789" s="256"/>
      <c r="L789" s="256"/>
      <c r="M789" s="256"/>
      <c r="N789" s="256"/>
      <c r="O789" s="256"/>
      <c r="P789" s="256"/>
      <c r="Q789" s="256"/>
      <c r="R789" s="256"/>
      <c r="S789" s="256"/>
      <c r="T789" s="256"/>
      <c r="U789" s="256"/>
      <c r="V789" s="256"/>
      <c r="W789" s="256"/>
      <c r="X789" s="256"/>
      <c r="Y789" s="256"/>
      <c r="Z789" s="256"/>
    </row>
    <row r="790">
      <c r="A790" s="256"/>
      <c r="B790" s="256"/>
      <c r="C790" s="256"/>
      <c r="D790" s="256"/>
      <c r="E790" s="256"/>
      <c r="F790" s="256"/>
      <c r="G790" s="256"/>
      <c r="H790" s="256"/>
      <c r="I790" s="256"/>
      <c r="J790" s="256"/>
      <c r="K790" s="256"/>
      <c r="L790" s="256"/>
      <c r="M790" s="256"/>
      <c r="N790" s="256"/>
      <c r="O790" s="256"/>
      <c r="P790" s="256"/>
      <c r="Q790" s="256"/>
      <c r="R790" s="256"/>
      <c r="S790" s="256"/>
      <c r="T790" s="256"/>
      <c r="U790" s="256"/>
      <c r="V790" s="256"/>
      <c r="W790" s="256"/>
      <c r="X790" s="256"/>
      <c r="Y790" s="256"/>
      <c r="Z790" s="256"/>
    </row>
    <row r="791">
      <c r="A791" s="256"/>
      <c r="B791" s="256"/>
      <c r="C791" s="256"/>
      <c r="D791" s="256"/>
      <c r="E791" s="256"/>
      <c r="F791" s="256"/>
      <c r="G791" s="256"/>
      <c r="H791" s="256"/>
      <c r="I791" s="256"/>
      <c r="J791" s="256"/>
      <c r="K791" s="256"/>
      <c r="L791" s="256"/>
      <c r="M791" s="256"/>
      <c r="N791" s="256"/>
      <c r="O791" s="256"/>
      <c r="P791" s="256"/>
      <c r="Q791" s="256"/>
      <c r="R791" s="256"/>
      <c r="S791" s="256"/>
      <c r="T791" s="256"/>
      <c r="U791" s="256"/>
      <c r="V791" s="256"/>
      <c r="W791" s="256"/>
      <c r="X791" s="256"/>
      <c r="Y791" s="256"/>
      <c r="Z791" s="256"/>
    </row>
    <row r="792">
      <c r="A792" s="256"/>
      <c r="B792" s="256"/>
      <c r="C792" s="256"/>
      <c r="D792" s="256"/>
      <c r="E792" s="256"/>
      <c r="F792" s="256"/>
      <c r="G792" s="256"/>
      <c r="H792" s="256"/>
      <c r="I792" s="256"/>
      <c r="J792" s="256"/>
      <c r="K792" s="256"/>
      <c r="L792" s="256"/>
      <c r="M792" s="256"/>
      <c r="N792" s="256"/>
      <c r="O792" s="256"/>
      <c r="P792" s="256"/>
      <c r="Q792" s="256"/>
      <c r="R792" s="256"/>
      <c r="S792" s="256"/>
      <c r="T792" s="256"/>
      <c r="U792" s="256"/>
      <c r="V792" s="256"/>
      <c r="W792" s="256"/>
      <c r="X792" s="256"/>
      <c r="Y792" s="256"/>
      <c r="Z792" s="256"/>
    </row>
    <row r="793">
      <c r="A793" s="256"/>
      <c r="B793" s="256"/>
      <c r="C793" s="256"/>
      <c r="D793" s="256"/>
      <c r="E793" s="256"/>
      <c r="F793" s="256"/>
      <c r="G793" s="256"/>
      <c r="H793" s="256"/>
      <c r="I793" s="256"/>
      <c r="J793" s="256"/>
      <c r="K793" s="256"/>
      <c r="L793" s="256"/>
      <c r="M793" s="256"/>
      <c r="N793" s="256"/>
      <c r="O793" s="256"/>
      <c r="P793" s="256"/>
      <c r="Q793" s="256"/>
      <c r="R793" s="256"/>
      <c r="S793" s="256"/>
      <c r="T793" s="256"/>
      <c r="U793" s="256"/>
      <c r="V793" s="256"/>
      <c r="W793" s="256"/>
      <c r="X793" s="256"/>
      <c r="Y793" s="256"/>
      <c r="Z793" s="256"/>
    </row>
    <row r="794">
      <c r="A794" s="256"/>
      <c r="B794" s="256"/>
      <c r="C794" s="256"/>
      <c r="D794" s="256"/>
      <c r="E794" s="256"/>
      <c r="F794" s="256"/>
      <c r="G794" s="256"/>
      <c r="H794" s="256"/>
      <c r="I794" s="256"/>
      <c r="J794" s="256"/>
      <c r="K794" s="256"/>
      <c r="L794" s="256"/>
      <c r="M794" s="256"/>
      <c r="N794" s="256"/>
      <c r="O794" s="256"/>
      <c r="P794" s="256"/>
      <c r="Q794" s="256"/>
      <c r="R794" s="256"/>
      <c r="S794" s="256"/>
      <c r="T794" s="256"/>
      <c r="U794" s="256"/>
      <c r="V794" s="256"/>
      <c r="W794" s="256"/>
      <c r="X794" s="256"/>
      <c r="Y794" s="256"/>
      <c r="Z794" s="256"/>
    </row>
    <row r="795">
      <c r="A795" s="256"/>
      <c r="B795" s="256"/>
      <c r="C795" s="256"/>
      <c r="D795" s="256"/>
      <c r="E795" s="256"/>
      <c r="F795" s="256"/>
      <c r="G795" s="256"/>
      <c r="H795" s="256"/>
      <c r="I795" s="256"/>
      <c r="J795" s="256"/>
      <c r="K795" s="256"/>
      <c r="L795" s="256"/>
      <c r="M795" s="256"/>
      <c r="N795" s="256"/>
      <c r="O795" s="256"/>
      <c r="P795" s="256"/>
      <c r="Q795" s="256"/>
      <c r="R795" s="256"/>
      <c r="S795" s="256"/>
      <c r="T795" s="256"/>
      <c r="U795" s="256"/>
      <c r="V795" s="256"/>
      <c r="W795" s="256"/>
      <c r="X795" s="256"/>
      <c r="Y795" s="256"/>
      <c r="Z795" s="256"/>
    </row>
    <row r="796">
      <c r="A796" s="256"/>
      <c r="B796" s="256"/>
      <c r="C796" s="256"/>
      <c r="D796" s="256"/>
      <c r="E796" s="256"/>
      <c r="F796" s="256"/>
      <c r="G796" s="256"/>
      <c r="H796" s="256"/>
      <c r="I796" s="256"/>
      <c r="J796" s="256"/>
      <c r="K796" s="256"/>
      <c r="L796" s="256"/>
      <c r="M796" s="256"/>
      <c r="N796" s="256"/>
      <c r="O796" s="256"/>
      <c r="P796" s="256"/>
      <c r="Q796" s="256"/>
      <c r="R796" s="256"/>
      <c r="S796" s="256"/>
      <c r="T796" s="256"/>
      <c r="U796" s="256"/>
      <c r="V796" s="256"/>
      <c r="W796" s="256"/>
      <c r="X796" s="256"/>
      <c r="Y796" s="256"/>
      <c r="Z796" s="256"/>
    </row>
    <row r="797">
      <c r="A797" s="256"/>
      <c r="B797" s="256"/>
      <c r="C797" s="256"/>
      <c r="D797" s="256"/>
      <c r="E797" s="256"/>
      <c r="F797" s="256"/>
      <c r="G797" s="256"/>
      <c r="H797" s="256"/>
      <c r="I797" s="256"/>
      <c r="J797" s="256"/>
      <c r="K797" s="256"/>
      <c r="L797" s="256"/>
      <c r="M797" s="256"/>
      <c r="N797" s="256"/>
      <c r="O797" s="256"/>
      <c r="P797" s="256"/>
      <c r="Q797" s="256"/>
      <c r="R797" s="256"/>
      <c r="S797" s="256"/>
      <c r="T797" s="256"/>
      <c r="U797" s="256"/>
      <c r="V797" s="256"/>
      <c r="W797" s="256"/>
      <c r="X797" s="256"/>
      <c r="Y797" s="256"/>
      <c r="Z797" s="256"/>
    </row>
    <row r="798">
      <c r="A798" s="256"/>
      <c r="B798" s="256"/>
      <c r="C798" s="256"/>
      <c r="D798" s="256"/>
      <c r="E798" s="256"/>
      <c r="F798" s="256"/>
      <c r="G798" s="256"/>
      <c r="H798" s="256"/>
      <c r="I798" s="256"/>
      <c r="J798" s="256"/>
      <c r="K798" s="256"/>
      <c r="L798" s="256"/>
      <c r="M798" s="256"/>
      <c r="N798" s="256"/>
      <c r="O798" s="256"/>
      <c r="P798" s="256"/>
      <c r="Q798" s="256"/>
      <c r="R798" s="256"/>
      <c r="S798" s="256"/>
      <c r="T798" s="256"/>
      <c r="U798" s="256"/>
      <c r="V798" s="256"/>
      <c r="W798" s="256"/>
      <c r="X798" s="256"/>
      <c r="Y798" s="256"/>
      <c r="Z798" s="256"/>
    </row>
    <row r="799">
      <c r="A799" s="256"/>
      <c r="B799" s="256"/>
      <c r="C799" s="256"/>
      <c r="D799" s="256"/>
      <c r="E799" s="256"/>
      <c r="F799" s="256"/>
      <c r="G799" s="256"/>
      <c r="H799" s="256"/>
      <c r="I799" s="256"/>
      <c r="J799" s="256"/>
      <c r="K799" s="256"/>
      <c r="L799" s="256"/>
      <c r="M799" s="256"/>
      <c r="N799" s="256"/>
      <c r="O799" s="256"/>
      <c r="P799" s="256"/>
      <c r="Q799" s="256"/>
      <c r="R799" s="256"/>
      <c r="S799" s="256"/>
      <c r="T799" s="256"/>
      <c r="U799" s="256"/>
      <c r="V799" s="256"/>
      <c r="W799" s="256"/>
      <c r="X799" s="256"/>
      <c r="Y799" s="256"/>
      <c r="Z799" s="256"/>
    </row>
    <row r="800">
      <c r="A800" s="256"/>
      <c r="B800" s="256"/>
      <c r="C800" s="256"/>
      <c r="D800" s="256"/>
      <c r="E800" s="256"/>
      <c r="F800" s="256"/>
      <c r="G800" s="256"/>
      <c r="H800" s="256"/>
      <c r="I800" s="256"/>
      <c r="J800" s="256"/>
      <c r="K800" s="256"/>
      <c r="L800" s="256"/>
      <c r="M800" s="256"/>
      <c r="N800" s="256"/>
      <c r="O800" s="256"/>
      <c r="P800" s="256"/>
      <c r="Q800" s="256"/>
      <c r="R800" s="256"/>
      <c r="S800" s="256"/>
      <c r="T800" s="256"/>
      <c r="U800" s="256"/>
      <c r="V800" s="256"/>
      <c r="W800" s="256"/>
      <c r="X800" s="256"/>
      <c r="Y800" s="256"/>
      <c r="Z800" s="256"/>
    </row>
    <row r="801">
      <c r="A801" s="256"/>
      <c r="B801" s="256"/>
      <c r="C801" s="256"/>
      <c r="D801" s="256"/>
      <c r="E801" s="256"/>
      <c r="F801" s="256"/>
      <c r="G801" s="256"/>
      <c r="H801" s="256"/>
      <c r="I801" s="256"/>
      <c r="J801" s="256"/>
      <c r="K801" s="256"/>
      <c r="L801" s="256"/>
      <c r="M801" s="256"/>
      <c r="N801" s="256"/>
      <c r="O801" s="256"/>
      <c r="P801" s="256"/>
      <c r="Q801" s="256"/>
      <c r="R801" s="256"/>
      <c r="S801" s="256"/>
      <c r="T801" s="256"/>
      <c r="U801" s="256"/>
      <c r="V801" s="256"/>
      <c r="W801" s="256"/>
      <c r="X801" s="256"/>
      <c r="Y801" s="256"/>
      <c r="Z801" s="256"/>
    </row>
    <row r="802">
      <c r="A802" s="256"/>
      <c r="B802" s="256"/>
      <c r="C802" s="256"/>
      <c r="D802" s="256"/>
      <c r="E802" s="256"/>
      <c r="F802" s="256"/>
      <c r="G802" s="256"/>
      <c r="H802" s="256"/>
      <c r="I802" s="256"/>
      <c r="J802" s="256"/>
      <c r="K802" s="256"/>
      <c r="L802" s="256"/>
      <c r="M802" s="256"/>
      <c r="N802" s="256"/>
      <c r="O802" s="256"/>
      <c r="P802" s="256"/>
      <c r="Q802" s="256"/>
      <c r="R802" s="256"/>
      <c r="S802" s="256"/>
      <c r="T802" s="256"/>
      <c r="U802" s="256"/>
      <c r="V802" s="256"/>
      <c r="W802" s="256"/>
      <c r="X802" s="256"/>
      <c r="Y802" s="256"/>
      <c r="Z802" s="256"/>
    </row>
    <row r="803">
      <c r="A803" s="256"/>
      <c r="B803" s="256"/>
      <c r="C803" s="256"/>
      <c r="D803" s="256"/>
      <c r="E803" s="256"/>
      <c r="F803" s="256"/>
      <c r="G803" s="256"/>
      <c r="H803" s="256"/>
      <c r="I803" s="256"/>
      <c r="J803" s="256"/>
      <c r="K803" s="256"/>
      <c r="L803" s="256"/>
      <c r="M803" s="256"/>
      <c r="N803" s="256"/>
      <c r="O803" s="256"/>
      <c r="P803" s="256"/>
      <c r="Q803" s="256"/>
      <c r="R803" s="256"/>
      <c r="S803" s="256"/>
      <c r="T803" s="256"/>
      <c r="U803" s="256"/>
      <c r="V803" s="256"/>
      <c r="W803" s="256"/>
      <c r="X803" s="256"/>
      <c r="Y803" s="256"/>
      <c r="Z803" s="256"/>
    </row>
    <row r="804">
      <c r="A804" s="256"/>
      <c r="B804" s="256"/>
      <c r="C804" s="256"/>
      <c r="D804" s="256"/>
      <c r="E804" s="256"/>
      <c r="F804" s="256"/>
      <c r="G804" s="256"/>
      <c r="H804" s="256"/>
      <c r="I804" s="256"/>
      <c r="J804" s="256"/>
      <c r="K804" s="256"/>
      <c r="L804" s="256"/>
      <c r="M804" s="256"/>
      <c r="N804" s="256"/>
      <c r="O804" s="256"/>
      <c r="P804" s="256"/>
      <c r="Q804" s="256"/>
      <c r="R804" s="256"/>
      <c r="S804" s="256"/>
      <c r="T804" s="256"/>
      <c r="U804" s="256"/>
      <c r="V804" s="256"/>
      <c r="W804" s="256"/>
      <c r="X804" s="256"/>
      <c r="Y804" s="256"/>
      <c r="Z804" s="256"/>
    </row>
    <row r="805">
      <c r="A805" s="256"/>
      <c r="B805" s="256"/>
      <c r="C805" s="256"/>
      <c r="D805" s="256"/>
      <c r="E805" s="256"/>
      <c r="F805" s="256"/>
      <c r="G805" s="256"/>
      <c r="H805" s="256"/>
      <c r="I805" s="256"/>
      <c r="J805" s="256"/>
      <c r="K805" s="256"/>
      <c r="L805" s="256"/>
      <c r="M805" s="256"/>
      <c r="N805" s="256"/>
      <c r="O805" s="256"/>
      <c r="P805" s="256"/>
      <c r="Q805" s="256"/>
      <c r="R805" s="256"/>
      <c r="S805" s="256"/>
      <c r="T805" s="256"/>
      <c r="U805" s="256"/>
      <c r="V805" s="256"/>
      <c r="W805" s="256"/>
      <c r="X805" s="256"/>
      <c r="Y805" s="256"/>
      <c r="Z805" s="256"/>
    </row>
    <row r="806">
      <c r="A806" s="256"/>
      <c r="B806" s="256"/>
      <c r="C806" s="256"/>
      <c r="D806" s="256"/>
      <c r="E806" s="256"/>
      <c r="F806" s="256"/>
      <c r="G806" s="256"/>
      <c r="H806" s="256"/>
      <c r="I806" s="256"/>
      <c r="J806" s="256"/>
      <c r="K806" s="256"/>
      <c r="L806" s="256"/>
      <c r="M806" s="256"/>
      <c r="N806" s="256"/>
      <c r="O806" s="256"/>
      <c r="P806" s="256"/>
      <c r="Q806" s="256"/>
      <c r="R806" s="256"/>
      <c r="S806" s="256"/>
      <c r="T806" s="256"/>
      <c r="U806" s="256"/>
      <c r="V806" s="256"/>
      <c r="W806" s="256"/>
      <c r="X806" s="256"/>
      <c r="Y806" s="256"/>
      <c r="Z806" s="256"/>
    </row>
    <row r="807">
      <c r="A807" s="256"/>
      <c r="B807" s="256"/>
      <c r="C807" s="256"/>
      <c r="D807" s="256"/>
      <c r="E807" s="256"/>
      <c r="F807" s="256"/>
      <c r="G807" s="256"/>
      <c r="H807" s="256"/>
      <c r="I807" s="256"/>
      <c r="J807" s="256"/>
      <c r="K807" s="256"/>
      <c r="L807" s="256"/>
      <c r="M807" s="256"/>
      <c r="N807" s="256"/>
      <c r="O807" s="256"/>
      <c r="P807" s="256"/>
      <c r="Q807" s="256"/>
      <c r="R807" s="256"/>
      <c r="S807" s="256"/>
      <c r="T807" s="256"/>
      <c r="U807" s="256"/>
      <c r="V807" s="256"/>
      <c r="W807" s="256"/>
      <c r="X807" s="256"/>
      <c r="Y807" s="256"/>
      <c r="Z807" s="256"/>
    </row>
    <row r="808">
      <c r="A808" s="256"/>
      <c r="B808" s="256"/>
      <c r="C808" s="256"/>
      <c r="D808" s="256"/>
      <c r="E808" s="256"/>
      <c r="F808" s="256"/>
      <c r="G808" s="256"/>
      <c r="H808" s="256"/>
      <c r="I808" s="256"/>
      <c r="J808" s="256"/>
      <c r="K808" s="256"/>
      <c r="L808" s="256"/>
      <c r="M808" s="256"/>
      <c r="N808" s="256"/>
      <c r="O808" s="256"/>
      <c r="P808" s="256"/>
      <c r="Q808" s="256"/>
      <c r="R808" s="256"/>
      <c r="S808" s="256"/>
      <c r="T808" s="256"/>
      <c r="U808" s="256"/>
      <c r="V808" s="256"/>
      <c r="W808" s="256"/>
      <c r="X808" s="256"/>
      <c r="Y808" s="256"/>
      <c r="Z808" s="256"/>
    </row>
    <row r="809">
      <c r="A809" s="256"/>
      <c r="B809" s="256"/>
      <c r="C809" s="256"/>
      <c r="D809" s="256"/>
      <c r="E809" s="256"/>
      <c r="F809" s="256"/>
      <c r="G809" s="256"/>
      <c r="H809" s="256"/>
      <c r="I809" s="256"/>
      <c r="J809" s="256"/>
      <c r="K809" s="256"/>
      <c r="L809" s="256"/>
      <c r="M809" s="256"/>
      <c r="N809" s="256"/>
      <c r="O809" s="256"/>
      <c r="P809" s="256"/>
      <c r="Q809" s="256"/>
      <c r="R809" s="256"/>
      <c r="S809" s="256"/>
      <c r="T809" s="256"/>
      <c r="U809" s="256"/>
      <c r="V809" s="256"/>
      <c r="W809" s="256"/>
      <c r="X809" s="256"/>
      <c r="Y809" s="256"/>
      <c r="Z809" s="256"/>
    </row>
    <row r="810">
      <c r="A810" s="256"/>
      <c r="B810" s="256"/>
      <c r="C810" s="256"/>
      <c r="D810" s="256"/>
      <c r="E810" s="256"/>
      <c r="F810" s="256"/>
      <c r="G810" s="256"/>
      <c r="H810" s="256"/>
      <c r="I810" s="256"/>
      <c r="J810" s="256"/>
      <c r="K810" s="256"/>
      <c r="L810" s="256"/>
      <c r="M810" s="256"/>
      <c r="N810" s="256"/>
      <c r="O810" s="256"/>
      <c r="P810" s="256"/>
      <c r="Q810" s="256"/>
      <c r="R810" s="256"/>
      <c r="S810" s="256"/>
      <c r="T810" s="256"/>
      <c r="U810" s="256"/>
      <c r="V810" s="256"/>
      <c r="W810" s="256"/>
      <c r="X810" s="256"/>
      <c r="Y810" s="256"/>
      <c r="Z810" s="256"/>
    </row>
    <row r="811">
      <c r="A811" s="256"/>
      <c r="B811" s="256"/>
      <c r="C811" s="256"/>
      <c r="D811" s="256"/>
      <c r="E811" s="256"/>
      <c r="F811" s="256"/>
      <c r="G811" s="256"/>
      <c r="H811" s="256"/>
      <c r="I811" s="256"/>
      <c r="J811" s="256"/>
      <c r="K811" s="256"/>
      <c r="L811" s="256"/>
      <c r="M811" s="256"/>
      <c r="N811" s="256"/>
      <c r="O811" s="256"/>
      <c r="P811" s="256"/>
      <c r="Q811" s="256"/>
      <c r="R811" s="256"/>
      <c r="S811" s="256"/>
      <c r="T811" s="256"/>
      <c r="U811" s="256"/>
      <c r="V811" s="256"/>
      <c r="W811" s="256"/>
      <c r="X811" s="256"/>
      <c r="Y811" s="256"/>
      <c r="Z811" s="256"/>
    </row>
    <row r="812">
      <c r="A812" s="256"/>
      <c r="B812" s="256"/>
      <c r="C812" s="256"/>
      <c r="D812" s="256"/>
      <c r="E812" s="256"/>
      <c r="F812" s="256"/>
      <c r="G812" s="256"/>
      <c r="H812" s="256"/>
      <c r="I812" s="256"/>
      <c r="J812" s="256"/>
      <c r="K812" s="256"/>
      <c r="L812" s="256"/>
      <c r="M812" s="256"/>
      <c r="N812" s="256"/>
      <c r="O812" s="256"/>
      <c r="P812" s="256"/>
      <c r="Q812" s="256"/>
      <c r="R812" s="256"/>
      <c r="S812" s="256"/>
      <c r="T812" s="256"/>
      <c r="U812" s="256"/>
      <c r="V812" s="256"/>
      <c r="W812" s="256"/>
      <c r="X812" s="256"/>
      <c r="Y812" s="256"/>
      <c r="Z812" s="256"/>
    </row>
    <row r="813">
      <c r="A813" s="256"/>
      <c r="B813" s="256"/>
      <c r="C813" s="256"/>
      <c r="D813" s="256"/>
      <c r="E813" s="256"/>
      <c r="F813" s="256"/>
      <c r="G813" s="256"/>
      <c r="H813" s="256"/>
      <c r="I813" s="256"/>
      <c r="J813" s="256"/>
      <c r="K813" s="256"/>
      <c r="L813" s="256"/>
      <c r="M813" s="256"/>
      <c r="N813" s="256"/>
      <c r="O813" s="256"/>
      <c r="P813" s="256"/>
      <c r="Q813" s="256"/>
      <c r="R813" s="256"/>
      <c r="S813" s="256"/>
      <c r="T813" s="256"/>
      <c r="U813" s="256"/>
      <c r="V813" s="256"/>
      <c r="W813" s="256"/>
      <c r="X813" s="256"/>
      <c r="Y813" s="256"/>
      <c r="Z813" s="256"/>
    </row>
    <row r="814">
      <c r="A814" s="256"/>
      <c r="B814" s="256"/>
      <c r="C814" s="256"/>
      <c r="D814" s="256"/>
      <c r="E814" s="256"/>
      <c r="F814" s="256"/>
      <c r="G814" s="256"/>
      <c r="H814" s="256"/>
      <c r="I814" s="256"/>
      <c r="J814" s="256"/>
      <c r="K814" s="256"/>
      <c r="L814" s="256"/>
      <c r="M814" s="256"/>
      <c r="N814" s="256"/>
      <c r="O814" s="256"/>
      <c r="P814" s="256"/>
      <c r="Q814" s="256"/>
      <c r="R814" s="256"/>
      <c r="S814" s="256"/>
      <c r="T814" s="256"/>
      <c r="U814" s="256"/>
      <c r="V814" s="256"/>
      <c r="W814" s="256"/>
      <c r="X814" s="256"/>
      <c r="Y814" s="256"/>
      <c r="Z814" s="256"/>
    </row>
    <row r="815">
      <c r="A815" s="256"/>
      <c r="B815" s="256"/>
      <c r="C815" s="256"/>
      <c r="D815" s="256"/>
      <c r="E815" s="256"/>
      <c r="F815" s="256"/>
      <c r="G815" s="256"/>
      <c r="H815" s="256"/>
      <c r="I815" s="256"/>
      <c r="J815" s="256"/>
      <c r="K815" s="256"/>
      <c r="L815" s="256"/>
      <c r="M815" s="256"/>
      <c r="N815" s="256"/>
      <c r="O815" s="256"/>
      <c r="P815" s="256"/>
      <c r="Q815" s="256"/>
      <c r="R815" s="256"/>
      <c r="S815" s="256"/>
      <c r="T815" s="256"/>
      <c r="U815" s="256"/>
      <c r="V815" s="256"/>
      <c r="W815" s="256"/>
      <c r="X815" s="256"/>
      <c r="Y815" s="256"/>
      <c r="Z815" s="256"/>
    </row>
    <row r="816">
      <c r="A816" s="256"/>
      <c r="B816" s="256"/>
      <c r="C816" s="256"/>
      <c r="D816" s="256"/>
      <c r="E816" s="256"/>
      <c r="F816" s="256"/>
      <c r="G816" s="256"/>
      <c r="H816" s="256"/>
      <c r="I816" s="256"/>
      <c r="J816" s="256"/>
      <c r="K816" s="256"/>
      <c r="L816" s="256"/>
      <c r="M816" s="256"/>
      <c r="N816" s="256"/>
      <c r="O816" s="256"/>
      <c r="P816" s="256"/>
      <c r="Q816" s="256"/>
      <c r="R816" s="256"/>
      <c r="S816" s="256"/>
      <c r="T816" s="256"/>
      <c r="U816" s="256"/>
      <c r="V816" s="256"/>
      <c r="W816" s="256"/>
      <c r="X816" s="256"/>
      <c r="Y816" s="256"/>
      <c r="Z816" s="256"/>
    </row>
    <row r="817">
      <c r="A817" s="256"/>
      <c r="B817" s="256"/>
      <c r="C817" s="256"/>
      <c r="D817" s="256"/>
      <c r="E817" s="256"/>
      <c r="F817" s="256"/>
      <c r="G817" s="256"/>
      <c r="H817" s="256"/>
      <c r="I817" s="256"/>
      <c r="J817" s="256"/>
      <c r="K817" s="256"/>
      <c r="L817" s="256"/>
      <c r="M817" s="256"/>
      <c r="N817" s="256"/>
      <c r="O817" s="256"/>
      <c r="P817" s="256"/>
      <c r="Q817" s="256"/>
      <c r="R817" s="256"/>
      <c r="S817" s="256"/>
      <c r="T817" s="256"/>
      <c r="U817" s="256"/>
      <c r="V817" s="256"/>
      <c r="W817" s="256"/>
      <c r="X817" s="256"/>
      <c r="Y817" s="256"/>
      <c r="Z817" s="256"/>
    </row>
    <row r="818">
      <c r="A818" s="256"/>
      <c r="B818" s="256"/>
      <c r="C818" s="256"/>
      <c r="D818" s="256"/>
      <c r="E818" s="256"/>
      <c r="F818" s="256"/>
      <c r="G818" s="256"/>
      <c r="H818" s="256"/>
      <c r="I818" s="256"/>
      <c r="J818" s="256"/>
      <c r="K818" s="256"/>
      <c r="L818" s="256"/>
      <c r="M818" s="256"/>
      <c r="N818" s="256"/>
      <c r="O818" s="256"/>
      <c r="P818" s="256"/>
      <c r="Q818" s="256"/>
      <c r="R818" s="256"/>
      <c r="S818" s="256"/>
      <c r="T818" s="256"/>
      <c r="U818" s="256"/>
      <c r="V818" s="256"/>
      <c r="W818" s="256"/>
      <c r="X818" s="256"/>
      <c r="Y818" s="256"/>
      <c r="Z818" s="256"/>
    </row>
    <row r="819">
      <c r="A819" s="256"/>
      <c r="B819" s="256"/>
      <c r="C819" s="256"/>
      <c r="D819" s="256"/>
      <c r="E819" s="256"/>
      <c r="F819" s="256"/>
      <c r="G819" s="256"/>
      <c r="H819" s="256"/>
      <c r="I819" s="256"/>
      <c r="J819" s="256"/>
      <c r="K819" s="256"/>
      <c r="L819" s="256"/>
      <c r="M819" s="256"/>
      <c r="N819" s="256"/>
      <c r="O819" s="256"/>
      <c r="P819" s="256"/>
      <c r="Q819" s="256"/>
      <c r="R819" s="256"/>
      <c r="S819" s="256"/>
      <c r="T819" s="256"/>
      <c r="U819" s="256"/>
      <c r="V819" s="256"/>
      <c r="W819" s="256"/>
      <c r="X819" s="256"/>
      <c r="Y819" s="256"/>
      <c r="Z819" s="256"/>
    </row>
    <row r="820">
      <c r="A820" s="256"/>
      <c r="B820" s="256"/>
      <c r="C820" s="256"/>
      <c r="D820" s="256"/>
      <c r="E820" s="256"/>
      <c r="F820" s="256"/>
      <c r="G820" s="256"/>
      <c r="H820" s="256"/>
      <c r="I820" s="256"/>
      <c r="J820" s="256"/>
      <c r="K820" s="256"/>
      <c r="L820" s="256"/>
      <c r="M820" s="256"/>
      <c r="N820" s="256"/>
      <c r="O820" s="256"/>
      <c r="P820" s="256"/>
      <c r="Q820" s="256"/>
      <c r="R820" s="256"/>
      <c r="S820" s="256"/>
      <c r="T820" s="256"/>
      <c r="U820" s="256"/>
      <c r="V820" s="256"/>
      <c r="W820" s="256"/>
      <c r="X820" s="256"/>
      <c r="Y820" s="256"/>
      <c r="Z820" s="256"/>
    </row>
    <row r="821">
      <c r="A821" s="256"/>
      <c r="B821" s="256"/>
      <c r="C821" s="256"/>
      <c r="D821" s="256"/>
      <c r="E821" s="256"/>
      <c r="F821" s="256"/>
      <c r="G821" s="256"/>
      <c r="H821" s="256"/>
      <c r="I821" s="256"/>
      <c r="J821" s="256"/>
      <c r="K821" s="256"/>
      <c r="L821" s="256"/>
      <c r="M821" s="256"/>
      <c r="N821" s="256"/>
      <c r="O821" s="256"/>
      <c r="P821" s="256"/>
      <c r="Q821" s="256"/>
      <c r="R821" s="256"/>
      <c r="S821" s="256"/>
      <c r="T821" s="256"/>
      <c r="U821" s="256"/>
      <c r="V821" s="256"/>
      <c r="W821" s="256"/>
      <c r="X821" s="256"/>
      <c r="Y821" s="256"/>
      <c r="Z821" s="256"/>
    </row>
    <row r="822">
      <c r="A822" s="256"/>
      <c r="B822" s="256"/>
      <c r="C822" s="256"/>
      <c r="D822" s="256"/>
      <c r="E822" s="256"/>
      <c r="F822" s="256"/>
      <c r="G822" s="256"/>
      <c r="H822" s="256"/>
      <c r="I822" s="256"/>
      <c r="J822" s="256"/>
      <c r="K822" s="256"/>
      <c r="L822" s="256"/>
      <c r="M822" s="256"/>
      <c r="N822" s="256"/>
      <c r="O822" s="256"/>
      <c r="P822" s="256"/>
      <c r="Q822" s="256"/>
      <c r="R822" s="256"/>
      <c r="S822" s="256"/>
      <c r="T822" s="256"/>
      <c r="U822" s="256"/>
      <c r="V822" s="256"/>
      <c r="W822" s="256"/>
      <c r="X822" s="256"/>
      <c r="Y822" s="256"/>
      <c r="Z822" s="256"/>
    </row>
    <row r="823">
      <c r="A823" s="256"/>
      <c r="B823" s="256"/>
      <c r="C823" s="256"/>
      <c r="D823" s="256"/>
      <c r="E823" s="256"/>
      <c r="F823" s="256"/>
      <c r="G823" s="256"/>
      <c r="H823" s="256"/>
      <c r="I823" s="256"/>
      <c r="J823" s="256"/>
      <c r="K823" s="256"/>
      <c r="L823" s="256"/>
      <c r="M823" s="256"/>
      <c r="N823" s="256"/>
      <c r="O823" s="256"/>
      <c r="P823" s="256"/>
      <c r="Q823" s="256"/>
      <c r="R823" s="256"/>
      <c r="S823" s="256"/>
      <c r="T823" s="256"/>
      <c r="U823" s="256"/>
      <c r="V823" s="256"/>
      <c r="W823" s="256"/>
      <c r="X823" s="256"/>
      <c r="Y823" s="256"/>
      <c r="Z823" s="256"/>
    </row>
    <row r="824">
      <c r="A824" s="256"/>
      <c r="B824" s="256"/>
      <c r="C824" s="256"/>
      <c r="D824" s="256"/>
      <c r="E824" s="256"/>
      <c r="F824" s="256"/>
      <c r="G824" s="256"/>
      <c r="H824" s="256"/>
      <c r="I824" s="256"/>
      <c r="J824" s="256"/>
      <c r="K824" s="256"/>
      <c r="L824" s="256"/>
      <c r="M824" s="256"/>
      <c r="N824" s="256"/>
      <c r="O824" s="256"/>
      <c r="P824" s="256"/>
      <c r="Q824" s="256"/>
      <c r="R824" s="256"/>
      <c r="S824" s="256"/>
      <c r="T824" s="256"/>
      <c r="U824" s="256"/>
      <c r="V824" s="256"/>
      <c r="W824" s="256"/>
      <c r="X824" s="256"/>
      <c r="Y824" s="256"/>
      <c r="Z824" s="256"/>
    </row>
    <row r="825">
      <c r="A825" s="256"/>
      <c r="B825" s="256"/>
      <c r="C825" s="256"/>
      <c r="D825" s="256"/>
      <c r="E825" s="256"/>
      <c r="F825" s="256"/>
      <c r="G825" s="256"/>
      <c r="H825" s="256"/>
      <c r="I825" s="256"/>
      <c r="J825" s="256"/>
      <c r="K825" s="256"/>
      <c r="L825" s="256"/>
      <c r="M825" s="256"/>
      <c r="N825" s="256"/>
      <c r="O825" s="256"/>
      <c r="P825" s="256"/>
      <c r="Q825" s="256"/>
      <c r="R825" s="256"/>
      <c r="S825" s="256"/>
      <c r="T825" s="256"/>
      <c r="U825" s="256"/>
      <c r="V825" s="256"/>
      <c r="W825" s="256"/>
      <c r="X825" s="256"/>
      <c r="Y825" s="256"/>
      <c r="Z825" s="256"/>
    </row>
    <row r="826">
      <c r="A826" s="256"/>
      <c r="B826" s="256"/>
      <c r="C826" s="256"/>
      <c r="D826" s="256"/>
      <c r="E826" s="256"/>
      <c r="F826" s="256"/>
      <c r="G826" s="256"/>
      <c r="H826" s="256"/>
      <c r="I826" s="256"/>
      <c r="J826" s="256"/>
      <c r="K826" s="256"/>
      <c r="L826" s="256"/>
      <c r="M826" s="256"/>
      <c r="N826" s="256"/>
      <c r="O826" s="256"/>
      <c r="P826" s="256"/>
      <c r="Q826" s="256"/>
      <c r="R826" s="256"/>
      <c r="S826" s="256"/>
      <c r="T826" s="256"/>
      <c r="U826" s="256"/>
      <c r="V826" s="256"/>
      <c r="W826" s="256"/>
      <c r="X826" s="256"/>
      <c r="Y826" s="256"/>
      <c r="Z826" s="256"/>
    </row>
    <row r="827">
      <c r="A827" s="256"/>
      <c r="B827" s="256"/>
      <c r="C827" s="256"/>
      <c r="D827" s="256"/>
      <c r="E827" s="256"/>
      <c r="F827" s="256"/>
      <c r="G827" s="256"/>
      <c r="H827" s="256"/>
      <c r="I827" s="256"/>
      <c r="J827" s="256"/>
      <c r="K827" s="256"/>
      <c r="L827" s="256"/>
      <c r="M827" s="256"/>
      <c r="N827" s="256"/>
      <c r="O827" s="256"/>
      <c r="P827" s="256"/>
      <c r="Q827" s="256"/>
      <c r="R827" s="256"/>
      <c r="S827" s="256"/>
      <c r="T827" s="256"/>
      <c r="U827" s="256"/>
      <c r="V827" s="256"/>
      <c r="W827" s="256"/>
      <c r="X827" s="256"/>
      <c r="Y827" s="256"/>
      <c r="Z827" s="256"/>
    </row>
    <row r="828">
      <c r="A828" s="256"/>
      <c r="B828" s="256"/>
      <c r="C828" s="256"/>
      <c r="D828" s="256"/>
      <c r="E828" s="256"/>
      <c r="F828" s="256"/>
      <c r="G828" s="256"/>
      <c r="H828" s="256"/>
      <c r="I828" s="256"/>
      <c r="J828" s="256"/>
      <c r="K828" s="256"/>
      <c r="L828" s="256"/>
      <c r="M828" s="256"/>
      <c r="N828" s="256"/>
      <c r="O828" s="256"/>
      <c r="P828" s="256"/>
      <c r="Q828" s="256"/>
      <c r="R828" s="256"/>
      <c r="S828" s="256"/>
      <c r="T828" s="256"/>
      <c r="U828" s="256"/>
      <c r="V828" s="256"/>
      <c r="W828" s="256"/>
      <c r="X828" s="256"/>
      <c r="Y828" s="256"/>
      <c r="Z828" s="256"/>
    </row>
    <row r="829">
      <c r="A829" s="256"/>
      <c r="B829" s="256"/>
      <c r="C829" s="256"/>
      <c r="D829" s="256"/>
      <c r="E829" s="256"/>
      <c r="F829" s="256"/>
      <c r="G829" s="256"/>
      <c r="H829" s="256"/>
      <c r="I829" s="256"/>
      <c r="J829" s="256"/>
      <c r="K829" s="256"/>
      <c r="L829" s="256"/>
      <c r="M829" s="256"/>
      <c r="N829" s="256"/>
      <c r="O829" s="256"/>
      <c r="P829" s="256"/>
      <c r="Q829" s="256"/>
      <c r="R829" s="256"/>
      <c r="S829" s="256"/>
      <c r="T829" s="256"/>
      <c r="U829" s="256"/>
      <c r="V829" s="256"/>
      <c r="W829" s="256"/>
      <c r="X829" s="256"/>
      <c r="Y829" s="256"/>
      <c r="Z829" s="256"/>
    </row>
    <row r="830">
      <c r="A830" s="256"/>
      <c r="B830" s="256"/>
      <c r="C830" s="256"/>
      <c r="D830" s="256"/>
      <c r="E830" s="256"/>
      <c r="F830" s="256"/>
      <c r="G830" s="256"/>
      <c r="H830" s="256"/>
      <c r="I830" s="256"/>
      <c r="J830" s="256"/>
      <c r="K830" s="256"/>
      <c r="L830" s="256"/>
      <c r="M830" s="256"/>
      <c r="N830" s="256"/>
      <c r="O830" s="256"/>
      <c r="P830" s="256"/>
      <c r="Q830" s="256"/>
      <c r="R830" s="256"/>
      <c r="S830" s="256"/>
      <c r="T830" s="256"/>
      <c r="U830" s="256"/>
      <c r="V830" s="256"/>
      <c r="W830" s="256"/>
      <c r="X830" s="256"/>
      <c r="Y830" s="256"/>
      <c r="Z830" s="256"/>
    </row>
    <row r="831">
      <c r="A831" s="256"/>
      <c r="B831" s="256"/>
      <c r="C831" s="256"/>
      <c r="D831" s="256"/>
      <c r="E831" s="256"/>
      <c r="F831" s="256"/>
      <c r="G831" s="256"/>
      <c r="H831" s="256"/>
      <c r="I831" s="256"/>
      <c r="J831" s="256"/>
      <c r="K831" s="256"/>
      <c r="L831" s="256"/>
      <c r="M831" s="256"/>
      <c r="N831" s="256"/>
      <c r="O831" s="256"/>
      <c r="P831" s="256"/>
      <c r="Q831" s="256"/>
      <c r="R831" s="256"/>
      <c r="S831" s="256"/>
      <c r="T831" s="256"/>
      <c r="U831" s="256"/>
      <c r="V831" s="256"/>
      <c r="W831" s="256"/>
      <c r="X831" s="256"/>
      <c r="Y831" s="256"/>
      <c r="Z831" s="256"/>
    </row>
    <row r="832">
      <c r="A832" s="256"/>
      <c r="B832" s="256"/>
      <c r="C832" s="256"/>
      <c r="D832" s="256"/>
      <c r="E832" s="256"/>
      <c r="F832" s="256"/>
      <c r="G832" s="256"/>
      <c r="H832" s="256"/>
      <c r="I832" s="256"/>
      <c r="J832" s="256"/>
      <c r="K832" s="256"/>
      <c r="L832" s="256"/>
      <c r="M832" s="256"/>
      <c r="N832" s="256"/>
      <c r="O832" s="256"/>
      <c r="P832" s="256"/>
      <c r="Q832" s="256"/>
      <c r="R832" s="256"/>
      <c r="S832" s="256"/>
      <c r="T832" s="256"/>
      <c r="U832" s="256"/>
      <c r="V832" s="256"/>
      <c r="W832" s="256"/>
      <c r="X832" s="256"/>
      <c r="Y832" s="256"/>
      <c r="Z832" s="256"/>
    </row>
    <row r="833">
      <c r="A833" s="256"/>
      <c r="B833" s="256"/>
      <c r="C833" s="256"/>
      <c r="D833" s="256"/>
      <c r="E833" s="256"/>
      <c r="F833" s="256"/>
      <c r="G833" s="256"/>
      <c r="H833" s="256"/>
      <c r="I833" s="256"/>
      <c r="J833" s="256"/>
      <c r="K833" s="256"/>
      <c r="L833" s="256"/>
      <c r="M833" s="256"/>
      <c r="N833" s="256"/>
      <c r="O833" s="256"/>
      <c r="P833" s="256"/>
      <c r="Q833" s="256"/>
      <c r="R833" s="256"/>
      <c r="S833" s="256"/>
      <c r="T833" s="256"/>
      <c r="U833" s="256"/>
      <c r="V833" s="256"/>
      <c r="W833" s="256"/>
      <c r="X833" s="256"/>
      <c r="Y833" s="256"/>
      <c r="Z833" s="256"/>
    </row>
    <row r="834">
      <c r="A834" s="256"/>
      <c r="B834" s="256"/>
      <c r="C834" s="256"/>
      <c r="D834" s="256"/>
      <c r="E834" s="256"/>
      <c r="F834" s="256"/>
      <c r="G834" s="256"/>
      <c r="H834" s="256"/>
      <c r="I834" s="256"/>
      <c r="J834" s="256"/>
      <c r="K834" s="256"/>
      <c r="L834" s="256"/>
      <c r="M834" s="256"/>
      <c r="N834" s="256"/>
      <c r="O834" s="256"/>
      <c r="P834" s="256"/>
      <c r="Q834" s="256"/>
      <c r="R834" s="256"/>
      <c r="S834" s="256"/>
      <c r="T834" s="256"/>
      <c r="U834" s="256"/>
      <c r="V834" s="256"/>
      <c r="W834" s="256"/>
      <c r="X834" s="256"/>
      <c r="Y834" s="256"/>
      <c r="Z834" s="256"/>
    </row>
    <row r="835">
      <c r="A835" s="256"/>
      <c r="B835" s="256"/>
      <c r="C835" s="256"/>
      <c r="D835" s="256"/>
      <c r="E835" s="256"/>
      <c r="F835" s="256"/>
      <c r="G835" s="256"/>
      <c r="H835" s="256"/>
      <c r="I835" s="256"/>
      <c r="J835" s="256"/>
      <c r="K835" s="256"/>
      <c r="L835" s="256"/>
      <c r="M835" s="256"/>
      <c r="N835" s="256"/>
      <c r="O835" s="256"/>
      <c r="P835" s="256"/>
      <c r="Q835" s="256"/>
      <c r="R835" s="256"/>
      <c r="S835" s="256"/>
      <c r="T835" s="256"/>
      <c r="U835" s="256"/>
      <c r="V835" s="256"/>
      <c r="W835" s="256"/>
      <c r="X835" s="256"/>
      <c r="Y835" s="256"/>
      <c r="Z835" s="256"/>
    </row>
    <row r="836">
      <c r="A836" s="256"/>
      <c r="B836" s="256"/>
      <c r="C836" s="256"/>
      <c r="D836" s="256"/>
      <c r="E836" s="256"/>
      <c r="F836" s="256"/>
      <c r="G836" s="256"/>
      <c r="H836" s="256"/>
      <c r="I836" s="256"/>
      <c r="J836" s="256"/>
      <c r="K836" s="256"/>
      <c r="L836" s="256"/>
      <c r="M836" s="256"/>
      <c r="N836" s="256"/>
      <c r="O836" s="256"/>
      <c r="P836" s="256"/>
      <c r="Q836" s="256"/>
      <c r="R836" s="256"/>
      <c r="S836" s="256"/>
      <c r="T836" s="256"/>
      <c r="U836" s="256"/>
      <c r="V836" s="256"/>
      <c r="W836" s="256"/>
      <c r="X836" s="256"/>
      <c r="Y836" s="256"/>
      <c r="Z836" s="256"/>
    </row>
    <row r="837">
      <c r="A837" s="256"/>
      <c r="B837" s="256"/>
      <c r="C837" s="256"/>
      <c r="D837" s="256"/>
      <c r="E837" s="256"/>
      <c r="F837" s="256"/>
      <c r="G837" s="256"/>
      <c r="H837" s="256"/>
      <c r="I837" s="256"/>
      <c r="J837" s="256"/>
      <c r="K837" s="256"/>
      <c r="L837" s="256"/>
      <c r="M837" s="256"/>
      <c r="N837" s="256"/>
      <c r="O837" s="256"/>
      <c r="P837" s="256"/>
      <c r="Q837" s="256"/>
      <c r="R837" s="256"/>
      <c r="S837" s="256"/>
      <c r="T837" s="256"/>
      <c r="U837" s="256"/>
      <c r="V837" s="256"/>
      <c r="W837" s="256"/>
      <c r="X837" s="256"/>
      <c r="Y837" s="256"/>
      <c r="Z837" s="256"/>
    </row>
    <row r="838">
      <c r="A838" s="256"/>
      <c r="B838" s="256"/>
      <c r="C838" s="256"/>
      <c r="D838" s="256"/>
      <c r="E838" s="256"/>
      <c r="F838" s="256"/>
      <c r="G838" s="256"/>
      <c r="H838" s="256"/>
      <c r="I838" s="256"/>
      <c r="J838" s="256"/>
      <c r="K838" s="256"/>
      <c r="L838" s="256"/>
      <c r="M838" s="256"/>
      <c r="N838" s="256"/>
      <c r="O838" s="256"/>
      <c r="P838" s="256"/>
      <c r="Q838" s="256"/>
      <c r="R838" s="256"/>
      <c r="S838" s="256"/>
      <c r="T838" s="256"/>
      <c r="U838" s="256"/>
      <c r="V838" s="256"/>
      <c r="W838" s="256"/>
      <c r="X838" s="256"/>
      <c r="Y838" s="256"/>
      <c r="Z838" s="256"/>
    </row>
    <row r="839">
      <c r="A839" s="256"/>
      <c r="B839" s="256"/>
      <c r="C839" s="256"/>
      <c r="D839" s="256"/>
      <c r="E839" s="256"/>
      <c r="F839" s="256"/>
      <c r="G839" s="256"/>
      <c r="H839" s="256"/>
      <c r="I839" s="256"/>
      <c r="J839" s="256"/>
      <c r="K839" s="256"/>
      <c r="L839" s="256"/>
      <c r="M839" s="256"/>
      <c r="N839" s="256"/>
      <c r="O839" s="256"/>
      <c r="P839" s="256"/>
      <c r="Q839" s="256"/>
      <c r="R839" s="256"/>
      <c r="S839" s="256"/>
      <c r="T839" s="256"/>
      <c r="U839" s="256"/>
      <c r="V839" s="256"/>
      <c r="W839" s="256"/>
      <c r="X839" s="256"/>
      <c r="Y839" s="256"/>
      <c r="Z839" s="256"/>
    </row>
    <row r="840">
      <c r="A840" s="256"/>
      <c r="B840" s="256"/>
      <c r="C840" s="256"/>
      <c r="D840" s="256"/>
      <c r="E840" s="256"/>
      <c r="F840" s="256"/>
      <c r="G840" s="256"/>
      <c r="H840" s="256"/>
      <c r="I840" s="256"/>
      <c r="J840" s="256"/>
      <c r="K840" s="256"/>
      <c r="L840" s="256"/>
      <c r="M840" s="256"/>
      <c r="N840" s="256"/>
      <c r="O840" s="256"/>
      <c r="P840" s="256"/>
      <c r="Q840" s="256"/>
      <c r="R840" s="256"/>
      <c r="S840" s="256"/>
      <c r="T840" s="256"/>
      <c r="U840" s="256"/>
      <c r="V840" s="256"/>
      <c r="W840" s="256"/>
      <c r="X840" s="256"/>
      <c r="Y840" s="256"/>
      <c r="Z840" s="256"/>
    </row>
    <row r="841">
      <c r="A841" s="256"/>
      <c r="B841" s="256"/>
      <c r="C841" s="256"/>
      <c r="D841" s="256"/>
      <c r="E841" s="256"/>
      <c r="F841" s="256"/>
      <c r="G841" s="256"/>
      <c r="H841" s="256"/>
      <c r="I841" s="256"/>
      <c r="J841" s="256"/>
      <c r="K841" s="256"/>
      <c r="L841" s="256"/>
      <c r="M841" s="256"/>
      <c r="N841" s="256"/>
      <c r="O841" s="256"/>
      <c r="P841" s="256"/>
      <c r="Q841" s="256"/>
      <c r="R841" s="256"/>
      <c r="S841" s="256"/>
      <c r="T841" s="256"/>
      <c r="U841" s="256"/>
      <c r="V841" s="256"/>
      <c r="W841" s="256"/>
      <c r="X841" s="256"/>
      <c r="Y841" s="256"/>
      <c r="Z841" s="256"/>
    </row>
    <row r="842">
      <c r="A842" s="256"/>
      <c r="B842" s="256"/>
      <c r="C842" s="256"/>
      <c r="D842" s="256"/>
      <c r="E842" s="256"/>
      <c r="F842" s="256"/>
      <c r="G842" s="256"/>
      <c r="H842" s="256"/>
      <c r="I842" s="256"/>
      <c r="J842" s="256"/>
      <c r="K842" s="256"/>
      <c r="L842" s="256"/>
      <c r="M842" s="256"/>
      <c r="N842" s="256"/>
      <c r="O842" s="256"/>
      <c r="P842" s="256"/>
      <c r="Q842" s="256"/>
      <c r="R842" s="256"/>
      <c r="S842" s="256"/>
      <c r="T842" s="256"/>
      <c r="U842" s="256"/>
      <c r="V842" s="256"/>
      <c r="W842" s="256"/>
      <c r="X842" s="256"/>
      <c r="Y842" s="256"/>
      <c r="Z842" s="256"/>
    </row>
    <row r="843">
      <c r="A843" s="256"/>
      <c r="B843" s="256"/>
      <c r="C843" s="256"/>
      <c r="D843" s="256"/>
      <c r="E843" s="256"/>
      <c r="F843" s="256"/>
      <c r="G843" s="256"/>
      <c r="H843" s="256"/>
      <c r="I843" s="256"/>
      <c r="J843" s="256"/>
      <c r="K843" s="256"/>
      <c r="L843" s="256"/>
      <c r="M843" s="256"/>
      <c r="N843" s="256"/>
      <c r="O843" s="256"/>
      <c r="P843" s="256"/>
      <c r="Q843" s="256"/>
      <c r="R843" s="256"/>
      <c r="S843" s="256"/>
      <c r="T843" s="256"/>
      <c r="U843" s="256"/>
      <c r="V843" s="256"/>
      <c r="W843" s="256"/>
      <c r="X843" s="256"/>
      <c r="Y843" s="256"/>
      <c r="Z843" s="256"/>
    </row>
    <row r="844">
      <c r="A844" s="256"/>
      <c r="B844" s="256"/>
      <c r="C844" s="256"/>
      <c r="D844" s="256"/>
      <c r="E844" s="256"/>
      <c r="F844" s="256"/>
      <c r="G844" s="256"/>
      <c r="H844" s="256"/>
      <c r="I844" s="256"/>
      <c r="J844" s="256"/>
      <c r="K844" s="256"/>
      <c r="L844" s="256"/>
      <c r="M844" s="256"/>
      <c r="N844" s="256"/>
      <c r="O844" s="256"/>
      <c r="P844" s="256"/>
      <c r="Q844" s="256"/>
      <c r="R844" s="256"/>
      <c r="S844" s="256"/>
      <c r="T844" s="256"/>
      <c r="U844" s="256"/>
      <c r="V844" s="256"/>
      <c r="W844" s="256"/>
      <c r="X844" s="256"/>
      <c r="Y844" s="256"/>
      <c r="Z844" s="256"/>
    </row>
    <row r="845">
      <c r="A845" s="256"/>
      <c r="B845" s="256"/>
      <c r="C845" s="256"/>
      <c r="D845" s="256"/>
      <c r="E845" s="256"/>
      <c r="F845" s="256"/>
      <c r="G845" s="256"/>
      <c r="H845" s="256"/>
      <c r="I845" s="256"/>
      <c r="J845" s="256"/>
      <c r="K845" s="256"/>
      <c r="L845" s="256"/>
      <c r="M845" s="256"/>
      <c r="N845" s="256"/>
      <c r="O845" s="256"/>
      <c r="P845" s="256"/>
      <c r="Q845" s="256"/>
      <c r="R845" s="256"/>
      <c r="S845" s="256"/>
      <c r="T845" s="256"/>
      <c r="U845" s="256"/>
      <c r="V845" s="256"/>
      <c r="W845" s="256"/>
      <c r="X845" s="256"/>
      <c r="Y845" s="256"/>
      <c r="Z845" s="256"/>
    </row>
    <row r="846">
      <c r="A846" s="256"/>
      <c r="B846" s="256"/>
      <c r="C846" s="256"/>
      <c r="D846" s="256"/>
      <c r="E846" s="256"/>
      <c r="F846" s="256"/>
      <c r="G846" s="256"/>
      <c r="H846" s="256"/>
      <c r="I846" s="256"/>
      <c r="J846" s="256"/>
      <c r="K846" s="256"/>
      <c r="L846" s="256"/>
      <c r="M846" s="256"/>
      <c r="N846" s="256"/>
      <c r="O846" s="256"/>
      <c r="P846" s="256"/>
      <c r="Q846" s="256"/>
      <c r="R846" s="256"/>
      <c r="S846" s="256"/>
      <c r="T846" s="256"/>
      <c r="U846" s="256"/>
      <c r="V846" s="256"/>
      <c r="W846" s="256"/>
      <c r="X846" s="256"/>
      <c r="Y846" s="256"/>
      <c r="Z846" s="256"/>
    </row>
    <row r="847">
      <c r="A847" s="256"/>
      <c r="B847" s="256"/>
      <c r="C847" s="256"/>
      <c r="D847" s="256"/>
      <c r="E847" s="256"/>
      <c r="F847" s="256"/>
      <c r="G847" s="256"/>
      <c r="H847" s="256"/>
      <c r="I847" s="256"/>
      <c r="J847" s="256"/>
      <c r="K847" s="256"/>
      <c r="L847" s="256"/>
      <c r="M847" s="256"/>
      <c r="N847" s="256"/>
      <c r="O847" s="256"/>
      <c r="P847" s="256"/>
      <c r="Q847" s="256"/>
      <c r="R847" s="256"/>
      <c r="S847" s="256"/>
      <c r="T847" s="256"/>
      <c r="U847" s="256"/>
      <c r="V847" s="256"/>
      <c r="W847" s="256"/>
      <c r="X847" s="256"/>
      <c r="Y847" s="256"/>
      <c r="Z847" s="256"/>
    </row>
    <row r="848">
      <c r="A848" s="256"/>
      <c r="B848" s="256"/>
      <c r="C848" s="256"/>
      <c r="D848" s="256"/>
      <c r="E848" s="256"/>
      <c r="F848" s="256"/>
      <c r="G848" s="256"/>
      <c r="H848" s="256"/>
      <c r="I848" s="256"/>
      <c r="J848" s="256"/>
      <c r="K848" s="256"/>
      <c r="L848" s="256"/>
      <c r="M848" s="256"/>
      <c r="N848" s="256"/>
      <c r="O848" s="256"/>
      <c r="P848" s="256"/>
      <c r="Q848" s="256"/>
      <c r="R848" s="256"/>
      <c r="S848" s="256"/>
      <c r="T848" s="256"/>
      <c r="U848" s="256"/>
      <c r="V848" s="256"/>
      <c r="W848" s="256"/>
      <c r="X848" s="256"/>
      <c r="Y848" s="256"/>
      <c r="Z848" s="256"/>
    </row>
    <row r="849">
      <c r="A849" s="256"/>
      <c r="B849" s="256"/>
      <c r="C849" s="256"/>
      <c r="D849" s="256"/>
      <c r="E849" s="256"/>
      <c r="F849" s="256"/>
      <c r="G849" s="256"/>
      <c r="H849" s="256"/>
      <c r="I849" s="256"/>
      <c r="J849" s="256"/>
      <c r="K849" s="256"/>
      <c r="L849" s="256"/>
      <c r="M849" s="256"/>
      <c r="N849" s="256"/>
      <c r="O849" s="256"/>
      <c r="P849" s="256"/>
      <c r="Q849" s="256"/>
      <c r="R849" s="256"/>
      <c r="S849" s="256"/>
      <c r="T849" s="256"/>
      <c r="U849" s="256"/>
      <c r="V849" s="256"/>
      <c r="W849" s="256"/>
      <c r="X849" s="256"/>
      <c r="Y849" s="256"/>
      <c r="Z849" s="256"/>
    </row>
    <row r="850">
      <c r="A850" s="256"/>
      <c r="B850" s="256"/>
      <c r="C850" s="256"/>
      <c r="D850" s="256"/>
      <c r="E850" s="256"/>
      <c r="F850" s="256"/>
      <c r="G850" s="256"/>
      <c r="H850" s="256"/>
      <c r="I850" s="256"/>
      <c r="J850" s="256"/>
      <c r="K850" s="256"/>
      <c r="L850" s="256"/>
      <c r="M850" s="256"/>
      <c r="N850" s="256"/>
      <c r="O850" s="256"/>
      <c r="P850" s="256"/>
      <c r="Q850" s="256"/>
      <c r="R850" s="256"/>
      <c r="S850" s="256"/>
      <c r="T850" s="256"/>
      <c r="U850" s="256"/>
      <c r="V850" s="256"/>
      <c r="W850" s="256"/>
      <c r="X850" s="256"/>
      <c r="Y850" s="256"/>
      <c r="Z850" s="256"/>
    </row>
    <row r="851">
      <c r="A851" s="256"/>
      <c r="B851" s="256"/>
      <c r="C851" s="256"/>
      <c r="D851" s="256"/>
      <c r="E851" s="256"/>
      <c r="F851" s="256"/>
      <c r="G851" s="256"/>
      <c r="H851" s="256"/>
      <c r="I851" s="256"/>
      <c r="J851" s="256"/>
      <c r="K851" s="256"/>
      <c r="L851" s="256"/>
      <c r="M851" s="256"/>
      <c r="N851" s="256"/>
      <c r="O851" s="256"/>
      <c r="P851" s="256"/>
      <c r="Q851" s="256"/>
      <c r="R851" s="256"/>
      <c r="S851" s="256"/>
      <c r="T851" s="256"/>
      <c r="U851" s="256"/>
      <c r="V851" s="256"/>
      <c r="W851" s="256"/>
      <c r="X851" s="256"/>
      <c r="Y851" s="256"/>
      <c r="Z851" s="256"/>
    </row>
    <row r="852">
      <c r="A852" s="256"/>
      <c r="B852" s="256"/>
      <c r="C852" s="256"/>
      <c r="D852" s="256"/>
      <c r="E852" s="256"/>
      <c r="F852" s="256"/>
      <c r="G852" s="256"/>
      <c r="H852" s="256"/>
      <c r="I852" s="256"/>
      <c r="J852" s="256"/>
      <c r="K852" s="256"/>
      <c r="L852" s="256"/>
      <c r="M852" s="256"/>
      <c r="N852" s="256"/>
      <c r="O852" s="256"/>
      <c r="P852" s="256"/>
      <c r="Q852" s="256"/>
      <c r="R852" s="256"/>
      <c r="S852" s="256"/>
      <c r="T852" s="256"/>
      <c r="U852" s="256"/>
      <c r="V852" s="256"/>
      <c r="W852" s="256"/>
      <c r="X852" s="256"/>
      <c r="Y852" s="256"/>
      <c r="Z852" s="256"/>
    </row>
    <row r="853">
      <c r="A853" s="256"/>
      <c r="B853" s="256"/>
      <c r="C853" s="256"/>
      <c r="D853" s="256"/>
      <c r="E853" s="256"/>
      <c r="F853" s="256"/>
      <c r="G853" s="256"/>
      <c r="H853" s="256"/>
      <c r="I853" s="256"/>
      <c r="J853" s="256"/>
      <c r="K853" s="256"/>
      <c r="L853" s="256"/>
      <c r="M853" s="256"/>
      <c r="N853" s="256"/>
      <c r="O853" s="256"/>
      <c r="P853" s="256"/>
      <c r="Q853" s="256"/>
      <c r="R853" s="256"/>
      <c r="S853" s="256"/>
      <c r="T853" s="256"/>
      <c r="U853" s="256"/>
      <c r="V853" s="256"/>
      <c r="W853" s="256"/>
      <c r="X853" s="256"/>
      <c r="Y853" s="256"/>
      <c r="Z853" s="256"/>
    </row>
    <row r="854">
      <c r="A854" s="256"/>
      <c r="B854" s="256"/>
      <c r="C854" s="256"/>
      <c r="D854" s="256"/>
      <c r="E854" s="256"/>
      <c r="F854" s="256"/>
      <c r="G854" s="256"/>
      <c r="H854" s="256"/>
      <c r="I854" s="256"/>
      <c r="J854" s="256"/>
      <c r="K854" s="256"/>
      <c r="L854" s="256"/>
      <c r="M854" s="256"/>
      <c r="N854" s="256"/>
      <c r="O854" s="256"/>
      <c r="P854" s="256"/>
      <c r="Q854" s="256"/>
      <c r="R854" s="256"/>
      <c r="S854" s="256"/>
      <c r="T854" s="256"/>
      <c r="U854" s="256"/>
      <c r="V854" s="256"/>
      <c r="W854" s="256"/>
      <c r="X854" s="256"/>
      <c r="Y854" s="256"/>
      <c r="Z854" s="256"/>
    </row>
    <row r="855">
      <c r="A855" s="256"/>
      <c r="B855" s="256"/>
      <c r="C855" s="256"/>
      <c r="D855" s="256"/>
      <c r="E855" s="256"/>
      <c r="F855" s="256"/>
      <c r="G855" s="256"/>
      <c r="H855" s="256"/>
      <c r="I855" s="256"/>
      <c r="J855" s="256"/>
      <c r="K855" s="256"/>
      <c r="L855" s="256"/>
      <c r="M855" s="256"/>
      <c r="N855" s="256"/>
      <c r="O855" s="256"/>
      <c r="P855" s="256"/>
      <c r="Q855" s="256"/>
      <c r="R855" s="256"/>
      <c r="S855" s="256"/>
      <c r="T855" s="256"/>
      <c r="U855" s="256"/>
      <c r="V855" s="256"/>
      <c r="W855" s="256"/>
      <c r="X855" s="256"/>
      <c r="Y855" s="256"/>
      <c r="Z855" s="256"/>
    </row>
    <row r="856">
      <c r="A856" s="256"/>
      <c r="B856" s="256"/>
      <c r="C856" s="256"/>
      <c r="D856" s="256"/>
      <c r="E856" s="256"/>
      <c r="F856" s="256"/>
      <c r="G856" s="256"/>
      <c r="H856" s="256"/>
      <c r="I856" s="256"/>
      <c r="J856" s="256"/>
      <c r="K856" s="256"/>
      <c r="L856" s="256"/>
      <c r="M856" s="256"/>
      <c r="N856" s="256"/>
      <c r="O856" s="256"/>
      <c r="P856" s="256"/>
      <c r="Q856" s="256"/>
      <c r="R856" s="256"/>
      <c r="S856" s="256"/>
      <c r="T856" s="256"/>
      <c r="U856" s="256"/>
      <c r="V856" s="256"/>
      <c r="W856" s="256"/>
      <c r="X856" s="256"/>
      <c r="Y856" s="256"/>
      <c r="Z856" s="256"/>
    </row>
    <row r="857">
      <c r="A857" s="256"/>
      <c r="B857" s="256"/>
      <c r="C857" s="256"/>
      <c r="D857" s="256"/>
      <c r="E857" s="256"/>
      <c r="F857" s="256"/>
      <c r="G857" s="256"/>
      <c r="H857" s="256"/>
      <c r="I857" s="256"/>
      <c r="J857" s="256"/>
      <c r="K857" s="256"/>
      <c r="L857" s="256"/>
      <c r="M857" s="256"/>
      <c r="N857" s="256"/>
      <c r="O857" s="256"/>
      <c r="P857" s="256"/>
      <c r="Q857" s="256"/>
      <c r="R857" s="256"/>
      <c r="S857" s="256"/>
      <c r="T857" s="256"/>
      <c r="U857" s="256"/>
      <c r="V857" s="256"/>
      <c r="W857" s="256"/>
      <c r="X857" s="256"/>
      <c r="Y857" s="256"/>
      <c r="Z857" s="256"/>
    </row>
    <row r="858">
      <c r="A858" s="256"/>
      <c r="B858" s="256"/>
      <c r="C858" s="256"/>
      <c r="D858" s="256"/>
      <c r="E858" s="256"/>
      <c r="F858" s="256"/>
      <c r="G858" s="256"/>
      <c r="H858" s="256"/>
      <c r="I858" s="256"/>
      <c r="J858" s="256"/>
      <c r="K858" s="256"/>
      <c r="L858" s="256"/>
      <c r="M858" s="256"/>
      <c r="N858" s="256"/>
      <c r="O858" s="256"/>
      <c r="P858" s="256"/>
      <c r="Q858" s="256"/>
      <c r="R858" s="256"/>
      <c r="S858" s="256"/>
      <c r="T858" s="256"/>
      <c r="U858" s="256"/>
      <c r="V858" s="256"/>
      <c r="W858" s="256"/>
      <c r="X858" s="256"/>
      <c r="Y858" s="256"/>
      <c r="Z858" s="256"/>
    </row>
    <row r="859">
      <c r="A859" s="256"/>
      <c r="B859" s="256"/>
      <c r="C859" s="256"/>
      <c r="D859" s="256"/>
      <c r="E859" s="256"/>
      <c r="F859" s="256"/>
      <c r="G859" s="256"/>
      <c r="H859" s="256"/>
      <c r="I859" s="256"/>
      <c r="J859" s="256"/>
      <c r="K859" s="256"/>
      <c r="L859" s="256"/>
      <c r="M859" s="256"/>
      <c r="N859" s="256"/>
      <c r="O859" s="256"/>
      <c r="P859" s="256"/>
      <c r="Q859" s="256"/>
      <c r="R859" s="256"/>
      <c r="S859" s="256"/>
      <c r="T859" s="256"/>
      <c r="U859" s="256"/>
      <c r="V859" s="256"/>
      <c r="W859" s="256"/>
      <c r="X859" s="256"/>
      <c r="Y859" s="256"/>
      <c r="Z859" s="256"/>
    </row>
    <row r="860">
      <c r="A860" s="256"/>
      <c r="B860" s="256"/>
      <c r="C860" s="256"/>
      <c r="D860" s="256"/>
      <c r="E860" s="256"/>
      <c r="F860" s="256"/>
      <c r="G860" s="256"/>
      <c r="H860" s="256"/>
      <c r="I860" s="256"/>
      <c r="J860" s="256"/>
      <c r="K860" s="256"/>
      <c r="L860" s="256"/>
      <c r="M860" s="256"/>
      <c r="N860" s="256"/>
      <c r="O860" s="256"/>
      <c r="P860" s="256"/>
      <c r="Q860" s="256"/>
      <c r="R860" s="256"/>
      <c r="S860" s="256"/>
      <c r="T860" s="256"/>
      <c r="U860" s="256"/>
      <c r="V860" s="256"/>
      <c r="W860" s="256"/>
      <c r="X860" s="256"/>
      <c r="Y860" s="256"/>
      <c r="Z860" s="256"/>
    </row>
    <row r="861">
      <c r="A861" s="256"/>
      <c r="B861" s="256"/>
      <c r="C861" s="256"/>
      <c r="D861" s="256"/>
      <c r="E861" s="256"/>
      <c r="F861" s="256"/>
      <c r="G861" s="256"/>
      <c r="H861" s="256"/>
      <c r="I861" s="256"/>
      <c r="J861" s="256"/>
      <c r="K861" s="256"/>
      <c r="L861" s="256"/>
      <c r="M861" s="256"/>
      <c r="N861" s="256"/>
      <c r="O861" s="256"/>
      <c r="P861" s="256"/>
      <c r="Q861" s="256"/>
      <c r="R861" s="256"/>
      <c r="S861" s="256"/>
      <c r="T861" s="256"/>
      <c r="U861" s="256"/>
      <c r="V861" s="256"/>
      <c r="W861" s="256"/>
      <c r="X861" s="256"/>
      <c r="Y861" s="256"/>
      <c r="Z861" s="256"/>
    </row>
    <row r="862">
      <c r="A862" s="256"/>
      <c r="B862" s="256"/>
      <c r="C862" s="256"/>
      <c r="D862" s="256"/>
      <c r="E862" s="256"/>
      <c r="F862" s="256"/>
      <c r="G862" s="256"/>
      <c r="H862" s="256"/>
      <c r="I862" s="256"/>
      <c r="J862" s="256"/>
      <c r="K862" s="256"/>
      <c r="L862" s="256"/>
      <c r="M862" s="256"/>
      <c r="N862" s="256"/>
      <c r="O862" s="256"/>
      <c r="P862" s="256"/>
      <c r="Q862" s="256"/>
      <c r="R862" s="256"/>
      <c r="S862" s="256"/>
      <c r="T862" s="256"/>
      <c r="U862" s="256"/>
      <c r="V862" s="256"/>
      <c r="W862" s="256"/>
      <c r="X862" s="256"/>
      <c r="Y862" s="256"/>
      <c r="Z862" s="256"/>
    </row>
    <row r="863">
      <c r="A863" s="256"/>
      <c r="B863" s="256"/>
      <c r="C863" s="256"/>
      <c r="D863" s="256"/>
      <c r="E863" s="256"/>
      <c r="F863" s="256"/>
      <c r="G863" s="256"/>
      <c r="H863" s="256"/>
      <c r="I863" s="256"/>
      <c r="J863" s="256"/>
      <c r="K863" s="256"/>
      <c r="L863" s="256"/>
      <c r="M863" s="256"/>
      <c r="N863" s="256"/>
      <c r="O863" s="256"/>
      <c r="P863" s="256"/>
      <c r="Q863" s="256"/>
      <c r="R863" s="256"/>
      <c r="S863" s="256"/>
      <c r="T863" s="256"/>
      <c r="U863" s="256"/>
      <c r="V863" s="256"/>
      <c r="W863" s="256"/>
      <c r="X863" s="256"/>
      <c r="Y863" s="256"/>
      <c r="Z863" s="256"/>
    </row>
    <row r="864">
      <c r="A864" s="256"/>
      <c r="B864" s="256"/>
      <c r="C864" s="256"/>
      <c r="D864" s="256"/>
      <c r="E864" s="256"/>
      <c r="F864" s="256"/>
      <c r="G864" s="256"/>
      <c r="H864" s="256"/>
      <c r="I864" s="256"/>
      <c r="J864" s="256"/>
      <c r="K864" s="256"/>
      <c r="L864" s="256"/>
      <c r="M864" s="256"/>
      <c r="N864" s="256"/>
      <c r="O864" s="256"/>
      <c r="P864" s="256"/>
      <c r="Q864" s="256"/>
      <c r="R864" s="256"/>
      <c r="S864" s="256"/>
      <c r="T864" s="256"/>
      <c r="U864" s="256"/>
      <c r="V864" s="256"/>
      <c r="W864" s="256"/>
      <c r="X864" s="256"/>
      <c r="Y864" s="256"/>
      <c r="Z864" s="256"/>
    </row>
    <row r="865">
      <c r="A865" s="256"/>
      <c r="B865" s="256"/>
      <c r="C865" s="256"/>
      <c r="D865" s="256"/>
      <c r="E865" s="256"/>
      <c r="F865" s="256"/>
      <c r="G865" s="256"/>
      <c r="H865" s="256"/>
      <c r="I865" s="256"/>
      <c r="J865" s="256"/>
      <c r="K865" s="256"/>
      <c r="L865" s="256"/>
      <c r="M865" s="256"/>
      <c r="N865" s="256"/>
      <c r="O865" s="256"/>
      <c r="P865" s="256"/>
      <c r="Q865" s="256"/>
      <c r="R865" s="256"/>
      <c r="S865" s="256"/>
      <c r="T865" s="256"/>
      <c r="U865" s="256"/>
      <c r="V865" s="256"/>
      <c r="W865" s="256"/>
      <c r="X865" s="256"/>
      <c r="Y865" s="256"/>
      <c r="Z865" s="256"/>
    </row>
    <row r="866">
      <c r="A866" s="256"/>
      <c r="B866" s="256"/>
      <c r="C866" s="256"/>
      <c r="D866" s="256"/>
      <c r="E866" s="256"/>
      <c r="F866" s="256"/>
      <c r="G866" s="256"/>
      <c r="H866" s="256"/>
      <c r="I866" s="256"/>
      <c r="J866" s="256"/>
      <c r="K866" s="256"/>
      <c r="L866" s="256"/>
      <c r="M866" s="256"/>
      <c r="N866" s="256"/>
      <c r="O866" s="256"/>
      <c r="P866" s="256"/>
      <c r="Q866" s="256"/>
      <c r="R866" s="256"/>
      <c r="S866" s="256"/>
      <c r="T866" s="256"/>
      <c r="U866" s="256"/>
      <c r="V866" s="256"/>
      <c r="W866" s="256"/>
      <c r="X866" s="256"/>
      <c r="Y866" s="256"/>
      <c r="Z866" s="256"/>
    </row>
    <row r="867">
      <c r="A867" s="256"/>
      <c r="B867" s="256"/>
      <c r="C867" s="256"/>
      <c r="D867" s="256"/>
      <c r="E867" s="256"/>
      <c r="F867" s="256"/>
      <c r="G867" s="256"/>
      <c r="H867" s="256"/>
      <c r="I867" s="256"/>
      <c r="J867" s="256"/>
      <c r="K867" s="256"/>
      <c r="L867" s="256"/>
      <c r="M867" s="256"/>
      <c r="N867" s="256"/>
      <c r="O867" s="256"/>
      <c r="P867" s="256"/>
      <c r="Q867" s="256"/>
      <c r="R867" s="256"/>
      <c r="S867" s="256"/>
      <c r="T867" s="256"/>
      <c r="U867" s="256"/>
      <c r="V867" s="256"/>
      <c r="W867" s="256"/>
      <c r="X867" s="256"/>
      <c r="Y867" s="256"/>
      <c r="Z867" s="256"/>
    </row>
    <row r="868">
      <c r="A868" s="256"/>
      <c r="B868" s="256"/>
      <c r="C868" s="256"/>
      <c r="D868" s="256"/>
      <c r="E868" s="256"/>
      <c r="F868" s="256"/>
      <c r="G868" s="256"/>
      <c r="H868" s="256"/>
      <c r="I868" s="256"/>
      <c r="J868" s="256"/>
      <c r="K868" s="256"/>
      <c r="L868" s="256"/>
      <c r="M868" s="256"/>
      <c r="N868" s="256"/>
      <c r="O868" s="256"/>
      <c r="P868" s="256"/>
      <c r="Q868" s="256"/>
      <c r="R868" s="256"/>
      <c r="S868" s="256"/>
      <c r="T868" s="256"/>
      <c r="U868" s="256"/>
      <c r="V868" s="256"/>
      <c r="W868" s="256"/>
      <c r="X868" s="256"/>
      <c r="Y868" s="256"/>
      <c r="Z868" s="256"/>
    </row>
    <row r="869">
      <c r="A869" s="256"/>
      <c r="B869" s="256"/>
      <c r="C869" s="256"/>
      <c r="D869" s="256"/>
      <c r="E869" s="256"/>
      <c r="F869" s="256"/>
      <c r="G869" s="256"/>
      <c r="H869" s="256"/>
      <c r="I869" s="256"/>
      <c r="J869" s="256"/>
      <c r="K869" s="256"/>
      <c r="L869" s="256"/>
      <c r="M869" s="256"/>
      <c r="N869" s="256"/>
      <c r="O869" s="256"/>
      <c r="P869" s="256"/>
      <c r="Q869" s="256"/>
      <c r="R869" s="256"/>
      <c r="S869" s="256"/>
      <c r="T869" s="256"/>
      <c r="U869" s="256"/>
      <c r="V869" s="256"/>
      <c r="W869" s="256"/>
      <c r="X869" s="256"/>
      <c r="Y869" s="256"/>
      <c r="Z869" s="256"/>
    </row>
    <row r="870">
      <c r="A870" s="256"/>
      <c r="B870" s="256"/>
      <c r="C870" s="256"/>
      <c r="D870" s="256"/>
      <c r="E870" s="256"/>
      <c r="F870" s="256"/>
      <c r="G870" s="256"/>
      <c r="H870" s="256"/>
      <c r="I870" s="256"/>
      <c r="J870" s="256"/>
      <c r="K870" s="256"/>
      <c r="L870" s="256"/>
      <c r="M870" s="256"/>
      <c r="N870" s="256"/>
      <c r="O870" s="256"/>
      <c r="P870" s="256"/>
      <c r="Q870" s="256"/>
      <c r="R870" s="256"/>
      <c r="S870" s="256"/>
      <c r="T870" s="256"/>
      <c r="U870" s="256"/>
      <c r="V870" s="256"/>
      <c r="W870" s="256"/>
      <c r="X870" s="256"/>
      <c r="Y870" s="256"/>
      <c r="Z870" s="256"/>
    </row>
    <row r="871">
      <c r="A871" s="256"/>
      <c r="B871" s="256"/>
      <c r="C871" s="256"/>
      <c r="D871" s="256"/>
      <c r="E871" s="256"/>
      <c r="F871" s="256"/>
      <c r="G871" s="256"/>
      <c r="H871" s="256"/>
      <c r="I871" s="256"/>
      <c r="J871" s="256"/>
      <c r="K871" s="256"/>
      <c r="L871" s="256"/>
      <c r="M871" s="256"/>
      <c r="N871" s="256"/>
      <c r="O871" s="256"/>
      <c r="P871" s="256"/>
      <c r="Q871" s="256"/>
      <c r="R871" s="256"/>
      <c r="S871" s="256"/>
      <c r="T871" s="256"/>
      <c r="U871" s="256"/>
      <c r="V871" s="256"/>
      <c r="W871" s="256"/>
      <c r="X871" s="256"/>
      <c r="Y871" s="256"/>
      <c r="Z871" s="256"/>
    </row>
    <row r="872">
      <c r="A872" s="256"/>
      <c r="B872" s="256"/>
      <c r="C872" s="256"/>
      <c r="D872" s="256"/>
      <c r="E872" s="256"/>
      <c r="F872" s="256"/>
      <c r="G872" s="256"/>
      <c r="H872" s="256"/>
      <c r="I872" s="256"/>
      <c r="J872" s="256"/>
      <c r="K872" s="256"/>
      <c r="L872" s="256"/>
      <c r="M872" s="256"/>
      <c r="N872" s="256"/>
      <c r="O872" s="256"/>
      <c r="P872" s="256"/>
      <c r="Q872" s="256"/>
      <c r="R872" s="256"/>
      <c r="S872" s="256"/>
      <c r="T872" s="256"/>
      <c r="U872" s="256"/>
      <c r="V872" s="256"/>
      <c r="W872" s="256"/>
      <c r="X872" s="256"/>
      <c r="Y872" s="256"/>
      <c r="Z872" s="256"/>
    </row>
    <row r="873">
      <c r="A873" s="256"/>
      <c r="B873" s="256"/>
      <c r="C873" s="256"/>
      <c r="D873" s="256"/>
      <c r="E873" s="256"/>
      <c r="F873" s="256"/>
      <c r="G873" s="256"/>
      <c r="H873" s="256"/>
      <c r="I873" s="256"/>
      <c r="J873" s="256"/>
      <c r="K873" s="256"/>
      <c r="L873" s="256"/>
      <c r="M873" s="256"/>
      <c r="N873" s="256"/>
      <c r="O873" s="256"/>
      <c r="P873" s="256"/>
      <c r="Q873" s="256"/>
      <c r="R873" s="256"/>
      <c r="S873" s="256"/>
      <c r="T873" s="256"/>
      <c r="U873" s="256"/>
      <c r="V873" s="256"/>
      <c r="W873" s="256"/>
      <c r="X873" s="256"/>
      <c r="Y873" s="256"/>
      <c r="Z873" s="256"/>
    </row>
    <row r="874">
      <c r="A874" s="256"/>
      <c r="B874" s="256"/>
      <c r="C874" s="256"/>
      <c r="D874" s="256"/>
      <c r="E874" s="256"/>
      <c r="F874" s="256"/>
      <c r="G874" s="256"/>
      <c r="H874" s="256"/>
      <c r="I874" s="256"/>
      <c r="J874" s="256"/>
      <c r="K874" s="256"/>
      <c r="L874" s="256"/>
      <c r="M874" s="256"/>
      <c r="N874" s="256"/>
      <c r="O874" s="256"/>
      <c r="P874" s="256"/>
      <c r="Q874" s="256"/>
      <c r="R874" s="256"/>
      <c r="S874" s="256"/>
      <c r="T874" s="256"/>
      <c r="U874" s="256"/>
      <c r="V874" s="256"/>
      <c r="W874" s="256"/>
      <c r="X874" s="256"/>
      <c r="Y874" s="256"/>
      <c r="Z874" s="256"/>
    </row>
    <row r="875">
      <c r="A875" s="256"/>
      <c r="B875" s="256"/>
      <c r="C875" s="256"/>
      <c r="D875" s="256"/>
      <c r="E875" s="256"/>
      <c r="F875" s="256"/>
      <c r="G875" s="256"/>
      <c r="H875" s="256"/>
      <c r="I875" s="256"/>
      <c r="J875" s="256"/>
      <c r="K875" s="256"/>
      <c r="L875" s="256"/>
      <c r="M875" s="256"/>
      <c r="N875" s="256"/>
      <c r="O875" s="256"/>
      <c r="P875" s="256"/>
      <c r="Q875" s="256"/>
      <c r="R875" s="256"/>
      <c r="S875" s="256"/>
      <c r="T875" s="256"/>
      <c r="U875" s="256"/>
      <c r="V875" s="256"/>
      <c r="W875" s="256"/>
      <c r="X875" s="256"/>
      <c r="Y875" s="256"/>
      <c r="Z875" s="256"/>
    </row>
    <row r="876">
      <c r="A876" s="256"/>
      <c r="B876" s="256"/>
      <c r="C876" s="256"/>
      <c r="D876" s="256"/>
      <c r="E876" s="256"/>
      <c r="F876" s="256"/>
      <c r="G876" s="256"/>
      <c r="H876" s="256"/>
      <c r="I876" s="256"/>
      <c r="J876" s="256"/>
      <c r="K876" s="256"/>
      <c r="L876" s="256"/>
      <c r="M876" s="256"/>
      <c r="N876" s="256"/>
      <c r="O876" s="256"/>
      <c r="P876" s="256"/>
      <c r="Q876" s="256"/>
      <c r="R876" s="256"/>
      <c r="S876" s="256"/>
      <c r="T876" s="256"/>
      <c r="U876" s="256"/>
      <c r="V876" s="256"/>
      <c r="W876" s="256"/>
      <c r="X876" s="256"/>
      <c r="Y876" s="256"/>
      <c r="Z876" s="256"/>
    </row>
    <row r="877">
      <c r="A877" s="256"/>
      <c r="B877" s="256"/>
      <c r="C877" s="256"/>
      <c r="D877" s="256"/>
      <c r="E877" s="256"/>
      <c r="F877" s="256"/>
      <c r="G877" s="256"/>
      <c r="H877" s="256"/>
      <c r="I877" s="256"/>
      <c r="J877" s="256"/>
      <c r="K877" s="256"/>
      <c r="L877" s="256"/>
      <c r="M877" s="256"/>
      <c r="N877" s="256"/>
      <c r="O877" s="256"/>
      <c r="P877" s="256"/>
      <c r="Q877" s="256"/>
      <c r="R877" s="256"/>
      <c r="S877" s="256"/>
      <c r="T877" s="256"/>
      <c r="U877" s="256"/>
      <c r="V877" s="256"/>
      <c r="W877" s="256"/>
      <c r="X877" s="256"/>
      <c r="Y877" s="256"/>
      <c r="Z877" s="256"/>
    </row>
    <row r="878">
      <c r="A878" s="256"/>
      <c r="B878" s="256"/>
      <c r="C878" s="256"/>
      <c r="D878" s="256"/>
      <c r="E878" s="256"/>
      <c r="F878" s="256"/>
      <c r="G878" s="256"/>
      <c r="H878" s="256"/>
      <c r="I878" s="256"/>
      <c r="J878" s="256"/>
      <c r="K878" s="256"/>
      <c r="L878" s="256"/>
      <c r="M878" s="256"/>
      <c r="N878" s="256"/>
      <c r="O878" s="256"/>
      <c r="P878" s="256"/>
      <c r="Q878" s="256"/>
      <c r="R878" s="256"/>
      <c r="S878" s="256"/>
      <c r="T878" s="256"/>
      <c r="U878" s="256"/>
      <c r="V878" s="256"/>
      <c r="W878" s="256"/>
      <c r="X878" s="256"/>
      <c r="Y878" s="256"/>
      <c r="Z878" s="256"/>
    </row>
    <row r="879">
      <c r="A879" s="256"/>
      <c r="B879" s="256"/>
      <c r="C879" s="256"/>
      <c r="D879" s="256"/>
      <c r="E879" s="256"/>
      <c r="F879" s="256"/>
      <c r="G879" s="256"/>
      <c r="H879" s="256"/>
      <c r="I879" s="256"/>
      <c r="J879" s="256"/>
      <c r="K879" s="256"/>
      <c r="L879" s="256"/>
      <c r="M879" s="256"/>
      <c r="N879" s="256"/>
      <c r="O879" s="256"/>
      <c r="P879" s="256"/>
      <c r="Q879" s="256"/>
      <c r="R879" s="256"/>
      <c r="S879" s="256"/>
      <c r="T879" s="256"/>
      <c r="U879" s="256"/>
      <c r="V879" s="256"/>
      <c r="W879" s="256"/>
      <c r="X879" s="256"/>
      <c r="Y879" s="256"/>
      <c r="Z879" s="256"/>
    </row>
    <row r="880">
      <c r="A880" s="256"/>
      <c r="B880" s="256"/>
      <c r="C880" s="256"/>
      <c r="D880" s="256"/>
      <c r="E880" s="256"/>
      <c r="F880" s="256"/>
      <c r="G880" s="256"/>
      <c r="H880" s="256"/>
      <c r="I880" s="256"/>
      <c r="J880" s="256"/>
      <c r="K880" s="256"/>
      <c r="L880" s="256"/>
      <c r="M880" s="256"/>
      <c r="N880" s="256"/>
      <c r="O880" s="256"/>
      <c r="P880" s="256"/>
      <c r="Q880" s="256"/>
      <c r="R880" s="256"/>
      <c r="S880" s="256"/>
      <c r="T880" s="256"/>
      <c r="U880" s="256"/>
      <c r="V880" s="256"/>
      <c r="W880" s="256"/>
      <c r="X880" s="256"/>
      <c r="Y880" s="256"/>
      <c r="Z880" s="256"/>
    </row>
    <row r="881">
      <c r="A881" s="256"/>
      <c r="B881" s="256"/>
      <c r="C881" s="256"/>
      <c r="D881" s="256"/>
      <c r="E881" s="256"/>
      <c r="F881" s="256"/>
      <c r="G881" s="256"/>
      <c r="H881" s="256"/>
      <c r="I881" s="256"/>
      <c r="J881" s="256"/>
      <c r="K881" s="256"/>
      <c r="L881" s="256"/>
      <c r="M881" s="256"/>
      <c r="N881" s="256"/>
      <c r="O881" s="256"/>
      <c r="P881" s="256"/>
      <c r="Q881" s="256"/>
      <c r="R881" s="256"/>
      <c r="S881" s="256"/>
      <c r="T881" s="256"/>
      <c r="U881" s="256"/>
      <c r="V881" s="256"/>
      <c r="W881" s="256"/>
      <c r="X881" s="256"/>
      <c r="Y881" s="256"/>
      <c r="Z881" s="256"/>
    </row>
    <row r="882">
      <c r="A882" s="256"/>
      <c r="B882" s="256"/>
      <c r="C882" s="256"/>
      <c r="D882" s="256"/>
      <c r="E882" s="256"/>
      <c r="F882" s="256"/>
      <c r="G882" s="256"/>
      <c r="H882" s="256"/>
      <c r="I882" s="256"/>
      <c r="J882" s="256"/>
      <c r="K882" s="256"/>
      <c r="L882" s="256"/>
      <c r="M882" s="256"/>
      <c r="N882" s="256"/>
      <c r="O882" s="256"/>
      <c r="P882" s="256"/>
      <c r="Q882" s="256"/>
      <c r="R882" s="256"/>
      <c r="S882" s="256"/>
      <c r="T882" s="256"/>
      <c r="U882" s="256"/>
      <c r="V882" s="256"/>
      <c r="W882" s="256"/>
      <c r="X882" s="256"/>
      <c r="Y882" s="256"/>
      <c r="Z882" s="256"/>
    </row>
    <row r="883">
      <c r="A883" s="256"/>
      <c r="B883" s="256"/>
      <c r="C883" s="256"/>
      <c r="D883" s="256"/>
      <c r="E883" s="256"/>
      <c r="F883" s="256"/>
      <c r="G883" s="256"/>
      <c r="H883" s="256"/>
      <c r="I883" s="256"/>
      <c r="J883" s="256"/>
      <c r="K883" s="256"/>
      <c r="L883" s="256"/>
      <c r="M883" s="256"/>
      <c r="N883" s="256"/>
      <c r="O883" s="256"/>
      <c r="P883" s="256"/>
      <c r="Q883" s="256"/>
      <c r="R883" s="256"/>
      <c r="S883" s="256"/>
      <c r="T883" s="256"/>
      <c r="U883" s="256"/>
      <c r="V883" s="256"/>
      <c r="W883" s="256"/>
      <c r="X883" s="256"/>
      <c r="Y883" s="256"/>
      <c r="Z883" s="256"/>
    </row>
    <row r="884">
      <c r="A884" s="256"/>
      <c r="B884" s="256"/>
      <c r="C884" s="256"/>
      <c r="D884" s="256"/>
      <c r="E884" s="256"/>
      <c r="F884" s="256"/>
      <c r="G884" s="256"/>
      <c r="H884" s="256"/>
      <c r="I884" s="256"/>
      <c r="J884" s="256"/>
      <c r="K884" s="256"/>
      <c r="L884" s="256"/>
      <c r="M884" s="256"/>
      <c r="N884" s="256"/>
      <c r="O884" s="256"/>
      <c r="P884" s="256"/>
      <c r="Q884" s="256"/>
      <c r="R884" s="256"/>
      <c r="S884" s="256"/>
      <c r="T884" s="256"/>
      <c r="U884" s="256"/>
      <c r="V884" s="256"/>
      <c r="W884" s="256"/>
      <c r="X884" s="256"/>
      <c r="Y884" s="256"/>
      <c r="Z884" s="256"/>
    </row>
    <row r="885">
      <c r="A885" s="256"/>
      <c r="B885" s="256"/>
      <c r="C885" s="256"/>
      <c r="D885" s="256"/>
      <c r="E885" s="256"/>
      <c r="F885" s="256"/>
      <c r="G885" s="256"/>
      <c r="H885" s="256"/>
      <c r="I885" s="256"/>
      <c r="J885" s="256"/>
      <c r="K885" s="256"/>
      <c r="L885" s="256"/>
      <c r="M885" s="256"/>
      <c r="N885" s="256"/>
      <c r="O885" s="256"/>
      <c r="P885" s="256"/>
      <c r="Q885" s="256"/>
      <c r="R885" s="256"/>
      <c r="S885" s="256"/>
      <c r="T885" s="256"/>
      <c r="U885" s="256"/>
      <c r="V885" s="256"/>
      <c r="W885" s="256"/>
      <c r="X885" s="256"/>
      <c r="Y885" s="256"/>
      <c r="Z885" s="256"/>
    </row>
    <row r="886">
      <c r="A886" s="256"/>
      <c r="B886" s="256"/>
      <c r="C886" s="256"/>
      <c r="D886" s="256"/>
      <c r="E886" s="256"/>
      <c r="F886" s="256"/>
      <c r="G886" s="256"/>
      <c r="H886" s="256"/>
      <c r="I886" s="256"/>
      <c r="J886" s="256"/>
      <c r="K886" s="256"/>
      <c r="L886" s="256"/>
      <c r="M886" s="256"/>
      <c r="N886" s="256"/>
      <c r="O886" s="256"/>
      <c r="P886" s="256"/>
      <c r="Q886" s="256"/>
      <c r="R886" s="256"/>
      <c r="S886" s="256"/>
      <c r="T886" s="256"/>
      <c r="U886" s="256"/>
      <c r="V886" s="256"/>
      <c r="W886" s="256"/>
      <c r="X886" s="256"/>
      <c r="Y886" s="256"/>
      <c r="Z886" s="256"/>
    </row>
    <row r="887">
      <c r="A887" s="256"/>
      <c r="B887" s="256"/>
      <c r="C887" s="256"/>
      <c r="D887" s="256"/>
      <c r="E887" s="256"/>
      <c r="F887" s="256"/>
      <c r="G887" s="256"/>
      <c r="H887" s="256"/>
      <c r="I887" s="256"/>
      <c r="J887" s="256"/>
      <c r="K887" s="256"/>
      <c r="L887" s="256"/>
      <c r="M887" s="256"/>
      <c r="N887" s="256"/>
      <c r="O887" s="256"/>
      <c r="P887" s="256"/>
      <c r="Q887" s="256"/>
      <c r="R887" s="256"/>
      <c r="S887" s="256"/>
      <c r="T887" s="256"/>
      <c r="U887" s="256"/>
      <c r="V887" s="256"/>
      <c r="W887" s="256"/>
      <c r="X887" s="256"/>
      <c r="Y887" s="256"/>
      <c r="Z887" s="256"/>
    </row>
    <row r="888">
      <c r="A888" s="256"/>
      <c r="B888" s="256"/>
      <c r="C888" s="256"/>
      <c r="D888" s="256"/>
      <c r="E888" s="256"/>
      <c r="F888" s="256"/>
      <c r="G888" s="256"/>
      <c r="H888" s="256"/>
      <c r="I888" s="256"/>
      <c r="J888" s="256"/>
      <c r="K888" s="256"/>
      <c r="L888" s="256"/>
      <c r="M888" s="256"/>
      <c r="N888" s="256"/>
      <c r="O888" s="256"/>
      <c r="P888" s="256"/>
      <c r="Q888" s="256"/>
      <c r="R888" s="256"/>
      <c r="S888" s="256"/>
      <c r="T888" s="256"/>
      <c r="U888" s="256"/>
      <c r="V888" s="256"/>
      <c r="W888" s="256"/>
      <c r="X888" s="256"/>
      <c r="Y888" s="256"/>
      <c r="Z888" s="256"/>
    </row>
    <row r="889">
      <c r="A889" s="256"/>
      <c r="B889" s="256"/>
      <c r="C889" s="256"/>
      <c r="D889" s="256"/>
      <c r="E889" s="256"/>
      <c r="F889" s="256"/>
      <c r="G889" s="256"/>
      <c r="H889" s="256"/>
      <c r="I889" s="256"/>
      <c r="J889" s="256"/>
      <c r="K889" s="256"/>
      <c r="L889" s="256"/>
      <c r="M889" s="256"/>
      <c r="N889" s="256"/>
      <c r="O889" s="256"/>
      <c r="P889" s="256"/>
      <c r="Q889" s="256"/>
      <c r="R889" s="256"/>
      <c r="S889" s="256"/>
      <c r="T889" s="256"/>
      <c r="U889" s="256"/>
      <c r="V889" s="256"/>
      <c r="W889" s="256"/>
      <c r="X889" s="256"/>
      <c r="Y889" s="256"/>
      <c r="Z889" s="256"/>
    </row>
    <row r="890">
      <c r="A890" s="256"/>
      <c r="B890" s="256"/>
      <c r="C890" s="256"/>
      <c r="D890" s="256"/>
      <c r="E890" s="256"/>
      <c r="F890" s="256"/>
      <c r="G890" s="256"/>
      <c r="H890" s="256"/>
      <c r="I890" s="256"/>
      <c r="J890" s="256"/>
      <c r="K890" s="256"/>
      <c r="L890" s="256"/>
      <c r="M890" s="256"/>
      <c r="N890" s="256"/>
      <c r="O890" s="256"/>
      <c r="P890" s="256"/>
      <c r="Q890" s="256"/>
      <c r="R890" s="256"/>
      <c r="S890" s="256"/>
      <c r="T890" s="256"/>
      <c r="U890" s="256"/>
      <c r="V890" s="256"/>
      <c r="W890" s="256"/>
      <c r="X890" s="256"/>
      <c r="Y890" s="256"/>
      <c r="Z890" s="256"/>
    </row>
    <row r="891">
      <c r="A891" s="256"/>
      <c r="B891" s="256"/>
      <c r="C891" s="256"/>
      <c r="D891" s="256"/>
      <c r="E891" s="256"/>
      <c r="F891" s="256"/>
      <c r="G891" s="256"/>
      <c r="H891" s="256"/>
      <c r="I891" s="256"/>
      <c r="J891" s="256"/>
      <c r="K891" s="256"/>
      <c r="L891" s="256"/>
      <c r="M891" s="256"/>
      <c r="N891" s="256"/>
      <c r="O891" s="256"/>
      <c r="P891" s="256"/>
      <c r="Q891" s="256"/>
      <c r="R891" s="256"/>
      <c r="S891" s="256"/>
      <c r="T891" s="256"/>
      <c r="U891" s="256"/>
      <c r="V891" s="256"/>
      <c r="W891" s="256"/>
      <c r="X891" s="256"/>
      <c r="Y891" s="256"/>
      <c r="Z891" s="256"/>
    </row>
    <row r="892">
      <c r="A892" s="256"/>
      <c r="B892" s="256"/>
      <c r="C892" s="256"/>
      <c r="D892" s="256"/>
      <c r="E892" s="256"/>
      <c r="F892" s="256"/>
      <c r="G892" s="256"/>
      <c r="H892" s="256"/>
      <c r="I892" s="256"/>
      <c r="J892" s="256"/>
      <c r="K892" s="256"/>
      <c r="L892" s="256"/>
      <c r="M892" s="256"/>
      <c r="N892" s="256"/>
      <c r="O892" s="256"/>
      <c r="P892" s="256"/>
      <c r="Q892" s="256"/>
      <c r="R892" s="256"/>
      <c r="S892" s="256"/>
      <c r="T892" s="256"/>
      <c r="U892" s="256"/>
      <c r="V892" s="256"/>
      <c r="W892" s="256"/>
      <c r="X892" s="256"/>
      <c r="Y892" s="256"/>
      <c r="Z892" s="256"/>
    </row>
    <row r="893">
      <c r="A893" s="256"/>
      <c r="B893" s="256"/>
      <c r="C893" s="256"/>
      <c r="D893" s="256"/>
      <c r="E893" s="256"/>
      <c r="F893" s="256"/>
      <c r="G893" s="256"/>
      <c r="H893" s="256"/>
      <c r="I893" s="256"/>
      <c r="J893" s="256"/>
      <c r="K893" s="256"/>
      <c r="L893" s="256"/>
      <c r="M893" s="256"/>
      <c r="N893" s="256"/>
      <c r="O893" s="256"/>
      <c r="P893" s="256"/>
      <c r="Q893" s="256"/>
      <c r="R893" s="256"/>
      <c r="S893" s="256"/>
      <c r="T893" s="256"/>
      <c r="U893" s="256"/>
      <c r="V893" s="256"/>
      <c r="W893" s="256"/>
      <c r="X893" s="256"/>
      <c r="Y893" s="256"/>
      <c r="Z893" s="256"/>
    </row>
    <row r="894">
      <c r="A894" s="256"/>
      <c r="B894" s="256"/>
      <c r="C894" s="256"/>
      <c r="D894" s="256"/>
      <c r="E894" s="256"/>
      <c r="F894" s="256"/>
      <c r="G894" s="256"/>
      <c r="H894" s="256"/>
      <c r="I894" s="256"/>
      <c r="J894" s="256"/>
      <c r="K894" s="256"/>
      <c r="L894" s="256"/>
      <c r="M894" s="256"/>
      <c r="N894" s="256"/>
      <c r="O894" s="256"/>
      <c r="P894" s="256"/>
      <c r="Q894" s="256"/>
      <c r="R894" s="256"/>
      <c r="S894" s="256"/>
      <c r="T894" s="256"/>
      <c r="U894" s="256"/>
      <c r="V894" s="256"/>
      <c r="W894" s="256"/>
      <c r="X894" s="256"/>
      <c r="Y894" s="256"/>
      <c r="Z894" s="256"/>
    </row>
    <row r="895">
      <c r="A895" s="256"/>
      <c r="B895" s="256"/>
      <c r="C895" s="256"/>
      <c r="D895" s="256"/>
      <c r="E895" s="256"/>
      <c r="F895" s="256"/>
      <c r="G895" s="256"/>
      <c r="H895" s="256"/>
      <c r="I895" s="256"/>
      <c r="J895" s="256"/>
      <c r="K895" s="256"/>
      <c r="L895" s="256"/>
      <c r="M895" s="256"/>
      <c r="N895" s="256"/>
      <c r="O895" s="256"/>
      <c r="P895" s="256"/>
      <c r="Q895" s="256"/>
      <c r="R895" s="256"/>
      <c r="S895" s="256"/>
      <c r="T895" s="256"/>
      <c r="U895" s="256"/>
      <c r="V895" s="256"/>
      <c r="W895" s="256"/>
      <c r="X895" s="256"/>
      <c r="Y895" s="256"/>
      <c r="Z895" s="256"/>
    </row>
    <row r="896">
      <c r="A896" s="256"/>
      <c r="B896" s="256"/>
      <c r="C896" s="256"/>
      <c r="D896" s="256"/>
      <c r="E896" s="256"/>
      <c r="F896" s="256"/>
      <c r="G896" s="256"/>
      <c r="H896" s="256"/>
      <c r="I896" s="256"/>
      <c r="J896" s="256"/>
      <c r="K896" s="256"/>
      <c r="L896" s="256"/>
      <c r="M896" s="256"/>
      <c r="N896" s="256"/>
      <c r="O896" s="256"/>
      <c r="P896" s="256"/>
      <c r="Q896" s="256"/>
      <c r="R896" s="256"/>
      <c r="S896" s="256"/>
      <c r="T896" s="256"/>
      <c r="U896" s="256"/>
      <c r="V896" s="256"/>
      <c r="W896" s="256"/>
      <c r="X896" s="256"/>
      <c r="Y896" s="256"/>
      <c r="Z896" s="256"/>
    </row>
    <row r="897">
      <c r="A897" s="256"/>
      <c r="B897" s="256"/>
      <c r="C897" s="256"/>
      <c r="D897" s="256"/>
      <c r="E897" s="256"/>
      <c r="F897" s="256"/>
      <c r="G897" s="256"/>
      <c r="H897" s="256"/>
      <c r="I897" s="256"/>
      <c r="J897" s="256"/>
      <c r="K897" s="256"/>
      <c r="L897" s="256"/>
      <c r="M897" s="256"/>
      <c r="N897" s="256"/>
      <c r="O897" s="256"/>
      <c r="P897" s="256"/>
      <c r="Q897" s="256"/>
      <c r="R897" s="256"/>
      <c r="S897" s="256"/>
      <c r="T897" s="256"/>
      <c r="U897" s="256"/>
      <c r="V897" s="256"/>
      <c r="W897" s="256"/>
      <c r="X897" s="256"/>
      <c r="Y897" s="256"/>
      <c r="Z897" s="256"/>
    </row>
    <row r="898">
      <c r="A898" s="256"/>
      <c r="B898" s="256"/>
      <c r="C898" s="256"/>
      <c r="D898" s="256"/>
      <c r="E898" s="256"/>
      <c r="F898" s="256"/>
      <c r="G898" s="256"/>
      <c r="H898" s="256"/>
      <c r="I898" s="256"/>
      <c r="J898" s="256"/>
      <c r="K898" s="256"/>
      <c r="L898" s="256"/>
      <c r="M898" s="256"/>
      <c r="N898" s="256"/>
      <c r="O898" s="256"/>
      <c r="P898" s="256"/>
      <c r="Q898" s="256"/>
      <c r="R898" s="256"/>
      <c r="S898" s="256"/>
      <c r="T898" s="256"/>
      <c r="U898" s="256"/>
      <c r="V898" s="256"/>
      <c r="W898" s="256"/>
      <c r="X898" s="256"/>
      <c r="Y898" s="256"/>
      <c r="Z898" s="256"/>
    </row>
    <row r="899">
      <c r="A899" s="256"/>
      <c r="B899" s="256"/>
      <c r="C899" s="256"/>
      <c r="D899" s="256"/>
      <c r="E899" s="256"/>
      <c r="F899" s="256"/>
      <c r="G899" s="256"/>
      <c r="H899" s="256"/>
      <c r="I899" s="256"/>
      <c r="J899" s="256"/>
      <c r="K899" s="256"/>
      <c r="L899" s="256"/>
      <c r="M899" s="256"/>
      <c r="N899" s="256"/>
      <c r="O899" s="256"/>
      <c r="P899" s="256"/>
      <c r="Q899" s="256"/>
      <c r="R899" s="256"/>
      <c r="S899" s="256"/>
      <c r="T899" s="256"/>
      <c r="U899" s="256"/>
      <c r="V899" s="256"/>
      <c r="W899" s="256"/>
      <c r="X899" s="256"/>
      <c r="Y899" s="256"/>
      <c r="Z899" s="256"/>
    </row>
    <row r="900">
      <c r="A900" s="256"/>
      <c r="B900" s="256"/>
      <c r="C900" s="256"/>
      <c r="D900" s="256"/>
      <c r="E900" s="256"/>
      <c r="F900" s="256"/>
      <c r="G900" s="256"/>
      <c r="H900" s="256"/>
      <c r="I900" s="256"/>
      <c r="J900" s="256"/>
      <c r="K900" s="256"/>
      <c r="L900" s="256"/>
      <c r="M900" s="256"/>
      <c r="N900" s="256"/>
      <c r="O900" s="256"/>
      <c r="P900" s="256"/>
      <c r="Q900" s="256"/>
      <c r="R900" s="256"/>
      <c r="S900" s="256"/>
      <c r="T900" s="256"/>
      <c r="U900" s="256"/>
      <c r="V900" s="256"/>
      <c r="W900" s="256"/>
      <c r="X900" s="256"/>
      <c r="Y900" s="256"/>
      <c r="Z900" s="256"/>
    </row>
    <row r="901">
      <c r="A901" s="256"/>
      <c r="B901" s="256"/>
      <c r="C901" s="256"/>
      <c r="D901" s="256"/>
      <c r="E901" s="256"/>
      <c r="F901" s="256"/>
      <c r="G901" s="256"/>
      <c r="H901" s="256"/>
      <c r="I901" s="256"/>
      <c r="J901" s="256"/>
      <c r="K901" s="256"/>
      <c r="L901" s="256"/>
      <c r="M901" s="256"/>
      <c r="N901" s="256"/>
      <c r="O901" s="256"/>
      <c r="P901" s="256"/>
      <c r="Q901" s="256"/>
      <c r="R901" s="256"/>
      <c r="S901" s="256"/>
      <c r="T901" s="256"/>
      <c r="U901" s="256"/>
      <c r="V901" s="256"/>
      <c r="W901" s="256"/>
      <c r="X901" s="256"/>
      <c r="Y901" s="256"/>
      <c r="Z901" s="256"/>
    </row>
    <row r="902">
      <c r="A902" s="256"/>
      <c r="B902" s="256"/>
      <c r="C902" s="256"/>
      <c r="D902" s="256"/>
      <c r="E902" s="256"/>
      <c r="F902" s="256"/>
      <c r="G902" s="256"/>
      <c r="H902" s="256"/>
      <c r="I902" s="256"/>
      <c r="J902" s="256"/>
      <c r="K902" s="256"/>
      <c r="L902" s="256"/>
      <c r="M902" s="256"/>
      <c r="N902" s="256"/>
      <c r="O902" s="256"/>
      <c r="P902" s="256"/>
      <c r="Q902" s="256"/>
      <c r="R902" s="256"/>
      <c r="S902" s="256"/>
      <c r="T902" s="256"/>
      <c r="U902" s="256"/>
      <c r="V902" s="256"/>
      <c r="W902" s="256"/>
      <c r="X902" s="256"/>
      <c r="Y902" s="256"/>
      <c r="Z902" s="256"/>
    </row>
    <row r="903">
      <c r="A903" s="256"/>
      <c r="B903" s="256"/>
      <c r="C903" s="256"/>
      <c r="D903" s="256"/>
      <c r="E903" s="256"/>
      <c r="F903" s="256"/>
      <c r="G903" s="256"/>
      <c r="H903" s="256"/>
      <c r="I903" s="256"/>
      <c r="J903" s="256"/>
      <c r="K903" s="256"/>
      <c r="L903" s="256"/>
      <c r="M903" s="256"/>
      <c r="N903" s="256"/>
      <c r="O903" s="256"/>
      <c r="P903" s="256"/>
      <c r="Q903" s="256"/>
      <c r="R903" s="256"/>
      <c r="S903" s="256"/>
      <c r="T903" s="256"/>
      <c r="U903" s="256"/>
      <c r="V903" s="256"/>
      <c r="W903" s="256"/>
      <c r="X903" s="256"/>
      <c r="Y903" s="256"/>
      <c r="Z903" s="256"/>
    </row>
    <row r="904">
      <c r="A904" s="256"/>
      <c r="B904" s="256"/>
      <c r="C904" s="256"/>
      <c r="D904" s="256"/>
      <c r="E904" s="256"/>
      <c r="F904" s="256"/>
      <c r="G904" s="256"/>
      <c r="H904" s="256"/>
      <c r="I904" s="256"/>
      <c r="J904" s="256"/>
      <c r="K904" s="256"/>
      <c r="L904" s="256"/>
      <c r="M904" s="256"/>
      <c r="N904" s="256"/>
      <c r="O904" s="256"/>
      <c r="P904" s="256"/>
      <c r="Q904" s="256"/>
      <c r="R904" s="256"/>
      <c r="S904" s="256"/>
      <c r="T904" s="256"/>
      <c r="U904" s="256"/>
      <c r="V904" s="256"/>
      <c r="W904" s="256"/>
      <c r="X904" s="256"/>
      <c r="Y904" s="256"/>
      <c r="Z904" s="256"/>
    </row>
    <row r="905">
      <c r="A905" s="256"/>
      <c r="B905" s="256"/>
      <c r="C905" s="256"/>
      <c r="D905" s="256"/>
      <c r="E905" s="256"/>
      <c r="F905" s="256"/>
      <c r="G905" s="256"/>
      <c r="H905" s="256"/>
      <c r="I905" s="256"/>
      <c r="J905" s="256"/>
      <c r="K905" s="256"/>
      <c r="L905" s="256"/>
      <c r="M905" s="256"/>
      <c r="N905" s="256"/>
      <c r="O905" s="256"/>
      <c r="P905" s="256"/>
      <c r="Q905" s="256"/>
      <c r="R905" s="256"/>
      <c r="S905" s="256"/>
      <c r="T905" s="256"/>
      <c r="U905" s="256"/>
      <c r="V905" s="256"/>
      <c r="W905" s="256"/>
      <c r="X905" s="256"/>
      <c r="Y905" s="256"/>
      <c r="Z905" s="256"/>
    </row>
    <row r="906">
      <c r="A906" s="256"/>
      <c r="B906" s="256"/>
      <c r="C906" s="256"/>
      <c r="D906" s="256"/>
      <c r="E906" s="256"/>
      <c r="F906" s="256"/>
      <c r="G906" s="256"/>
      <c r="H906" s="256"/>
      <c r="I906" s="256"/>
      <c r="J906" s="256"/>
      <c r="K906" s="256"/>
      <c r="L906" s="256"/>
      <c r="M906" s="256"/>
      <c r="N906" s="256"/>
      <c r="O906" s="256"/>
      <c r="P906" s="256"/>
      <c r="Q906" s="256"/>
      <c r="R906" s="256"/>
      <c r="S906" s="256"/>
      <c r="T906" s="256"/>
      <c r="U906" s="256"/>
      <c r="V906" s="256"/>
      <c r="W906" s="256"/>
      <c r="X906" s="256"/>
      <c r="Y906" s="256"/>
      <c r="Z906" s="256"/>
    </row>
    <row r="907">
      <c r="A907" s="256"/>
      <c r="B907" s="256"/>
      <c r="C907" s="256"/>
      <c r="D907" s="256"/>
      <c r="E907" s="256"/>
      <c r="F907" s="256"/>
      <c r="G907" s="256"/>
      <c r="H907" s="256"/>
      <c r="I907" s="256"/>
      <c r="J907" s="256"/>
      <c r="K907" s="256"/>
      <c r="L907" s="256"/>
      <c r="M907" s="256"/>
      <c r="N907" s="256"/>
      <c r="O907" s="256"/>
      <c r="P907" s="256"/>
      <c r="Q907" s="256"/>
      <c r="R907" s="256"/>
      <c r="S907" s="256"/>
      <c r="T907" s="256"/>
      <c r="U907" s="256"/>
      <c r="V907" s="256"/>
      <c r="W907" s="256"/>
      <c r="X907" s="256"/>
      <c r="Y907" s="256"/>
      <c r="Z907" s="256"/>
    </row>
    <row r="908">
      <c r="A908" s="256"/>
      <c r="B908" s="256"/>
      <c r="C908" s="256"/>
      <c r="D908" s="256"/>
      <c r="E908" s="256"/>
      <c r="F908" s="256"/>
      <c r="G908" s="256"/>
      <c r="H908" s="256"/>
      <c r="I908" s="256"/>
      <c r="J908" s="256"/>
      <c r="K908" s="256"/>
      <c r="L908" s="256"/>
      <c r="M908" s="256"/>
      <c r="N908" s="256"/>
      <c r="O908" s="256"/>
      <c r="P908" s="256"/>
      <c r="Q908" s="256"/>
      <c r="R908" s="256"/>
      <c r="S908" s="256"/>
      <c r="T908" s="256"/>
      <c r="U908" s="256"/>
      <c r="V908" s="256"/>
      <c r="W908" s="256"/>
      <c r="X908" s="256"/>
      <c r="Y908" s="256"/>
      <c r="Z908" s="256"/>
    </row>
    <row r="909">
      <c r="A909" s="256"/>
      <c r="B909" s="256"/>
      <c r="C909" s="256"/>
      <c r="D909" s="256"/>
      <c r="E909" s="256"/>
      <c r="F909" s="256"/>
      <c r="G909" s="256"/>
      <c r="H909" s="256"/>
      <c r="I909" s="256"/>
      <c r="J909" s="256"/>
      <c r="K909" s="256"/>
      <c r="L909" s="256"/>
      <c r="M909" s="256"/>
      <c r="N909" s="256"/>
      <c r="O909" s="256"/>
      <c r="P909" s="256"/>
      <c r="Q909" s="256"/>
      <c r="R909" s="256"/>
      <c r="S909" s="256"/>
      <c r="T909" s="256"/>
      <c r="U909" s="256"/>
      <c r="V909" s="256"/>
      <c r="W909" s="256"/>
      <c r="X909" s="256"/>
      <c r="Y909" s="256"/>
      <c r="Z909" s="256"/>
    </row>
    <row r="910">
      <c r="A910" s="256"/>
      <c r="B910" s="256"/>
      <c r="C910" s="256"/>
      <c r="D910" s="256"/>
      <c r="E910" s="256"/>
      <c r="F910" s="256"/>
      <c r="G910" s="256"/>
      <c r="H910" s="256"/>
      <c r="I910" s="256"/>
      <c r="J910" s="256"/>
      <c r="K910" s="256"/>
      <c r="L910" s="256"/>
      <c r="M910" s="256"/>
      <c r="N910" s="256"/>
      <c r="O910" s="256"/>
      <c r="P910" s="256"/>
      <c r="Q910" s="256"/>
      <c r="R910" s="256"/>
      <c r="S910" s="256"/>
      <c r="T910" s="256"/>
      <c r="U910" s="256"/>
      <c r="V910" s="256"/>
      <c r="W910" s="256"/>
      <c r="X910" s="256"/>
      <c r="Y910" s="256"/>
      <c r="Z910" s="256"/>
    </row>
    <row r="911">
      <c r="A911" s="256"/>
      <c r="B911" s="256"/>
      <c r="C911" s="256"/>
      <c r="D911" s="256"/>
      <c r="E911" s="256"/>
      <c r="F911" s="256"/>
      <c r="G911" s="256"/>
      <c r="H911" s="256"/>
      <c r="I911" s="256"/>
      <c r="J911" s="256"/>
      <c r="K911" s="256"/>
      <c r="L911" s="256"/>
      <c r="M911" s="256"/>
      <c r="N911" s="256"/>
      <c r="O911" s="256"/>
      <c r="P911" s="256"/>
      <c r="Q911" s="256"/>
      <c r="R911" s="256"/>
      <c r="S911" s="256"/>
      <c r="T911" s="256"/>
      <c r="U911" s="256"/>
      <c r="V911" s="256"/>
      <c r="W911" s="256"/>
      <c r="X911" s="256"/>
      <c r="Y911" s="256"/>
      <c r="Z911" s="256"/>
    </row>
    <row r="912">
      <c r="A912" s="256"/>
      <c r="B912" s="256"/>
      <c r="C912" s="256"/>
      <c r="D912" s="256"/>
      <c r="E912" s="256"/>
      <c r="F912" s="256"/>
      <c r="G912" s="256"/>
      <c r="H912" s="256"/>
      <c r="I912" s="256"/>
      <c r="J912" s="256"/>
      <c r="K912" s="256"/>
      <c r="L912" s="256"/>
      <c r="M912" s="256"/>
      <c r="N912" s="256"/>
      <c r="O912" s="256"/>
      <c r="P912" s="256"/>
      <c r="Q912" s="256"/>
      <c r="R912" s="256"/>
      <c r="S912" s="256"/>
      <c r="T912" s="256"/>
      <c r="U912" s="256"/>
      <c r="V912" s="256"/>
      <c r="W912" s="256"/>
      <c r="X912" s="256"/>
      <c r="Y912" s="256"/>
      <c r="Z912" s="256"/>
    </row>
    <row r="913">
      <c r="A913" s="256"/>
      <c r="B913" s="256"/>
      <c r="C913" s="256"/>
      <c r="D913" s="256"/>
      <c r="E913" s="256"/>
      <c r="F913" s="256"/>
      <c r="G913" s="256"/>
      <c r="H913" s="256"/>
      <c r="I913" s="256"/>
      <c r="J913" s="256"/>
      <c r="K913" s="256"/>
      <c r="L913" s="256"/>
      <c r="M913" s="256"/>
      <c r="N913" s="256"/>
      <c r="O913" s="256"/>
      <c r="P913" s="256"/>
      <c r="Q913" s="256"/>
      <c r="R913" s="256"/>
      <c r="S913" s="256"/>
      <c r="T913" s="256"/>
      <c r="U913" s="256"/>
      <c r="V913" s="256"/>
      <c r="W913" s="256"/>
      <c r="X913" s="256"/>
      <c r="Y913" s="256"/>
      <c r="Z913" s="256"/>
    </row>
    <row r="914">
      <c r="A914" s="256"/>
      <c r="B914" s="256"/>
      <c r="C914" s="256"/>
      <c r="D914" s="256"/>
      <c r="E914" s="256"/>
      <c r="F914" s="256"/>
      <c r="G914" s="256"/>
      <c r="H914" s="256"/>
      <c r="I914" s="256"/>
      <c r="J914" s="256"/>
      <c r="K914" s="256"/>
      <c r="L914" s="256"/>
      <c r="M914" s="256"/>
      <c r="N914" s="256"/>
      <c r="O914" s="256"/>
      <c r="P914" s="256"/>
      <c r="Q914" s="256"/>
      <c r="R914" s="256"/>
      <c r="S914" s="256"/>
      <c r="T914" s="256"/>
      <c r="U914" s="256"/>
      <c r="V914" s="256"/>
      <c r="W914" s="256"/>
      <c r="X914" s="256"/>
      <c r="Y914" s="256"/>
      <c r="Z914" s="256"/>
    </row>
    <row r="915">
      <c r="A915" s="256"/>
      <c r="B915" s="256"/>
      <c r="C915" s="256"/>
      <c r="D915" s="256"/>
      <c r="E915" s="256"/>
      <c r="F915" s="256"/>
      <c r="G915" s="256"/>
      <c r="H915" s="256"/>
      <c r="I915" s="256"/>
      <c r="J915" s="256"/>
      <c r="K915" s="256"/>
      <c r="L915" s="256"/>
      <c r="M915" s="256"/>
      <c r="N915" s="256"/>
      <c r="O915" s="256"/>
      <c r="P915" s="256"/>
      <c r="Q915" s="256"/>
      <c r="R915" s="256"/>
      <c r="S915" s="256"/>
      <c r="T915" s="256"/>
      <c r="U915" s="256"/>
      <c r="V915" s="256"/>
      <c r="W915" s="256"/>
      <c r="X915" s="256"/>
      <c r="Y915" s="256"/>
      <c r="Z915" s="256"/>
    </row>
    <row r="916">
      <c r="A916" s="256"/>
      <c r="B916" s="256"/>
      <c r="C916" s="256"/>
      <c r="D916" s="256"/>
      <c r="E916" s="256"/>
      <c r="F916" s="256"/>
      <c r="G916" s="256"/>
      <c r="H916" s="256"/>
      <c r="I916" s="256"/>
      <c r="J916" s="256"/>
      <c r="K916" s="256"/>
      <c r="L916" s="256"/>
      <c r="M916" s="256"/>
      <c r="N916" s="256"/>
      <c r="O916" s="256"/>
      <c r="P916" s="256"/>
      <c r="Q916" s="256"/>
      <c r="R916" s="256"/>
      <c r="S916" s="256"/>
      <c r="T916" s="256"/>
      <c r="U916" s="256"/>
      <c r="V916" s="256"/>
      <c r="W916" s="256"/>
      <c r="X916" s="256"/>
      <c r="Y916" s="256"/>
      <c r="Z916" s="256"/>
    </row>
    <row r="917">
      <c r="A917" s="256"/>
      <c r="B917" s="256"/>
      <c r="C917" s="256"/>
      <c r="D917" s="256"/>
      <c r="E917" s="256"/>
      <c r="F917" s="256"/>
      <c r="G917" s="256"/>
      <c r="H917" s="256"/>
      <c r="I917" s="256"/>
      <c r="J917" s="256"/>
      <c r="K917" s="256"/>
      <c r="L917" s="256"/>
      <c r="M917" s="256"/>
      <c r="N917" s="256"/>
      <c r="O917" s="256"/>
      <c r="P917" s="256"/>
      <c r="Q917" s="256"/>
      <c r="R917" s="256"/>
      <c r="S917" s="256"/>
      <c r="T917" s="256"/>
      <c r="U917" s="256"/>
      <c r="V917" s="256"/>
      <c r="W917" s="256"/>
      <c r="X917" s="256"/>
      <c r="Y917" s="256"/>
      <c r="Z917" s="256"/>
    </row>
    <row r="918">
      <c r="A918" s="256"/>
      <c r="B918" s="256"/>
      <c r="C918" s="256"/>
      <c r="D918" s="256"/>
      <c r="E918" s="256"/>
      <c r="F918" s="256"/>
      <c r="G918" s="256"/>
      <c r="H918" s="256"/>
      <c r="I918" s="256"/>
      <c r="J918" s="256"/>
      <c r="K918" s="256"/>
      <c r="L918" s="256"/>
      <c r="M918" s="256"/>
      <c r="N918" s="256"/>
      <c r="O918" s="256"/>
      <c r="P918" s="256"/>
      <c r="Q918" s="256"/>
      <c r="R918" s="256"/>
      <c r="S918" s="256"/>
      <c r="T918" s="256"/>
      <c r="U918" s="256"/>
      <c r="V918" s="256"/>
      <c r="W918" s="256"/>
      <c r="X918" s="256"/>
      <c r="Y918" s="256"/>
      <c r="Z918" s="256"/>
    </row>
    <row r="919">
      <c r="A919" s="256"/>
      <c r="B919" s="256"/>
      <c r="C919" s="256"/>
      <c r="D919" s="256"/>
      <c r="E919" s="256"/>
      <c r="F919" s="256"/>
      <c r="G919" s="256"/>
      <c r="H919" s="256"/>
      <c r="I919" s="256"/>
      <c r="J919" s="256"/>
      <c r="K919" s="256"/>
      <c r="L919" s="256"/>
      <c r="M919" s="256"/>
      <c r="N919" s="256"/>
      <c r="O919" s="256"/>
      <c r="P919" s="256"/>
      <c r="Q919" s="256"/>
      <c r="R919" s="256"/>
      <c r="S919" s="256"/>
      <c r="T919" s="256"/>
      <c r="U919" s="256"/>
      <c r="V919" s="256"/>
      <c r="W919" s="256"/>
      <c r="X919" s="256"/>
      <c r="Y919" s="256"/>
      <c r="Z919" s="256"/>
    </row>
    <row r="920">
      <c r="A920" s="256"/>
      <c r="B920" s="256"/>
      <c r="C920" s="256"/>
      <c r="D920" s="256"/>
      <c r="E920" s="256"/>
      <c r="F920" s="256"/>
      <c r="G920" s="256"/>
      <c r="H920" s="256"/>
      <c r="I920" s="256"/>
      <c r="J920" s="256"/>
      <c r="K920" s="256"/>
      <c r="L920" s="256"/>
      <c r="M920" s="256"/>
      <c r="N920" s="256"/>
      <c r="O920" s="256"/>
      <c r="P920" s="256"/>
      <c r="Q920" s="256"/>
      <c r="R920" s="256"/>
      <c r="S920" s="256"/>
      <c r="T920" s="256"/>
      <c r="U920" s="256"/>
      <c r="V920" s="256"/>
      <c r="W920" s="256"/>
      <c r="X920" s="256"/>
      <c r="Y920" s="256"/>
      <c r="Z920" s="256"/>
    </row>
    <row r="921">
      <c r="A921" s="256"/>
      <c r="B921" s="256"/>
      <c r="C921" s="256"/>
      <c r="D921" s="256"/>
      <c r="E921" s="256"/>
      <c r="F921" s="256"/>
      <c r="G921" s="256"/>
      <c r="H921" s="256"/>
      <c r="I921" s="256"/>
      <c r="J921" s="256"/>
      <c r="K921" s="256"/>
      <c r="L921" s="256"/>
      <c r="M921" s="256"/>
      <c r="N921" s="256"/>
      <c r="O921" s="256"/>
      <c r="P921" s="256"/>
      <c r="Q921" s="256"/>
      <c r="R921" s="256"/>
      <c r="S921" s="256"/>
      <c r="T921" s="256"/>
      <c r="U921" s="256"/>
      <c r="V921" s="256"/>
      <c r="W921" s="256"/>
      <c r="X921" s="256"/>
      <c r="Y921" s="256"/>
      <c r="Z921" s="256"/>
    </row>
    <row r="922">
      <c r="A922" s="256"/>
      <c r="B922" s="256"/>
      <c r="C922" s="256"/>
      <c r="D922" s="256"/>
      <c r="E922" s="256"/>
      <c r="F922" s="256"/>
      <c r="G922" s="256"/>
      <c r="H922" s="256"/>
      <c r="I922" s="256"/>
      <c r="J922" s="256"/>
      <c r="K922" s="256"/>
      <c r="L922" s="256"/>
      <c r="M922" s="256"/>
      <c r="N922" s="256"/>
      <c r="O922" s="256"/>
      <c r="P922" s="256"/>
      <c r="Q922" s="256"/>
      <c r="R922" s="256"/>
      <c r="S922" s="256"/>
      <c r="T922" s="256"/>
      <c r="U922" s="256"/>
      <c r="V922" s="256"/>
      <c r="W922" s="256"/>
      <c r="X922" s="256"/>
      <c r="Y922" s="256"/>
      <c r="Z922" s="256"/>
    </row>
    <row r="923">
      <c r="A923" s="256"/>
      <c r="B923" s="256"/>
      <c r="C923" s="256"/>
      <c r="D923" s="256"/>
      <c r="E923" s="256"/>
      <c r="F923" s="256"/>
      <c r="G923" s="256"/>
      <c r="H923" s="256"/>
      <c r="I923" s="256"/>
      <c r="J923" s="256"/>
      <c r="K923" s="256"/>
      <c r="L923" s="256"/>
      <c r="M923" s="256"/>
      <c r="N923" s="256"/>
      <c r="O923" s="256"/>
      <c r="P923" s="256"/>
      <c r="Q923" s="256"/>
      <c r="R923" s="256"/>
      <c r="S923" s="256"/>
      <c r="T923" s="256"/>
      <c r="U923" s="256"/>
      <c r="V923" s="256"/>
      <c r="W923" s="256"/>
      <c r="X923" s="256"/>
      <c r="Y923" s="256"/>
      <c r="Z923" s="256"/>
    </row>
    <row r="924">
      <c r="A924" s="256"/>
      <c r="B924" s="256"/>
      <c r="C924" s="256"/>
      <c r="D924" s="256"/>
      <c r="E924" s="256"/>
      <c r="F924" s="256"/>
      <c r="G924" s="256"/>
      <c r="H924" s="256"/>
      <c r="I924" s="256"/>
      <c r="J924" s="256"/>
      <c r="K924" s="256"/>
      <c r="L924" s="256"/>
      <c r="M924" s="256"/>
      <c r="N924" s="256"/>
      <c r="O924" s="256"/>
      <c r="P924" s="256"/>
      <c r="Q924" s="256"/>
      <c r="R924" s="256"/>
      <c r="S924" s="256"/>
      <c r="T924" s="256"/>
      <c r="U924" s="256"/>
      <c r="V924" s="256"/>
      <c r="W924" s="256"/>
      <c r="X924" s="256"/>
      <c r="Y924" s="256"/>
      <c r="Z924" s="256"/>
    </row>
    <row r="925">
      <c r="A925" s="256"/>
      <c r="B925" s="256"/>
      <c r="C925" s="256"/>
      <c r="D925" s="256"/>
      <c r="E925" s="256"/>
      <c r="F925" s="256"/>
      <c r="G925" s="256"/>
      <c r="H925" s="256"/>
      <c r="I925" s="256"/>
      <c r="J925" s="256"/>
      <c r="K925" s="256"/>
      <c r="L925" s="256"/>
      <c r="M925" s="256"/>
      <c r="N925" s="256"/>
      <c r="O925" s="256"/>
      <c r="P925" s="256"/>
      <c r="Q925" s="256"/>
      <c r="R925" s="256"/>
      <c r="S925" s="256"/>
      <c r="T925" s="256"/>
      <c r="U925" s="256"/>
      <c r="V925" s="256"/>
      <c r="W925" s="256"/>
      <c r="X925" s="256"/>
      <c r="Y925" s="256"/>
      <c r="Z925" s="256"/>
    </row>
    <row r="926">
      <c r="A926" s="256"/>
      <c r="B926" s="256"/>
      <c r="C926" s="256"/>
      <c r="D926" s="256"/>
      <c r="E926" s="256"/>
      <c r="F926" s="256"/>
      <c r="G926" s="256"/>
      <c r="H926" s="256"/>
      <c r="I926" s="256"/>
      <c r="J926" s="256"/>
      <c r="K926" s="256"/>
      <c r="L926" s="256"/>
      <c r="M926" s="256"/>
      <c r="N926" s="256"/>
      <c r="O926" s="256"/>
      <c r="P926" s="256"/>
      <c r="Q926" s="256"/>
      <c r="R926" s="256"/>
      <c r="S926" s="256"/>
      <c r="T926" s="256"/>
      <c r="U926" s="256"/>
      <c r="V926" s="256"/>
      <c r="W926" s="256"/>
      <c r="X926" s="256"/>
      <c r="Y926" s="256"/>
      <c r="Z926" s="256"/>
    </row>
    <row r="927">
      <c r="A927" s="256"/>
      <c r="B927" s="256"/>
      <c r="C927" s="256"/>
      <c r="D927" s="256"/>
      <c r="E927" s="256"/>
      <c r="F927" s="256"/>
      <c r="G927" s="256"/>
      <c r="H927" s="256"/>
      <c r="I927" s="256"/>
      <c r="J927" s="256"/>
      <c r="K927" s="256"/>
      <c r="L927" s="256"/>
      <c r="M927" s="256"/>
      <c r="N927" s="256"/>
      <c r="O927" s="256"/>
      <c r="P927" s="256"/>
      <c r="Q927" s="256"/>
      <c r="R927" s="256"/>
      <c r="S927" s="256"/>
      <c r="T927" s="256"/>
      <c r="U927" s="256"/>
      <c r="V927" s="256"/>
      <c r="W927" s="256"/>
      <c r="X927" s="256"/>
      <c r="Y927" s="256"/>
      <c r="Z927" s="256"/>
    </row>
    <row r="928">
      <c r="A928" s="256"/>
      <c r="B928" s="256"/>
      <c r="C928" s="256"/>
      <c r="D928" s="256"/>
      <c r="E928" s="256"/>
      <c r="F928" s="256"/>
      <c r="G928" s="256"/>
      <c r="H928" s="256"/>
      <c r="I928" s="256"/>
      <c r="J928" s="256"/>
      <c r="K928" s="256"/>
      <c r="L928" s="256"/>
      <c r="M928" s="256"/>
      <c r="N928" s="256"/>
      <c r="O928" s="256"/>
      <c r="P928" s="256"/>
      <c r="Q928" s="256"/>
      <c r="R928" s="256"/>
      <c r="S928" s="256"/>
      <c r="T928" s="256"/>
      <c r="U928" s="256"/>
      <c r="V928" s="256"/>
      <c r="W928" s="256"/>
      <c r="X928" s="256"/>
      <c r="Y928" s="256"/>
      <c r="Z928" s="256"/>
    </row>
    <row r="929">
      <c r="A929" s="256"/>
      <c r="B929" s="256"/>
      <c r="C929" s="256"/>
      <c r="D929" s="256"/>
      <c r="E929" s="256"/>
      <c r="F929" s="256"/>
      <c r="G929" s="256"/>
      <c r="H929" s="256"/>
      <c r="I929" s="256"/>
      <c r="J929" s="256"/>
      <c r="K929" s="256"/>
      <c r="L929" s="256"/>
      <c r="M929" s="256"/>
      <c r="N929" s="256"/>
      <c r="O929" s="256"/>
      <c r="P929" s="256"/>
      <c r="Q929" s="256"/>
      <c r="R929" s="256"/>
      <c r="S929" s="256"/>
      <c r="T929" s="256"/>
      <c r="U929" s="256"/>
      <c r="V929" s="256"/>
      <c r="W929" s="256"/>
      <c r="X929" s="256"/>
      <c r="Y929" s="256"/>
      <c r="Z929" s="256"/>
    </row>
    <row r="930">
      <c r="A930" s="256"/>
      <c r="B930" s="256"/>
      <c r="C930" s="256"/>
      <c r="D930" s="256"/>
      <c r="E930" s="256"/>
      <c r="F930" s="256"/>
      <c r="G930" s="256"/>
      <c r="H930" s="256"/>
      <c r="I930" s="256"/>
      <c r="J930" s="256"/>
      <c r="K930" s="256"/>
      <c r="L930" s="256"/>
      <c r="M930" s="256"/>
      <c r="N930" s="256"/>
      <c r="O930" s="256"/>
      <c r="P930" s="256"/>
      <c r="Q930" s="256"/>
      <c r="R930" s="256"/>
      <c r="S930" s="256"/>
      <c r="T930" s="256"/>
      <c r="U930" s="256"/>
      <c r="V930" s="256"/>
      <c r="W930" s="256"/>
      <c r="X930" s="256"/>
      <c r="Y930" s="256"/>
      <c r="Z930" s="256"/>
    </row>
    <row r="931">
      <c r="A931" s="256"/>
      <c r="B931" s="256"/>
      <c r="C931" s="256"/>
      <c r="D931" s="256"/>
      <c r="E931" s="256"/>
      <c r="F931" s="256"/>
      <c r="G931" s="256"/>
      <c r="H931" s="256"/>
      <c r="I931" s="256"/>
      <c r="J931" s="256"/>
      <c r="K931" s="256"/>
      <c r="L931" s="256"/>
      <c r="M931" s="256"/>
      <c r="N931" s="256"/>
      <c r="O931" s="256"/>
      <c r="P931" s="256"/>
      <c r="Q931" s="256"/>
      <c r="R931" s="256"/>
      <c r="S931" s="256"/>
      <c r="T931" s="256"/>
      <c r="U931" s="256"/>
      <c r="V931" s="256"/>
      <c r="W931" s="256"/>
      <c r="X931" s="256"/>
      <c r="Y931" s="256"/>
      <c r="Z931" s="256"/>
    </row>
    <row r="932">
      <c r="A932" s="256"/>
      <c r="B932" s="256"/>
      <c r="C932" s="256"/>
      <c r="D932" s="256"/>
      <c r="E932" s="256"/>
      <c r="F932" s="256"/>
      <c r="G932" s="256"/>
      <c r="H932" s="256"/>
      <c r="I932" s="256"/>
      <c r="J932" s="256"/>
      <c r="K932" s="256"/>
      <c r="L932" s="256"/>
      <c r="M932" s="256"/>
      <c r="N932" s="256"/>
      <c r="O932" s="256"/>
      <c r="P932" s="256"/>
      <c r="Q932" s="256"/>
      <c r="R932" s="256"/>
      <c r="S932" s="256"/>
      <c r="T932" s="256"/>
      <c r="U932" s="256"/>
      <c r="V932" s="256"/>
      <c r="W932" s="256"/>
      <c r="X932" s="256"/>
      <c r="Y932" s="256"/>
      <c r="Z932" s="256"/>
    </row>
    <row r="933">
      <c r="A933" s="256"/>
      <c r="B933" s="256"/>
      <c r="C933" s="256"/>
      <c r="D933" s="256"/>
      <c r="E933" s="256"/>
      <c r="F933" s="256"/>
      <c r="G933" s="256"/>
      <c r="H933" s="256"/>
      <c r="I933" s="256"/>
      <c r="J933" s="256"/>
      <c r="K933" s="256"/>
      <c r="L933" s="256"/>
      <c r="M933" s="256"/>
      <c r="N933" s="256"/>
      <c r="O933" s="256"/>
      <c r="P933" s="256"/>
      <c r="Q933" s="256"/>
      <c r="R933" s="256"/>
      <c r="S933" s="256"/>
      <c r="T933" s="256"/>
      <c r="U933" s="256"/>
      <c r="V933" s="256"/>
      <c r="W933" s="256"/>
      <c r="X933" s="256"/>
      <c r="Y933" s="256"/>
      <c r="Z933" s="256"/>
    </row>
    <row r="934">
      <c r="A934" s="256"/>
      <c r="B934" s="256"/>
      <c r="C934" s="256"/>
      <c r="D934" s="256"/>
      <c r="E934" s="256"/>
      <c r="F934" s="256"/>
      <c r="G934" s="256"/>
      <c r="H934" s="256"/>
      <c r="I934" s="256"/>
      <c r="J934" s="256"/>
      <c r="K934" s="256"/>
      <c r="L934" s="256"/>
      <c r="M934" s="256"/>
      <c r="N934" s="256"/>
      <c r="O934" s="256"/>
      <c r="P934" s="256"/>
      <c r="Q934" s="256"/>
      <c r="R934" s="256"/>
      <c r="S934" s="256"/>
      <c r="T934" s="256"/>
      <c r="U934" s="256"/>
      <c r="V934" s="256"/>
      <c r="W934" s="256"/>
      <c r="X934" s="256"/>
      <c r="Y934" s="256"/>
      <c r="Z934" s="256"/>
    </row>
    <row r="935">
      <c r="A935" s="256"/>
      <c r="B935" s="256"/>
      <c r="C935" s="256"/>
      <c r="D935" s="256"/>
      <c r="E935" s="256"/>
      <c r="F935" s="256"/>
      <c r="G935" s="256"/>
      <c r="H935" s="256"/>
      <c r="I935" s="256"/>
      <c r="J935" s="256"/>
      <c r="K935" s="256"/>
      <c r="L935" s="256"/>
      <c r="M935" s="256"/>
      <c r="N935" s="256"/>
      <c r="O935" s="256"/>
      <c r="P935" s="256"/>
      <c r="Q935" s="256"/>
      <c r="R935" s="256"/>
      <c r="S935" s="256"/>
      <c r="T935" s="256"/>
      <c r="U935" s="256"/>
      <c r="V935" s="256"/>
      <c r="W935" s="256"/>
      <c r="X935" s="256"/>
      <c r="Y935" s="256"/>
      <c r="Z935" s="256"/>
    </row>
    <row r="936">
      <c r="A936" s="256"/>
      <c r="B936" s="256"/>
      <c r="C936" s="256"/>
      <c r="D936" s="256"/>
      <c r="E936" s="256"/>
      <c r="F936" s="256"/>
      <c r="G936" s="256"/>
      <c r="H936" s="256"/>
      <c r="I936" s="256"/>
      <c r="J936" s="256"/>
      <c r="K936" s="256"/>
      <c r="L936" s="256"/>
      <c r="M936" s="256"/>
      <c r="N936" s="256"/>
      <c r="O936" s="256"/>
      <c r="P936" s="256"/>
      <c r="Q936" s="256"/>
      <c r="R936" s="256"/>
      <c r="S936" s="256"/>
      <c r="T936" s="256"/>
      <c r="U936" s="256"/>
      <c r="V936" s="256"/>
      <c r="W936" s="256"/>
      <c r="X936" s="256"/>
      <c r="Y936" s="256"/>
      <c r="Z936" s="256"/>
    </row>
    <row r="937">
      <c r="A937" s="256"/>
      <c r="B937" s="256"/>
      <c r="C937" s="256"/>
      <c r="D937" s="256"/>
      <c r="E937" s="256"/>
      <c r="F937" s="256"/>
      <c r="G937" s="256"/>
      <c r="H937" s="256"/>
      <c r="I937" s="256"/>
      <c r="J937" s="256"/>
      <c r="K937" s="256"/>
      <c r="L937" s="256"/>
      <c r="M937" s="256"/>
      <c r="N937" s="256"/>
      <c r="O937" s="256"/>
      <c r="P937" s="256"/>
      <c r="Q937" s="256"/>
      <c r="R937" s="256"/>
      <c r="S937" s="256"/>
      <c r="T937" s="256"/>
      <c r="U937" s="256"/>
      <c r="V937" s="256"/>
      <c r="W937" s="256"/>
      <c r="X937" s="256"/>
      <c r="Y937" s="256"/>
      <c r="Z937" s="256"/>
    </row>
    <row r="938">
      <c r="A938" s="256"/>
      <c r="B938" s="256"/>
      <c r="C938" s="256"/>
      <c r="D938" s="256"/>
      <c r="E938" s="256"/>
      <c r="F938" s="256"/>
      <c r="G938" s="256"/>
      <c r="H938" s="256"/>
      <c r="I938" s="256"/>
      <c r="J938" s="256"/>
      <c r="K938" s="256"/>
      <c r="L938" s="256"/>
      <c r="M938" s="256"/>
      <c r="N938" s="256"/>
      <c r="O938" s="256"/>
      <c r="P938" s="256"/>
      <c r="Q938" s="256"/>
      <c r="R938" s="256"/>
      <c r="S938" s="256"/>
      <c r="T938" s="256"/>
      <c r="U938" s="256"/>
      <c r="V938" s="256"/>
      <c r="W938" s="256"/>
      <c r="X938" s="256"/>
      <c r="Y938" s="256"/>
      <c r="Z938" s="256"/>
    </row>
    <row r="939">
      <c r="A939" s="256"/>
      <c r="B939" s="256"/>
      <c r="C939" s="256"/>
      <c r="D939" s="256"/>
      <c r="E939" s="256"/>
      <c r="F939" s="256"/>
      <c r="G939" s="256"/>
      <c r="H939" s="256"/>
      <c r="I939" s="256"/>
      <c r="J939" s="256"/>
      <c r="K939" s="256"/>
      <c r="L939" s="256"/>
      <c r="M939" s="256"/>
      <c r="N939" s="256"/>
      <c r="O939" s="256"/>
      <c r="P939" s="256"/>
      <c r="Q939" s="256"/>
      <c r="R939" s="256"/>
      <c r="S939" s="256"/>
      <c r="T939" s="256"/>
      <c r="U939" s="256"/>
      <c r="V939" s="256"/>
      <c r="W939" s="256"/>
      <c r="X939" s="256"/>
      <c r="Y939" s="256"/>
      <c r="Z939" s="256"/>
    </row>
    <row r="940">
      <c r="A940" s="256"/>
      <c r="B940" s="256"/>
      <c r="C940" s="256"/>
      <c r="D940" s="256"/>
      <c r="E940" s="256"/>
      <c r="F940" s="256"/>
      <c r="G940" s="256"/>
      <c r="H940" s="256"/>
      <c r="I940" s="256"/>
      <c r="J940" s="256"/>
      <c r="K940" s="256"/>
      <c r="L940" s="256"/>
      <c r="M940" s="256"/>
      <c r="N940" s="256"/>
      <c r="O940" s="256"/>
      <c r="P940" s="256"/>
      <c r="Q940" s="256"/>
      <c r="R940" s="256"/>
      <c r="S940" s="256"/>
      <c r="T940" s="256"/>
      <c r="U940" s="256"/>
      <c r="V940" s="256"/>
      <c r="W940" s="256"/>
      <c r="X940" s="256"/>
      <c r="Y940" s="256"/>
      <c r="Z940" s="256"/>
    </row>
    <row r="941">
      <c r="A941" s="256"/>
      <c r="B941" s="256"/>
      <c r="C941" s="256"/>
      <c r="D941" s="256"/>
      <c r="E941" s="256"/>
      <c r="F941" s="256"/>
      <c r="G941" s="256"/>
      <c r="H941" s="256"/>
      <c r="I941" s="256"/>
      <c r="J941" s="256"/>
      <c r="K941" s="256"/>
      <c r="L941" s="256"/>
      <c r="M941" s="256"/>
      <c r="N941" s="256"/>
      <c r="O941" s="256"/>
      <c r="P941" s="256"/>
      <c r="Q941" s="256"/>
      <c r="R941" s="256"/>
      <c r="S941" s="256"/>
      <c r="T941" s="256"/>
      <c r="U941" s="256"/>
      <c r="V941" s="256"/>
      <c r="W941" s="256"/>
      <c r="X941" s="256"/>
      <c r="Y941" s="256"/>
      <c r="Z941" s="256"/>
    </row>
    <row r="942">
      <c r="A942" s="256"/>
      <c r="B942" s="256"/>
      <c r="C942" s="256"/>
      <c r="D942" s="256"/>
      <c r="E942" s="256"/>
      <c r="F942" s="256"/>
      <c r="G942" s="256"/>
      <c r="H942" s="256"/>
      <c r="I942" s="256"/>
      <c r="J942" s="256"/>
      <c r="K942" s="256"/>
      <c r="L942" s="256"/>
      <c r="M942" s="256"/>
      <c r="N942" s="256"/>
      <c r="O942" s="256"/>
      <c r="P942" s="256"/>
      <c r="Q942" s="256"/>
      <c r="R942" s="256"/>
      <c r="S942" s="256"/>
      <c r="T942" s="256"/>
      <c r="U942" s="256"/>
      <c r="V942" s="256"/>
      <c r="W942" s="256"/>
      <c r="X942" s="256"/>
      <c r="Y942" s="256"/>
      <c r="Z942" s="256"/>
    </row>
    <row r="943">
      <c r="A943" s="256"/>
      <c r="B943" s="256"/>
      <c r="C943" s="256"/>
      <c r="D943" s="256"/>
      <c r="E943" s="256"/>
      <c r="F943" s="256"/>
      <c r="G943" s="256"/>
      <c r="H943" s="256"/>
      <c r="I943" s="256"/>
      <c r="J943" s="256"/>
      <c r="K943" s="256"/>
      <c r="L943" s="256"/>
      <c r="M943" s="256"/>
      <c r="N943" s="256"/>
      <c r="O943" s="256"/>
      <c r="P943" s="256"/>
      <c r="Q943" s="256"/>
      <c r="R943" s="256"/>
      <c r="S943" s="256"/>
      <c r="T943" s="256"/>
      <c r="U943" s="256"/>
      <c r="V943" s="256"/>
      <c r="W943" s="256"/>
      <c r="X943" s="256"/>
      <c r="Y943" s="256"/>
      <c r="Z943" s="256"/>
    </row>
    <row r="944">
      <c r="A944" s="256"/>
      <c r="B944" s="256"/>
      <c r="C944" s="256"/>
      <c r="D944" s="256"/>
      <c r="E944" s="256"/>
      <c r="F944" s="256"/>
      <c r="G944" s="256"/>
      <c r="H944" s="256"/>
      <c r="I944" s="256"/>
      <c r="J944" s="256"/>
      <c r="K944" s="256"/>
      <c r="L944" s="256"/>
      <c r="M944" s="256"/>
      <c r="N944" s="256"/>
      <c r="O944" s="256"/>
      <c r="P944" s="256"/>
      <c r="Q944" s="256"/>
      <c r="R944" s="256"/>
      <c r="S944" s="256"/>
      <c r="T944" s="256"/>
      <c r="U944" s="256"/>
      <c r="V944" s="256"/>
      <c r="W944" s="256"/>
      <c r="X944" s="256"/>
      <c r="Y944" s="256"/>
      <c r="Z944" s="256"/>
    </row>
    <row r="945">
      <c r="A945" s="256"/>
      <c r="B945" s="256"/>
      <c r="C945" s="256"/>
      <c r="D945" s="256"/>
      <c r="E945" s="256"/>
      <c r="F945" s="256"/>
      <c r="G945" s="256"/>
      <c r="H945" s="256"/>
      <c r="I945" s="256"/>
      <c r="J945" s="256"/>
      <c r="K945" s="256"/>
      <c r="L945" s="256"/>
      <c r="M945" s="256"/>
      <c r="N945" s="256"/>
      <c r="O945" s="256"/>
      <c r="P945" s="256"/>
      <c r="Q945" s="256"/>
      <c r="R945" s="256"/>
      <c r="S945" s="256"/>
      <c r="T945" s="256"/>
      <c r="U945" s="256"/>
      <c r="V945" s="256"/>
      <c r="W945" s="256"/>
      <c r="X945" s="256"/>
      <c r="Y945" s="256"/>
      <c r="Z945" s="256"/>
    </row>
    <row r="946">
      <c r="A946" s="256"/>
      <c r="B946" s="256"/>
      <c r="C946" s="256"/>
      <c r="D946" s="256"/>
      <c r="E946" s="256"/>
      <c r="F946" s="256"/>
      <c r="G946" s="256"/>
      <c r="H946" s="256"/>
      <c r="I946" s="256"/>
      <c r="J946" s="256"/>
      <c r="K946" s="256"/>
      <c r="L946" s="256"/>
      <c r="M946" s="256"/>
      <c r="N946" s="256"/>
      <c r="O946" s="256"/>
      <c r="P946" s="256"/>
      <c r="Q946" s="256"/>
      <c r="R946" s="256"/>
      <c r="S946" s="256"/>
      <c r="T946" s="256"/>
      <c r="U946" s="256"/>
      <c r="V946" s="256"/>
      <c r="W946" s="256"/>
      <c r="X946" s="256"/>
      <c r="Y946" s="256"/>
      <c r="Z946" s="256"/>
    </row>
    <row r="947">
      <c r="A947" s="256"/>
      <c r="B947" s="256"/>
      <c r="C947" s="256"/>
      <c r="D947" s="256"/>
      <c r="E947" s="256"/>
      <c r="F947" s="256"/>
      <c r="G947" s="256"/>
      <c r="H947" s="256"/>
      <c r="I947" s="256"/>
      <c r="J947" s="256"/>
      <c r="K947" s="256"/>
      <c r="L947" s="256"/>
      <c r="M947" s="256"/>
      <c r="N947" s="256"/>
      <c r="O947" s="256"/>
      <c r="P947" s="256"/>
      <c r="Q947" s="256"/>
      <c r="R947" s="256"/>
      <c r="S947" s="256"/>
      <c r="T947" s="256"/>
      <c r="U947" s="256"/>
      <c r="V947" s="256"/>
      <c r="W947" s="256"/>
      <c r="X947" s="256"/>
      <c r="Y947" s="256"/>
      <c r="Z947" s="256"/>
    </row>
    <row r="948">
      <c r="A948" s="256"/>
      <c r="B948" s="256"/>
      <c r="C948" s="256"/>
      <c r="D948" s="256"/>
      <c r="E948" s="256"/>
      <c r="F948" s="256"/>
      <c r="G948" s="256"/>
      <c r="H948" s="256"/>
      <c r="I948" s="256"/>
      <c r="J948" s="256"/>
      <c r="K948" s="256"/>
      <c r="L948" s="256"/>
      <c r="M948" s="256"/>
      <c r="N948" s="256"/>
      <c r="O948" s="256"/>
      <c r="P948" s="256"/>
      <c r="Q948" s="256"/>
      <c r="R948" s="256"/>
      <c r="S948" s="256"/>
      <c r="T948" s="256"/>
      <c r="U948" s="256"/>
      <c r="V948" s="256"/>
      <c r="W948" s="256"/>
      <c r="X948" s="256"/>
      <c r="Y948" s="256"/>
      <c r="Z948" s="256"/>
    </row>
    <row r="949">
      <c r="A949" s="256"/>
      <c r="B949" s="256"/>
      <c r="C949" s="256"/>
      <c r="D949" s="256"/>
      <c r="E949" s="256"/>
      <c r="F949" s="256"/>
      <c r="G949" s="256"/>
      <c r="H949" s="256"/>
      <c r="I949" s="256"/>
      <c r="J949" s="256"/>
      <c r="K949" s="256"/>
      <c r="L949" s="256"/>
      <c r="M949" s="256"/>
      <c r="N949" s="256"/>
      <c r="O949" s="256"/>
      <c r="P949" s="256"/>
      <c r="Q949" s="256"/>
      <c r="R949" s="256"/>
      <c r="S949" s="256"/>
      <c r="T949" s="256"/>
      <c r="U949" s="256"/>
      <c r="V949" s="256"/>
      <c r="W949" s="256"/>
      <c r="X949" s="256"/>
      <c r="Y949" s="256"/>
      <c r="Z949" s="256"/>
    </row>
    <row r="950">
      <c r="A950" s="256"/>
      <c r="B950" s="256"/>
      <c r="C950" s="256"/>
      <c r="D950" s="256"/>
      <c r="E950" s="256"/>
      <c r="F950" s="256"/>
      <c r="G950" s="256"/>
      <c r="H950" s="256"/>
      <c r="I950" s="256"/>
      <c r="J950" s="256"/>
      <c r="K950" s="256"/>
      <c r="L950" s="256"/>
      <c r="M950" s="256"/>
      <c r="N950" s="256"/>
      <c r="O950" s="256"/>
      <c r="P950" s="256"/>
      <c r="Q950" s="256"/>
      <c r="R950" s="256"/>
      <c r="S950" s="256"/>
      <c r="T950" s="256"/>
      <c r="U950" s="256"/>
      <c r="V950" s="256"/>
      <c r="W950" s="256"/>
      <c r="X950" s="256"/>
      <c r="Y950" s="256"/>
      <c r="Z950" s="256"/>
    </row>
    <row r="951">
      <c r="A951" s="256"/>
      <c r="B951" s="256"/>
      <c r="C951" s="256"/>
      <c r="D951" s="256"/>
      <c r="E951" s="256"/>
      <c r="F951" s="256"/>
      <c r="G951" s="256"/>
      <c r="H951" s="256"/>
      <c r="I951" s="256"/>
      <c r="J951" s="256"/>
      <c r="K951" s="256"/>
      <c r="L951" s="256"/>
      <c r="M951" s="256"/>
      <c r="N951" s="256"/>
      <c r="O951" s="256"/>
      <c r="P951" s="256"/>
      <c r="Q951" s="256"/>
      <c r="R951" s="256"/>
      <c r="S951" s="256"/>
      <c r="T951" s="256"/>
      <c r="U951" s="256"/>
      <c r="V951" s="256"/>
      <c r="W951" s="256"/>
      <c r="X951" s="256"/>
      <c r="Y951" s="256"/>
      <c r="Z951" s="256"/>
    </row>
    <row r="952">
      <c r="A952" s="256"/>
      <c r="B952" s="256"/>
      <c r="C952" s="256"/>
      <c r="D952" s="256"/>
      <c r="E952" s="256"/>
      <c r="F952" s="256"/>
      <c r="G952" s="256"/>
      <c r="H952" s="256"/>
      <c r="I952" s="256"/>
      <c r="J952" s="256"/>
      <c r="K952" s="256"/>
      <c r="L952" s="256"/>
      <c r="M952" s="256"/>
      <c r="N952" s="256"/>
      <c r="O952" s="256"/>
      <c r="P952" s="256"/>
      <c r="Q952" s="256"/>
      <c r="R952" s="256"/>
      <c r="S952" s="256"/>
      <c r="T952" s="256"/>
      <c r="U952" s="256"/>
      <c r="V952" s="256"/>
      <c r="W952" s="256"/>
      <c r="X952" s="256"/>
      <c r="Y952" s="256"/>
      <c r="Z952" s="256"/>
    </row>
    <row r="953">
      <c r="A953" s="256"/>
      <c r="B953" s="256"/>
      <c r="C953" s="256"/>
      <c r="D953" s="256"/>
      <c r="E953" s="256"/>
      <c r="F953" s="256"/>
      <c r="G953" s="256"/>
      <c r="H953" s="256"/>
      <c r="I953" s="256"/>
      <c r="J953" s="256"/>
      <c r="K953" s="256"/>
      <c r="L953" s="256"/>
      <c r="M953" s="256"/>
      <c r="N953" s="256"/>
      <c r="O953" s="256"/>
      <c r="P953" s="256"/>
      <c r="Q953" s="256"/>
      <c r="R953" s="256"/>
      <c r="S953" s="256"/>
      <c r="T953" s="256"/>
      <c r="U953" s="256"/>
      <c r="V953" s="256"/>
      <c r="W953" s="256"/>
      <c r="X953" s="256"/>
      <c r="Y953" s="256"/>
      <c r="Z953" s="256"/>
    </row>
    <row r="954">
      <c r="A954" s="256"/>
      <c r="B954" s="256"/>
      <c r="C954" s="256"/>
      <c r="D954" s="256"/>
      <c r="E954" s="256"/>
      <c r="F954" s="256"/>
      <c r="G954" s="256"/>
      <c r="H954" s="256"/>
      <c r="I954" s="256"/>
      <c r="J954" s="256"/>
      <c r="K954" s="256"/>
      <c r="L954" s="256"/>
      <c r="M954" s="256"/>
      <c r="N954" s="256"/>
      <c r="O954" s="256"/>
      <c r="P954" s="256"/>
      <c r="Q954" s="256"/>
      <c r="R954" s="256"/>
      <c r="S954" s="256"/>
      <c r="T954" s="256"/>
      <c r="U954" s="256"/>
      <c r="V954" s="256"/>
      <c r="W954" s="256"/>
      <c r="X954" s="256"/>
      <c r="Y954" s="256"/>
      <c r="Z954" s="256"/>
    </row>
    <row r="955">
      <c r="A955" s="256"/>
      <c r="B955" s="256"/>
      <c r="C955" s="256"/>
      <c r="D955" s="256"/>
      <c r="E955" s="256"/>
      <c r="F955" s="256"/>
      <c r="G955" s="256"/>
      <c r="H955" s="256"/>
      <c r="I955" s="256"/>
      <c r="J955" s="256"/>
      <c r="K955" s="256"/>
      <c r="L955" s="256"/>
      <c r="M955" s="256"/>
      <c r="N955" s="256"/>
      <c r="O955" s="256"/>
      <c r="P955" s="256"/>
      <c r="Q955" s="256"/>
      <c r="R955" s="256"/>
      <c r="S955" s="256"/>
      <c r="T955" s="256"/>
      <c r="U955" s="256"/>
      <c r="V955" s="256"/>
      <c r="W955" s="256"/>
      <c r="X955" s="256"/>
      <c r="Y955" s="256"/>
      <c r="Z955" s="256"/>
    </row>
    <row r="956">
      <c r="A956" s="256"/>
      <c r="B956" s="256"/>
      <c r="C956" s="256"/>
      <c r="D956" s="256"/>
      <c r="E956" s="256"/>
      <c r="F956" s="256"/>
      <c r="G956" s="256"/>
      <c r="H956" s="256"/>
      <c r="I956" s="256"/>
      <c r="J956" s="256"/>
      <c r="K956" s="256"/>
      <c r="L956" s="256"/>
      <c r="M956" s="256"/>
      <c r="N956" s="256"/>
      <c r="O956" s="256"/>
      <c r="P956" s="256"/>
      <c r="Q956" s="256"/>
      <c r="R956" s="256"/>
      <c r="S956" s="256"/>
      <c r="T956" s="256"/>
      <c r="U956" s="256"/>
      <c r="V956" s="256"/>
      <c r="W956" s="256"/>
      <c r="X956" s="256"/>
      <c r="Y956" s="256"/>
      <c r="Z956" s="256"/>
    </row>
    <row r="957">
      <c r="A957" s="256"/>
      <c r="B957" s="256"/>
      <c r="C957" s="256"/>
      <c r="D957" s="256"/>
      <c r="E957" s="256"/>
      <c r="F957" s="256"/>
      <c r="G957" s="256"/>
      <c r="H957" s="256"/>
      <c r="I957" s="256"/>
      <c r="J957" s="256"/>
      <c r="K957" s="256"/>
      <c r="L957" s="256"/>
      <c r="M957" s="256"/>
      <c r="N957" s="256"/>
      <c r="O957" s="256"/>
      <c r="P957" s="256"/>
      <c r="Q957" s="256"/>
      <c r="R957" s="256"/>
      <c r="S957" s="256"/>
      <c r="T957" s="256"/>
      <c r="U957" s="256"/>
      <c r="V957" s="256"/>
      <c r="W957" s="256"/>
      <c r="X957" s="256"/>
      <c r="Y957" s="256"/>
      <c r="Z957" s="256"/>
    </row>
    <row r="958">
      <c r="A958" s="256"/>
      <c r="B958" s="256"/>
      <c r="C958" s="256"/>
      <c r="D958" s="256"/>
      <c r="E958" s="256"/>
      <c r="F958" s="256"/>
      <c r="G958" s="256"/>
      <c r="H958" s="256"/>
      <c r="I958" s="256"/>
      <c r="J958" s="256"/>
      <c r="K958" s="256"/>
      <c r="L958" s="256"/>
      <c r="M958" s="256"/>
      <c r="N958" s="256"/>
      <c r="O958" s="256"/>
      <c r="P958" s="256"/>
      <c r="Q958" s="256"/>
      <c r="R958" s="256"/>
      <c r="S958" s="256"/>
      <c r="T958" s="256"/>
      <c r="U958" s="256"/>
      <c r="V958" s="256"/>
      <c r="W958" s="256"/>
      <c r="X958" s="256"/>
      <c r="Y958" s="256"/>
      <c r="Z958" s="256"/>
    </row>
    <row r="959">
      <c r="A959" s="256"/>
      <c r="B959" s="256"/>
      <c r="C959" s="256"/>
      <c r="D959" s="256"/>
      <c r="E959" s="256"/>
      <c r="F959" s="256"/>
      <c r="G959" s="256"/>
      <c r="H959" s="256"/>
      <c r="I959" s="256"/>
      <c r="J959" s="256"/>
      <c r="K959" s="256"/>
      <c r="L959" s="256"/>
      <c r="M959" s="256"/>
      <c r="N959" s="256"/>
      <c r="O959" s="256"/>
      <c r="P959" s="256"/>
      <c r="Q959" s="256"/>
      <c r="R959" s="256"/>
      <c r="S959" s="256"/>
      <c r="T959" s="256"/>
      <c r="U959" s="256"/>
      <c r="V959" s="256"/>
      <c r="W959" s="256"/>
      <c r="X959" s="256"/>
      <c r="Y959" s="256"/>
      <c r="Z959" s="256"/>
    </row>
    <row r="960">
      <c r="A960" s="256"/>
      <c r="B960" s="256"/>
      <c r="C960" s="256"/>
      <c r="D960" s="256"/>
      <c r="E960" s="256"/>
      <c r="F960" s="256"/>
      <c r="G960" s="256"/>
      <c r="H960" s="256"/>
      <c r="I960" s="256"/>
      <c r="J960" s="256"/>
      <c r="K960" s="256"/>
      <c r="L960" s="256"/>
      <c r="M960" s="256"/>
      <c r="N960" s="256"/>
      <c r="O960" s="256"/>
      <c r="P960" s="256"/>
      <c r="Q960" s="256"/>
      <c r="R960" s="256"/>
      <c r="S960" s="256"/>
      <c r="T960" s="256"/>
      <c r="U960" s="256"/>
      <c r="V960" s="256"/>
      <c r="W960" s="256"/>
      <c r="X960" s="256"/>
      <c r="Y960" s="256"/>
      <c r="Z960" s="256"/>
    </row>
    <row r="961">
      <c r="A961" s="256"/>
      <c r="B961" s="256"/>
      <c r="C961" s="256"/>
      <c r="D961" s="256"/>
      <c r="E961" s="256"/>
      <c r="F961" s="256"/>
      <c r="G961" s="256"/>
      <c r="H961" s="256"/>
      <c r="I961" s="256"/>
      <c r="J961" s="256"/>
      <c r="K961" s="256"/>
      <c r="L961" s="256"/>
      <c r="M961" s="256"/>
      <c r="N961" s="256"/>
      <c r="O961" s="256"/>
      <c r="P961" s="256"/>
      <c r="Q961" s="256"/>
      <c r="R961" s="256"/>
      <c r="S961" s="256"/>
      <c r="T961" s="256"/>
      <c r="U961" s="256"/>
      <c r="V961" s="256"/>
      <c r="W961" s="256"/>
      <c r="X961" s="256"/>
      <c r="Y961" s="256"/>
      <c r="Z961" s="256"/>
    </row>
    <row r="962">
      <c r="A962" s="256"/>
      <c r="B962" s="256"/>
      <c r="C962" s="256"/>
      <c r="D962" s="256"/>
      <c r="E962" s="256"/>
      <c r="F962" s="256"/>
      <c r="G962" s="256"/>
      <c r="H962" s="256"/>
      <c r="I962" s="256"/>
      <c r="J962" s="256"/>
      <c r="K962" s="256"/>
      <c r="L962" s="256"/>
      <c r="M962" s="256"/>
      <c r="N962" s="256"/>
      <c r="O962" s="256"/>
      <c r="P962" s="256"/>
      <c r="Q962" s="256"/>
      <c r="R962" s="256"/>
      <c r="S962" s="256"/>
      <c r="T962" s="256"/>
      <c r="U962" s="256"/>
      <c r="V962" s="256"/>
      <c r="W962" s="256"/>
      <c r="X962" s="256"/>
      <c r="Y962" s="256"/>
      <c r="Z962" s="256"/>
    </row>
    <row r="963">
      <c r="A963" s="256"/>
      <c r="B963" s="256"/>
      <c r="C963" s="256"/>
      <c r="D963" s="256"/>
      <c r="E963" s="256"/>
      <c r="F963" s="256"/>
      <c r="G963" s="256"/>
      <c r="H963" s="256"/>
      <c r="I963" s="256"/>
      <c r="J963" s="256"/>
      <c r="K963" s="256"/>
      <c r="L963" s="256"/>
      <c r="M963" s="256"/>
      <c r="N963" s="256"/>
      <c r="O963" s="256"/>
      <c r="P963" s="256"/>
      <c r="Q963" s="256"/>
      <c r="R963" s="256"/>
      <c r="S963" s="256"/>
      <c r="T963" s="256"/>
      <c r="U963" s="256"/>
      <c r="V963" s="256"/>
      <c r="W963" s="256"/>
      <c r="X963" s="256"/>
      <c r="Y963" s="256"/>
      <c r="Z963" s="256"/>
    </row>
    <row r="964">
      <c r="A964" s="256"/>
      <c r="B964" s="256"/>
      <c r="C964" s="256"/>
      <c r="D964" s="256"/>
      <c r="E964" s="256"/>
      <c r="F964" s="256"/>
      <c r="G964" s="256"/>
      <c r="H964" s="256"/>
      <c r="I964" s="256"/>
      <c r="J964" s="256"/>
      <c r="K964" s="256"/>
      <c r="L964" s="256"/>
      <c r="M964" s="256"/>
      <c r="N964" s="256"/>
      <c r="O964" s="256"/>
      <c r="P964" s="256"/>
      <c r="Q964" s="256"/>
      <c r="R964" s="256"/>
      <c r="S964" s="256"/>
      <c r="T964" s="256"/>
      <c r="U964" s="256"/>
      <c r="V964" s="256"/>
      <c r="W964" s="256"/>
      <c r="X964" s="256"/>
      <c r="Y964" s="256"/>
      <c r="Z964" s="256"/>
    </row>
    <row r="965">
      <c r="A965" s="256"/>
      <c r="B965" s="256"/>
      <c r="C965" s="256"/>
      <c r="D965" s="256"/>
      <c r="E965" s="256"/>
      <c r="F965" s="256"/>
      <c r="G965" s="256"/>
      <c r="H965" s="256"/>
      <c r="I965" s="256"/>
      <c r="J965" s="256"/>
      <c r="K965" s="256"/>
      <c r="L965" s="256"/>
      <c r="M965" s="256"/>
      <c r="N965" s="256"/>
      <c r="O965" s="256"/>
      <c r="P965" s="256"/>
      <c r="Q965" s="256"/>
      <c r="R965" s="256"/>
      <c r="S965" s="256"/>
      <c r="T965" s="256"/>
      <c r="U965" s="256"/>
      <c r="V965" s="256"/>
      <c r="W965" s="256"/>
      <c r="X965" s="256"/>
      <c r="Y965" s="256"/>
      <c r="Z965" s="256"/>
    </row>
    <row r="966">
      <c r="A966" s="256"/>
      <c r="B966" s="256"/>
      <c r="C966" s="256"/>
      <c r="D966" s="256"/>
      <c r="E966" s="256"/>
      <c r="F966" s="256"/>
      <c r="G966" s="256"/>
      <c r="H966" s="256"/>
      <c r="I966" s="256"/>
      <c r="J966" s="256"/>
      <c r="K966" s="256"/>
      <c r="L966" s="256"/>
      <c r="M966" s="256"/>
      <c r="N966" s="256"/>
      <c r="O966" s="256"/>
      <c r="P966" s="256"/>
      <c r="Q966" s="256"/>
      <c r="R966" s="256"/>
      <c r="S966" s="256"/>
      <c r="T966" s="256"/>
      <c r="U966" s="256"/>
      <c r="V966" s="256"/>
      <c r="W966" s="256"/>
      <c r="X966" s="256"/>
      <c r="Y966" s="256"/>
      <c r="Z966" s="256"/>
    </row>
    <row r="967">
      <c r="A967" s="256"/>
      <c r="B967" s="256"/>
      <c r="C967" s="256"/>
      <c r="D967" s="256"/>
      <c r="E967" s="256"/>
      <c r="F967" s="256"/>
      <c r="G967" s="256"/>
      <c r="H967" s="256"/>
      <c r="I967" s="256"/>
      <c r="J967" s="256"/>
      <c r="K967" s="256"/>
      <c r="L967" s="256"/>
      <c r="M967" s="256"/>
      <c r="N967" s="256"/>
      <c r="O967" s="256"/>
      <c r="P967" s="256"/>
      <c r="Q967" s="256"/>
      <c r="R967" s="256"/>
      <c r="S967" s="256"/>
      <c r="T967" s="256"/>
      <c r="U967" s="256"/>
      <c r="V967" s="256"/>
      <c r="W967" s="256"/>
      <c r="X967" s="256"/>
      <c r="Y967" s="256"/>
      <c r="Z967" s="256"/>
    </row>
    <row r="968">
      <c r="A968" s="256"/>
      <c r="B968" s="256"/>
      <c r="C968" s="256"/>
      <c r="D968" s="256"/>
      <c r="E968" s="256"/>
      <c r="F968" s="256"/>
      <c r="G968" s="256"/>
      <c r="H968" s="256"/>
      <c r="I968" s="256"/>
      <c r="J968" s="256"/>
      <c r="K968" s="256"/>
      <c r="L968" s="256"/>
      <c r="M968" s="256"/>
      <c r="N968" s="256"/>
      <c r="O968" s="256"/>
      <c r="P968" s="256"/>
      <c r="Q968" s="256"/>
      <c r="R968" s="256"/>
      <c r="S968" s="256"/>
      <c r="T968" s="256"/>
      <c r="U968" s="256"/>
      <c r="V968" s="256"/>
      <c r="W968" s="256"/>
      <c r="X968" s="256"/>
      <c r="Y968" s="256"/>
      <c r="Z968" s="256"/>
    </row>
    <row r="969">
      <c r="A969" s="256"/>
      <c r="B969" s="256"/>
      <c r="C969" s="256"/>
      <c r="D969" s="256"/>
      <c r="E969" s="256"/>
      <c r="F969" s="256"/>
      <c r="G969" s="256"/>
      <c r="H969" s="256"/>
      <c r="I969" s="256"/>
      <c r="J969" s="256"/>
      <c r="K969" s="256"/>
      <c r="L969" s="256"/>
      <c r="M969" s="256"/>
      <c r="N969" s="256"/>
      <c r="O969" s="256"/>
      <c r="P969" s="256"/>
      <c r="Q969" s="256"/>
      <c r="R969" s="256"/>
      <c r="S969" s="256"/>
      <c r="T969" s="256"/>
      <c r="U969" s="256"/>
      <c r="V969" s="256"/>
      <c r="W969" s="256"/>
      <c r="X969" s="256"/>
      <c r="Y969" s="256"/>
      <c r="Z969" s="256"/>
    </row>
    <row r="970">
      <c r="A970" s="256"/>
      <c r="B970" s="256"/>
      <c r="C970" s="256"/>
      <c r="D970" s="256"/>
      <c r="E970" s="256"/>
      <c r="F970" s="256"/>
      <c r="G970" s="256"/>
      <c r="H970" s="256"/>
      <c r="I970" s="256"/>
      <c r="J970" s="256"/>
      <c r="K970" s="256"/>
      <c r="L970" s="256"/>
      <c r="M970" s="256"/>
      <c r="N970" s="256"/>
      <c r="O970" s="256"/>
      <c r="P970" s="256"/>
      <c r="Q970" s="256"/>
      <c r="R970" s="256"/>
      <c r="S970" s="256"/>
      <c r="T970" s="256"/>
      <c r="U970" s="256"/>
      <c r="V970" s="256"/>
      <c r="W970" s="256"/>
      <c r="X970" s="256"/>
      <c r="Y970" s="256"/>
      <c r="Z970" s="256"/>
    </row>
    <row r="971">
      <c r="A971" s="256"/>
      <c r="B971" s="256"/>
      <c r="C971" s="256"/>
      <c r="D971" s="256"/>
      <c r="E971" s="256"/>
      <c r="F971" s="256"/>
      <c r="G971" s="256"/>
      <c r="H971" s="256"/>
      <c r="I971" s="256"/>
      <c r="J971" s="256"/>
      <c r="K971" s="256"/>
      <c r="L971" s="256"/>
      <c r="M971" s="256"/>
      <c r="N971" s="256"/>
      <c r="O971" s="256"/>
      <c r="P971" s="256"/>
      <c r="Q971" s="256"/>
      <c r="R971" s="256"/>
      <c r="S971" s="256"/>
      <c r="T971" s="256"/>
      <c r="U971" s="256"/>
      <c r="V971" s="256"/>
      <c r="W971" s="256"/>
      <c r="X971" s="256"/>
      <c r="Y971" s="256"/>
      <c r="Z971" s="256"/>
    </row>
    <row r="972">
      <c r="A972" s="256"/>
      <c r="B972" s="256"/>
      <c r="C972" s="256"/>
      <c r="D972" s="256"/>
      <c r="E972" s="256"/>
      <c r="F972" s="256"/>
      <c r="G972" s="256"/>
      <c r="H972" s="256"/>
      <c r="I972" s="256"/>
      <c r="J972" s="256"/>
      <c r="K972" s="256"/>
      <c r="L972" s="256"/>
      <c r="M972" s="256"/>
      <c r="N972" s="256"/>
      <c r="O972" s="256"/>
      <c r="P972" s="256"/>
      <c r="Q972" s="256"/>
      <c r="R972" s="256"/>
      <c r="S972" s="256"/>
      <c r="T972" s="256"/>
      <c r="U972" s="256"/>
      <c r="V972" s="256"/>
      <c r="W972" s="256"/>
      <c r="X972" s="256"/>
      <c r="Y972" s="256"/>
      <c r="Z972" s="256"/>
    </row>
    <row r="973">
      <c r="A973" s="256"/>
      <c r="B973" s="256"/>
      <c r="C973" s="256"/>
      <c r="D973" s="256"/>
      <c r="E973" s="256"/>
      <c r="F973" s="256"/>
      <c r="G973" s="256"/>
      <c r="H973" s="256"/>
      <c r="I973" s="256"/>
      <c r="J973" s="256"/>
      <c r="K973" s="256"/>
      <c r="L973" s="256"/>
      <c r="M973" s="256"/>
      <c r="N973" s="256"/>
      <c r="O973" s="256"/>
      <c r="P973" s="256"/>
      <c r="Q973" s="256"/>
      <c r="R973" s="256"/>
      <c r="S973" s="256"/>
      <c r="T973" s="256"/>
      <c r="U973" s="256"/>
      <c r="V973" s="256"/>
      <c r="W973" s="256"/>
      <c r="X973" s="256"/>
      <c r="Y973" s="256"/>
      <c r="Z973" s="256"/>
    </row>
    <row r="974">
      <c r="A974" s="256"/>
      <c r="B974" s="256"/>
      <c r="C974" s="256"/>
      <c r="D974" s="256"/>
      <c r="E974" s="256"/>
      <c r="F974" s="256"/>
      <c r="G974" s="256"/>
      <c r="H974" s="256"/>
      <c r="I974" s="256"/>
      <c r="J974" s="256"/>
      <c r="K974" s="256"/>
      <c r="L974" s="256"/>
      <c r="M974" s="256"/>
      <c r="N974" s="256"/>
      <c r="O974" s="256"/>
      <c r="P974" s="256"/>
      <c r="Q974" s="256"/>
      <c r="R974" s="256"/>
      <c r="S974" s="256"/>
      <c r="T974" s="256"/>
      <c r="U974" s="256"/>
      <c r="V974" s="256"/>
      <c r="W974" s="256"/>
      <c r="X974" s="256"/>
      <c r="Y974" s="256"/>
      <c r="Z974" s="256"/>
    </row>
    <row r="975">
      <c r="A975" s="256"/>
      <c r="B975" s="256"/>
      <c r="C975" s="256"/>
      <c r="D975" s="256"/>
      <c r="E975" s="256"/>
      <c r="F975" s="256"/>
      <c r="G975" s="256"/>
      <c r="H975" s="256"/>
      <c r="I975" s="256"/>
      <c r="J975" s="256"/>
      <c r="K975" s="256"/>
      <c r="L975" s="256"/>
      <c r="M975" s="256"/>
      <c r="N975" s="256"/>
      <c r="O975" s="256"/>
      <c r="P975" s="256"/>
      <c r="Q975" s="256"/>
      <c r="R975" s="256"/>
      <c r="S975" s="256"/>
      <c r="T975" s="256"/>
      <c r="U975" s="256"/>
      <c r="V975" s="256"/>
      <c r="W975" s="256"/>
      <c r="X975" s="256"/>
      <c r="Y975" s="256"/>
      <c r="Z975" s="256"/>
    </row>
    <row r="976">
      <c r="A976" s="256"/>
      <c r="B976" s="256"/>
      <c r="C976" s="256"/>
      <c r="D976" s="256"/>
      <c r="E976" s="256"/>
      <c r="F976" s="256"/>
      <c r="G976" s="256"/>
      <c r="H976" s="256"/>
      <c r="I976" s="256"/>
      <c r="J976" s="256"/>
      <c r="K976" s="256"/>
      <c r="L976" s="256"/>
      <c r="M976" s="256"/>
      <c r="N976" s="256"/>
      <c r="O976" s="256"/>
      <c r="P976" s="256"/>
      <c r="Q976" s="256"/>
      <c r="R976" s="256"/>
      <c r="S976" s="256"/>
      <c r="T976" s="256"/>
      <c r="U976" s="256"/>
      <c r="V976" s="256"/>
      <c r="W976" s="256"/>
      <c r="X976" s="256"/>
      <c r="Y976" s="256"/>
      <c r="Z976" s="256"/>
    </row>
    <row r="977">
      <c r="A977" s="256"/>
      <c r="B977" s="256"/>
      <c r="C977" s="256"/>
      <c r="D977" s="256"/>
      <c r="E977" s="256"/>
      <c r="F977" s="256"/>
      <c r="G977" s="256"/>
      <c r="H977" s="256"/>
      <c r="I977" s="256"/>
      <c r="J977" s="256"/>
      <c r="K977" s="256"/>
      <c r="L977" s="256"/>
      <c r="M977" s="256"/>
      <c r="N977" s="256"/>
      <c r="O977" s="256"/>
      <c r="P977" s="256"/>
      <c r="Q977" s="256"/>
      <c r="R977" s="256"/>
      <c r="S977" s="256"/>
      <c r="T977" s="256"/>
      <c r="U977" s="256"/>
      <c r="V977" s="256"/>
      <c r="W977" s="256"/>
      <c r="X977" s="256"/>
      <c r="Y977" s="256"/>
      <c r="Z977" s="256"/>
    </row>
    <row r="978">
      <c r="A978" s="256"/>
      <c r="B978" s="256"/>
      <c r="C978" s="256"/>
      <c r="D978" s="256"/>
      <c r="E978" s="256"/>
      <c r="F978" s="256"/>
      <c r="G978" s="256"/>
      <c r="H978" s="256"/>
      <c r="I978" s="256"/>
      <c r="J978" s="256"/>
      <c r="K978" s="256"/>
      <c r="L978" s="256"/>
      <c r="M978" s="256"/>
      <c r="N978" s="256"/>
      <c r="O978" s="256"/>
      <c r="P978" s="256"/>
      <c r="Q978" s="256"/>
      <c r="R978" s="256"/>
      <c r="S978" s="256"/>
      <c r="T978" s="256"/>
      <c r="U978" s="256"/>
      <c r="V978" s="256"/>
      <c r="W978" s="256"/>
      <c r="X978" s="256"/>
      <c r="Y978" s="256"/>
      <c r="Z978" s="256"/>
    </row>
    <row r="979">
      <c r="A979" s="256"/>
      <c r="B979" s="256"/>
      <c r="C979" s="256"/>
      <c r="D979" s="256"/>
      <c r="E979" s="256"/>
      <c r="F979" s="256"/>
      <c r="G979" s="256"/>
      <c r="H979" s="256"/>
      <c r="I979" s="256"/>
      <c r="J979" s="256"/>
      <c r="K979" s="256"/>
      <c r="L979" s="256"/>
      <c r="M979" s="256"/>
      <c r="N979" s="256"/>
      <c r="O979" s="256"/>
      <c r="P979" s="256"/>
      <c r="Q979" s="256"/>
      <c r="R979" s="256"/>
      <c r="S979" s="256"/>
      <c r="T979" s="256"/>
      <c r="U979" s="256"/>
      <c r="V979" s="256"/>
      <c r="W979" s="256"/>
      <c r="X979" s="256"/>
      <c r="Y979" s="256"/>
      <c r="Z979" s="256"/>
    </row>
    <row r="980">
      <c r="A980" s="256"/>
      <c r="B980" s="256"/>
      <c r="C980" s="256"/>
      <c r="D980" s="256"/>
      <c r="E980" s="256"/>
      <c r="F980" s="256"/>
      <c r="G980" s="256"/>
      <c r="H980" s="256"/>
      <c r="I980" s="256"/>
      <c r="J980" s="256"/>
      <c r="K980" s="256"/>
      <c r="L980" s="256"/>
      <c r="M980" s="256"/>
      <c r="N980" s="256"/>
      <c r="O980" s="256"/>
      <c r="P980" s="256"/>
      <c r="Q980" s="256"/>
      <c r="R980" s="256"/>
      <c r="S980" s="256"/>
      <c r="T980" s="256"/>
      <c r="U980" s="256"/>
      <c r="V980" s="256"/>
      <c r="W980" s="256"/>
      <c r="X980" s="256"/>
      <c r="Y980" s="256"/>
      <c r="Z980" s="256"/>
    </row>
    <row r="981">
      <c r="A981" s="256"/>
      <c r="B981" s="256"/>
      <c r="C981" s="256"/>
      <c r="D981" s="256"/>
      <c r="E981" s="256"/>
      <c r="F981" s="256"/>
      <c r="G981" s="256"/>
      <c r="H981" s="256"/>
      <c r="I981" s="256"/>
      <c r="J981" s="256"/>
      <c r="K981" s="256"/>
      <c r="L981" s="256"/>
      <c r="M981" s="256"/>
      <c r="N981" s="256"/>
      <c r="O981" s="256"/>
      <c r="P981" s="256"/>
      <c r="Q981" s="256"/>
      <c r="R981" s="256"/>
      <c r="S981" s="256"/>
      <c r="T981" s="256"/>
      <c r="U981" s="256"/>
      <c r="V981" s="256"/>
      <c r="W981" s="256"/>
      <c r="X981" s="256"/>
      <c r="Y981" s="256"/>
      <c r="Z981" s="256"/>
    </row>
    <row r="982">
      <c r="A982" s="256"/>
      <c r="B982" s="256"/>
      <c r="C982" s="256"/>
      <c r="D982" s="256"/>
      <c r="E982" s="256"/>
      <c r="F982" s="256"/>
      <c r="G982" s="256"/>
      <c r="H982" s="256"/>
      <c r="I982" s="256"/>
      <c r="J982" s="256"/>
      <c r="K982" s="256"/>
      <c r="L982" s="256"/>
      <c r="M982" s="256"/>
      <c r="N982" s="256"/>
      <c r="O982" s="256"/>
      <c r="P982" s="256"/>
      <c r="Q982" s="256"/>
      <c r="R982" s="256"/>
      <c r="S982" s="256"/>
      <c r="T982" s="256"/>
      <c r="U982" s="256"/>
      <c r="V982" s="256"/>
      <c r="W982" s="256"/>
      <c r="X982" s="256"/>
      <c r="Y982" s="256"/>
      <c r="Z982" s="256"/>
    </row>
    <row r="983">
      <c r="A983" s="256"/>
      <c r="B983" s="256"/>
      <c r="C983" s="256"/>
      <c r="D983" s="256"/>
      <c r="E983" s="256"/>
      <c r="F983" s="256"/>
      <c r="G983" s="256"/>
      <c r="H983" s="256"/>
      <c r="I983" s="256"/>
      <c r="J983" s="256"/>
      <c r="K983" s="256"/>
      <c r="L983" s="256"/>
      <c r="M983" s="256"/>
      <c r="N983" s="256"/>
      <c r="O983" s="256"/>
      <c r="P983" s="256"/>
      <c r="Q983" s="256"/>
      <c r="R983" s="256"/>
      <c r="S983" s="256"/>
      <c r="T983" s="256"/>
      <c r="U983" s="256"/>
      <c r="V983" s="256"/>
      <c r="W983" s="256"/>
      <c r="X983" s="256"/>
      <c r="Y983" s="256"/>
      <c r="Z983" s="256"/>
    </row>
    <row r="984">
      <c r="A984" s="256"/>
      <c r="B984" s="256"/>
      <c r="C984" s="256"/>
      <c r="D984" s="256"/>
      <c r="E984" s="256"/>
      <c r="F984" s="256"/>
      <c r="G984" s="256"/>
      <c r="H984" s="256"/>
      <c r="I984" s="256"/>
      <c r="J984" s="256"/>
      <c r="K984" s="256"/>
      <c r="L984" s="256"/>
      <c r="M984" s="256"/>
      <c r="N984" s="256"/>
      <c r="O984" s="256"/>
      <c r="P984" s="256"/>
      <c r="Q984" s="256"/>
      <c r="R984" s="256"/>
      <c r="S984" s="256"/>
      <c r="T984" s="256"/>
      <c r="U984" s="256"/>
      <c r="V984" s="256"/>
      <c r="W984" s="256"/>
      <c r="X984" s="256"/>
      <c r="Y984" s="256"/>
      <c r="Z984" s="256"/>
    </row>
    <row r="985">
      <c r="A985" s="256"/>
      <c r="B985" s="256"/>
      <c r="C985" s="256"/>
      <c r="D985" s="256"/>
      <c r="E985" s="256"/>
      <c r="F985" s="256"/>
      <c r="G985" s="256"/>
      <c r="H985" s="256"/>
      <c r="I985" s="256"/>
      <c r="J985" s="256"/>
      <c r="K985" s="256"/>
      <c r="L985" s="256"/>
      <c r="M985" s="256"/>
      <c r="N985" s="256"/>
      <c r="O985" s="256"/>
      <c r="P985" s="256"/>
      <c r="Q985" s="256"/>
      <c r="R985" s="256"/>
      <c r="S985" s="256"/>
      <c r="T985" s="256"/>
      <c r="U985" s="256"/>
      <c r="V985" s="256"/>
      <c r="W985" s="256"/>
      <c r="X985" s="256"/>
      <c r="Y985" s="256"/>
      <c r="Z985" s="256"/>
    </row>
    <row r="986">
      <c r="A986" s="256"/>
      <c r="B986" s="256"/>
      <c r="C986" s="256"/>
      <c r="D986" s="256"/>
      <c r="E986" s="256"/>
      <c r="F986" s="256"/>
      <c r="G986" s="256"/>
      <c r="H986" s="256"/>
      <c r="I986" s="256"/>
      <c r="J986" s="256"/>
      <c r="K986" s="256"/>
      <c r="L986" s="256"/>
      <c r="M986" s="256"/>
      <c r="N986" s="256"/>
      <c r="O986" s="256"/>
      <c r="P986" s="256"/>
      <c r="Q986" s="256"/>
      <c r="R986" s="256"/>
      <c r="S986" s="256"/>
      <c r="T986" s="256"/>
      <c r="U986" s="256"/>
      <c r="V986" s="256"/>
      <c r="W986" s="256"/>
      <c r="X986" s="256"/>
      <c r="Y986" s="256"/>
      <c r="Z986" s="256"/>
    </row>
    <row r="987">
      <c r="A987" s="256"/>
      <c r="B987" s="256"/>
      <c r="C987" s="256"/>
      <c r="D987" s="256"/>
      <c r="E987" s="256"/>
      <c r="F987" s="256"/>
      <c r="G987" s="256"/>
      <c r="H987" s="256"/>
      <c r="I987" s="256"/>
      <c r="J987" s="256"/>
      <c r="K987" s="256"/>
      <c r="L987" s="256"/>
      <c r="M987" s="256"/>
      <c r="N987" s="256"/>
      <c r="O987" s="256"/>
      <c r="P987" s="256"/>
      <c r="Q987" s="256"/>
      <c r="R987" s="256"/>
      <c r="S987" s="256"/>
      <c r="T987" s="256"/>
      <c r="U987" s="256"/>
      <c r="V987" s="256"/>
      <c r="W987" s="256"/>
      <c r="X987" s="256"/>
      <c r="Y987" s="256"/>
      <c r="Z987" s="256"/>
    </row>
    <row r="988">
      <c r="A988" s="256"/>
      <c r="B988" s="256"/>
      <c r="C988" s="256"/>
      <c r="D988" s="256"/>
      <c r="E988" s="256"/>
      <c r="F988" s="256"/>
      <c r="G988" s="256"/>
      <c r="H988" s="256"/>
      <c r="I988" s="256"/>
      <c r="J988" s="256"/>
      <c r="K988" s="256"/>
      <c r="L988" s="256"/>
      <c r="M988" s="256"/>
      <c r="N988" s="256"/>
      <c r="O988" s="256"/>
      <c r="P988" s="256"/>
      <c r="Q988" s="256"/>
      <c r="R988" s="256"/>
      <c r="S988" s="256"/>
      <c r="T988" s="256"/>
      <c r="U988" s="256"/>
      <c r="V988" s="256"/>
      <c r="W988" s="256"/>
      <c r="X988" s="256"/>
      <c r="Y988" s="256"/>
      <c r="Z988" s="256"/>
    </row>
    <row r="989">
      <c r="A989" s="256"/>
      <c r="B989" s="256"/>
      <c r="C989" s="256"/>
      <c r="D989" s="256"/>
      <c r="E989" s="256"/>
      <c r="F989" s="256"/>
      <c r="G989" s="256"/>
      <c r="H989" s="256"/>
      <c r="I989" s="256"/>
      <c r="J989" s="256"/>
      <c r="K989" s="256"/>
      <c r="L989" s="256"/>
      <c r="M989" s="256"/>
      <c r="N989" s="256"/>
      <c r="O989" s="256"/>
      <c r="P989" s="256"/>
      <c r="Q989" s="256"/>
      <c r="R989" s="256"/>
      <c r="S989" s="256"/>
      <c r="T989" s="256"/>
      <c r="U989" s="256"/>
      <c r="V989" s="256"/>
      <c r="W989" s="256"/>
      <c r="X989" s="256"/>
      <c r="Y989" s="256"/>
      <c r="Z989" s="256"/>
    </row>
    <row r="990">
      <c r="A990" s="256"/>
      <c r="B990" s="256"/>
      <c r="C990" s="256"/>
      <c r="D990" s="256"/>
      <c r="E990" s="256"/>
      <c r="F990" s="256"/>
      <c r="G990" s="256"/>
      <c r="H990" s="256"/>
      <c r="I990" s="256"/>
      <c r="J990" s="256"/>
      <c r="K990" s="256"/>
      <c r="L990" s="256"/>
      <c r="M990" s="256"/>
      <c r="N990" s="256"/>
      <c r="O990" s="256"/>
      <c r="P990" s="256"/>
      <c r="Q990" s="256"/>
      <c r="R990" s="256"/>
      <c r="S990" s="256"/>
      <c r="T990" s="256"/>
      <c r="U990" s="256"/>
      <c r="V990" s="256"/>
      <c r="W990" s="256"/>
      <c r="X990" s="256"/>
      <c r="Y990" s="256"/>
      <c r="Z990" s="256"/>
    </row>
    <row r="991">
      <c r="A991" s="256"/>
      <c r="B991" s="256"/>
      <c r="C991" s="256"/>
      <c r="D991" s="256"/>
      <c r="E991" s="256"/>
      <c r="F991" s="256"/>
      <c r="G991" s="256"/>
      <c r="H991" s="256"/>
      <c r="I991" s="256"/>
      <c r="J991" s="256"/>
      <c r="K991" s="256"/>
      <c r="L991" s="256"/>
      <c r="M991" s="256"/>
      <c r="N991" s="256"/>
      <c r="O991" s="256"/>
      <c r="P991" s="256"/>
      <c r="Q991" s="256"/>
      <c r="R991" s="256"/>
      <c r="S991" s="256"/>
      <c r="T991" s="256"/>
      <c r="U991" s="256"/>
      <c r="V991" s="256"/>
      <c r="W991" s="256"/>
      <c r="X991" s="256"/>
      <c r="Y991" s="256"/>
      <c r="Z991" s="256"/>
    </row>
    <row r="992">
      <c r="A992" s="256"/>
      <c r="B992" s="256"/>
      <c r="C992" s="256"/>
      <c r="D992" s="256"/>
      <c r="E992" s="256"/>
      <c r="F992" s="256"/>
      <c r="G992" s="256"/>
      <c r="H992" s="256"/>
      <c r="I992" s="256"/>
      <c r="J992" s="256"/>
      <c r="K992" s="256"/>
      <c r="L992" s="256"/>
      <c r="M992" s="256"/>
      <c r="N992" s="256"/>
      <c r="O992" s="256"/>
      <c r="P992" s="256"/>
      <c r="Q992" s="256"/>
      <c r="R992" s="256"/>
      <c r="S992" s="256"/>
      <c r="T992" s="256"/>
      <c r="U992" s="256"/>
      <c r="V992" s="256"/>
      <c r="W992" s="256"/>
      <c r="X992" s="256"/>
      <c r="Y992" s="256"/>
      <c r="Z992" s="256"/>
    </row>
    <row r="993">
      <c r="A993" s="256"/>
      <c r="B993" s="256"/>
      <c r="C993" s="256"/>
      <c r="D993" s="256"/>
      <c r="E993" s="256"/>
      <c r="F993" s="256"/>
      <c r="G993" s="256"/>
      <c r="H993" s="256"/>
      <c r="I993" s="256"/>
      <c r="J993" s="256"/>
      <c r="K993" s="256"/>
      <c r="L993" s="256"/>
      <c r="M993" s="256"/>
      <c r="N993" s="256"/>
      <c r="O993" s="256"/>
      <c r="P993" s="256"/>
      <c r="Q993" s="256"/>
      <c r="R993" s="256"/>
      <c r="S993" s="256"/>
      <c r="T993" s="256"/>
      <c r="U993" s="256"/>
      <c r="V993" s="256"/>
      <c r="W993" s="256"/>
      <c r="X993" s="256"/>
      <c r="Y993" s="256"/>
      <c r="Z993" s="256"/>
    </row>
    <row r="994">
      <c r="A994" s="256"/>
      <c r="B994" s="256"/>
      <c r="C994" s="256"/>
      <c r="D994" s="256"/>
      <c r="E994" s="256"/>
      <c r="F994" s="256"/>
      <c r="G994" s="256"/>
      <c r="H994" s="256"/>
      <c r="I994" s="256"/>
      <c r="J994" s="256"/>
      <c r="K994" s="256"/>
      <c r="L994" s="256"/>
      <c r="M994" s="256"/>
      <c r="N994" s="256"/>
      <c r="O994" s="256"/>
      <c r="P994" s="256"/>
      <c r="Q994" s="256"/>
      <c r="R994" s="256"/>
      <c r="S994" s="256"/>
      <c r="T994" s="256"/>
      <c r="U994" s="256"/>
      <c r="V994" s="256"/>
      <c r="W994" s="256"/>
      <c r="X994" s="256"/>
      <c r="Y994" s="256"/>
      <c r="Z994" s="256"/>
    </row>
    <row r="995">
      <c r="A995" s="256"/>
      <c r="B995" s="256"/>
      <c r="C995" s="256"/>
      <c r="D995" s="256"/>
      <c r="E995" s="256"/>
      <c r="F995" s="256"/>
      <c r="G995" s="256"/>
      <c r="H995" s="256"/>
      <c r="I995" s="256"/>
      <c r="J995" s="256"/>
      <c r="K995" s="256"/>
      <c r="L995" s="256"/>
      <c r="M995" s="256"/>
      <c r="N995" s="256"/>
      <c r="O995" s="256"/>
      <c r="P995" s="256"/>
      <c r="Q995" s="256"/>
      <c r="R995" s="256"/>
      <c r="S995" s="256"/>
      <c r="T995" s="256"/>
      <c r="U995" s="256"/>
      <c r="V995" s="256"/>
      <c r="W995" s="256"/>
      <c r="X995" s="256"/>
      <c r="Y995" s="256"/>
      <c r="Z995" s="256"/>
    </row>
    <row r="996">
      <c r="A996" s="256"/>
      <c r="B996" s="256"/>
      <c r="C996" s="256"/>
      <c r="D996" s="256"/>
      <c r="E996" s="256"/>
      <c r="F996" s="256"/>
      <c r="G996" s="256"/>
      <c r="H996" s="256"/>
      <c r="I996" s="256"/>
      <c r="J996" s="256"/>
      <c r="K996" s="256"/>
      <c r="L996" s="256"/>
      <c r="M996" s="256"/>
      <c r="N996" s="256"/>
      <c r="O996" s="256"/>
      <c r="P996" s="256"/>
      <c r="Q996" s="256"/>
      <c r="R996" s="256"/>
      <c r="S996" s="256"/>
      <c r="T996" s="256"/>
      <c r="U996" s="256"/>
      <c r="V996" s="256"/>
      <c r="W996" s="256"/>
      <c r="X996" s="256"/>
      <c r="Y996" s="256"/>
      <c r="Z996" s="256"/>
    </row>
    <row r="997">
      <c r="A997" s="256"/>
      <c r="B997" s="256"/>
      <c r="C997" s="256"/>
      <c r="D997" s="256"/>
      <c r="E997" s="256"/>
      <c r="F997" s="256"/>
      <c r="G997" s="256"/>
      <c r="H997" s="256"/>
      <c r="I997" s="256"/>
      <c r="J997" s="256"/>
      <c r="K997" s="256"/>
      <c r="L997" s="256"/>
      <c r="M997" s="256"/>
      <c r="N997" s="256"/>
      <c r="O997" s="256"/>
      <c r="P997" s="256"/>
      <c r="Q997" s="256"/>
      <c r="R997" s="256"/>
      <c r="S997" s="256"/>
      <c r="T997" s="256"/>
      <c r="U997" s="256"/>
      <c r="V997" s="256"/>
      <c r="W997" s="256"/>
      <c r="X997" s="256"/>
      <c r="Y997" s="256"/>
      <c r="Z997" s="256"/>
    </row>
    <row r="998">
      <c r="A998" s="256"/>
      <c r="B998" s="256"/>
      <c r="C998" s="256"/>
      <c r="D998" s="256"/>
      <c r="E998" s="256"/>
      <c r="F998" s="256"/>
      <c r="G998" s="256"/>
      <c r="H998" s="256"/>
      <c r="I998" s="256"/>
      <c r="J998" s="256"/>
      <c r="K998" s="256"/>
      <c r="L998" s="256"/>
      <c r="M998" s="298"/>
      <c r="N998" s="256"/>
      <c r="O998" s="256"/>
      <c r="P998" s="256"/>
      <c r="Q998" s="256"/>
      <c r="R998" s="256"/>
      <c r="S998" s="256"/>
      <c r="T998" s="256"/>
      <c r="U998" s="256"/>
      <c r="V998" s="256"/>
      <c r="W998" s="256"/>
      <c r="X998" s="256"/>
      <c r="Y998" s="256"/>
      <c r="Z998" s="256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drawing r:id="rId1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6" max="6" width="16.25"/>
    <col customWidth="1" min="7" max="7" width="17.63"/>
  </cols>
  <sheetData>
    <row r="1">
      <c r="B1" s="204" t="s">
        <v>2639</v>
      </c>
    </row>
    <row r="2">
      <c r="B2" s="205" t="s">
        <v>2635</v>
      </c>
      <c r="C2" s="207">
        <v>0.1476</v>
      </c>
    </row>
    <row r="3">
      <c r="B3" s="205" t="s">
        <v>2640</v>
      </c>
      <c r="C3" s="207">
        <v>0.0785</v>
      </c>
    </row>
    <row r="4">
      <c r="B4" s="209" t="s">
        <v>2615</v>
      </c>
      <c r="C4" s="210" t="s">
        <v>2616</v>
      </c>
      <c r="I4" s="208"/>
      <c r="J4" s="299" t="s">
        <v>2058</v>
      </c>
      <c r="K4" s="299" t="s">
        <v>2641</v>
      </c>
      <c r="L4" s="300" t="s">
        <v>2642</v>
      </c>
    </row>
    <row r="5">
      <c r="A5" s="248"/>
      <c r="B5" s="214" t="s">
        <v>2633</v>
      </c>
      <c r="C5" s="301">
        <v>0.5175</v>
      </c>
      <c r="I5" s="211"/>
      <c r="J5" s="299" t="s">
        <v>2056</v>
      </c>
      <c r="K5" s="299" t="s">
        <v>2643</v>
      </c>
      <c r="L5" s="300" t="s">
        <v>2644</v>
      </c>
    </row>
    <row r="6">
      <c r="A6" s="251"/>
      <c r="B6" s="214" t="s">
        <v>2637</v>
      </c>
      <c r="C6" s="301">
        <v>0.2723</v>
      </c>
      <c r="I6" s="216"/>
      <c r="J6" s="299" t="s">
        <v>2060</v>
      </c>
      <c r="K6" s="299" t="s">
        <v>2645</v>
      </c>
      <c r="L6" s="300" t="s">
        <v>2646</v>
      </c>
    </row>
    <row r="7">
      <c r="A7" s="302"/>
      <c r="B7" s="214" t="s">
        <v>2647</v>
      </c>
      <c r="C7" s="301">
        <v>0.0813</v>
      </c>
      <c r="I7" s="216"/>
      <c r="J7" s="299" t="s">
        <v>654</v>
      </c>
      <c r="K7" s="299" t="s">
        <v>2648</v>
      </c>
      <c r="L7" s="300" t="s">
        <v>2649</v>
      </c>
    </row>
    <row r="8">
      <c r="A8" s="269"/>
      <c r="B8" s="214" t="s">
        <v>2584</v>
      </c>
      <c r="C8" s="301">
        <v>0.0887</v>
      </c>
      <c r="I8" s="216"/>
      <c r="J8" s="299" t="s">
        <v>1442</v>
      </c>
      <c r="K8" s="299" t="s">
        <v>2650</v>
      </c>
      <c r="L8" s="300" t="s">
        <v>2651</v>
      </c>
    </row>
    <row r="9">
      <c r="A9" s="303"/>
      <c r="B9" s="304" t="s">
        <v>2652</v>
      </c>
      <c r="C9" s="301">
        <v>0.0401</v>
      </c>
    </row>
    <row r="10">
      <c r="B10" s="216"/>
      <c r="C10" s="219"/>
    </row>
    <row r="12">
      <c r="A12" s="220" t="s">
        <v>2619</v>
      </c>
      <c r="B12" s="221" t="s">
        <v>2620</v>
      </c>
      <c r="C12" s="222" t="s">
        <v>2621</v>
      </c>
      <c r="D12" s="223" t="s">
        <v>2622</v>
      </c>
    </row>
    <row r="13">
      <c r="A13" s="224" t="str">
        <f t="shared" ref="A13:B13" si="1">B5</f>
        <v>ONs</v>
      </c>
      <c r="B13" s="225">
        <f t="shared" si="1"/>
        <v>0.5175</v>
      </c>
      <c r="C13" s="226">
        <v>-0.1</v>
      </c>
      <c r="D13" s="227">
        <f t="shared" ref="D13:D17" si="3">C13+B13</f>
        <v>0.4175</v>
      </c>
    </row>
    <row r="14">
      <c r="A14" s="224" t="str">
        <f t="shared" ref="A14:B14" si="2">B6</f>
        <v>Soberanos Hard Dollar</v>
      </c>
      <c r="B14" s="225">
        <f t="shared" si="2"/>
        <v>0.2723</v>
      </c>
      <c r="C14" s="226">
        <v>0.0</v>
      </c>
      <c r="D14" s="227">
        <f t="shared" si="3"/>
        <v>0.2723</v>
      </c>
    </row>
    <row r="15">
      <c r="A15" s="224" t="str">
        <f t="shared" ref="A15:B15" si="4">B7</f>
        <v>Soberanos pesos</v>
      </c>
      <c r="B15" s="225">
        <f t="shared" si="4"/>
        <v>0.0813</v>
      </c>
      <c r="C15" s="226">
        <v>0.1</v>
      </c>
      <c r="D15" s="227">
        <f t="shared" si="3"/>
        <v>0.1813</v>
      </c>
    </row>
    <row r="16">
      <c r="A16" s="224" t="str">
        <f t="shared" ref="A16:B16" si="5">B8</f>
        <v>Oro</v>
      </c>
      <c r="B16" s="225">
        <f t="shared" si="5"/>
        <v>0.0887</v>
      </c>
      <c r="C16" s="226">
        <v>-0.02</v>
      </c>
      <c r="D16" s="227">
        <f t="shared" si="3"/>
        <v>0.0687</v>
      </c>
    </row>
    <row r="17">
      <c r="A17" s="224" t="str">
        <f t="shared" ref="A17:B17" si="6">B9</f>
        <v>Plata</v>
      </c>
      <c r="B17" s="225">
        <f t="shared" si="6"/>
        <v>0.0401</v>
      </c>
      <c r="C17" s="305">
        <v>0.02</v>
      </c>
      <c r="D17" s="227">
        <f t="shared" si="3"/>
        <v>0.0601</v>
      </c>
    </row>
    <row r="18">
      <c r="A18" s="228"/>
      <c r="B18" s="229">
        <f>SUM(Tactical_3[Modelo])</f>
        <v>0.9999</v>
      </c>
      <c r="C18" s="230">
        <f>SUM(Tactical_3[Corredor +/- 10%])</f>
        <v>0</v>
      </c>
      <c r="D18" s="231">
        <f>SUM(Tactical_3[TAA])</f>
        <v>0.9999</v>
      </c>
    </row>
    <row r="19">
      <c r="B19" s="216"/>
      <c r="C19" s="219"/>
    </row>
    <row r="21">
      <c r="C21" s="1" t="s">
        <v>2559</v>
      </c>
    </row>
    <row r="22">
      <c r="A22" s="248"/>
      <c r="B22" s="232" t="str">
        <f>Ons!B6</f>
        <v>TLCPD</v>
      </c>
      <c r="C22" s="237">
        <f>$D$13*Ons!G6</f>
        <v>0.1623642373</v>
      </c>
    </row>
    <row r="23">
      <c r="A23" s="248"/>
      <c r="B23" s="232" t="str">
        <f>Ons!B7</f>
        <v>BACGD</v>
      </c>
      <c r="C23" s="237">
        <f>$D$13*Ons!G7</f>
        <v>0.2551357627</v>
      </c>
      <c r="G23" s="205"/>
    </row>
    <row r="24">
      <c r="A24" s="248"/>
      <c r="B24" s="232" t="str">
        <f>Ons!B8</f>
        <v/>
      </c>
      <c r="C24" s="237">
        <f>$D$13*Ons!G8</f>
        <v>0</v>
      </c>
      <c r="H24" s="235"/>
    </row>
    <row r="25">
      <c r="A25" s="248"/>
      <c r="B25" s="232" t="str">
        <f>Ons!B9</f>
        <v/>
      </c>
      <c r="C25" s="237">
        <f>$D$13*Ons!G9</f>
        <v>0</v>
      </c>
      <c r="D25" s="192"/>
      <c r="E25" s="192"/>
    </row>
    <row r="26">
      <c r="A26" s="248"/>
      <c r="B26" s="232" t="str">
        <f>Ons!B10</f>
        <v/>
      </c>
      <c r="C26" s="237">
        <f>$D$13*Ons!G10</f>
        <v>0</v>
      </c>
      <c r="D26" s="1"/>
      <c r="E26" s="1"/>
      <c r="F26" s="1"/>
      <c r="G26" s="1"/>
    </row>
    <row r="27">
      <c r="A27" s="248"/>
      <c r="B27" s="232" t="str">
        <f>Ons!B11</f>
        <v/>
      </c>
      <c r="C27" s="237">
        <f>$D$13*Ons!G11</f>
        <v>0</v>
      </c>
      <c r="D27" s="1"/>
      <c r="E27" s="1"/>
      <c r="F27" s="1"/>
      <c r="G27" s="1"/>
    </row>
    <row r="28">
      <c r="A28" s="251"/>
      <c r="B28" s="254" t="str">
        <f>Soberanos!B28</f>
        <v>BPO8D</v>
      </c>
      <c r="C28" s="237">
        <f>$D$14*Soberanos!F28</f>
        <v>0.09509055029</v>
      </c>
      <c r="D28" s="1"/>
      <c r="E28" s="1"/>
      <c r="F28" s="1"/>
      <c r="G28" s="1"/>
    </row>
    <row r="29">
      <c r="A29" s="251"/>
      <c r="B29" s="232" t="str">
        <f>Soberanos!B29</f>
        <v>AL30D</v>
      </c>
      <c r="C29" s="237">
        <f>$D$14*Soberanos!F29</f>
        <v>0.1205859864</v>
      </c>
      <c r="D29" s="1"/>
      <c r="E29" s="1"/>
      <c r="F29" s="1"/>
      <c r="G29" s="1"/>
    </row>
    <row r="30">
      <c r="A30" s="251"/>
      <c r="B30" s="232" t="str">
        <f>Soberanos!B30</f>
        <v>AE38D</v>
      </c>
      <c r="C30" s="237">
        <f>$D$14*Soberanos!F30</f>
        <v>0.05662346328</v>
      </c>
      <c r="D30" s="1"/>
      <c r="E30" s="1"/>
      <c r="F30" s="1"/>
      <c r="G30" s="1"/>
    </row>
    <row r="31">
      <c r="A31" s="302"/>
      <c r="B31" s="232" t="str">
        <f>Soberanos!B14</f>
        <v>S10N5</v>
      </c>
      <c r="C31" s="237">
        <f>$D$15*Soberanos!F14</f>
        <v>0.01961809571</v>
      </c>
      <c r="E31" s="1"/>
      <c r="F31" s="1"/>
      <c r="G31" s="1"/>
    </row>
    <row r="32">
      <c r="A32" s="302"/>
      <c r="B32" s="232" t="str">
        <f>Soberanos!B15</f>
        <v/>
      </c>
      <c r="C32" s="237">
        <f>$D$15*Soberanos!F15</f>
        <v>0</v>
      </c>
      <c r="D32" s="1"/>
      <c r="E32" s="1"/>
      <c r="F32" s="1"/>
      <c r="G32" s="1"/>
    </row>
    <row r="33">
      <c r="A33" s="302"/>
      <c r="B33" s="232" t="str">
        <f>Soberanos!B16</f>
        <v>TZXD7</v>
      </c>
      <c r="C33" s="237">
        <f>$D$15*Soberanos!F16</f>
        <v>0.1616819043</v>
      </c>
      <c r="D33" s="1"/>
      <c r="E33" s="1"/>
      <c r="F33" s="1"/>
      <c r="G33" s="1"/>
    </row>
    <row r="34">
      <c r="A34" s="302"/>
      <c r="B34" s="232" t="str">
        <f>Soberanos!B17</f>
        <v/>
      </c>
      <c r="C34" s="237">
        <f>$D$15*Soberanos!F17</f>
        <v>0</v>
      </c>
      <c r="D34" s="1"/>
      <c r="E34" s="1"/>
      <c r="F34" s="1"/>
      <c r="G34" s="1"/>
    </row>
    <row r="35">
      <c r="A35" s="269"/>
      <c r="B35" s="306" t="s">
        <v>654</v>
      </c>
      <c r="C35" s="237">
        <f t="shared" ref="C35:C36" si="7">D16</f>
        <v>0.0687</v>
      </c>
      <c r="E35" s="1"/>
      <c r="F35" s="1"/>
      <c r="G35" s="1"/>
    </row>
    <row r="36">
      <c r="A36" s="303"/>
      <c r="B36" s="307" t="s">
        <v>1442</v>
      </c>
      <c r="C36" s="237">
        <f t="shared" si="7"/>
        <v>0.0601</v>
      </c>
    </row>
    <row r="37">
      <c r="B37" s="308"/>
      <c r="C37" s="233">
        <f>SUM(C22:C36)</f>
        <v>0.9999</v>
      </c>
    </row>
    <row r="39">
      <c r="J39" s="238"/>
    </row>
    <row r="40">
      <c r="D40" s="309"/>
    </row>
    <row r="41">
      <c r="D41" s="239"/>
      <c r="E41" s="5"/>
      <c r="F41" s="5"/>
      <c r="J41" s="238"/>
    </row>
    <row r="42">
      <c r="D42" s="239"/>
    </row>
    <row r="43">
      <c r="D43" s="239"/>
    </row>
    <row r="45">
      <c r="E45" s="245"/>
      <c r="K45" s="243"/>
      <c r="L45" s="244"/>
    </row>
    <row r="46">
      <c r="C46" s="1"/>
      <c r="D46" s="1"/>
      <c r="E46" s="245"/>
      <c r="F46" s="1"/>
      <c r="G46" s="1"/>
      <c r="H46" s="1"/>
      <c r="I46" s="1"/>
      <c r="J46" s="1"/>
      <c r="K46" s="243"/>
      <c r="L46" s="244"/>
    </row>
    <row r="47">
      <c r="E47" s="245"/>
      <c r="K47" s="243"/>
      <c r="L47" s="244"/>
    </row>
    <row r="48">
      <c r="E48" s="245"/>
      <c r="K48" s="243"/>
      <c r="L48" s="244"/>
    </row>
    <row r="49">
      <c r="E49" s="245"/>
      <c r="K49" s="246"/>
      <c r="L49" s="244"/>
    </row>
    <row r="50">
      <c r="E50" s="245"/>
      <c r="K50" s="246"/>
      <c r="L50" s="244"/>
    </row>
    <row r="51">
      <c r="E51" s="245"/>
      <c r="K51" s="246"/>
      <c r="L51" s="244"/>
    </row>
    <row r="52">
      <c r="C52" s="1"/>
      <c r="D52" s="1"/>
      <c r="E52" s="245"/>
      <c r="F52" s="1"/>
      <c r="G52" s="1"/>
      <c r="H52" s="1"/>
      <c r="I52" s="1"/>
      <c r="J52" s="1"/>
      <c r="K52" s="246"/>
      <c r="L52" s="244"/>
    </row>
    <row r="53">
      <c r="E53" s="245"/>
      <c r="K53" s="246"/>
      <c r="L53" s="244"/>
    </row>
    <row r="54">
      <c r="E54" s="245"/>
      <c r="K54" s="246"/>
      <c r="L54" s="244"/>
    </row>
    <row r="55">
      <c r="E55" s="245"/>
      <c r="K55" s="246"/>
      <c r="L55" s="244"/>
    </row>
    <row r="56">
      <c r="C56" s="1"/>
      <c r="D56" s="1"/>
      <c r="E56" s="245"/>
      <c r="F56" s="1"/>
      <c r="G56" s="1"/>
      <c r="H56" s="1"/>
      <c r="I56" s="1"/>
      <c r="J56" s="1"/>
      <c r="K56" s="246"/>
      <c r="L56" s="244"/>
    </row>
    <row r="57">
      <c r="C57" s="1"/>
      <c r="D57" s="1"/>
      <c r="E57" s="245"/>
      <c r="F57" s="1"/>
      <c r="G57" s="1"/>
      <c r="H57" s="1"/>
      <c r="I57" s="1"/>
      <c r="J57" s="1"/>
      <c r="K57" s="246"/>
      <c r="L57" s="244"/>
    </row>
    <row r="58">
      <c r="E58" s="245"/>
      <c r="K58" s="246"/>
      <c r="L58" s="244"/>
    </row>
    <row r="59">
      <c r="C59" s="1"/>
      <c r="D59" s="1"/>
      <c r="E59" s="245"/>
      <c r="F59" s="1"/>
      <c r="G59" s="1"/>
      <c r="H59" s="1"/>
      <c r="I59" s="1"/>
      <c r="J59" s="1"/>
      <c r="K59" s="246"/>
      <c r="L59" s="244"/>
    </row>
    <row r="60">
      <c r="C60" s="1"/>
      <c r="D60" s="1"/>
      <c r="E60" s="245"/>
      <c r="F60" s="1"/>
      <c r="G60" s="1"/>
      <c r="H60" s="1"/>
      <c r="I60" s="1"/>
      <c r="J60" s="1"/>
      <c r="K60" s="246"/>
      <c r="L60" s="244"/>
    </row>
    <row r="61">
      <c r="E61" s="245"/>
      <c r="K61" s="246"/>
      <c r="L61" s="244"/>
    </row>
    <row r="62">
      <c r="C62" s="1"/>
      <c r="D62" s="1"/>
      <c r="E62" s="245"/>
      <c r="F62" s="1"/>
      <c r="G62" s="1"/>
      <c r="H62" s="1"/>
      <c r="I62" s="1"/>
      <c r="J62" s="1"/>
      <c r="K62" s="246"/>
      <c r="L62" s="244"/>
    </row>
    <row r="63">
      <c r="E63" s="245"/>
      <c r="K63" s="246"/>
      <c r="L63" s="244"/>
    </row>
    <row r="64">
      <c r="E64" s="245"/>
      <c r="K64" s="246"/>
      <c r="L64" s="244"/>
    </row>
    <row r="65">
      <c r="E65" s="245"/>
      <c r="K65" s="246"/>
      <c r="L65" s="244"/>
    </row>
    <row r="66">
      <c r="C66" s="1"/>
      <c r="D66" s="1"/>
      <c r="E66" s="245"/>
      <c r="F66" s="1"/>
      <c r="G66" s="1"/>
      <c r="H66" s="1"/>
      <c r="I66" s="1"/>
      <c r="J66" s="1"/>
      <c r="K66" s="246"/>
      <c r="L66" s="244"/>
    </row>
    <row r="1004">
      <c r="M1004" s="236"/>
    </row>
  </sheetData>
  <dataValidations>
    <dataValidation type="custom" allowBlank="1" showDropDown="1" sqref="B13:D17">
      <formula1>AND(ISNUMBER(B13),(NOT(OR(NOT(ISERROR(DATEVALUE(B13))), AND(ISNUMBER(B13), LEFT(CELL("format", B13))="D")))))</formula1>
    </dataValidation>
  </dataValidations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04" t="s">
        <v>2639</v>
      </c>
    </row>
    <row r="2">
      <c r="B2" s="205" t="s">
        <v>2635</v>
      </c>
      <c r="C2" s="207">
        <v>0.1991</v>
      </c>
    </row>
    <row r="3">
      <c r="B3" s="205" t="s">
        <v>2640</v>
      </c>
      <c r="C3" s="207">
        <v>0.0862</v>
      </c>
    </row>
    <row r="4">
      <c r="B4" s="209" t="s">
        <v>2615</v>
      </c>
      <c r="C4" s="210" t="s">
        <v>2616</v>
      </c>
      <c r="I4" s="208"/>
      <c r="K4" s="299" t="s">
        <v>2058</v>
      </c>
      <c r="L4" s="299" t="s">
        <v>2641</v>
      </c>
      <c r="M4" s="300" t="s">
        <v>2653</v>
      </c>
    </row>
    <row r="5">
      <c r="A5" s="248"/>
      <c r="B5" s="214" t="s">
        <v>2633</v>
      </c>
      <c r="C5" s="310">
        <v>0.3308</v>
      </c>
      <c r="I5" s="211"/>
      <c r="J5" s="211"/>
      <c r="K5" s="299" t="s">
        <v>2056</v>
      </c>
      <c r="L5" s="299" t="s">
        <v>2643</v>
      </c>
      <c r="M5" s="300" t="s">
        <v>2654</v>
      </c>
    </row>
    <row r="6">
      <c r="A6" s="251"/>
      <c r="B6" s="214" t="s">
        <v>2637</v>
      </c>
      <c r="C6" s="310">
        <v>0.3435</v>
      </c>
      <c r="I6" s="216"/>
      <c r="J6" s="216"/>
      <c r="K6" s="299" t="s">
        <v>2060</v>
      </c>
      <c r="L6" s="299" t="s">
        <v>2645</v>
      </c>
      <c r="M6" s="300" t="s">
        <v>2655</v>
      </c>
    </row>
    <row r="7">
      <c r="A7" s="302"/>
      <c r="B7" s="214" t="s">
        <v>2647</v>
      </c>
      <c r="C7" s="310">
        <v>0.1641</v>
      </c>
      <c r="I7" s="216"/>
      <c r="J7" s="216"/>
      <c r="K7" s="299" t="s">
        <v>654</v>
      </c>
      <c r="L7" s="299" t="s">
        <v>2648</v>
      </c>
      <c r="M7" s="300" t="s">
        <v>2656</v>
      </c>
    </row>
    <row r="8">
      <c r="A8" s="269"/>
      <c r="B8" s="214" t="s">
        <v>2584</v>
      </c>
      <c r="C8" s="310">
        <v>0.1145</v>
      </c>
      <c r="I8" s="216"/>
      <c r="J8" s="216"/>
      <c r="K8" s="299" t="s">
        <v>1442</v>
      </c>
      <c r="L8" s="299" t="s">
        <v>2650</v>
      </c>
      <c r="M8" s="300" t="s">
        <v>2657</v>
      </c>
    </row>
    <row r="9">
      <c r="A9" s="303"/>
      <c r="B9" s="304" t="s">
        <v>2652</v>
      </c>
      <c r="C9" s="310">
        <v>0.0471</v>
      </c>
    </row>
    <row r="10">
      <c r="B10" s="216"/>
      <c r="C10" s="219"/>
    </row>
    <row r="12">
      <c r="A12" s="220" t="s">
        <v>2619</v>
      </c>
      <c r="B12" s="221" t="s">
        <v>2620</v>
      </c>
      <c r="C12" s="222" t="s">
        <v>2621</v>
      </c>
      <c r="D12" s="223" t="s">
        <v>2622</v>
      </c>
    </row>
    <row r="13">
      <c r="A13" s="224" t="str">
        <f t="shared" ref="A13:B13" si="1">B5</f>
        <v>ONs</v>
      </c>
      <c r="B13" s="225">
        <f t="shared" si="1"/>
        <v>0.3308</v>
      </c>
      <c r="C13" s="226">
        <v>-0.1</v>
      </c>
      <c r="D13" s="227">
        <f t="shared" ref="D13:D17" si="3">C13+B13</f>
        <v>0.2308</v>
      </c>
    </row>
    <row r="14">
      <c r="A14" s="224" t="str">
        <f t="shared" ref="A14:B14" si="2">B6</f>
        <v>Soberanos Hard Dollar</v>
      </c>
      <c r="B14" s="225">
        <f t="shared" si="2"/>
        <v>0.3435</v>
      </c>
      <c r="C14" s="226">
        <v>0.0</v>
      </c>
      <c r="D14" s="227">
        <f t="shared" si="3"/>
        <v>0.3435</v>
      </c>
    </row>
    <row r="15">
      <c r="A15" s="224" t="str">
        <f t="shared" ref="A15:B15" si="4">B7</f>
        <v>Soberanos pesos</v>
      </c>
      <c r="B15" s="225">
        <f t="shared" si="4"/>
        <v>0.1641</v>
      </c>
      <c r="C15" s="226">
        <v>0.1</v>
      </c>
      <c r="D15" s="227">
        <f t="shared" si="3"/>
        <v>0.2641</v>
      </c>
    </row>
    <row r="16">
      <c r="A16" s="224" t="str">
        <f t="shared" ref="A16:B16" si="5">B8</f>
        <v>Oro</v>
      </c>
      <c r="B16" s="225">
        <f t="shared" si="5"/>
        <v>0.1145</v>
      </c>
      <c r="C16" s="226">
        <v>-0.05</v>
      </c>
      <c r="D16" s="227">
        <f t="shared" si="3"/>
        <v>0.0645</v>
      </c>
    </row>
    <row r="17">
      <c r="A17" s="311" t="str">
        <f t="shared" ref="A17:B17" si="6">B9</f>
        <v>Plata</v>
      </c>
      <c r="B17" s="312">
        <f t="shared" si="6"/>
        <v>0.0471</v>
      </c>
      <c r="C17" s="305">
        <v>0.05</v>
      </c>
      <c r="D17" s="313">
        <f t="shared" si="3"/>
        <v>0.0971</v>
      </c>
    </row>
    <row r="18">
      <c r="A18" s="228"/>
      <c r="B18" s="229">
        <f>SUM(Tactical_5[Modelo])</f>
        <v>1</v>
      </c>
      <c r="C18" s="230">
        <f>SUM(Tactical_5[Corredor +/- 10%])</f>
        <v>0</v>
      </c>
      <c r="D18" s="231">
        <f>SUM(Tactical_5[TAA])</f>
        <v>1</v>
      </c>
    </row>
    <row r="19">
      <c r="B19" s="216"/>
      <c r="C19" s="219"/>
    </row>
    <row r="21">
      <c r="C21" s="1" t="s">
        <v>2559</v>
      </c>
    </row>
    <row r="22">
      <c r="A22" s="314"/>
      <c r="B22" s="232" t="str">
        <f>Ons!B19</f>
        <v>DNC7D</v>
      </c>
      <c r="C22" s="237">
        <f>$D$13*Ons!G19</f>
        <v>0.09056310819</v>
      </c>
    </row>
    <row r="23">
      <c r="A23" s="314"/>
      <c r="B23" s="232" t="str">
        <f>Ons!B20</f>
        <v>TLCPD</v>
      </c>
      <c r="C23" s="237">
        <f>$D$13*Ons!G20</f>
        <v>0.1402368918</v>
      </c>
      <c r="G23" s="205"/>
    </row>
    <row r="24">
      <c r="A24" s="314"/>
      <c r="B24" s="232" t="str">
        <f>Ons!B21</f>
        <v/>
      </c>
      <c r="C24" s="237">
        <f>$D$13*Ons!G21</f>
        <v>0</v>
      </c>
      <c r="H24" s="235"/>
    </row>
    <row r="25">
      <c r="A25" s="314"/>
      <c r="B25" s="232" t="str">
        <f>Ons!B22</f>
        <v/>
      </c>
      <c r="C25" s="237">
        <f>$D$13*Ons!G22</f>
        <v>0</v>
      </c>
      <c r="D25" s="192"/>
      <c r="E25" s="192"/>
    </row>
    <row r="26">
      <c r="A26" s="314"/>
      <c r="B26" s="232" t="str">
        <f>Ons!B10</f>
        <v/>
      </c>
      <c r="C26" s="237"/>
      <c r="D26" s="1"/>
      <c r="E26" s="1"/>
      <c r="F26" s="1"/>
      <c r="G26" s="1"/>
    </row>
    <row r="27">
      <c r="A27" s="314"/>
      <c r="B27" s="232" t="str">
        <f>Ons!B11</f>
        <v/>
      </c>
      <c r="C27" s="237"/>
      <c r="D27" s="1"/>
      <c r="E27" s="1"/>
      <c r="F27" s="1"/>
      <c r="G27" s="1"/>
    </row>
    <row r="28">
      <c r="A28" s="251"/>
      <c r="B28" s="254" t="str">
        <f>Soberanos!B36</f>
        <v>BPO8D</v>
      </c>
      <c r="C28" s="237">
        <f>$D$14*Soberanos!F36</f>
        <v>0.0990507455</v>
      </c>
      <c r="D28" s="1"/>
      <c r="E28" s="1"/>
      <c r="F28" s="1"/>
      <c r="G28" s="1"/>
    </row>
    <row r="29">
      <c r="A29" s="251"/>
      <c r="B29" s="232" t="str">
        <f>Soberanos!B37</f>
        <v>AL30D</v>
      </c>
      <c r="C29" s="237">
        <f>$D$14*Soberanos!F37</f>
        <v>0.07810849482</v>
      </c>
      <c r="D29" s="1"/>
      <c r="E29" s="1"/>
      <c r="F29" s="1"/>
      <c r="G29" s="1"/>
    </row>
    <row r="30">
      <c r="A30" s="251"/>
      <c r="B30" s="232" t="str">
        <f>Soberanos!B38</f>
        <v>AE38D</v>
      </c>
      <c r="C30" s="237">
        <f>$D$14*Soberanos!F38</f>
        <v>0.1663407597</v>
      </c>
      <c r="D30" s="1"/>
      <c r="E30" s="1"/>
      <c r="F30" s="1"/>
      <c r="G30" s="1"/>
    </row>
    <row r="31">
      <c r="A31" s="315"/>
      <c r="B31" s="232" t="str">
        <f>Soberanos!B21</f>
        <v>T30J6</v>
      </c>
      <c r="C31" s="237">
        <f>$D$15*Soberanos!F21</f>
        <v>0.05212843602</v>
      </c>
      <c r="D31" s="1"/>
      <c r="E31" s="1"/>
      <c r="F31" s="1"/>
      <c r="G31" s="1"/>
    </row>
    <row r="32">
      <c r="A32" s="315"/>
      <c r="B32" s="232" t="str">
        <f>Soberanos!B22</f>
        <v>TTD26</v>
      </c>
      <c r="C32" s="237">
        <f>$D$15*Soberanos!F22</f>
        <v>0.07811531213</v>
      </c>
      <c r="D32" s="1"/>
      <c r="E32" s="1"/>
      <c r="F32" s="1"/>
      <c r="G32" s="1"/>
    </row>
    <row r="33">
      <c r="A33" s="315"/>
      <c r="B33" s="232" t="str">
        <f>Soberanos!B23</f>
        <v>TZXD7</v>
      </c>
      <c r="C33" s="237">
        <f>$D$15*Soberanos!F23</f>
        <v>0.1338562519</v>
      </c>
      <c r="D33" s="1"/>
      <c r="E33" s="1"/>
      <c r="F33" s="1"/>
      <c r="G33" s="1"/>
    </row>
    <row r="34">
      <c r="A34" s="316"/>
      <c r="B34" s="232" t="s">
        <v>654</v>
      </c>
      <c r="C34" s="237">
        <f t="shared" ref="C34:C35" si="7">D16</f>
        <v>0.0645</v>
      </c>
    </row>
    <row r="35">
      <c r="A35" s="303"/>
      <c r="B35" s="232" t="s">
        <v>1442</v>
      </c>
      <c r="C35" s="237">
        <f t="shared" si="7"/>
        <v>0.0971</v>
      </c>
    </row>
    <row r="36">
      <c r="B36" s="234"/>
      <c r="C36" s="237">
        <f>SUM(C22:C35)</f>
        <v>1</v>
      </c>
    </row>
    <row r="37">
      <c r="J37" s="238"/>
    </row>
    <row r="38">
      <c r="D38" s="239"/>
    </row>
    <row r="39">
      <c r="D39" s="239"/>
      <c r="J39" s="238"/>
    </row>
    <row r="40">
      <c r="D40" s="239"/>
    </row>
    <row r="41">
      <c r="D41" s="239"/>
    </row>
    <row r="43">
      <c r="E43" s="245"/>
      <c r="K43" s="243"/>
      <c r="L43" s="244"/>
    </row>
    <row r="44">
      <c r="C44" s="1"/>
      <c r="D44" s="1"/>
      <c r="E44" s="245"/>
      <c r="F44" s="1"/>
      <c r="G44" s="1"/>
      <c r="H44" s="1"/>
      <c r="I44" s="1"/>
      <c r="J44" s="1"/>
      <c r="K44" s="243"/>
      <c r="L44" s="244"/>
    </row>
    <row r="45">
      <c r="E45" s="245"/>
      <c r="K45" s="243"/>
      <c r="L45" s="244"/>
    </row>
    <row r="46">
      <c r="E46" s="245"/>
      <c r="K46" s="243"/>
      <c r="L46" s="244"/>
    </row>
    <row r="47">
      <c r="E47" s="245"/>
      <c r="K47" s="246"/>
      <c r="L47" s="244"/>
    </row>
    <row r="48">
      <c r="E48" s="245"/>
      <c r="K48" s="246"/>
      <c r="L48" s="244"/>
    </row>
    <row r="49">
      <c r="E49" s="245"/>
      <c r="K49" s="246"/>
      <c r="L49" s="244"/>
    </row>
    <row r="50">
      <c r="C50" s="1"/>
      <c r="D50" s="1"/>
      <c r="E50" s="245"/>
      <c r="F50" s="1"/>
      <c r="G50" s="1"/>
      <c r="H50" s="1"/>
      <c r="I50" s="1"/>
      <c r="J50" s="1"/>
      <c r="K50" s="246"/>
      <c r="L50" s="244"/>
    </row>
    <row r="51">
      <c r="E51" s="245"/>
      <c r="K51" s="246"/>
      <c r="L51" s="244"/>
    </row>
    <row r="52">
      <c r="E52" s="245"/>
      <c r="K52" s="246"/>
      <c r="L52" s="244"/>
    </row>
    <row r="53">
      <c r="E53" s="245"/>
      <c r="K53" s="246"/>
      <c r="L53" s="244"/>
    </row>
    <row r="54">
      <c r="C54" s="1"/>
      <c r="D54" s="1"/>
      <c r="E54" s="245"/>
      <c r="F54" s="1"/>
      <c r="G54" s="1"/>
      <c r="H54" s="1"/>
      <c r="I54" s="1"/>
      <c r="J54" s="1"/>
      <c r="K54" s="246"/>
      <c r="L54" s="244"/>
    </row>
    <row r="55">
      <c r="C55" s="1"/>
      <c r="D55" s="1"/>
      <c r="E55" s="245"/>
      <c r="F55" s="1"/>
      <c r="G55" s="1"/>
      <c r="H55" s="1"/>
      <c r="I55" s="1"/>
      <c r="J55" s="1"/>
      <c r="K55" s="246"/>
      <c r="L55" s="244"/>
    </row>
    <row r="56">
      <c r="E56" s="245"/>
      <c r="K56" s="246"/>
      <c r="L56" s="244"/>
    </row>
    <row r="57">
      <c r="C57" s="1"/>
      <c r="D57" s="1"/>
      <c r="E57" s="245"/>
      <c r="F57" s="1"/>
      <c r="G57" s="1"/>
      <c r="H57" s="1"/>
      <c r="I57" s="1"/>
      <c r="J57" s="1"/>
      <c r="K57" s="246"/>
      <c r="L57" s="244"/>
    </row>
    <row r="58">
      <c r="C58" s="1"/>
      <c r="D58" s="1"/>
      <c r="E58" s="245"/>
      <c r="F58" s="1"/>
      <c r="G58" s="1"/>
      <c r="H58" s="1"/>
      <c r="I58" s="1"/>
      <c r="J58" s="1"/>
      <c r="K58" s="246"/>
      <c r="L58" s="244"/>
    </row>
    <row r="59">
      <c r="E59" s="245"/>
      <c r="K59" s="246"/>
      <c r="L59" s="244"/>
    </row>
    <row r="60">
      <c r="C60" s="1"/>
      <c r="D60" s="1"/>
      <c r="E60" s="245"/>
      <c r="F60" s="1"/>
      <c r="G60" s="1"/>
      <c r="H60" s="1"/>
      <c r="I60" s="1"/>
      <c r="J60" s="1"/>
      <c r="K60" s="246"/>
      <c r="L60" s="244"/>
    </row>
    <row r="61">
      <c r="E61" s="245"/>
      <c r="K61" s="246"/>
      <c r="L61" s="244"/>
    </row>
    <row r="62">
      <c r="E62" s="245"/>
      <c r="K62" s="246"/>
      <c r="L62" s="244"/>
    </row>
    <row r="63">
      <c r="E63" s="245"/>
      <c r="K63" s="246"/>
      <c r="L63" s="244"/>
    </row>
    <row r="64">
      <c r="C64" s="1"/>
      <c r="D64" s="1"/>
      <c r="E64" s="245"/>
      <c r="F64" s="1"/>
      <c r="G64" s="1"/>
      <c r="H64" s="1"/>
      <c r="I64" s="1"/>
      <c r="J64" s="1"/>
      <c r="K64" s="246"/>
      <c r="L64" s="244"/>
    </row>
    <row r="1002">
      <c r="M1002" s="236"/>
    </row>
  </sheetData>
  <dataValidations>
    <dataValidation type="custom" allowBlank="1" showDropDown="1" sqref="B13:D17">
      <formula1>AND(ISNUMBER(B13),(NOT(OR(NOT(ISERROR(DATEVALUE(B13))), AND(ISNUMBER(B13), LEFT(CELL("format", B13))="D")))))</formula1>
    </dataValidation>
  </dataValidations>
  <drawing r:id="rId1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04" t="s">
        <v>2658</v>
      </c>
    </row>
    <row r="2">
      <c r="B2" s="205" t="s">
        <v>2659</v>
      </c>
      <c r="C2" s="207">
        <v>0.1</v>
      </c>
    </row>
    <row r="3">
      <c r="B3" s="205" t="s">
        <v>2660</v>
      </c>
      <c r="C3" s="207">
        <v>0.0733</v>
      </c>
    </row>
    <row r="4">
      <c r="B4" s="209" t="s">
        <v>2615</v>
      </c>
      <c r="C4" s="210" t="s">
        <v>2616</v>
      </c>
      <c r="I4" s="208"/>
      <c r="K4" s="211"/>
      <c r="L4" s="211"/>
      <c r="M4" s="212"/>
    </row>
    <row r="5">
      <c r="A5" s="248"/>
      <c r="B5" s="214" t="s">
        <v>2633</v>
      </c>
      <c r="C5" s="310">
        <v>0.6922</v>
      </c>
      <c r="I5" s="211"/>
      <c r="J5" s="211"/>
      <c r="K5" s="216"/>
      <c r="L5" s="216"/>
      <c r="M5" s="217"/>
    </row>
    <row r="6">
      <c r="A6" s="251"/>
      <c r="B6" s="214" t="s">
        <v>2637</v>
      </c>
      <c r="C6" s="310">
        <v>0.0301</v>
      </c>
      <c r="I6" s="216"/>
      <c r="J6" s="216"/>
      <c r="K6" s="299" t="s">
        <v>2058</v>
      </c>
      <c r="L6" s="299" t="s">
        <v>2641</v>
      </c>
      <c r="M6" s="300" t="s">
        <v>2661</v>
      </c>
    </row>
    <row r="7">
      <c r="A7" s="302"/>
      <c r="B7" s="214" t="s">
        <v>2647</v>
      </c>
      <c r="C7" s="310">
        <v>0.0116</v>
      </c>
      <c r="I7" s="216"/>
      <c r="J7" s="216"/>
      <c r="K7" s="299" t="s">
        <v>2056</v>
      </c>
      <c r="L7" s="299" t="s">
        <v>2643</v>
      </c>
      <c r="M7" s="300" t="s">
        <v>2662</v>
      </c>
    </row>
    <row r="8">
      <c r="A8" s="269"/>
      <c r="B8" s="214" t="s">
        <v>2584</v>
      </c>
      <c r="C8" s="310">
        <v>0.0597</v>
      </c>
      <c r="I8" s="216"/>
      <c r="J8" s="216"/>
      <c r="K8" s="299" t="s">
        <v>2060</v>
      </c>
      <c r="L8" s="299" t="s">
        <v>2645</v>
      </c>
      <c r="M8" s="300" t="s">
        <v>2663</v>
      </c>
    </row>
    <row r="9">
      <c r="A9" s="317"/>
      <c r="B9" s="214" t="s">
        <v>2652</v>
      </c>
      <c r="C9" s="310">
        <v>0.0193</v>
      </c>
      <c r="I9" s="216"/>
      <c r="J9" s="216"/>
      <c r="K9" s="299" t="s">
        <v>654</v>
      </c>
      <c r="L9" s="299" t="s">
        <v>2648</v>
      </c>
      <c r="M9" s="300" t="s">
        <v>2664</v>
      </c>
    </row>
    <row r="10">
      <c r="A10" s="318"/>
      <c r="B10" s="232" t="s">
        <v>2665</v>
      </c>
      <c r="C10" s="310">
        <v>0.05</v>
      </c>
      <c r="K10" s="299" t="s">
        <v>1442</v>
      </c>
      <c r="L10" s="299" t="s">
        <v>2650</v>
      </c>
      <c r="M10" s="300" t="s">
        <v>2666</v>
      </c>
    </row>
    <row r="11">
      <c r="A11" s="318"/>
      <c r="B11" s="232" t="s">
        <v>2667</v>
      </c>
      <c r="C11" s="310">
        <v>0.0356</v>
      </c>
      <c r="K11" s="299" t="s">
        <v>2668</v>
      </c>
      <c r="L11" s="299" t="s">
        <v>2669</v>
      </c>
      <c r="M11" s="300" t="s">
        <v>2670</v>
      </c>
    </row>
    <row r="12">
      <c r="A12" s="318"/>
      <c r="B12" s="232" t="s">
        <v>2671</v>
      </c>
      <c r="C12" s="310">
        <v>0.0291</v>
      </c>
      <c r="K12" s="299" t="s">
        <v>812</v>
      </c>
      <c r="L12" s="299" t="s">
        <v>2672</v>
      </c>
      <c r="M12" s="300" t="s">
        <v>2673</v>
      </c>
    </row>
    <row r="13">
      <c r="A13" s="318"/>
      <c r="B13" s="232" t="s">
        <v>2548</v>
      </c>
      <c r="C13" s="310">
        <v>0.0567</v>
      </c>
      <c r="K13" s="299" t="s">
        <v>545</v>
      </c>
      <c r="L13" s="299" t="s">
        <v>2674</v>
      </c>
      <c r="M13" s="300" t="s">
        <v>2675</v>
      </c>
    </row>
    <row r="14">
      <c r="A14" s="319"/>
      <c r="B14" s="232" t="s">
        <v>2676</v>
      </c>
      <c r="C14" s="310">
        <v>0.0157</v>
      </c>
      <c r="K14" s="299" t="s">
        <v>2677</v>
      </c>
      <c r="L14" s="299" t="s">
        <v>2678</v>
      </c>
      <c r="M14" s="300" t="s">
        <v>2679</v>
      </c>
    </row>
    <row r="15">
      <c r="K15" s="299" t="s">
        <v>1897</v>
      </c>
      <c r="L15" s="299" t="s">
        <v>2680</v>
      </c>
      <c r="M15" s="300" t="s">
        <v>2681</v>
      </c>
    </row>
    <row r="18">
      <c r="B18" s="216"/>
      <c r="C18" s="219"/>
    </row>
    <row r="20">
      <c r="A20" s="220" t="s">
        <v>2619</v>
      </c>
      <c r="B20" s="221" t="s">
        <v>2620</v>
      </c>
      <c r="C20" s="222" t="s">
        <v>2621</v>
      </c>
      <c r="D20" s="223" t="s">
        <v>2622</v>
      </c>
    </row>
    <row r="21">
      <c r="A21" s="224" t="str">
        <f t="shared" ref="A21:B21" si="1">B5</f>
        <v>ONs</v>
      </c>
      <c r="B21" s="225">
        <f t="shared" si="1"/>
        <v>0.6922</v>
      </c>
      <c r="C21" s="226">
        <v>-0.1</v>
      </c>
      <c r="D21" s="227">
        <f t="shared" ref="D21:D30" si="3">C21+B21</f>
        <v>0.5922</v>
      </c>
    </row>
    <row r="22">
      <c r="A22" s="224" t="str">
        <f t="shared" ref="A22:B22" si="2">B6</f>
        <v>Soberanos Hard Dollar</v>
      </c>
      <c r="B22" s="225">
        <f t="shared" si="2"/>
        <v>0.0301</v>
      </c>
      <c r="C22" s="226">
        <v>0.06</v>
      </c>
      <c r="D22" s="227">
        <f t="shared" si="3"/>
        <v>0.0901</v>
      </c>
      <c r="G22" s="205"/>
    </row>
    <row r="23">
      <c r="A23" s="224" t="str">
        <f t="shared" ref="A23:B23" si="4">B8</f>
        <v>Oro</v>
      </c>
      <c r="B23" s="225">
        <f t="shared" si="4"/>
        <v>0.0597</v>
      </c>
      <c r="C23" s="226">
        <v>-0.02</v>
      </c>
      <c r="D23" s="227">
        <f t="shared" si="3"/>
        <v>0.0397</v>
      </c>
      <c r="H23" s="235"/>
    </row>
    <row r="24">
      <c r="A24" s="224" t="str">
        <f t="shared" ref="A24:B24" si="5">B9</f>
        <v>Plata</v>
      </c>
      <c r="B24" s="225">
        <f t="shared" si="5"/>
        <v>0.0193</v>
      </c>
      <c r="C24" s="226">
        <v>0.02</v>
      </c>
      <c r="D24" s="227">
        <f t="shared" si="3"/>
        <v>0.0393</v>
      </c>
      <c r="H24" s="235"/>
    </row>
    <row r="25">
      <c r="A25" s="224" t="str">
        <f t="shared" ref="A25:B25" si="6">B7</f>
        <v>Soberanos pesos</v>
      </c>
      <c r="B25" s="225">
        <f t="shared" si="6"/>
        <v>0.0116</v>
      </c>
      <c r="C25" s="226">
        <v>0.04</v>
      </c>
      <c r="D25" s="227">
        <f t="shared" si="3"/>
        <v>0.0516</v>
      </c>
      <c r="E25" s="192"/>
    </row>
    <row r="26">
      <c r="A26" s="224" t="str">
        <f t="shared" ref="A26:B26" si="7">B10</f>
        <v>Desarrollados ex US</v>
      </c>
      <c r="B26" s="225">
        <f t="shared" si="7"/>
        <v>0.05</v>
      </c>
      <c r="C26" s="226">
        <v>0.0</v>
      </c>
      <c r="D26" s="320">
        <f t="shared" si="3"/>
        <v>0.05</v>
      </c>
      <c r="E26" s="192"/>
    </row>
    <row r="27">
      <c r="A27" s="224" t="str">
        <f t="shared" ref="A27:B27" si="8">B11</f>
        <v>US small cap</v>
      </c>
      <c r="B27" s="225">
        <f t="shared" si="8"/>
        <v>0.0356</v>
      </c>
      <c r="C27" s="226">
        <v>0.0</v>
      </c>
      <c r="D27" s="320">
        <f t="shared" si="3"/>
        <v>0.0356</v>
      </c>
      <c r="E27" s="192"/>
    </row>
    <row r="28">
      <c r="A28" s="224" t="str">
        <f t="shared" ref="A28:B28" si="9">B12</f>
        <v>Emergentes</v>
      </c>
      <c r="B28" s="225">
        <f t="shared" si="9"/>
        <v>0.0291</v>
      </c>
      <c r="C28" s="226">
        <v>0.01</v>
      </c>
      <c r="D28" s="320">
        <f t="shared" si="3"/>
        <v>0.0391</v>
      </c>
      <c r="E28" s="192"/>
    </row>
    <row r="29">
      <c r="A29" s="224" t="str">
        <f t="shared" ref="A29:B29" si="10">B13</f>
        <v>Argentina</v>
      </c>
      <c r="B29" s="225">
        <f t="shared" si="10"/>
        <v>0.0567</v>
      </c>
      <c r="C29" s="226">
        <v>-0.01</v>
      </c>
      <c r="D29" s="320">
        <f t="shared" si="3"/>
        <v>0.0467</v>
      </c>
      <c r="E29" s="192"/>
    </row>
    <row r="30">
      <c r="A30" s="224" t="str">
        <f t="shared" ref="A30:B30" si="11">B14</f>
        <v>Sector inmobiliario US</v>
      </c>
      <c r="B30" s="225">
        <f t="shared" si="11"/>
        <v>0.0157</v>
      </c>
      <c r="C30" s="226">
        <v>0.0</v>
      </c>
      <c r="D30" s="320">
        <f t="shared" si="3"/>
        <v>0.0157</v>
      </c>
      <c r="E30" s="192"/>
    </row>
    <row r="31">
      <c r="A31" s="228"/>
      <c r="B31" s="229">
        <f>SUM(Tactical_4[Modelo])</f>
        <v>1</v>
      </c>
      <c r="C31" s="230">
        <f>SUM(Tactical_4[Corredor +/- 10%])</f>
        <v>0</v>
      </c>
      <c r="D31" s="231">
        <f>SUM(Tactical_4[TAA])</f>
        <v>1</v>
      </c>
      <c r="E31" s="1"/>
      <c r="F31" s="1"/>
      <c r="G31" s="1"/>
    </row>
    <row r="32">
      <c r="B32" s="216"/>
      <c r="C32" s="219"/>
      <c r="E32" s="1"/>
      <c r="F32" s="1"/>
      <c r="G32" s="1"/>
    </row>
    <row r="33">
      <c r="E33" s="1"/>
      <c r="F33" s="1"/>
      <c r="G33" s="1"/>
    </row>
    <row r="34">
      <c r="C34" s="1" t="s">
        <v>2559</v>
      </c>
      <c r="E34" s="1"/>
      <c r="F34" s="1"/>
      <c r="G34" s="1"/>
    </row>
    <row r="35">
      <c r="A35" s="314"/>
      <c r="B35" s="232" t="str">
        <f>Ons!B6</f>
        <v>TLCPD</v>
      </c>
      <c r="C35" s="253">
        <f>$D$21*Ons!G6</f>
        <v>0.2303044343</v>
      </c>
      <c r="E35" s="1"/>
      <c r="F35" s="1"/>
      <c r="G35" s="1"/>
    </row>
    <row r="36">
      <c r="A36" s="314"/>
      <c r="B36" s="232" t="str">
        <f>Ons!B7</f>
        <v>BACGD</v>
      </c>
      <c r="C36" s="253">
        <f>$D$21*Ons!G7</f>
        <v>0.3618955657</v>
      </c>
      <c r="E36" s="1"/>
      <c r="F36" s="1"/>
      <c r="G36" s="1"/>
    </row>
    <row r="37">
      <c r="A37" s="314"/>
      <c r="B37" s="232" t="str">
        <f>Ons!B8</f>
        <v/>
      </c>
      <c r="C37" s="253">
        <f>$D$21*Ons!G8</f>
        <v>0</v>
      </c>
    </row>
    <row r="38">
      <c r="A38" s="314"/>
      <c r="B38" s="232" t="str">
        <f>Ons!B9</f>
        <v/>
      </c>
      <c r="C38" s="253">
        <f>$D$21*Ons!G9</f>
        <v>0</v>
      </c>
      <c r="D38" s="192"/>
    </row>
    <row r="39">
      <c r="A39" s="314"/>
      <c r="B39" s="232" t="str">
        <f>Ons!B10</f>
        <v/>
      </c>
      <c r="C39" s="253"/>
      <c r="D39" s="1"/>
      <c r="J39" s="238"/>
    </row>
    <row r="40">
      <c r="A40" s="314"/>
      <c r="B40" s="232" t="str">
        <f>Ons!B11</f>
        <v/>
      </c>
      <c r="C40" s="253"/>
      <c r="D40" s="1"/>
    </row>
    <row r="41">
      <c r="A41" s="302"/>
      <c r="B41" s="232" t="str">
        <f>Soberanos!B10</f>
        <v>S12S5</v>
      </c>
      <c r="C41" s="253">
        <f>$D$25*Soberanos!F10</f>
        <v>0.008166780564</v>
      </c>
      <c r="D41" s="1"/>
    </row>
    <row r="42">
      <c r="A42" s="302"/>
      <c r="B42" s="232" t="str">
        <f>Soberanos!B11</f>
        <v>TZXM6</v>
      </c>
      <c r="C42" s="253">
        <f>$D$25*Soberanos!F11</f>
        <v>0.04343321944</v>
      </c>
      <c r="D42" s="1"/>
    </row>
    <row r="43">
      <c r="A43" s="251"/>
      <c r="B43" s="254" t="str">
        <f>Soberanos!B28</f>
        <v>BPO8D</v>
      </c>
      <c r="C43" s="253">
        <f>$D$22*Soberanos!F28</f>
        <v>0.0314640418</v>
      </c>
      <c r="D43" s="1"/>
      <c r="J43" s="238"/>
    </row>
    <row r="44">
      <c r="A44" s="251"/>
      <c r="B44" s="232" t="str">
        <f>Soberanos!B29</f>
        <v>AL30D</v>
      </c>
      <c r="C44" s="253">
        <f>$D$22*Soberanos!F29</f>
        <v>0.03990010054</v>
      </c>
      <c r="D44" s="1"/>
      <c r="J44" s="238"/>
    </row>
    <row r="45">
      <c r="A45" s="251"/>
      <c r="B45" s="232" t="str">
        <f>Soberanos!B30</f>
        <v>AE38D</v>
      </c>
      <c r="C45" s="253">
        <f>$D$22*Soberanos!F30</f>
        <v>0.01873585766</v>
      </c>
      <c r="D45" s="1"/>
      <c r="J45" s="238"/>
    </row>
    <row r="46">
      <c r="A46" s="316"/>
      <c r="B46" s="232" t="s">
        <v>654</v>
      </c>
      <c r="C46" s="253">
        <f t="shared" ref="C46:C47" si="12">D23</f>
        <v>0.0397</v>
      </c>
      <c r="E46" s="245"/>
      <c r="K46" s="243"/>
      <c r="L46" s="244"/>
    </row>
    <row r="47">
      <c r="A47" s="317"/>
      <c r="B47" s="232" t="s">
        <v>1442</v>
      </c>
      <c r="C47" s="253">
        <f t="shared" si="12"/>
        <v>0.0393</v>
      </c>
      <c r="E47" s="245"/>
      <c r="K47" s="243"/>
      <c r="L47" s="244"/>
    </row>
    <row r="48">
      <c r="A48" s="321"/>
      <c r="B48" s="232" t="s">
        <v>1800</v>
      </c>
      <c r="C48" s="253">
        <f t="shared" ref="C48:C49" si="13">$D$26*D58</f>
        <v>0.03227629249</v>
      </c>
      <c r="E48" s="245"/>
      <c r="F48" s="1"/>
      <c r="G48" s="1"/>
      <c r="H48" s="1"/>
      <c r="I48" s="1"/>
      <c r="J48" s="1"/>
      <c r="K48" s="243"/>
      <c r="L48" s="244"/>
    </row>
    <row r="49">
      <c r="A49" s="321"/>
      <c r="B49" s="232" t="s">
        <v>766</v>
      </c>
      <c r="C49" s="253">
        <f t="shared" si="13"/>
        <v>0.01772370751</v>
      </c>
      <c r="E49" s="245"/>
      <c r="F49" s="1"/>
      <c r="G49" s="1"/>
      <c r="H49" s="1"/>
      <c r="I49" s="1"/>
      <c r="J49" s="1"/>
      <c r="K49" s="243"/>
      <c r="L49" s="244"/>
    </row>
    <row r="50">
      <c r="A50" s="321"/>
      <c r="B50" s="232" t="s">
        <v>812</v>
      </c>
      <c r="C50" s="253">
        <f t="shared" ref="C50:C53" si="14">D27</f>
        <v>0.0356</v>
      </c>
      <c r="E50" s="245"/>
      <c r="F50" s="1"/>
      <c r="G50" s="1"/>
      <c r="H50" s="1"/>
      <c r="I50" s="1"/>
      <c r="J50" s="1"/>
      <c r="K50" s="243"/>
      <c r="L50" s="244"/>
    </row>
    <row r="51">
      <c r="A51" s="321"/>
      <c r="B51" s="232" t="s">
        <v>545</v>
      </c>
      <c r="C51" s="253">
        <f t="shared" si="14"/>
        <v>0.0391</v>
      </c>
      <c r="E51" s="245"/>
      <c r="F51" s="1"/>
      <c r="G51" s="1"/>
      <c r="H51" s="1"/>
      <c r="I51" s="1"/>
      <c r="J51" s="1"/>
      <c r="K51" s="243"/>
      <c r="L51" s="244"/>
    </row>
    <row r="52">
      <c r="A52" s="321"/>
      <c r="B52" s="232" t="s">
        <v>2003</v>
      </c>
      <c r="C52" s="253">
        <f t="shared" si="14"/>
        <v>0.0467</v>
      </c>
      <c r="E52" s="245"/>
      <c r="F52" s="1"/>
      <c r="G52" s="1"/>
      <c r="H52" s="1"/>
      <c r="I52" s="1"/>
      <c r="J52" s="1"/>
      <c r="K52" s="243"/>
      <c r="L52" s="244"/>
    </row>
    <row r="53">
      <c r="A53" s="322"/>
      <c r="B53" s="232" t="s">
        <v>1897</v>
      </c>
      <c r="C53" s="253">
        <f t="shared" si="14"/>
        <v>0.0157</v>
      </c>
      <c r="E53" s="245"/>
      <c r="F53" s="1"/>
      <c r="G53" s="1"/>
      <c r="H53" s="1"/>
      <c r="I53" s="1"/>
      <c r="J53" s="1"/>
      <c r="K53" s="243"/>
      <c r="L53" s="244"/>
    </row>
    <row r="54">
      <c r="A54" s="234"/>
      <c r="B54" s="234"/>
      <c r="C54" s="323">
        <f>SUM(C35:C53)</f>
        <v>1</v>
      </c>
      <c r="E54" s="245"/>
      <c r="F54" s="1"/>
      <c r="G54" s="1"/>
      <c r="H54" s="1"/>
      <c r="I54" s="1"/>
      <c r="J54" s="1"/>
      <c r="K54" s="243"/>
      <c r="L54" s="244"/>
    </row>
    <row r="55">
      <c r="E55" s="245"/>
      <c r="K55" s="243"/>
      <c r="L55" s="244"/>
    </row>
    <row r="56">
      <c r="D56" s="239"/>
      <c r="E56" s="245"/>
      <c r="K56" s="243"/>
      <c r="L56" s="244"/>
    </row>
    <row r="57">
      <c r="D57" s="239"/>
      <c r="E57" s="245"/>
      <c r="K57" s="246"/>
      <c r="L57" s="244"/>
    </row>
    <row r="58">
      <c r="B58" s="1" t="s">
        <v>1800</v>
      </c>
      <c r="C58" s="1">
        <v>22962.0</v>
      </c>
      <c r="D58" s="252">
        <f t="shared" ref="D58:D59" si="15">C58/$C$60</f>
        <v>0.6455258497</v>
      </c>
      <c r="E58" s="245"/>
      <c r="K58" s="246"/>
      <c r="L58" s="244"/>
    </row>
    <row r="59">
      <c r="B59" s="1" t="s">
        <v>766</v>
      </c>
      <c r="C59" s="1">
        <v>12609.0</v>
      </c>
      <c r="D59" s="252">
        <f t="shared" si="15"/>
        <v>0.3544741503</v>
      </c>
      <c r="E59" s="245"/>
      <c r="K59" s="246"/>
      <c r="L59" s="244"/>
    </row>
    <row r="60">
      <c r="C60" s="197">
        <f>SUM(C58:C59)</f>
        <v>35571</v>
      </c>
      <c r="E60" s="245"/>
      <c r="F60" s="1"/>
      <c r="G60" s="1"/>
      <c r="H60" s="1"/>
      <c r="I60" s="1"/>
      <c r="J60" s="1"/>
      <c r="K60" s="246"/>
      <c r="L60" s="244"/>
    </row>
    <row r="61">
      <c r="E61" s="245"/>
      <c r="K61" s="246"/>
      <c r="L61" s="244"/>
    </row>
    <row r="62">
      <c r="C62" s="1"/>
      <c r="D62" s="1"/>
      <c r="E62" s="245"/>
      <c r="K62" s="246"/>
      <c r="L62" s="244"/>
    </row>
    <row r="63">
      <c r="E63" s="245"/>
      <c r="K63" s="246"/>
      <c r="L63" s="244"/>
    </row>
    <row r="64">
      <c r="E64" s="245"/>
      <c r="F64" s="1"/>
      <c r="G64" s="1"/>
      <c r="H64" s="1"/>
      <c r="I64" s="1"/>
      <c r="J64" s="1"/>
      <c r="K64" s="246"/>
      <c r="L64" s="244"/>
    </row>
    <row r="65">
      <c r="E65" s="245"/>
      <c r="F65" s="1"/>
      <c r="G65" s="1"/>
      <c r="H65" s="1"/>
      <c r="I65" s="1"/>
      <c r="J65" s="1"/>
      <c r="K65" s="246"/>
      <c r="L65" s="244"/>
    </row>
    <row r="66">
      <c r="E66" s="245"/>
      <c r="K66" s="246"/>
      <c r="L66" s="244"/>
    </row>
    <row r="67">
      <c r="E67" s="245"/>
      <c r="F67" s="1"/>
      <c r="G67" s="1"/>
      <c r="H67" s="1"/>
      <c r="I67" s="1"/>
      <c r="J67" s="1"/>
      <c r="K67" s="246"/>
      <c r="L67" s="244"/>
    </row>
    <row r="68">
      <c r="E68" s="245"/>
      <c r="F68" s="1"/>
      <c r="G68" s="1"/>
      <c r="H68" s="1"/>
      <c r="I68" s="1"/>
      <c r="J68" s="1"/>
      <c r="K68" s="246"/>
      <c r="L68" s="244"/>
    </row>
    <row r="69">
      <c r="E69" s="245"/>
      <c r="K69" s="246"/>
      <c r="L69" s="244"/>
    </row>
    <row r="70">
      <c r="E70" s="245"/>
      <c r="F70" s="1"/>
      <c r="G70" s="1"/>
      <c r="H70" s="1"/>
      <c r="I70" s="1"/>
      <c r="J70" s="1"/>
      <c r="K70" s="246"/>
      <c r="L70" s="244"/>
    </row>
    <row r="71">
      <c r="E71" s="245"/>
      <c r="K71" s="246"/>
      <c r="L71" s="244"/>
    </row>
    <row r="72">
      <c r="E72" s="245"/>
      <c r="K72" s="246"/>
      <c r="L72" s="244"/>
    </row>
    <row r="73">
      <c r="E73" s="245"/>
      <c r="K73" s="246"/>
      <c r="L73" s="244"/>
    </row>
    <row r="74">
      <c r="E74" s="245"/>
      <c r="F74" s="1"/>
      <c r="G74" s="1"/>
      <c r="H74" s="1"/>
      <c r="I74" s="1"/>
      <c r="J74" s="1"/>
      <c r="K74" s="246"/>
      <c r="L74" s="244"/>
    </row>
    <row r="1012">
      <c r="A1012" s="321"/>
      <c r="M1012" s="236"/>
    </row>
  </sheetData>
  <dataValidations>
    <dataValidation type="custom" allowBlank="1" showDropDown="1" sqref="B21:D30">
      <formula1>AND(ISNUMBER(B21),(NOT(OR(NOT(ISERROR(DATEVALUE(B21))), AND(ISNUMBER(B21), LEFT(CELL("format", B21))="D")))))</formula1>
    </dataValidation>
  </dataValidations>
  <drawing r:id="rId1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6" max="6" width="16.25"/>
    <col customWidth="1" min="7" max="7" width="17.63"/>
    <col customWidth="1" min="11" max="11" width="24.38"/>
    <col customWidth="1" min="12" max="12" width="14.75"/>
  </cols>
  <sheetData>
    <row r="1">
      <c r="B1" s="204"/>
    </row>
    <row r="2">
      <c r="B2" s="205" t="s">
        <v>2635</v>
      </c>
      <c r="C2" s="207">
        <v>0.1476</v>
      </c>
    </row>
    <row r="3">
      <c r="B3" s="205" t="s">
        <v>2640</v>
      </c>
      <c r="C3" s="207">
        <v>0.0785</v>
      </c>
      <c r="J3" s="324"/>
      <c r="K3" s="325"/>
      <c r="L3" s="326"/>
    </row>
    <row r="4">
      <c r="B4" s="209" t="s">
        <v>2615</v>
      </c>
      <c r="C4" s="210" t="s">
        <v>2616</v>
      </c>
      <c r="I4" s="208"/>
      <c r="J4" s="327"/>
      <c r="K4" s="328"/>
    </row>
    <row r="5">
      <c r="A5" s="248"/>
      <c r="B5" s="214" t="s">
        <v>2633</v>
      </c>
      <c r="C5" s="310">
        <v>0.4553</v>
      </c>
      <c r="I5" s="211"/>
      <c r="J5" s="329"/>
      <c r="K5" s="299" t="s">
        <v>2058</v>
      </c>
      <c r="L5" s="299" t="s">
        <v>2641</v>
      </c>
      <c r="M5" s="300" t="s">
        <v>2682</v>
      </c>
    </row>
    <row r="6">
      <c r="A6" s="251"/>
      <c r="B6" s="214" t="s">
        <v>2637</v>
      </c>
      <c r="C6" s="310">
        <v>0.2673</v>
      </c>
      <c r="I6" s="216"/>
      <c r="J6" s="329"/>
      <c r="K6" s="299" t="s">
        <v>2056</v>
      </c>
      <c r="L6" s="299" t="s">
        <v>2643</v>
      </c>
      <c r="M6" s="300" t="s">
        <v>2683</v>
      </c>
    </row>
    <row r="7">
      <c r="A7" s="302"/>
      <c r="B7" s="214" t="s">
        <v>2647</v>
      </c>
      <c r="C7" s="310">
        <v>0.0797</v>
      </c>
      <c r="I7" s="216"/>
      <c r="J7" s="329"/>
      <c r="K7" s="299" t="s">
        <v>2060</v>
      </c>
      <c r="L7" s="299" t="s">
        <v>2645</v>
      </c>
      <c r="M7" s="300" t="s">
        <v>2684</v>
      </c>
    </row>
    <row r="8">
      <c r="A8" s="269"/>
      <c r="B8" s="214" t="s">
        <v>2584</v>
      </c>
      <c r="C8" s="310">
        <v>0.1045</v>
      </c>
      <c r="I8" s="216"/>
      <c r="J8" s="329"/>
      <c r="K8" s="299" t="s">
        <v>654</v>
      </c>
      <c r="L8" s="299" t="s">
        <v>2648</v>
      </c>
      <c r="M8" s="300" t="s">
        <v>2685</v>
      </c>
    </row>
    <row r="9">
      <c r="A9" s="303"/>
      <c r="B9" s="304" t="s">
        <v>2652</v>
      </c>
      <c r="C9" s="310">
        <v>0.0481</v>
      </c>
      <c r="J9" s="329"/>
      <c r="K9" s="299" t="s">
        <v>1442</v>
      </c>
      <c r="L9" s="299" t="s">
        <v>2650</v>
      </c>
      <c r="M9" s="300" t="s">
        <v>2686</v>
      </c>
    </row>
    <row r="10">
      <c r="A10" s="318"/>
      <c r="B10" s="214" t="s">
        <v>2687</v>
      </c>
      <c r="C10" s="310">
        <v>0.0451</v>
      </c>
      <c r="J10" s="329"/>
      <c r="K10" s="299" t="s">
        <v>1803</v>
      </c>
      <c r="L10" s="299" t="s">
        <v>2688</v>
      </c>
      <c r="M10" s="300" t="s">
        <v>2689</v>
      </c>
    </row>
    <row r="11">
      <c r="B11" s="216"/>
      <c r="C11" s="219"/>
      <c r="J11" s="329"/>
      <c r="K11" s="329"/>
      <c r="L11" s="330"/>
    </row>
    <row r="12">
      <c r="J12" s="329"/>
      <c r="K12" s="329"/>
      <c r="L12" s="330"/>
    </row>
    <row r="13">
      <c r="A13" s="220" t="s">
        <v>2619</v>
      </c>
      <c r="B13" s="221" t="s">
        <v>2620</v>
      </c>
      <c r="C13" s="222" t="s">
        <v>2621</v>
      </c>
      <c r="D13" s="223" t="s">
        <v>2622</v>
      </c>
      <c r="J13" s="329"/>
      <c r="K13" s="329"/>
      <c r="L13" s="330"/>
    </row>
    <row r="14">
      <c r="A14" s="224" t="str">
        <f t="shared" ref="A14:B14" si="1">B5</f>
        <v>ONs</v>
      </c>
      <c r="B14" s="225">
        <f t="shared" si="1"/>
        <v>0.4553</v>
      </c>
      <c r="C14" s="226">
        <v>-0.1</v>
      </c>
      <c r="D14" s="227">
        <f t="shared" ref="D14:D19" si="3">C14+B14</f>
        <v>0.3553</v>
      </c>
      <c r="J14" s="329"/>
      <c r="K14" s="329"/>
      <c r="L14" s="330"/>
    </row>
    <row r="15">
      <c r="A15" s="224" t="str">
        <f t="shared" ref="A15:B15" si="2">B6</f>
        <v>Soberanos Hard Dollar</v>
      </c>
      <c r="B15" s="225">
        <f t="shared" si="2"/>
        <v>0.2673</v>
      </c>
      <c r="C15" s="226">
        <v>-0.05</v>
      </c>
      <c r="D15" s="227">
        <f t="shared" si="3"/>
        <v>0.2173</v>
      </c>
      <c r="J15" s="329"/>
      <c r="K15" s="329"/>
      <c r="L15" s="330"/>
    </row>
    <row r="16">
      <c r="A16" s="224" t="str">
        <f t="shared" ref="A16:B16" si="4">B7</f>
        <v>Soberanos pesos</v>
      </c>
      <c r="B16" s="225">
        <f t="shared" si="4"/>
        <v>0.0797</v>
      </c>
      <c r="C16" s="226">
        <v>0.05</v>
      </c>
      <c r="D16" s="227">
        <f t="shared" si="3"/>
        <v>0.1297</v>
      </c>
      <c r="J16" s="329"/>
      <c r="K16" s="329"/>
      <c r="L16" s="330"/>
    </row>
    <row r="17">
      <c r="A17" s="224" t="str">
        <f t="shared" ref="A17:B17" si="5">B8</f>
        <v>Oro</v>
      </c>
      <c r="B17" s="225">
        <f t="shared" si="5"/>
        <v>0.1045</v>
      </c>
      <c r="C17" s="226">
        <v>-0.05</v>
      </c>
      <c r="D17" s="227">
        <f t="shared" si="3"/>
        <v>0.0545</v>
      </c>
      <c r="J17" s="329"/>
      <c r="K17" s="329"/>
      <c r="L17" s="330"/>
    </row>
    <row r="18">
      <c r="A18" s="224" t="str">
        <f t="shared" ref="A18:B18" si="6">B9</f>
        <v>Plata</v>
      </c>
      <c r="B18" s="225">
        <f t="shared" si="6"/>
        <v>0.0481</v>
      </c>
      <c r="C18" s="305">
        <v>0.05</v>
      </c>
      <c r="D18" s="227">
        <f t="shared" si="3"/>
        <v>0.0981</v>
      </c>
      <c r="J18" s="329"/>
      <c r="K18" s="329"/>
      <c r="L18" s="330"/>
    </row>
    <row r="19">
      <c r="A19" s="311" t="s">
        <v>2690</v>
      </c>
      <c r="B19" s="225">
        <f>C10</f>
        <v>0.0451</v>
      </c>
      <c r="C19" s="226">
        <v>0.1</v>
      </c>
      <c r="D19" s="320">
        <f t="shared" si="3"/>
        <v>0.1451</v>
      </c>
      <c r="J19" s="329"/>
      <c r="K19" s="329"/>
      <c r="L19" s="330"/>
    </row>
    <row r="20">
      <c r="A20" s="228"/>
      <c r="B20" s="229">
        <f>SUM(Tactical_12[Modelo])</f>
        <v>1</v>
      </c>
      <c r="C20" s="230">
        <f>SUM(Tactical_12[Corredor +/- 10%])</f>
        <v>0</v>
      </c>
      <c r="D20" s="231">
        <f>SUM(Tactical_12[TAA])</f>
        <v>1</v>
      </c>
      <c r="J20" s="329"/>
      <c r="K20" s="329"/>
      <c r="L20" s="330"/>
    </row>
    <row r="21">
      <c r="B21" s="216"/>
      <c r="C21" s="219"/>
      <c r="J21" s="329"/>
      <c r="K21" s="329"/>
      <c r="L21" s="330"/>
    </row>
    <row r="22">
      <c r="J22" s="329"/>
      <c r="K22" s="329"/>
      <c r="L22" s="330"/>
    </row>
    <row r="23">
      <c r="C23" s="1" t="s">
        <v>2559</v>
      </c>
      <c r="J23" s="329"/>
      <c r="K23" s="329"/>
      <c r="L23" s="330"/>
    </row>
    <row r="24">
      <c r="A24" s="248"/>
      <c r="B24" s="232" t="str">
        <f>Ons!B6</f>
        <v>TLCPD</v>
      </c>
      <c r="C24" s="237">
        <f>$D$14*Ons!G6</f>
        <v>0.1381748826</v>
      </c>
      <c r="J24" s="329"/>
      <c r="K24" s="329"/>
      <c r="L24" s="330"/>
    </row>
    <row r="25">
      <c r="A25" s="248"/>
      <c r="B25" s="232" t="str">
        <f>Ons!B7</f>
        <v>BACGD</v>
      </c>
      <c r="C25" s="237">
        <f>$D$14*Ons!G7</f>
        <v>0.2171251174</v>
      </c>
      <c r="G25" s="205"/>
      <c r="J25" s="329"/>
      <c r="K25" s="329"/>
      <c r="L25" s="330"/>
    </row>
    <row r="26">
      <c r="A26" s="248"/>
      <c r="B26" s="232" t="str">
        <f>Ons!B8</f>
        <v/>
      </c>
      <c r="C26" s="237">
        <f>$D$14*Ons!G8</f>
        <v>0</v>
      </c>
      <c r="H26" s="235"/>
      <c r="J26" s="329"/>
      <c r="K26" s="329"/>
      <c r="L26" s="330"/>
    </row>
    <row r="27">
      <c r="A27" s="248"/>
      <c r="B27" s="232" t="str">
        <f>Ons!B9</f>
        <v/>
      </c>
      <c r="C27" s="237"/>
      <c r="D27" s="192"/>
      <c r="E27" s="192"/>
      <c r="J27" s="329"/>
      <c r="K27" s="329"/>
      <c r="L27" s="330"/>
    </row>
    <row r="28">
      <c r="A28" s="248"/>
      <c r="B28" s="232" t="str">
        <f>Ons!B10</f>
        <v/>
      </c>
      <c r="C28" s="237"/>
      <c r="D28" s="1"/>
      <c r="E28" s="1"/>
      <c r="F28" s="1"/>
      <c r="G28" s="1"/>
      <c r="J28" s="329"/>
      <c r="K28" s="329"/>
      <c r="L28" s="330"/>
    </row>
    <row r="29">
      <c r="A29" s="248"/>
      <c r="B29" s="232" t="str">
        <f>Ons!B11</f>
        <v/>
      </c>
      <c r="C29" s="237"/>
      <c r="D29" s="1"/>
      <c r="E29" s="1"/>
      <c r="F29" s="1"/>
      <c r="G29" s="1"/>
      <c r="J29" s="329"/>
      <c r="K29" s="329"/>
      <c r="L29" s="330"/>
    </row>
    <row r="30">
      <c r="A30" s="251"/>
      <c r="B30" s="254" t="str">
        <f>Soberanos!B28</f>
        <v>BPO8D</v>
      </c>
      <c r="C30" s="237">
        <f>$D$15*Soberanos!F28</f>
        <v>0.07588386551</v>
      </c>
      <c r="D30" s="1"/>
      <c r="E30" s="1"/>
      <c r="F30" s="1"/>
      <c r="G30" s="1"/>
      <c r="J30" s="329"/>
      <c r="K30" s="329"/>
      <c r="L30" s="330"/>
    </row>
    <row r="31">
      <c r="A31" s="251"/>
      <c r="B31" s="232" t="str">
        <f>Soberanos!B29</f>
        <v>AL30D</v>
      </c>
      <c r="C31" s="237">
        <f>$D$15*Soberanos!F29</f>
        <v>0.09622965425</v>
      </c>
      <c r="D31" s="1"/>
      <c r="E31" s="1"/>
      <c r="F31" s="1"/>
      <c r="G31" s="1"/>
      <c r="J31" s="329"/>
      <c r="K31" s="329"/>
      <c r="L31" s="330"/>
    </row>
    <row r="32">
      <c r="A32" s="251"/>
      <c r="B32" s="232" t="str">
        <f>Soberanos!B30</f>
        <v>AE38D</v>
      </c>
      <c r="C32" s="237">
        <f>$D$15*Soberanos!F30</f>
        <v>0.04518648024</v>
      </c>
      <c r="D32" s="1"/>
      <c r="E32" s="1"/>
      <c r="F32" s="1"/>
      <c r="G32" s="1"/>
      <c r="J32" s="329"/>
      <c r="K32" s="329"/>
      <c r="L32" s="330"/>
    </row>
    <row r="33">
      <c r="A33" s="302"/>
      <c r="B33" s="232" t="str">
        <f>Soberanos!B14</f>
        <v>S10N5</v>
      </c>
      <c r="C33" s="237">
        <f>$D$16*Soberanos!F14</f>
        <v>0.01403456709</v>
      </c>
      <c r="D33" s="1"/>
      <c r="E33" s="1"/>
      <c r="F33" s="1"/>
      <c r="G33" s="1"/>
      <c r="J33" s="329"/>
      <c r="K33" s="329"/>
      <c r="L33" s="330"/>
    </row>
    <row r="34">
      <c r="A34" s="302"/>
      <c r="B34" s="232" t="str">
        <f>Soberanos!B15</f>
        <v/>
      </c>
      <c r="C34" s="237"/>
      <c r="D34" s="1"/>
      <c r="E34" s="1"/>
      <c r="F34" s="1"/>
      <c r="G34" s="1"/>
      <c r="J34" s="329"/>
      <c r="K34" s="329"/>
      <c r="L34" s="330"/>
    </row>
    <row r="35">
      <c r="A35" s="302"/>
      <c r="B35" s="232" t="str">
        <f>Soberanos!B16</f>
        <v>TZXD7</v>
      </c>
      <c r="C35" s="237">
        <f>$D$16*Soberanos!F16</f>
        <v>0.1156654329</v>
      </c>
      <c r="D35" s="1"/>
      <c r="E35" s="1"/>
      <c r="F35" s="1"/>
      <c r="G35" s="1"/>
    </row>
    <row r="36">
      <c r="A36" s="302"/>
      <c r="B36" s="232" t="str">
        <f>Soberanos!B17</f>
        <v/>
      </c>
      <c r="C36" s="237"/>
      <c r="D36" s="1"/>
      <c r="E36" s="1"/>
      <c r="F36" s="1"/>
      <c r="G36" s="1"/>
    </row>
    <row r="37">
      <c r="A37" s="269"/>
      <c r="B37" s="306" t="s">
        <v>654</v>
      </c>
      <c r="C37" s="237">
        <f t="shared" ref="C37:C39" si="7">D17</f>
        <v>0.0545</v>
      </c>
      <c r="D37" s="1"/>
      <c r="E37" s="1"/>
      <c r="F37" s="1"/>
      <c r="G37" s="1"/>
    </row>
    <row r="38">
      <c r="A38" s="303"/>
      <c r="B38" s="307" t="s">
        <v>1442</v>
      </c>
      <c r="C38" s="237">
        <f t="shared" si="7"/>
        <v>0.0981</v>
      </c>
    </row>
    <row r="39">
      <c r="A39" s="318"/>
      <c r="B39" s="307" t="s">
        <v>1803</v>
      </c>
      <c r="C39" s="237">
        <f t="shared" si="7"/>
        <v>0.1451</v>
      </c>
    </row>
    <row r="40">
      <c r="B40" s="308"/>
      <c r="C40" s="233">
        <f>SUM(C24:C39)</f>
        <v>1</v>
      </c>
    </row>
    <row r="43">
      <c r="D43" s="309"/>
    </row>
    <row r="44">
      <c r="D44" s="239"/>
      <c r="E44" s="5"/>
      <c r="F44" s="5"/>
    </row>
    <row r="45">
      <c r="D45" s="239"/>
    </row>
    <row r="46">
      <c r="D46" s="239"/>
    </row>
    <row r="48">
      <c r="E48" s="245"/>
      <c r="J48" s="243"/>
      <c r="K48" s="244"/>
    </row>
    <row r="49">
      <c r="C49" s="1"/>
      <c r="D49" s="1"/>
      <c r="E49" s="245"/>
      <c r="F49" s="1"/>
      <c r="G49" s="1"/>
      <c r="H49" s="1"/>
      <c r="J49" s="243"/>
      <c r="K49" s="244"/>
    </row>
    <row r="50">
      <c r="E50" s="245"/>
      <c r="J50" s="243"/>
      <c r="K50" s="244"/>
    </row>
    <row r="51">
      <c r="E51" s="245"/>
      <c r="J51" s="243"/>
      <c r="K51" s="244"/>
    </row>
    <row r="52">
      <c r="E52" s="245"/>
      <c r="J52" s="246"/>
      <c r="K52" s="244"/>
    </row>
    <row r="53">
      <c r="E53" s="245"/>
      <c r="J53" s="246"/>
      <c r="K53" s="244"/>
    </row>
    <row r="54">
      <c r="E54" s="245"/>
      <c r="J54" s="246"/>
      <c r="K54" s="244"/>
    </row>
    <row r="55">
      <c r="C55" s="1"/>
      <c r="D55" s="1"/>
      <c r="E55" s="245"/>
      <c r="F55" s="1"/>
      <c r="G55" s="1"/>
      <c r="H55" s="1"/>
      <c r="J55" s="246"/>
      <c r="K55" s="244"/>
    </row>
    <row r="56">
      <c r="E56" s="245"/>
      <c r="J56" s="246"/>
      <c r="K56" s="244"/>
    </row>
    <row r="57">
      <c r="E57" s="245"/>
      <c r="J57" s="246"/>
      <c r="K57" s="244"/>
    </row>
    <row r="58">
      <c r="E58" s="245"/>
      <c r="J58" s="246"/>
      <c r="K58" s="244"/>
    </row>
    <row r="59">
      <c r="C59" s="1"/>
      <c r="D59" s="1"/>
      <c r="E59" s="245"/>
      <c r="F59" s="1"/>
      <c r="G59" s="1"/>
      <c r="H59" s="1"/>
      <c r="J59" s="246"/>
      <c r="K59" s="244"/>
    </row>
    <row r="60">
      <c r="C60" s="1"/>
      <c r="D60" s="1"/>
      <c r="E60" s="245"/>
      <c r="F60" s="1"/>
      <c r="G60" s="1"/>
      <c r="H60" s="1"/>
      <c r="J60" s="246"/>
      <c r="K60" s="244"/>
    </row>
    <row r="61">
      <c r="E61" s="245"/>
      <c r="J61" s="246"/>
      <c r="K61" s="244"/>
    </row>
    <row r="62">
      <c r="C62" s="1"/>
      <c r="D62" s="1"/>
      <c r="E62" s="245"/>
      <c r="F62" s="1"/>
      <c r="G62" s="1"/>
      <c r="H62" s="1"/>
      <c r="J62" s="246"/>
      <c r="K62" s="244"/>
    </row>
    <row r="63">
      <c r="C63" s="1"/>
      <c r="D63" s="1"/>
      <c r="E63" s="245"/>
      <c r="F63" s="1"/>
      <c r="G63" s="1"/>
      <c r="H63" s="1"/>
      <c r="J63" s="246"/>
      <c r="K63" s="244"/>
    </row>
    <row r="64">
      <c r="E64" s="245"/>
      <c r="J64" s="246"/>
      <c r="K64" s="244"/>
    </row>
    <row r="65">
      <c r="C65" s="1"/>
      <c r="D65" s="1"/>
      <c r="E65" s="245"/>
      <c r="F65" s="1"/>
      <c r="G65" s="1"/>
      <c r="H65" s="1"/>
      <c r="J65" s="246"/>
      <c r="K65" s="244"/>
    </row>
    <row r="66">
      <c r="E66" s="245"/>
      <c r="J66" s="246"/>
      <c r="K66" s="244"/>
    </row>
    <row r="67">
      <c r="E67" s="245"/>
      <c r="J67" s="246"/>
      <c r="K67" s="244"/>
    </row>
    <row r="68">
      <c r="E68" s="245"/>
      <c r="J68" s="246"/>
      <c r="K68" s="244"/>
    </row>
    <row r="69">
      <c r="C69" s="1"/>
      <c r="D69" s="1"/>
      <c r="E69" s="245"/>
      <c r="F69" s="1"/>
      <c r="G69" s="1"/>
      <c r="H69" s="1"/>
      <c r="J69" s="246"/>
      <c r="K69" s="244"/>
    </row>
  </sheetData>
  <dataValidations>
    <dataValidation type="custom" allowBlank="1" showDropDown="1" sqref="B14:D19">
      <formula1>AND(ISNUMBER(B14),(NOT(OR(NOT(ISERROR(DATEVALUE(B14))), AND(ISNUMBER(B14), LEFT(CELL("format", B14))="D")))))</formula1>
    </dataValidation>
  </dataValidations>
  <drawing r:id="rId1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  <col customWidth="1" min="12" max="12" width="15.25"/>
  </cols>
  <sheetData>
    <row r="1">
      <c r="B1" s="204" t="s">
        <v>2639</v>
      </c>
    </row>
    <row r="2">
      <c r="B2" s="205" t="s">
        <v>2659</v>
      </c>
      <c r="C2" s="207">
        <v>0.1399</v>
      </c>
      <c r="M2" s="1" t="s">
        <v>2691</v>
      </c>
      <c r="N2" s="1" t="s">
        <v>2692</v>
      </c>
    </row>
    <row r="3">
      <c r="B3" s="205"/>
      <c r="C3" s="205" t="s">
        <v>2064</v>
      </c>
      <c r="K3" s="211"/>
      <c r="L3" s="211" t="s">
        <v>2627</v>
      </c>
      <c r="M3" s="1" t="s">
        <v>2235</v>
      </c>
      <c r="N3" s="309">
        <v>0.1399</v>
      </c>
      <c r="O3" s="309"/>
    </row>
    <row r="4">
      <c r="B4" s="209" t="s">
        <v>2615</v>
      </c>
      <c r="C4" s="210" t="s">
        <v>2616</v>
      </c>
      <c r="I4" s="208"/>
      <c r="K4" s="216"/>
      <c r="L4" s="214" t="s">
        <v>2633</v>
      </c>
      <c r="M4" s="331">
        <v>0.358</v>
      </c>
      <c r="N4" s="300" t="s">
        <v>2693</v>
      </c>
      <c r="O4" s="300"/>
      <c r="P4" s="299"/>
      <c r="Q4" s="299"/>
      <c r="R4" s="300"/>
    </row>
    <row r="5">
      <c r="A5" s="248"/>
      <c r="B5" s="214" t="s">
        <v>2633</v>
      </c>
      <c r="C5" s="310">
        <v>0.2332</v>
      </c>
      <c r="I5" s="211"/>
      <c r="J5" s="211"/>
      <c r="K5" s="216"/>
      <c r="L5" s="214" t="s">
        <v>2637</v>
      </c>
      <c r="M5" s="331">
        <v>0.0974</v>
      </c>
      <c r="N5" s="300" t="s">
        <v>2694</v>
      </c>
      <c r="O5" s="300"/>
      <c r="P5" s="299"/>
      <c r="Q5" s="299"/>
      <c r="R5" s="300"/>
    </row>
    <row r="6">
      <c r="A6" s="251"/>
      <c r="B6" s="214" t="s">
        <v>2637</v>
      </c>
      <c r="C6" s="310">
        <v>0.072</v>
      </c>
      <c r="I6" s="216"/>
      <c r="J6" s="216"/>
      <c r="K6" s="216"/>
      <c r="L6" s="214" t="s">
        <v>2647</v>
      </c>
      <c r="M6" s="331">
        <v>0.0947</v>
      </c>
      <c r="N6" s="300" t="s">
        <v>2695</v>
      </c>
      <c r="O6" s="300"/>
      <c r="P6" s="299"/>
      <c r="Q6" s="299"/>
      <c r="R6" s="300"/>
    </row>
    <row r="7">
      <c r="A7" s="302"/>
      <c r="B7" s="214" t="s">
        <v>2647</v>
      </c>
      <c r="C7" s="310">
        <v>0.0278</v>
      </c>
      <c r="E7" s="216"/>
      <c r="F7" s="219"/>
      <c r="I7" s="216"/>
      <c r="J7" s="216"/>
      <c r="K7" s="216"/>
      <c r="L7" s="214" t="s">
        <v>2584</v>
      </c>
      <c r="M7" s="331">
        <v>0.0344</v>
      </c>
      <c r="N7" s="300" t="s">
        <v>2696</v>
      </c>
      <c r="O7" s="300"/>
      <c r="P7" s="299"/>
      <c r="Q7" s="299"/>
      <c r="R7" s="300"/>
    </row>
    <row r="8">
      <c r="A8" s="269"/>
      <c r="B8" s="214" t="s">
        <v>2584</v>
      </c>
      <c r="C8" s="310">
        <v>0.1613</v>
      </c>
      <c r="F8" s="215">
        <v>0.0295</v>
      </c>
      <c r="I8" s="216"/>
      <c r="J8" s="216"/>
      <c r="K8" s="216"/>
      <c r="L8" s="232" t="s">
        <v>2652</v>
      </c>
      <c r="M8" s="331">
        <v>0.0358</v>
      </c>
      <c r="N8" s="300" t="s">
        <v>2697</v>
      </c>
      <c r="O8" s="300"/>
      <c r="P8" s="299"/>
      <c r="Q8" s="299"/>
      <c r="R8" s="300"/>
    </row>
    <row r="9">
      <c r="A9" s="303"/>
      <c r="B9" s="1" t="s">
        <v>2652</v>
      </c>
      <c r="C9" s="310">
        <v>0.074</v>
      </c>
      <c r="I9" s="216"/>
      <c r="J9" s="216"/>
      <c r="K9" s="216"/>
      <c r="L9" s="232" t="s">
        <v>2665</v>
      </c>
      <c r="M9" s="331">
        <v>0.0931</v>
      </c>
      <c r="N9" s="300" t="s">
        <v>2698</v>
      </c>
      <c r="O9" s="300"/>
      <c r="P9" s="299"/>
      <c r="Q9" s="299"/>
      <c r="R9" s="300"/>
    </row>
    <row r="10">
      <c r="A10" s="318"/>
      <c r="B10" s="232" t="s">
        <v>2665</v>
      </c>
      <c r="C10" s="310">
        <v>0.1011</v>
      </c>
      <c r="K10" s="216"/>
      <c r="L10" s="232" t="s">
        <v>2667</v>
      </c>
      <c r="M10" s="331">
        <v>0.0676</v>
      </c>
      <c r="N10" s="300" t="s">
        <v>2699</v>
      </c>
      <c r="O10" s="300"/>
      <c r="P10" s="299"/>
      <c r="Q10" s="299"/>
      <c r="R10" s="300"/>
    </row>
    <row r="11">
      <c r="A11" s="318"/>
      <c r="B11" s="232" t="s">
        <v>2667</v>
      </c>
      <c r="C11" s="310">
        <v>0.1008</v>
      </c>
      <c r="K11" s="216"/>
      <c r="L11" s="232" t="s">
        <v>2671</v>
      </c>
      <c r="M11" s="331">
        <v>0.073</v>
      </c>
      <c r="N11" s="300" t="s">
        <v>2700</v>
      </c>
      <c r="O11" s="300"/>
      <c r="P11" s="299"/>
      <c r="Q11" s="299"/>
      <c r="R11" s="300"/>
    </row>
    <row r="12">
      <c r="A12" s="318"/>
      <c r="B12" s="232" t="s">
        <v>2671</v>
      </c>
      <c r="C12" s="310">
        <v>0.0831</v>
      </c>
      <c r="K12" s="216"/>
      <c r="L12" s="232" t="s">
        <v>2548</v>
      </c>
      <c r="M12" s="331">
        <v>0.1144</v>
      </c>
      <c r="N12" s="300" t="s">
        <v>2701</v>
      </c>
      <c r="O12" s="300"/>
      <c r="P12" s="299"/>
      <c r="Q12" s="299"/>
      <c r="R12" s="300"/>
    </row>
    <row r="13">
      <c r="A13" s="318"/>
      <c r="B13" s="232" t="s">
        <v>2548</v>
      </c>
      <c r="C13" s="310">
        <v>0.0488</v>
      </c>
      <c r="K13" s="216"/>
      <c r="L13" s="232" t="s">
        <v>2676</v>
      </c>
      <c r="M13" s="331">
        <v>0.0314</v>
      </c>
      <c r="N13" s="300" t="s">
        <v>2702</v>
      </c>
      <c r="O13" s="300"/>
      <c r="P13" s="299"/>
      <c r="Q13" s="299"/>
      <c r="R13" s="300"/>
    </row>
    <row r="14">
      <c r="A14" s="319"/>
      <c r="B14" s="232" t="s">
        <v>2676</v>
      </c>
      <c r="C14" s="310">
        <v>0.098</v>
      </c>
      <c r="K14" s="216"/>
      <c r="L14" s="332"/>
      <c r="M14" s="299"/>
      <c r="N14" s="300"/>
    </row>
    <row r="15">
      <c r="L15" s="299"/>
      <c r="M15" s="299"/>
      <c r="N15" s="300"/>
    </row>
    <row r="18">
      <c r="B18" s="216"/>
      <c r="C18" s="219"/>
    </row>
    <row r="20">
      <c r="A20" s="220" t="s">
        <v>2619</v>
      </c>
      <c r="B20" s="221" t="s">
        <v>2620</v>
      </c>
      <c r="C20" s="222" t="s">
        <v>2621</v>
      </c>
      <c r="D20" s="223" t="s">
        <v>2622</v>
      </c>
    </row>
    <row r="21">
      <c r="A21" s="224" t="str">
        <f t="shared" ref="A21:B21" si="1">B5</f>
        <v>ONs</v>
      </c>
      <c r="B21" s="225">
        <f t="shared" si="1"/>
        <v>0.2332</v>
      </c>
      <c r="C21" s="226">
        <v>-0.07</v>
      </c>
      <c r="D21" s="227">
        <f t="shared" ref="D21:D30" si="3">C21+B21</f>
        <v>0.1632</v>
      </c>
    </row>
    <row r="22">
      <c r="A22" s="224" t="str">
        <f t="shared" ref="A22:B22" si="2">B6</f>
        <v>Soberanos Hard Dollar</v>
      </c>
      <c r="B22" s="225">
        <f t="shared" si="2"/>
        <v>0.072</v>
      </c>
      <c r="C22" s="226">
        <v>0.01</v>
      </c>
      <c r="D22" s="227">
        <f t="shared" si="3"/>
        <v>0.082</v>
      </c>
      <c r="G22" s="205"/>
    </row>
    <row r="23">
      <c r="A23" s="224" t="str">
        <f t="shared" ref="A23:B23" si="4">B8</f>
        <v>Oro</v>
      </c>
      <c r="B23" s="225">
        <f t="shared" si="4"/>
        <v>0.1613</v>
      </c>
      <c r="C23" s="226">
        <v>0.0</v>
      </c>
      <c r="D23" s="227">
        <f t="shared" si="3"/>
        <v>0.1613</v>
      </c>
      <c r="H23" s="235"/>
    </row>
    <row r="24">
      <c r="A24" s="224" t="str">
        <f t="shared" ref="A24:B24" si="5">B9</f>
        <v>Plata</v>
      </c>
      <c r="B24" s="225">
        <f t="shared" si="5"/>
        <v>0.074</v>
      </c>
      <c r="C24" s="226">
        <v>0.0</v>
      </c>
      <c r="D24" s="227">
        <f t="shared" si="3"/>
        <v>0.074</v>
      </c>
      <c r="H24" s="235"/>
    </row>
    <row r="25">
      <c r="A25" s="224" t="str">
        <f t="shared" ref="A25:B25" si="6">B7</f>
        <v>Soberanos pesos</v>
      </c>
      <c r="B25" s="225">
        <f t="shared" si="6"/>
        <v>0.0278</v>
      </c>
      <c r="C25" s="226">
        <v>0.1</v>
      </c>
      <c r="D25" s="227">
        <f t="shared" si="3"/>
        <v>0.1278</v>
      </c>
      <c r="E25" s="192"/>
    </row>
    <row r="26">
      <c r="A26" s="224" t="str">
        <f t="shared" ref="A26:B26" si="7">B10</f>
        <v>Desarrollados ex US</v>
      </c>
      <c r="B26" s="225">
        <f t="shared" si="7"/>
        <v>0.1011</v>
      </c>
      <c r="C26" s="226">
        <v>0.0</v>
      </c>
      <c r="D26" s="320">
        <f t="shared" si="3"/>
        <v>0.1011</v>
      </c>
      <c r="E26" s="192"/>
    </row>
    <row r="27">
      <c r="A27" s="224" t="str">
        <f t="shared" ref="A27:B27" si="8">B11</f>
        <v>US small cap</v>
      </c>
      <c r="B27" s="225">
        <f t="shared" si="8"/>
        <v>0.1008</v>
      </c>
      <c r="C27" s="226">
        <v>-0.04</v>
      </c>
      <c r="D27" s="320">
        <f t="shared" si="3"/>
        <v>0.0608</v>
      </c>
      <c r="E27" s="192"/>
    </row>
    <row r="28">
      <c r="A28" s="224" t="str">
        <f t="shared" ref="A28:B28" si="9">B12</f>
        <v>Emergentes</v>
      </c>
      <c r="B28" s="225">
        <f t="shared" si="9"/>
        <v>0.0831</v>
      </c>
      <c r="C28" s="226">
        <v>0.0</v>
      </c>
      <c r="D28" s="320">
        <f t="shared" si="3"/>
        <v>0.0831</v>
      </c>
      <c r="E28" s="192"/>
    </row>
    <row r="29">
      <c r="A29" s="224" t="str">
        <f t="shared" ref="A29:B29" si="10">B13</f>
        <v>Argentina</v>
      </c>
      <c r="B29" s="225">
        <f t="shared" si="10"/>
        <v>0.0488</v>
      </c>
      <c r="C29" s="226">
        <v>0.0</v>
      </c>
      <c r="D29" s="320">
        <f t="shared" si="3"/>
        <v>0.0488</v>
      </c>
      <c r="E29" s="192"/>
    </row>
    <row r="30">
      <c r="A30" s="224" t="str">
        <f t="shared" ref="A30:B30" si="11">B14</f>
        <v>Sector inmobiliario US</v>
      </c>
      <c r="B30" s="225">
        <f t="shared" si="11"/>
        <v>0.098</v>
      </c>
      <c r="C30" s="226">
        <v>0.0</v>
      </c>
      <c r="D30" s="320">
        <f t="shared" si="3"/>
        <v>0.098</v>
      </c>
      <c r="E30" s="192"/>
    </row>
    <row r="31">
      <c r="A31" s="228"/>
      <c r="B31" s="229">
        <f>SUM(Tactical_21[Modelo])</f>
        <v>1.0001</v>
      </c>
      <c r="C31" s="230">
        <f>SUM(Tactical_21[Corredor +/- 10%])</f>
        <v>0</v>
      </c>
      <c r="D31" s="231">
        <f>SUM(Tactical_21[TAA])</f>
        <v>1.0001</v>
      </c>
      <c r="E31" s="1"/>
      <c r="F31" s="1"/>
      <c r="G31" s="1"/>
    </row>
    <row r="32">
      <c r="B32" s="216"/>
      <c r="C32" s="219"/>
      <c r="E32" s="1"/>
      <c r="F32" s="1"/>
      <c r="G32" s="1"/>
    </row>
    <row r="33">
      <c r="E33" s="1"/>
      <c r="F33" s="1"/>
      <c r="G33" s="1"/>
    </row>
    <row r="34">
      <c r="C34" s="1" t="s">
        <v>2559</v>
      </c>
      <c r="E34" s="1"/>
      <c r="F34" s="1"/>
      <c r="G34" s="1"/>
    </row>
    <row r="35">
      <c r="A35" s="314"/>
      <c r="B35" s="232" t="str">
        <f>Ons!B6</f>
        <v>TLCPD</v>
      </c>
      <c r="C35" s="237">
        <f>$D$21*Ons!G6</f>
        <v>0.06346788867</v>
      </c>
      <c r="E35" s="1"/>
      <c r="F35" s="1"/>
      <c r="G35" s="1"/>
    </row>
    <row r="36">
      <c r="A36" s="314"/>
      <c r="B36" s="232" t="str">
        <f>Ons!B7</f>
        <v>BACGD</v>
      </c>
      <c r="C36" s="237">
        <f>$D$21*Ons!G7</f>
        <v>0.09973211133</v>
      </c>
      <c r="E36" s="1"/>
      <c r="F36" s="1"/>
      <c r="G36" s="1"/>
    </row>
    <row r="37">
      <c r="A37" s="314"/>
      <c r="B37" s="232" t="str">
        <f>Ons!B8</f>
        <v/>
      </c>
      <c r="C37" s="237">
        <f>$D$21*Ons!G8</f>
        <v>0</v>
      </c>
    </row>
    <row r="38">
      <c r="A38" s="314"/>
      <c r="B38" s="232" t="str">
        <f>Ons!B9</f>
        <v/>
      </c>
      <c r="C38" s="237">
        <f>$D$21*Ons!G9</f>
        <v>0</v>
      </c>
      <c r="D38" s="192"/>
    </row>
    <row r="39">
      <c r="A39" s="314"/>
      <c r="B39" s="232" t="str">
        <f>Ons!B10</f>
        <v/>
      </c>
      <c r="C39" s="237"/>
      <c r="D39" s="1"/>
      <c r="J39" s="238"/>
    </row>
    <row r="40">
      <c r="A40" s="314"/>
      <c r="B40" s="232" t="str">
        <f>Ons!B11</f>
        <v/>
      </c>
      <c r="C40" s="237"/>
      <c r="D40" s="1"/>
    </row>
    <row r="41">
      <c r="A41" s="333"/>
      <c r="B41" s="254" t="str">
        <f>Soberanos!B28</f>
        <v>BPO8D</v>
      </c>
      <c r="C41" s="237">
        <f>$D$22*Soberanos!F28</f>
        <v>0.02863542095</v>
      </c>
      <c r="J41" s="238"/>
    </row>
    <row r="42">
      <c r="A42" s="333"/>
      <c r="B42" s="232" t="str">
        <f>Soberanos!B29</f>
        <v>AL30D</v>
      </c>
      <c r="C42" s="237">
        <f>$D$22*Soberanos!F29</f>
        <v>0.03631307707</v>
      </c>
      <c r="J42" s="238"/>
    </row>
    <row r="43">
      <c r="A43" s="333"/>
      <c r="B43" s="232" t="str">
        <f>Soberanos!B30</f>
        <v>AE38D</v>
      </c>
      <c r="C43" s="237">
        <f>$D$22*Soberanos!F30</f>
        <v>0.01705150198</v>
      </c>
      <c r="J43" s="238"/>
    </row>
    <row r="44">
      <c r="A44" s="334"/>
      <c r="B44" s="232" t="s">
        <v>654</v>
      </c>
      <c r="C44" s="237">
        <f t="shared" ref="C44:C45" si="12">D23</f>
        <v>0.1613</v>
      </c>
      <c r="E44" s="245"/>
      <c r="K44" s="243"/>
      <c r="L44" s="244"/>
    </row>
    <row r="45">
      <c r="A45" s="303"/>
      <c r="B45" s="232" t="s">
        <v>1442</v>
      </c>
      <c r="C45" s="237">
        <f t="shared" si="12"/>
        <v>0.074</v>
      </c>
      <c r="E45" s="245"/>
      <c r="K45" s="243"/>
      <c r="L45" s="244"/>
    </row>
    <row r="46">
      <c r="A46" s="302"/>
      <c r="B46" s="232" t="str">
        <f>Soberanos!B14</f>
        <v>S10N5</v>
      </c>
      <c r="C46" s="237">
        <f>$D$25*Soberanos!F14</f>
        <v>0.01382897205</v>
      </c>
      <c r="E46" s="245"/>
      <c r="F46" s="1"/>
      <c r="G46" s="1"/>
      <c r="H46" s="1"/>
      <c r="I46" s="1"/>
      <c r="J46" s="1"/>
      <c r="K46" s="243"/>
      <c r="L46" s="244"/>
    </row>
    <row r="47">
      <c r="A47" s="302"/>
      <c r="B47" s="232" t="str">
        <f>Soberanos!B15</f>
        <v/>
      </c>
      <c r="C47" s="237">
        <f>$D$25*Soberanos!F15</f>
        <v>0</v>
      </c>
      <c r="E47" s="245"/>
      <c r="F47" s="1"/>
      <c r="G47" s="1"/>
      <c r="H47" s="1"/>
      <c r="I47" s="1"/>
      <c r="J47" s="1"/>
      <c r="K47" s="243"/>
      <c r="L47" s="244"/>
    </row>
    <row r="48">
      <c r="A48" s="302"/>
      <c r="B48" s="232" t="str">
        <f>Soberanos!B16</f>
        <v>TZXD7</v>
      </c>
      <c r="C48" s="237">
        <f>$D$25*Soberanos!F16</f>
        <v>0.113971028</v>
      </c>
      <c r="E48" s="245"/>
      <c r="F48" s="1"/>
      <c r="G48" s="1"/>
      <c r="H48" s="1"/>
      <c r="I48" s="1"/>
      <c r="J48" s="1"/>
      <c r="K48" s="243"/>
      <c r="L48" s="244"/>
    </row>
    <row r="49">
      <c r="A49" s="302"/>
      <c r="B49" s="232" t="str">
        <f>Soberanos!B17</f>
        <v/>
      </c>
      <c r="C49" s="237">
        <f>$D$25*Soberanos!F17</f>
        <v>0</v>
      </c>
      <c r="E49" s="245"/>
      <c r="F49" s="1"/>
      <c r="G49" s="1"/>
      <c r="H49" s="1"/>
      <c r="I49" s="1"/>
      <c r="J49" s="1"/>
      <c r="K49" s="243"/>
      <c r="L49" s="244"/>
    </row>
    <row r="50">
      <c r="A50" s="321"/>
      <c r="B50" s="232" t="s">
        <v>1800</v>
      </c>
      <c r="C50" s="237">
        <f t="shared" ref="C50:C51" si="13">$D$26*D60</f>
        <v>0.06526266341</v>
      </c>
      <c r="E50" s="245"/>
      <c r="F50" s="1"/>
      <c r="G50" s="1"/>
      <c r="H50" s="1"/>
      <c r="I50" s="1"/>
      <c r="J50" s="1"/>
      <c r="K50" s="243"/>
      <c r="L50" s="244"/>
    </row>
    <row r="51">
      <c r="A51" s="321"/>
      <c r="B51" s="232" t="s">
        <v>766</v>
      </c>
      <c r="C51" s="237">
        <f t="shared" si="13"/>
        <v>0.03583733659</v>
      </c>
      <c r="E51" s="207"/>
      <c r="F51" s="1"/>
      <c r="G51" s="1"/>
      <c r="H51" s="1"/>
      <c r="I51" s="1"/>
      <c r="J51" s="1"/>
      <c r="K51" s="243"/>
      <c r="L51" s="244"/>
    </row>
    <row r="52">
      <c r="A52" s="321"/>
      <c r="B52" s="232" t="s">
        <v>812</v>
      </c>
      <c r="C52" s="237">
        <f t="shared" ref="C52:C55" si="14">D27</f>
        <v>0.0608</v>
      </c>
      <c r="E52" s="245"/>
      <c r="F52" s="1"/>
      <c r="G52" s="1"/>
      <c r="H52" s="1"/>
      <c r="I52" s="1"/>
      <c r="J52" s="1"/>
      <c r="K52" s="243"/>
      <c r="L52" s="244"/>
    </row>
    <row r="53">
      <c r="A53" s="321"/>
      <c r="B53" s="232" t="s">
        <v>545</v>
      </c>
      <c r="C53" s="237">
        <f t="shared" si="14"/>
        <v>0.0831</v>
      </c>
      <c r="E53" s="245"/>
      <c r="F53" s="1"/>
      <c r="G53" s="1"/>
      <c r="H53" s="1"/>
      <c r="I53" s="1"/>
      <c r="J53" s="1"/>
      <c r="K53" s="243"/>
      <c r="L53" s="244"/>
    </row>
    <row r="54">
      <c r="A54" s="321"/>
      <c r="B54" s="335" t="s">
        <v>2003</v>
      </c>
      <c r="C54" s="237">
        <f t="shared" si="14"/>
        <v>0.0488</v>
      </c>
      <c r="E54" s="245"/>
      <c r="F54" s="1"/>
      <c r="G54" s="1"/>
      <c r="H54" s="1"/>
      <c r="I54" s="1"/>
      <c r="J54" s="1"/>
      <c r="K54" s="243"/>
      <c r="L54" s="244"/>
    </row>
    <row r="55">
      <c r="A55" s="322"/>
      <c r="B55" s="232" t="s">
        <v>1897</v>
      </c>
      <c r="C55" s="237">
        <f t="shared" si="14"/>
        <v>0.098</v>
      </c>
      <c r="E55" s="245"/>
      <c r="F55" s="1"/>
      <c r="G55" s="1"/>
      <c r="H55" s="1"/>
      <c r="I55" s="1"/>
      <c r="J55" s="1"/>
      <c r="K55" s="243"/>
      <c r="L55" s="244"/>
    </row>
    <row r="56">
      <c r="A56" s="234"/>
      <c r="B56" s="234"/>
      <c r="C56" s="233">
        <f>SUM(C35:C55)</f>
        <v>1.0001</v>
      </c>
      <c r="E56" s="245"/>
      <c r="F56" s="1"/>
      <c r="G56" s="1"/>
      <c r="H56" s="1"/>
      <c r="I56" s="1"/>
      <c r="J56" s="1"/>
      <c r="K56" s="243"/>
      <c r="L56" s="244"/>
    </row>
    <row r="57">
      <c r="E57" s="245"/>
      <c r="K57" s="243"/>
      <c r="L57" s="244"/>
    </row>
    <row r="58">
      <c r="D58" s="239"/>
      <c r="E58" s="245"/>
      <c r="K58" s="243"/>
      <c r="L58" s="244"/>
    </row>
    <row r="59">
      <c r="D59" s="239"/>
      <c r="E59" s="245"/>
      <c r="K59" s="246"/>
      <c r="L59" s="244"/>
    </row>
    <row r="60">
      <c r="B60" s="1" t="s">
        <v>1800</v>
      </c>
      <c r="C60" s="1">
        <v>22962.0</v>
      </c>
      <c r="D60" s="252">
        <f t="shared" ref="D60:D61" si="15">C60/$C$62</f>
        <v>0.6455258497</v>
      </c>
      <c r="E60" s="245"/>
      <c r="K60" s="246"/>
      <c r="L60" s="244"/>
    </row>
    <row r="61">
      <c r="B61" s="1" t="s">
        <v>766</v>
      </c>
      <c r="C61" s="1">
        <v>12609.0</v>
      </c>
      <c r="D61" s="252">
        <f t="shared" si="15"/>
        <v>0.3544741503</v>
      </c>
      <c r="E61" s="245"/>
      <c r="K61" s="246"/>
      <c r="L61" s="244"/>
    </row>
    <row r="62">
      <c r="C62" s="197">
        <f>SUM(C60:C61)</f>
        <v>35571</v>
      </c>
      <c r="E62" s="245"/>
      <c r="F62" s="1"/>
      <c r="G62" s="1"/>
      <c r="H62" s="1"/>
      <c r="I62" s="1"/>
      <c r="J62" s="1"/>
      <c r="K62" s="246"/>
      <c r="L62" s="244"/>
    </row>
    <row r="63">
      <c r="E63" s="245"/>
      <c r="K63" s="246"/>
      <c r="L63" s="244"/>
    </row>
    <row r="64">
      <c r="C64" s="1"/>
      <c r="D64" s="1"/>
      <c r="E64" s="245"/>
      <c r="K64" s="246"/>
      <c r="L64" s="244"/>
    </row>
    <row r="65">
      <c r="E65" s="245"/>
      <c r="K65" s="246"/>
      <c r="L65" s="244"/>
    </row>
    <row r="66">
      <c r="E66" s="245"/>
      <c r="F66" s="1"/>
      <c r="G66" s="1"/>
      <c r="H66" s="1"/>
      <c r="I66" s="1"/>
      <c r="J66" s="1"/>
      <c r="K66" s="246"/>
      <c r="L66" s="244"/>
    </row>
    <row r="67">
      <c r="E67" s="245"/>
      <c r="F67" s="1"/>
      <c r="G67" s="1"/>
      <c r="H67" s="1"/>
      <c r="I67" s="1"/>
      <c r="J67" s="1"/>
      <c r="K67" s="246"/>
      <c r="L67" s="244"/>
    </row>
    <row r="68">
      <c r="E68" s="245"/>
      <c r="K68" s="246"/>
      <c r="L68" s="244"/>
    </row>
    <row r="69">
      <c r="E69" s="245"/>
      <c r="F69" s="1"/>
      <c r="G69" s="1"/>
      <c r="H69" s="1"/>
      <c r="I69" s="1"/>
      <c r="J69" s="1"/>
      <c r="K69" s="246"/>
      <c r="L69" s="244"/>
    </row>
    <row r="70">
      <c r="E70" s="245"/>
      <c r="F70" s="1"/>
      <c r="G70" s="1"/>
      <c r="H70" s="1"/>
      <c r="I70" s="1"/>
      <c r="J70" s="1"/>
      <c r="K70" s="246"/>
      <c r="L70" s="244"/>
    </row>
    <row r="71">
      <c r="E71" s="245"/>
      <c r="K71" s="246"/>
      <c r="L71" s="244"/>
    </row>
    <row r="72">
      <c r="E72" s="245"/>
      <c r="F72" s="1"/>
      <c r="G72" s="1"/>
      <c r="H72" s="1"/>
      <c r="I72" s="1"/>
      <c r="J72" s="1"/>
      <c r="K72" s="246"/>
      <c r="L72" s="244"/>
    </row>
    <row r="73">
      <c r="E73" s="245"/>
      <c r="K73" s="246"/>
      <c r="L73" s="244"/>
    </row>
    <row r="74">
      <c r="E74" s="245"/>
      <c r="K74" s="246"/>
      <c r="L74" s="244"/>
    </row>
    <row r="75">
      <c r="E75" s="245"/>
      <c r="K75" s="246"/>
      <c r="L75" s="244"/>
    </row>
    <row r="76">
      <c r="E76" s="245"/>
      <c r="F76" s="1"/>
      <c r="G76" s="1"/>
      <c r="H76" s="1"/>
      <c r="I76" s="1"/>
      <c r="J76" s="1"/>
      <c r="K76" s="246"/>
      <c r="L76" s="244"/>
    </row>
    <row r="1014">
      <c r="A1014" s="321"/>
      <c r="M1014" s="236"/>
    </row>
  </sheetData>
  <dataValidations>
    <dataValidation type="custom" allowBlank="1" showDropDown="1" sqref="B21:D30">
      <formula1>AND(ISNUMBER(B21),(NOT(OR(NOT(ISERROR(DATEVALUE(B21))), AND(ISNUMBER(B21), LEFT(CELL("format", B21))="D")))))</formula1>
    </dataValidation>
  </dataValidations>
  <drawing r:id="rId1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  <col customWidth="1" min="12" max="12" width="15.25"/>
  </cols>
  <sheetData>
    <row r="1">
      <c r="B1" s="204" t="s">
        <v>2658</v>
      </c>
    </row>
    <row r="2">
      <c r="B2" s="205" t="s">
        <v>2659</v>
      </c>
      <c r="C2" s="207">
        <v>0.15</v>
      </c>
      <c r="M2" s="1" t="s">
        <v>2691</v>
      </c>
      <c r="N2" s="1" t="s">
        <v>2692</v>
      </c>
    </row>
    <row r="3">
      <c r="B3" s="205" t="s">
        <v>2660</v>
      </c>
      <c r="C3" s="207">
        <v>0.0836</v>
      </c>
      <c r="K3" s="211"/>
      <c r="L3" s="211" t="s">
        <v>2627</v>
      </c>
      <c r="M3" s="1" t="s">
        <v>2235</v>
      </c>
      <c r="N3" s="309">
        <v>0.1399</v>
      </c>
      <c r="O3" s="309"/>
    </row>
    <row r="4">
      <c r="B4" s="209" t="s">
        <v>2615</v>
      </c>
      <c r="C4" s="210" t="s">
        <v>2616</v>
      </c>
      <c r="I4" s="208"/>
      <c r="K4" s="216"/>
      <c r="L4" s="299" t="s">
        <v>2058</v>
      </c>
      <c r="M4" s="299" t="s">
        <v>2641</v>
      </c>
      <c r="N4" s="300" t="s">
        <v>2703</v>
      </c>
      <c r="O4" s="300"/>
      <c r="P4" s="299"/>
      <c r="Q4" s="299"/>
      <c r="R4" s="300"/>
    </row>
    <row r="5">
      <c r="A5" s="248"/>
      <c r="B5" s="214" t="s">
        <v>2633</v>
      </c>
      <c r="C5" s="310">
        <v>0.379</v>
      </c>
      <c r="I5" s="211"/>
      <c r="J5" s="211"/>
      <c r="K5" s="216"/>
      <c r="L5" s="299" t="s">
        <v>2056</v>
      </c>
      <c r="M5" s="299" t="s">
        <v>2643</v>
      </c>
      <c r="N5" s="300" t="s">
        <v>2704</v>
      </c>
      <c r="O5" s="300"/>
      <c r="P5" s="299"/>
      <c r="Q5" s="299"/>
      <c r="R5" s="300"/>
    </row>
    <row r="6">
      <c r="A6" s="251"/>
      <c r="B6" s="214" t="s">
        <v>2637</v>
      </c>
      <c r="C6" s="310">
        <v>0.0905</v>
      </c>
      <c r="I6" s="216"/>
      <c r="J6" s="216"/>
      <c r="K6" s="216"/>
      <c r="L6" s="299" t="s">
        <v>2060</v>
      </c>
      <c r="M6" s="299" t="s">
        <v>2645</v>
      </c>
      <c r="N6" s="300" t="s">
        <v>2705</v>
      </c>
      <c r="O6" s="300"/>
      <c r="P6" s="299"/>
      <c r="Q6" s="299"/>
      <c r="R6" s="300"/>
    </row>
    <row r="7">
      <c r="A7" s="302"/>
      <c r="B7" s="214" t="s">
        <v>2647</v>
      </c>
      <c r="C7" s="310">
        <v>0.039</v>
      </c>
      <c r="E7" s="216"/>
      <c r="F7" s="219"/>
      <c r="I7" s="216"/>
      <c r="J7" s="216"/>
      <c r="K7" s="216"/>
      <c r="L7" s="299" t="s">
        <v>654</v>
      </c>
      <c r="M7" s="299" t="s">
        <v>2648</v>
      </c>
      <c r="N7" s="300" t="s">
        <v>2706</v>
      </c>
      <c r="O7" s="300"/>
      <c r="P7" s="299"/>
      <c r="Q7" s="299"/>
      <c r="R7" s="300"/>
    </row>
    <row r="8">
      <c r="A8" s="269"/>
      <c r="B8" s="214" t="s">
        <v>2584</v>
      </c>
      <c r="C8" s="310">
        <v>0.0903</v>
      </c>
      <c r="F8" s="215">
        <v>0.0295</v>
      </c>
      <c r="I8" s="216"/>
      <c r="J8" s="216"/>
      <c r="K8" s="216"/>
      <c r="L8" s="299" t="s">
        <v>1442</v>
      </c>
      <c r="M8" s="299" t="s">
        <v>2650</v>
      </c>
      <c r="N8" s="300" t="s">
        <v>2707</v>
      </c>
      <c r="O8" s="300"/>
      <c r="P8" s="299"/>
      <c r="Q8" s="299"/>
      <c r="R8" s="300"/>
    </row>
    <row r="9">
      <c r="A9" s="303"/>
      <c r="B9" s="1" t="s">
        <v>2652</v>
      </c>
      <c r="C9" s="310">
        <v>0.0355</v>
      </c>
      <c r="I9" s="216"/>
      <c r="J9" s="216"/>
      <c r="K9" s="216"/>
      <c r="L9" s="299" t="s">
        <v>2668</v>
      </c>
      <c r="M9" s="299" t="s">
        <v>2669</v>
      </c>
      <c r="N9" s="300" t="s">
        <v>2708</v>
      </c>
      <c r="O9" s="300"/>
      <c r="P9" s="299"/>
      <c r="Q9" s="299"/>
      <c r="R9" s="300"/>
    </row>
    <row r="10">
      <c r="A10" s="318"/>
      <c r="B10" s="232" t="s">
        <v>2665</v>
      </c>
      <c r="C10" s="310">
        <v>0.0936</v>
      </c>
      <c r="K10" s="216"/>
      <c r="L10" s="299" t="s">
        <v>812</v>
      </c>
      <c r="M10" s="299" t="s">
        <v>2672</v>
      </c>
      <c r="N10" s="300" t="s">
        <v>2709</v>
      </c>
      <c r="O10" s="300"/>
      <c r="P10" s="299"/>
      <c r="Q10" s="299"/>
      <c r="R10" s="300"/>
    </row>
    <row r="11">
      <c r="A11" s="318"/>
      <c r="B11" s="232" t="s">
        <v>2667</v>
      </c>
      <c r="C11" s="310">
        <v>0.0721</v>
      </c>
      <c r="K11" s="216"/>
      <c r="L11" s="299" t="s">
        <v>545</v>
      </c>
      <c r="M11" s="299" t="s">
        <v>2674</v>
      </c>
      <c r="N11" s="300" t="s">
        <v>2710</v>
      </c>
      <c r="O11" s="300"/>
      <c r="P11" s="299"/>
      <c r="Q11" s="299"/>
      <c r="R11" s="300"/>
    </row>
    <row r="12">
      <c r="A12" s="318"/>
      <c r="B12" s="232" t="s">
        <v>2671</v>
      </c>
      <c r="C12" s="310">
        <v>0.0663</v>
      </c>
      <c r="K12" s="216"/>
      <c r="L12" s="299" t="s">
        <v>2677</v>
      </c>
      <c r="M12" s="299" t="s">
        <v>2678</v>
      </c>
      <c r="N12" s="300" t="s">
        <v>2711</v>
      </c>
      <c r="O12" s="300"/>
      <c r="P12" s="299"/>
      <c r="Q12" s="299"/>
      <c r="R12" s="300"/>
    </row>
    <row r="13">
      <c r="A13" s="318"/>
      <c r="B13" s="232" t="s">
        <v>2548</v>
      </c>
      <c r="C13" s="310">
        <v>0.1224</v>
      </c>
      <c r="K13" s="216"/>
      <c r="L13" s="299" t="s">
        <v>1897</v>
      </c>
      <c r="M13" s="299" t="s">
        <v>2680</v>
      </c>
      <c r="N13" s="300" t="s">
        <v>2712</v>
      </c>
      <c r="O13" s="300"/>
      <c r="P13" s="299"/>
      <c r="Q13" s="299"/>
      <c r="R13" s="300"/>
    </row>
    <row r="14">
      <c r="A14" s="319"/>
      <c r="B14" s="232" t="s">
        <v>2676</v>
      </c>
      <c r="C14" s="310">
        <v>0.0113</v>
      </c>
      <c r="K14" s="216"/>
      <c r="L14" s="332"/>
      <c r="M14" s="299"/>
      <c r="N14" s="300"/>
    </row>
    <row r="15">
      <c r="L15" s="299"/>
      <c r="M15" s="299"/>
      <c r="N15" s="300"/>
    </row>
    <row r="18">
      <c r="B18" s="216"/>
      <c r="C18" s="219"/>
    </row>
    <row r="20">
      <c r="A20" s="220" t="s">
        <v>2619</v>
      </c>
      <c r="B20" s="221" t="s">
        <v>2620</v>
      </c>
      <c r="C20" s="222" t="s">
        <v>2621</v>
      </c>
      <c r="D20" s="223" t="s">
        <v>2622</v>
      </c>
    </row>
    <row r="21">
      <c r="A21" s="224" t="str">
        <f t="shared" ref="A21:B21" si="1">B5</f>
        <v>ONs</v>
      </c>
      <c r="B21" s="225">
        <f t="shared" si="1"/>
        <v>0.379</v>
      </c>
      <c r="C21" s="226">
        <v>-0.1</v>
      </c>
      <c r="D21" s="227">
        <f t="shared" ref="D21:D30" si="3">C21+B21</f>
        <v>0.279</v>
      </c>
    </row>
    <row r="22">
      <c r="A22" s="224" t="str">
        <f t="shared" ref="A22:B22" si="2">B6</f>
        <v>Soberanos Hard Dollar</v>
      </c>
      <c r="B22" s="225">
        <f t="shared" si="2"/>
        <v>0.0905</v>
      </c>
      <c r="C22" s="226">
        <v>0.02</v>
      </c>
      <c r="D22" s="227">
        <f t="shared" si="3"/>
        <v>0.1105</v>
      </c>
      <c r="G22" s="205"/>
    </row>
    <row r="23">
      <c r="A23" s="224" t="str">
        <f t="shared" ref="A23:B23" si="4">B8</f>
        <v>Oro</v>
      </c>
      <c r="B23" s="225">
        <f t="shared" si="4"/>
        <v>0.0903</v>
      </c>
      <c r="C23" s="226">
        <v>-0.03</v>
      </c>
      <c r="D23" s="227">
        <f t="shared" si="3"/>
        <v>0.0603</v>
      </c>
      <c r="H23" s="235"/>
    </row>
    <row r="24">
      <c r="A24" s="224" t="str">
        <f t="shared" ref="A24:B24" si="5">B9</f>
        <v>Plata</v>
      </c>
      <c r="B24" s="225">
        <f t="shared" si="5"/>
        <v>0.0355</v>
      </c>
      <c r="C24" s="226">
        <v>0.03</v>
      </c>
      <c r="D24" s="227">
        <f t="shared" si="3"/>
        <v>0.0655</v>
      </c>
      <c r="H24" s="235"/>
    </row>
    <row r="25">
      <c r="A25" s="224" t="str">
        <f t="shared" ref="A25:B25" si="6">B7</f>
        <v>Soberanos pesos</v>
      </c>
      <c r="B25" s="225">
        <f t="shared" si="6"/>
        <v>0.039</v>
      </c>
      <c r="C25" s="226">
        <v>0.08</v>
      </c>
      <c r="D25" s="227">
        <f t="shared" si="3"/>
        <v>0.119</v>
      </c>
      <c r="E25" s="192"/>
    </row>
    <row r="26">
      <c r="A26" s="224" t="str">
        <f t="shared" ref="A26:B26" si="7">B10</f>
        <v>Desarrollados ex US</v>
      </c>
      <c r="B26" s="225">
        <f t="shared" si="7"/>
        <v>0.0936</v>
      </c>
      <c r="C26" s="226">
        <v>0.0</v>
      </c>
      <c r="D26" s="320">
        <f t="shared" si="3"/>
        <v>0.0936</v>
      </c>
      <c r="E26" s="192"/>
    </row>
    <row r="27">
      <c r="A27" s="224" t="str">
        <f t="shared" ref="A27:B27" si="8">B11</f>
        <v>US small cap</v>
      </c>
      <c r="B27" s="225">
        <f t="shared" si="8"/>
        <v>0.0721</v>
      </c>
      <c r="C27" s="226">
        <v>0.0</v>
      </c>
      <c r="D27" s="320">
        <f t="shared" si="3"/>
        <v>0.0721</v>
      </c>
      <c r="E27" s="192"/>
    </row>
    <row r="28">
      <c r="A28" s="224" t="str">
        <f t="shared" ref="A28:B28" si="9">B12</f>
        <v>Emergentes</v>
      </c>
      <c r="B28" s="225">
        <f t="shared" si="9"/>
        <v>0.0663</v>
      </c>
      <c r="C28" s="226">
        <v>0.0</v>
      </c>
      <c r="D28" s="320">
        <f t="shared" si="3"/>
        <v>0.0663</v>
      </c>
      <c r="E28" s="192"/>
    </row>
    <row r="29">
      <c r="A29" s="224" t="str">
        <f t="shared" ref="A29:B29" si="10">B13</f>
        <v>Argentina</v>
      </c>
      <c r="B29" s="225">
        <f t="shared" si="10"/>
        <v>0.1224</v>
      </c>
      <c r="C29" s="226">
        <v>0.0</v>
      </c>
      <c r="D29" s="320">
        <f t="shared" si="3"/>
        <v>0.1224</v>
      </c>
      <c r="E29" s="192"/>
    </row>
    <row r="30">
      <c r="A30" s="224" t="str">
        <f t="shared" ref="A30:B30" si="11">B14</f>
        <v>Sector inmobiliario US</v>
      </c>
      <c r="B30" s="225">
        <f t="shared" si="11"/>
        <v>0.0113</v>
      </c>
      <c r="C30" s="226">
        <v>0.0</v>
      </c>
      <c r="D30" s="320">
        <f t="shared" si="3"/>
        <v>0.0113</v>
      </c>
      <c r="E30" s="192"/>
    </row>
    <row r="31">
      <c r="A31" s="228"/>
      <c r="B31" s="229">
        <f>SUM(Tactical_6[Modelo])</f>
        <v>1</v>
      </c>
      <c r="C31" s="230">
        <f>SUM(Tactical_6[Corredor +/- 10%])</f>
        <v>0</v>
      </c>
      <c r="D31" s="231">
        <f>SUM(Tactical_6[TAA])</f>
        <v>1</v>
      </c>
      <c r="E31" s="1"/>
      <c r="F31" s="1"/>
      <c r="G31" s="1"/>
    </row>
    <row r="32">
      <c r="B32" s="216"/>
      <c r="C32" s="219"/>
      <c r="E32" s="1"/>
      <c r="F32" s="1"/>
      <c r="G32" s="1"/>
    </row>
    <row r="33">
      <c r="E33" s="1"/>
      <c r="F33" s="1"/>
      <c r="G33" s="1"/>
    </row>
    <row r="34">
      <c r="C34" s="1" t="s">
        <v>2559</v>
      </c>
      <c r="E34" s="1"/>
      <c r="F34" s="1"/>
      <c r="G34" s="1"/>
    </row>
    <row r="35">
      <c r="A35" s="314"/>
      <c r="B35" s="232" t="str">
        <f>Ons!B6</f>
        <v>TLCPD</v>
      </c>
      <c r="C35" s="237">
        <f>$D$21*Ons!G6</f>
        <v>0.1085020891</v>
      </c>
      <c r="E35" s="1"/>
      <c r="F35" s="1"/>
      <c r="G35" s="1"/>
    </row>
    <row r="36">
      <c r="A36" s="314"/>
      <c r="B36" s="232" t="str">
        <f>Ons!B7</f>
        <v>BACGD</v>
      </c>
      <c r="C36" s="237">
        <f>$D$21*Ons!G7</f>
        <v>0.1704979109</v>
      </c>
      <c r="E36" s="1"/>
      <c r="F36" s="1"/>
      <c r="G36" s="1"/>
    </row>
    <row r="37">
      <c r="A37" s="314"/>
      <c r="B37" s="232" t="str">
        <f>Ons!B8</f>
        <v/>
      </c>
      <c r="C37" s="237">
        <f>$D$21*Ons!G8</f>
        <v>0</v>
      </c>
    </row>
    <row r="38">
      <c r="A38" s="314"/>
      <c r="B38" s="232" t="str">
        <f>Ons!B9</f>
        <v/>
      </c>
      <c r="C38" s="237">
        <f>$D$21*Ons!G9</f>
        <v>0</v>
      </c>
      <c r="D38" s="192"/>
    </row>
    <row r="39">
      <c r="A39" s="314"/>
      <c r="B39" s="232" t="str">
        <f>Ons!B10</f>
        <v/>
      </c>
      <c r="C39" s="237"/>
      <c r="D39" s="1"/>
      <c r="J39" s="238"/>
    </row>
    <row r="40">
      <c r="A40" s="314"/>
      <c r="B40" s="232" t="str">
        <f>Ons!B11</f>
        <v/>
      </c>
      <c r="C40" s="237"/>
      <c r="D40" s="1"/>
    </row>
    <row r="41">
      <c r="A41" s="333"/>
      <c r="B41" s="254" t="str">
        <f>Soberanos!B28</f>
        <v>BPO8D</v>
      </c>
      <c r="C41" s="237">
        <f>$D$22*Soberanos!F28</f>
        <v>0.03858797579</v>
      </c>
      <c r="J41" s="238"/>
    </row>
    <row r="42">
      <c r="A42" s="333"/>
      <c r="B42" s="232" t="str">
        <f>Soberanos!B29</f>
        <v>AL30D</v>
      </c>
      <c r="C42" s="237">
        <f>$D$22*Soberanos!F29</f>
        <v>0.04893408557</v>
      </c>
      <c r="J42" s="238"/>
    </row>
    <row r="43">
      <c r="A43" s="333"/>
      <c r="B43" s="232" t="str">
        <f>Soberanos!B30</f>
        <v>AE38D</v>
      </c>
      <c r="C43" s="237">
        <f>$D$22*Soberanos!F30</f>
        <v>0.02297793864</v>
      </c>
      <c r="J43" s="238"/>
    </row>
    <row r="44">
      <c r="A44" s="334"/>
      <c r="B44" s="232" t="s">
        <v>654</v>
      </c>
      <c r="C44" s="237">
        <f t="shared" ref="C44:C45" si="12">D23</f>
        <v>0.0603</v>
      </c>
      <c r="E44" s="245"/>
      <c r="K44" s="243"/>
      <c r="L44" s="244"/>
    </row>
    <row r="45">
      <c r="A45" s="303"/>
      <c r="B45" s="232" t="s">
        <v>1442</v>
      </c>
      <c r="C45" s="237">
        <f t="shared" si="12"/>
        <v>0.0655</v>
      </c>
      <c r="E45" s="245"/>
      <c r="K45" s="243"/>
      <c r="L45" s="244"/>
    </row>
    <row r="46">
      <c r="A46" s="302"/>
      <c r="B46" s="232" t="str">
        <f>Soberanos!B14</f>
        <v>S10N5</v>
      </c>
      <c r="C46" s="237">
        <f>$D$25*Soberanos!F14</f>
        <v>0.01287674236</v>
      </c>
      <c r="E46" s="245"/>
      <c r="F46" s="1"/>
      <c r="G46" s="1"/>
      <c r="H46" s="1"/>
      <c r="I46" s="1"/>
      <c r="J46" s="1"/>
      <c r="K46" s="243"/>
      <c r="L46" s="244"/>
    </row>
    <row r="47">
      <c r="A47" s="302"/>
      <c r="B47" s="232" t="str">
        <f>Soberanos!B15</f>
        <v/>
      </c>
      <c r="C47" s="237">
        <f>$D$25*Soberanos!F15</f>
        <v>0</v>
      </c>
      <c r="E47" s="245"/>
      <c r="F47" s="1"/>
      <c r="G47" s="1"/>
      <c r="H47" s="1"/>
      <c r="I47" s="1"/>
      <c r="J47" s="1"/>
      <c r="K47" s="243"/>
      <c r="L47" s="244"/>
    </row>
    <row r="48">
      <c r="A48" s="302"/>
      <c r="B48" s="232" t="str">
        <f>Soberanos!B16</f>
        <v>TZXD7</v>
      </c>
      <c r="C48" s="237">
        <f>$D$25*Soberanos!F16</f>
        <v>0.1061232576</v>
      </c>
      <c r="E48" s="245"/>
      <c r="F48" s="1"/>
      <c r="G48" s="1"/>
      <c r="H48" s="1"/>
      <c r="I48" s="1"/>
      <c r="J48" s="1"/>
      <c r="K48" s="243"/>
      <c r="L48" s="244"/>
    </row>
    <row r="49">
      <c r="A49" s="302"/>
      <c r="B49" s="232" t="str">
        <f>Soberanos!B17</f>
        <v/>
      </c>
      <c r="C49" s="237">
        <f>$D$25*Soberanos!F17</f>
        <v>0</v>
      </c>
      <c r="E49" s="245"/>
      <c r="F49" s="1"/>
      <c r="G49" s="1"/>
      <c r="H49" s="1"/>
      <c r="I49" s="1"/>
      <c r="J49" s="1"/>
      <c r="K49" s="243"/>
      <c r="L49" s="244"/>
    </row>
    <row r="50">
      <c r="A50" s="321"/>
      <c r="B50" s="232" t="s">
        <v>1800</v>
      </c>
      <c r="C50" s="237">
        <f t="shared" ref="C50:C51" si="13">$D$26*D67</f>
        <v>0.06042121953</v>
      </c>
      <c r="E50" s="245"/>
      <c r="F50" s="1"/>
      <c r="G50" s="1"/>
      <c r="H50" s="1"/>
      <c r="I50" s="1"/>
      <c r="J50" s="1"/>
      <c r="K50" s="243"/>
      <c r="L50" s="244"/>
    </row>
    <row r="51">
      <c r="A51" s="321"/>
      <c r="B51" s="232" t="s">
        <v>766</v>
      </c>
      <c r="C51" s="237">
        <f t="shared" si="13"/>
        <v>0.03317878047</v>
      </c>
      <c r="E51" s="207"/>
      <c r="F51" s="1"/>
      <c r="G51" s="1"/>
      <c r="H51" s="1"/>
      <c r="I51" s="1"/>
      <c r="J51" s="1"/>
      <c r="K51" s="243"/>
      <c r="L51" s="244"/>
    </row>
    <row r="52">
      <c r="A52" s="321"/>
      <c r="B52" s="232" t="s">
        <v>812</v>
      </c>
      <c r="C52" s="237">
        <f t="shared" ref="C52:C53" si="14">D27</f>
        <v>0.0721</v>
      </c>
      <c r="E52" s="245"/>
      <c r="F52" s="1"/>
      <c r="G52" s="1"/>
      <c r="H52" s="1"/>
      <c r="I52" s="1"/>
      <c r="J52" s="1"/>
      <c r="K52" s="243"/>
      <c r="L52" s="244"/>
    </row>
    <row r="53">
      <c r="A53" s="321"/>
      <c r="B53" s="232" t="s">
        <v>545</v>
      </c>
      <c r="C53" s="237">
        <f t="shared" si="14"/>
        <v>0.0663</v>
      </c>
      <c r="E53" s="245"/>
      <c r="F53" s="1"/>
      <c r="G53" s="1"/>
      <c r="H53" s="1"/>
      <c r="I53" s="1"/>
      <c r="J53" s="1"/>
      <c r="K53" s="243"/>
      <c r="L53" s="244"/>
    </row>
    <row r="54">
      <c r="A54" s="321"/>
      <c r="B54" s="336" t="s">
        <v>2003</v>
      </c>
      <c r="C54" s="237">
        <f>$D$29*'Merval + VIST'!D3</f>
        <v>0.04942639908</v>
      </c>
      <c r="E54" s="245"/>
      <c r="F54" s="1"/>
      <c r="G54" s="1"/>
      <c r="H54" s="1"/>
      <c r="I54" s="1"/>
      <c r="J54" s="1"/>
      <c r="K54" s="243"/>
      <c r="L54" s="244"/>
    </row>
    <row r="55">
      <c r="A55" s="321"/>
      <c r="B55" s="337" t="s">
        <v>641</v>
      </c>
      <c r="C55" s="237">
        <f>$D$29*'Merval + VIST'!D4</f>
        <v>0.02208902838</v>
      </c>
      <c r="E55" s="245"/>
      <c r="F55" s="1"/>
      <c r="G55" s="1"/>
      <c r="H55" s="1"/>
      <c r="I55" s="1"/>
      <c r="J55" s="1"/>
      <c r="K55" s="243"/>
      <c r="L55" s="244"/>
    </row>
    <row r="56">
      <c r="A56" s="321"/>
      <c r="B56" s="337" t="s">
        <v>211</v>
      </c>
      <c r="C56" s="237">
        <f>$D$29*'Merval + VIST'!D5</f>
        <v>0.01320201574</v>
      </c>
      <c r="E56" s="245"/>
      <c r="F56" s="1"/>
      <c r="G56" s="1"/>
      <c r="H56" s="1"/>
      <c r="I56" s="1"/>
      <c r="J56" s="1"/>
      <c r="K56" s="243"/>
      <c r="L56" s="244"/>
    </row>
    <row r="57">
      <c r="A57" s="321"/>
      <c r="B57" s="336" t="s">
        <v>1138</v>
      </c>
      <c r="C57" s="237">
        <f>$D$29*'Merval + VIST'!D6</f>
        <v>0.01157881708</v>
      </c>
      <c r="E57" s="245"/>
      <c r="F57" s="1"/>
      <c r="G57" s="1"/>
      <c r="H57" s="1"/>
      <c r="I57" s="1"/>
      <c r="J57" s="1"/>
      <c r="K57" s="243"/>
      <c r="L57" s="244"/>
    </row>
    <row r="58">
      <c r="A58" s="321"/>
      <c r="B58" s="337" t="s">
        <v>346</v>
      </c>
      <c r="C58" s="237">
        <f>$D$29*'Merval + VIST'!D7</f>
        <v>0.004693749447</v>
      </c>
      <c r="E58" s="245"/>
      <c r="F58" s="1"/>
      <c r="G58" s="1"/>
      <c r="H58" s="1"/>
      <c r="I58" s="1"/>
      <c r="J58" s="1"/>
      <c r="K58" s="243"/>
      <c r="L58" s="244"/>
    </row>
    <row r="59">
      <c r="A59" s="321"/>
      <c r="B59" s="337" t="s">
        <v>1805</v>
      </c>
      <c r="C59" s="237">
        <f>$D$29*'Merval + VIST'!D8</f>
        <v>0.01222809654</v>
      </c>
      <c r="E59" s="245"/>
      <c r="F59" s="1"/>
      <c r="G59" s="1"/>
      <c r="H59" s="1"/>
      <c r="I59" s="1"/>
      <c r="J59" s="1"/>
      <c r="K59" s="243"/>
      <c r="L59" s="244"/>
    </row>
    <row r="60">
      <c r="A60" s="321"/>
      <c r="B60" s="338" t="s">
        <v>305</v>
      </c>
      <c r="C60" s="237">
        <f>$D$29*'Merval + VIST'!D9</f>
        <v>0.003311325259</v>
      </c>
      <c r="E60" s="245"/>
      <c r="F60" s="1"/>
      <c r="G60" s="1"/>
      <c r="H60" s="1"/>
      <c r="I60" s="1"/>
      <c r="J60" s="1"/>
      <c r="K60" s="243"/>
      <c r="L60" s="244"/>
    </row>
    <row r="61">
      <c r="A61" s="321"/>
      <c r="B61" s="338" t="s">
        <v>1547</v>
      </c>
      <c r="C61" s="237">
        <f>$D$29*'Merval + VIST'!D10</f>
        <v>0.005870568473</v>
      </c>
      <c r="E61" s="245"/>
      <c r="F61" s="1"/>
      <c r="G61" s="1"/>
      <c r="H61" s="1"/>
      <c r="I61" s="1"/>
      <c r="J61" s="1"/>
      <c r="K61" s="243"/>
      <c r="L61" s="244"/>
    </row>
    <row r="62">
      <c r="A62" s="322"/>
      <c r="B62" s="232" t="s">
        <v>1897</v>
      </c>
      <c r="C62" s="237">
        <f>D30</f>
        <v>0.0113</v>
      </c>
      <c r="E62" s="245"/>
      <c r="F62" s="1"/>
      <c r="G62" s="1"/>
      <c r="H62" s="1"/>
      <c r="I62" s="1"/>
      <c r="J62" s="1"/>
      <c r="K62" s="243"/>
      <c r="L62" s="244"/>
    </row>
    <row r="63">
      <c r="A63" s="234"/>
      <c r="B63" s="234"/>
      <c r="C63" s="233">
        <f>SUM(C35:C62)</f>
        <v>1</v>
      </c>
      <c r="E63" s="245"/>
      <c r="F63" s="1"/>
      <c r="G63" s="1"/>
      <c r="H63" s="1"/>
      <c r="I63" s="1"/>
      <c r="J63" s="1"/>
      <c r="K63" s="243"/>
      <c r="L63" s="244"/>
    </row>
    <row r="64">
      <c r="E64" s="245"/>
      <c r="K64" s="243"/>
      <c r="L64" s="244"/>
    </row>
    <row r="65">
      <c r="D65" s="239"/>
      <c r="E65" s="245"/>
      <c r="K65" s="243"/>
      <c r="L65" s="244"/>
    </row>
    <row r="66">
      <c r="D66" s="239"/>
      <c r="E66" s="245"/>
      <c r="K66" s="246"/>
      <c r="L66" s="244"/>
    </row>
    <row r="67">
      <c r="B67" s="1" t="s">
        <v>1800</v>
      </c>
      <c r="C67" s="1">
        <v>22962.0</v>
      </c>
      <c r="D67" s="252">
        <f t="shared" ref="D67:D68" si="15">C67/$C$69</f>
        <v>0.6455258497</v>
      </c>
      <c r="E67" s="245"/>
      <c r="K67" s="246"/>
      <c r="L67" s="244"/>
    </row>
    <row r="68">
      <c r="B68" s="1" t="s">
        <v>766</v>
      </c>
      <c r="C68" s="1">
        <v>12609.0</v>
      </c>
      <c r="D68" s="252">
        <f t="shared" si="15"/>
        <v>0.3544741503</v>
      </c>
      <c r="E68" s="245"/>
      <c r="K68" s="246"/>
      <c r="L68" s="244"/>
    </row>
    <row r="69">
      <c r="C69" s="197">
        <f>SUM(C67:C68)</f>
        <v>35571</v>
      </c>
      <c r="E69" s="245"/>
      <c r="F69" s="1"/>
      <c r="G69" s="1"/>
      <c r="H69" s="1"/>
      <c r="I69" s="1"/>
      <c r="J69" s="1"/>
      <c r="K69" s="246"/>
      <c r="L69" s="244"/>
    </row>
    <row r="70">
      <c r="E70" s="245"/>
      <c r="K70" s="246"/>
      <c r="L70" s="244"/>
    </row>
    <row r="71">
      <c r="C71" s="1"/>
      <c r="D71" s="1"/>
      <c r="E71" s="245"/>
      <c r="K71" s="246"/>
      <c r="L71" s="244"/>
    </row>
    <row r="72">
      <c r="E72" s="245"/>
      <c r="K72" s="246"/>
      <c r="L72" s="244"/>
    </row>
    <row r="73">
      <c r="E73" s="245"/>
      <c r="F73" s="1"/>
      <c r="G73" s="1"/>
      <c r="H73" s="1"/>
      <c r="I73" s="1"/>
      <c r="J73" s="1"/>
      <c r="K73" s="246"/>
      <c r="L73" s="244"/>
    </row>
    <row r="74">
      <c r="E74" s="245"/>
      <c r="F74" s="1"/>
      <c r="G74" s="1"/>
      <c r="H74" s="1"/>
      <c r="I74" s="1"/>
      <c r="J74" s="1"/>
      <c r="K74" s="246"/>
      <c r="L74" s="244"/>
    </row>
    <row r="75">
      <c r="E75" s="245"/>
      <c r="K75" s="246"/>
      <c r="L75" s="244"/>
    </row>
    <row r="76">
      <c r="E76" s="245"/>
      <c r="F76" s="1"/>
      <c r="G76" s="1"/>
      <c r="H76" s="1"/>
      <c r="I76" s="1"/>
      <c r="J76" s="1"/>
      <c r="K76" s="246"/>
      <c r="L76" s="244"/>
    </row>
    <row r="77">
      <c r="E77" s="245"/>
      <c r="F77" s="1"/>
      <c r="G77" s="1"/>
      <c r="H77" s="1"/>
      <c r="I77" s="1"/>
      <c r="J77" s="1"/>
      <c r="K77" s="246"/>
      <c r="L77" s="244"/>
    </row>
    <row r="78">
      <c r="E78" s="245"/>
      <c r="K78" s="246"/>
      <c r="L78" s="244"/>
    </row>
    <row r="79">
      <c r="E79" s="245"/>
      <c r="F79" s="1"/>
      <c r="G79" s="1"/>
      <c r="H79" s="1"/>
      <c r="I79" s="1"/>
      <c r="J79" s="1"/>
      <c r="K79" s="246"/>
      <c r="L79" s="244"/>
    </row>
    <row r="80">
      <c r="E80" s="245"/>
      <c r="K80" s="246"/>
      <c r="L80" s="244"/>
    </row>
    <row r="81">
      <c r="E81" s="245"/>
      <c r="K81" s="246"/>
      <c r="L81" s="244"/>
    </row>
    <row r="82">
      <c r="E82" s="245"/>
      <c r="K82" s="246"/>
      <c r="L82" s="244"/>
    </row>
    <row r="83">
      <c r="E83" s="245"/>
      <c r="F83" s="1"/>
      <c r="G83" s="1"/>
      <c r="H83" s="1"/>
      <c r="I83" s="1"/>
      <c r="J83" s="1"/>
      <c r="K83" s="246"/>
      <c r="L83" s="244"/>
    </row>
    <row r="1021">
      <c r="A1021" s="321"/>
      <c r="M1021" s="236"/>
    </row>
  </sheetData>
  <dataValidations>
    <dataValidation type="custom" allowBlank="1" showDropDown="1" sqref="B21:D30">
      <formula1>AND(ISNUMBER(B21),(NOT(OR(NOT(ISERROR(DATEVALUE(B21))), AND(ISNUMBER(B21), LEFT(CELL("format", B21))="D")))))</formula1>
    </dataValidation>
  </dataValidations>
  <drawing r:id="rId1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04" t="s">
        <v>2658</v>
      </c>
    </row>
    <row r="2">
      <c r="B2" s="205" t="s">
        <v>2635</v>
      </c>
      <c r="C2" s="207">
        <v>0.3</v>
      </c>
    </row>
    <row r="3">
      <c r="B3" s="205" t="s">
        <v>2640</v>
      </c>
      <c r="C3" s="207">
        <v>0.1211</v>
      </c>
      <c r="K3" s="299"/>
      <c r="L3" s="299"/>
      <c r="M3" s="300"/>
    </row>
    <row r="4">
      <c r="B4" s="209" t="s">
        <v>2615</v>
      </c>
      <c r="C4" s="210" t="s">
        <v>2616</v>
      </c>
      <c r="I4" s="208"/>
      <c r="K4" s="299" t="s">
        <v>2058</v>
      </c>
      <c r="L4" s="299" t="s">
        <v>2641</v>
      </c>
      <c r="M4" s="300" t="s">
        <v>2713</v>
      </c>
    </row>
    <row r="5">
      <c r="A5" s="248"/>
      <c r="B5" s="214" t="s">
        <v>2633</v>
      </c>
      <c r="C5" s="310">
        <v>0.0884</v>
      </c>
      <c r="I5" s="211"/>
      <c r="J5" s="211"/>
      <c r="K5" s="299" t="s">
        <v>2056</v>
      </c>
      <c r="L5" s="299" t="s">
        <v>2643</v>
      </c>
      <c r="M5" s="300" t="s">
        <v>2714</v>
      </c>
    </row>
    <row r="6">
      <c r="A6" s="251"/>
      <c r="B6" s="214" t="s">
        <v>2637</v>
      </c>
      <c r="C6" s="310">
        <v>0.0593</v>
      </c>
      <c r="I6" s="216"/>
      <c r="J6" s="216"/>
      <c r="K6" s="299" t="s">
        <v>2060</v>
      </c>
      <c r="L6" s="299" t="s">
        <v>2645</v>
      </c>
      <c r="M6" s="300" t="s">
        <v>2715</v>
      </c>
    </row>
    <row r="7">
      <c r="A7" s="302"/>
      <c r="B7" s="214" t="s">
        <v>2647</v>
      </c>
      <c r="C7" s="310">
        <v>0.2106</v>
      </c>
      <c r="I7" s="216"/>
      <c r="J7" s="216"/>
      <c r="K7" s="299" t="s">
        <v>654</v>
      </c>
      <c r="L7" s="299" t="s">
        <v>2648</v>
      </c>
      <c r="M7" s="300" t="s">
        <v>2716</v>
      </c>
    </row>
    <row r="8">
      <c r="A8" s="269"/>
      <c r="B8" s="214" t="s">
        <v>2584</v>
      </c>
      <c r="C8" s="310">
        <v>0.0275</v>
      </c>
      <c r="I8" s="216"/>
      <c r="J8" s="216"/>
      <c r="K8" s="299" t="s">
        <v>1442</v>
      </c>
      <c r="L8" s="299" t="s">
        <v>2650</v>
      </c>
      <c r="M8" s="300" t="s">
        <v>2717</v>
      </c>
    </row>
    <row r="9">
      <c r="A9" s="339"/>
      <c r="B9" s="214" t="s">
        <v>2652</v>
      </c>
      <c r="C9" s="310">
        <v>0.0343</v>
      </c>
      <c r="I9" s="216"/>
      <c r="J9" s="216"/>
      <c r="K9" s="299" t="s">
        <v>2668</v>
      </c>
      <c r="L9" s="299" t="s">
        <v>2669</v>
      </c>
      <c r="M9" s="300" t="s">
        <v>2718</v>
      </c>
    </row>
    <row r="10">
      <c r="A10" s="318"/>
      <c r="B10" s="232" t="s">
        <v>2665</v>
      </c>
      <c r="C10" s="310">
        <v>0.0357</v>
      </c>
      <c r="K10" s="299" t="s">
        <v>812</v>
      </c>
      <c r="L10" s="299" t="s">
        <v>2672</v>
      </c>
      <c r="M10" s="300" t="s">
        <v>2697</v>
      </c>
    </row>
    <row r="11">
      <c r="A11" s="318"/>
      <c r="B11" s="232" t="s">
        <v>2667</v>
      </c>
      <c r="C11" s="310">
        <v>0.074</v>
      </c>
      <c r="K11" s="299" t="s">
        <v>545</v>
      </c>
      <c r="L11" s="299" t="s">
        <v>2674</v>
      </c>
      <c r="M11" s="300" t="s">
        <v>2701</v>
      </c>
    </row>
    <row r="12">
      <c r="A12" s="318"/>
      <c r="B12" s="232" t="s">
        <v>2671</v>
      </c>
      <c r="C12" s="310">
        <v>0.0488</v>
      </c>
      <c r="K12" s="299" t="s">
        <v>2677</v>
      </c>
      <c r="L12" s="299" t="s">
        <v>2678</v>
      </c>
      <c r="M12" s="300" t="s">
        <v>2719</v>
      </c>
    </row>
    <row r="13">
      <c r="A13" s="318"/>
      <c r="B13" s="232" t="s">
        <v>2548</v>
      </c>
      <c r="C13" s="310">
        <v>0.3924</v>
      </c>
      <c r="K13" s="299" t="s">
        <v>1897</v>
      </c>
      <c r="L13" s="299" t="s">
        <v>2680</v>
      </c>
      <c r="M13" s="300" t="s">
        <v>2720</v>
      </c>
    </row>
    <row r="14">
      <c r="A14" s="319"/>
      <c r="B14" s="232" t="s">
        <v>2676</v>
      </c>
      <c r="C14" s="310">
        <v>0.029</v>
      </c>
      <c r="K14" s="299" t="s">
        <v>1897</v>
      </c>
      <c r="L14" s="299" t="s">
        <v>2680</v>
      </c>
      <c r="M14" s="300" t="s">
        <v>2712</v>
      </c>
    </row>
    <row r="18">
      <c r="B18" s="216"/>
      <c r="C18" s="219"/>
    </row>
    <row r="20">
      <c r="A20" s="220" t="s">
        <v>2619</v>
      </c>
      <c r="B20" s="221" t="s">
        <v>2620</v>
      </c>
      <c r="C20" s="222" t="s">
        <v>2621</v>
      </c>
      <c r="D20" s="223" t="s">
        <v>2622</v>
      </c>
    </row>
    <row r="21">
      <c r="A21" s="224" t="str">
        <f t="shared" ref="A21:B21" si="1">B5</f>
        <v>ONs</v>
      </c>
      <c r="B21" s="225">
        <f t="shared" si="1"/>
        <v>0.0884</v>
      </c>
      <c r="C21" s="226">
        <v>-0.0884</v>
      </c>
      <c r="D21" s="227">
        <f t="shared" ref="D21:D30" si="3">C21+B21</f>
        <v>0</v>
      </c>
    </row>
    <row r="22">
      <c r="A22" s="224" t="str">
        <f t="shared" ref="A22:B22" si="2">B6</f>
        <v>Soberanos Hard Dollar</v>
      </c>
      <c r="B22" s="225">
        <f t="shared" si="2"/>
        <v>0.0593</v>
      </c>
      <c r="C22" s="226">
        <v>0.038</v>
      </c>
      <c r="D22" s="227">
        <f t="shared" si="3"/>
        <v>0.0973</v>
      </c>
      <c r="G22" s="205"/>
    </row>
    <row r="23">
      <c r="A23" s="224" t="str">
        <f t="shared" ref="A23:B23" si="4">B8</f>
        <v>Oro</v>
      </c>
      <c r="B23" s="225">
        <f t="shared" si="4"/>
        <v>0.0275</v>
      </c>
      <c r="C23" s="226">
        <v>0.0</v>
      </c>
      <c r="D23" s="227">
        <f t="shared" si="3"/>
        <v>0.0275</v>
      </c>
      <c r="H23" s="235"/>
    </row>
    <row r="24">
      <c r="A24" s="224" t="str">
        <f t="shared" ref="A24:B24" si="5">B9</f>
        <v>Plata</v>
      </c>
      <c r="B24" s="225">
        <f t="shared" si="5"/>
        <v>0.0343</v>
      </c>
      <c r="C24" s="226">
        <v>0.0</v>
      </c>
      <c r="D24" s="227">
        <f t="shared" si="3"/>
        <v>0.0343</v>
      </c>
      <c r="H24" s="235"/>
    </row>
    <row r="25">
      <c r="A25" s="224" t="str">
        <f t="shared" ref="A25:B25" si="6">B7</f>
        <v>Soberanos pesos</v>
      </c>
      <c r="B25" s="225">
        <f t="shared" si="6"/>
        <v>0.2106</v>
      </c>
      <c r="C25" s="226">
        <v>0.05</v>
      </c>
      <c r="D25" s="227">
        <f t="shared" si="3"/>
        <v>0.2606</v>
      </c>
      <c r="E25" s="192"/>
    </row>
    <row r="26">
      <c r="A26" s="224" t="str">
        <f t="shared" ref="A26:B26" si="7">B10</f>
        <v>Desarrollados ex US</v>
      </c>
      <c r="B26" s="225">
        <f t="shared" si="7"/>
        <v>0.0357</v>
      </c>
      <c r="C26" s="226">
        <v>0.05</v>
      </c>
      <c r="D26" s="320">
        <f t="shared" si="3"/>
        <v>0.0857</v>
      </c>
      <c r="E26" s="192"/>
    </row>
    <row r="27">
      <c r="A27" s="224" t="str">
        <f t="shared" ref="A27:B27" si="8">B11</f>
        <v>US small cap</v>
      </c>
      <c r="B27" s="225">
        <f t="shared" si="8"/>
        <v>0.074</v>
      </c>
      <c r="C27" s="226">
        <v>0.0</v>
      </c>
      <c r="D27" s="320">
        <f t="shared" si="3"/>
        <v>0.074</v>
      </c>
      <c r="E27" s="192"/>
    </row>
    <row r="28">
      <c r="A28" s="224" t="str">
        <f t="shared" ref="A28:B28" si="9">B12</f>
        <v>Emergentes</v>
      </c>
      <c r="B28" s="225">
        <f t="shared" si="9"/>
        <v>0.0488</v>
      </c>
      <c r="C28" s="226">
        <v>0.05</v>
      </c>
      <c r="D28" s="320">
        <f t="shared" si="3"/>
        <v>0.0988</v>
      </c>
      <c r="E28" s="192"/>
    </row>
    <row r="29">
      <c r="A29" s="224" t="str">
        <f t="shared" ref="A29:B29" si="10">B13</f>
        <v>Argentina</v>
      </c>
      <c r="B29" s="225">
        <f t="shared" si="10"/>
        <v>0.3924</v>
      </c>
      <c r="C29" s="226">
        <v>-0.1</v>
      </c>
      <c r="D29" s="320">
        <f t="shared" si="3"/>
        <v>0.2924</v>
      </c>
      <c r="E29" s="192"/>
    </row>
    <row r="30">
      <c r="A30" s="224" t="str">
        <f t="shared" ref="A30:B30" si="11">B14</f>
        <v>Sector inmobiliario US</v>
      </c>
      <c r="B30" s="225">
        <f t="shared" si="11"/>
        <v>0.029</v>
      </c>
      <c r="C30" s="226">
        <v>0.0</v>
      </c>
      <c r="D30" s="320">
        <f t="shared" si="3"/>
        <v>0.029</v>
      </c>
      <c r="E30" s="192"/>
    </row>
    <row r="31">
      <c r="A31" s="228"/>
      <c r="B31" s="229">
        <f>SUM(Tactical_7[Modelo])</f>
        <v>1</v>
      </c>
      <c r="C31" s="230">
        <f>SUM(Tactical_7[Corredor +/- 10%])</f>
        <v>-0.0004</v>
      </c>
      <c r="D31" s="231">
        <f>SUM(Tactical_7[TAA])</f>
        <v>0.9996</v>
      </c>
      <c r="E31" s="1"/>
      <c r="F31" s="1"/>
      <c r="G31" s="1"/>
    </row>
    <row r="32">
      <c r="B32" s="216"/>
      <c r="C32" s="219"/>
      <c r="E32" s="1"/>
      <c r="F32" s="1"/>
      <c r="G32" s="1"/>
    </row>
    <row r="33">
      <c r="E33" s="1"/>
      <c r="F33" s="1"/>
      <c r="G33" s="1"/>
    </row>
    <row r="34">
      <c r="C34" s="1" t="s">
        <v>2559</v>
      </c>
      <c r="E34" s="1"/>
      <c r="F34" s="1"/>
      <c r="G34" s="1"/>
    </row>
    <row r="35">
      <c r="A35" s="333"/>
      <c r="B35" s="254" t="str">
        <f>Soberanos!B36</f>
        <v>BPO8D</v>
      </c>
      <c r="C35" s="237">
        <f>$D$22*Soberanos!F36</f>
        <v>0.02805716896</v>
      </c>
      <c r="J35" s="238"/>
    </row>
    <row r="36">
      <c r="A36" s="333"/>
      <c r="B36" s="232" t="str">
        <f>Soberanos!B37</f>
        <v>AL30D</v>
      </c>
      <c r="C36" s="237">
        <f>$D$22*Soberanos!F37</f>
        <v>0.02212505545</v>
      </c>
      <c r="J36" s="238"/>
    </row>
    <row r="37">
      <c r="A37" s="333"/>
      <c r="B37" s="232" t="str">
        <f>Soberanos!B38</f>
        <v>AE38D</v>
      </c>
      <c r="C37" s="237">
        <f>$D$22*Soberanos!F38</f>
        <v>0.04711777559</v>
      </c>
      <c r="J37" s="238"/>
    </row>
    <row r="38">
      <c r="A38" s="334"/>
      <c r="B38" s="232" t="s">
        <v>654</v>
      </c>
      <c r="C38" s="237">
        <f t="shared" ref="C38:C39" si="12">D23</f>
        <v>0.0275</v>
      </c>
      <c r="E38" s="245"/>
      <c r="K38" s="243"/>
      <c r="L38" s="244"/>
    </row>
    <row r="39">
      <c r="A39" s="339"/>
      <c r="B39" s="232" t="s">
        <v>1442</v>
      </c>
      <c r="C39" s="237">
        <f t="shared" si="12"/>
        <v>0.0343</v>
      </c>
      <c r="E39" s="245"/>
      <c r="K39" s="243"/>
      <c r="L39" s="244"/>
    </row>
    <row r="40">
      <c r="A40" s="302"/>
      <c r="B40" s="232" t="str">
        <f>Soberanos!B21</f>
        <v>T30J6</v>
      </c>
      <c r="C40" s="237">
        <f>Soberanos!F21*$D$25</f>
        <v>0.05143760101</v>
      </c>
      <c r="E40" s="245"/>
      <c r="F40" s="1"/>
      <c r="G40" s="1"/>
      <c r="H40" s="1"/>
      <c r="I40" s="1"/>
      <c r="J40" s="1"/>
      <c r="K40" s="243"/>
      <c r="L40" s="244"/>
    </row>
    <row r="41">
      <c r="A41" s="302"/>
      <c r="B41" s="232" t="str">
        <f>Soberanos!B22</f>
        <v>TTD26</v>
      </c>
      <c r="C41" s="237">
        <f>Soberanos!F22*$D$25</f>
        <v>0.07708008459</v>
      </c>
      <c r="E41" s="245"/>
      <c r="F41" s="1"/>
      <c r="G41" s="1"/>
      <c r="H41" s="1"/>
      <c r="I41" s="1"/>
      <c r="J41" s="1"/>
      <c r="K41" s="243"/>
      <c r="L41" s="244"/>
    </row>
    <row r="42">
      <c r="A42" s="302"/>
      <c r="B42" s="232" t="str">
        <f>Soberanos!B23</f>
        <v>TZXD7</v>
      </c>
      <c r="C42" s="237">
        <f>Soberanos!F23*$D$25</f>
        <v>0.1320823144</v>
      </c>
      <c r="E42" s="245"/>
      <c r="F42" s="1"/>
      <c r="G42" s="1"/>
      <c r="H42" s="1"/>
      <c r="I42" s="1"/>
      <c r="J42" s="1"/>
      <c r="K42" s="243"/>
      <c r="L42" s="244"/>
    </row>
    <row r="43">
      <c r="A43" s="302"/>
      <c r="B43" s="232" t="str">
        <f>Soberanos!B24</f>
        <v/>
      </c>
      <c r="C43" s="237">
        <f>Soberanos!F24*$D$25</f>
        <v>0</v>
      </c>
      <c r="E43" s="245"/>
      <c r="F43" s="1"/>
      <c r="G43" s="1"/>
      <c r="H43" s="1"/>
      <c r="I43" s="1"/>
      <c r="J43" s="1"/>
      <c r="K43" s="243"/>
      <c r="L43" s="244"/>
    </row>
    <row r="44">
      <c r="A44" s="321"/>
      <c r="B44" s="232" t="s">
        <v>1800</v>
      </c>
      <c r="C44" s="237">
        <f t="shared" ref="C44:C45" si="13">$D$26*D67</f>
        <v>0.05532156532</v>
      </c>
      <c r="E44" s="245"/>
      <c r="F44" s="1"/>
      <c r="G44" s="1"/>
      <c r="H44" s="1"/>
      <c r="I44" s="1"/>
      <c r="J44" s="1"/>
      <c r="K44" s="243"/>
      <c r="L44" s="244"/>
    </row>
    <row r="45">
      <c r="A45" s="321"/>
      <c r="B45" s="232" t="s">
        <v>766</v>
      </c>
      <c r="C45" s="237">
        <f t="shared" si="13"/>
        <v>0.03037843468</v>
      </c>
      <c r="E45" s="245"/>
      <c r="F45" s="1"/>
      <c r="G45" s="1"/>
      <c r="H45" s="1"/>
      <c r="I45" s="1"/>
      <c r="J45" s="1"/>
      <c r="K45" s="243"/>
      <c r="L45" s="244"/>
    </row>
    <row r="46">
      <c r="A46" s="321"/>
      <c r="B46" s="232" t="s">
        <v>812</v>
      </c>
      <c r="C46" s="237">
        <f>D27</f>
        <v>0.074</v>
      </c>
      <c r="E46" s="245"/>
      <c r="F46" s="1"/>
      <c r="G46" s="1"/>
      <c r="H46" s="1"/>
      <c r="I46" s="1"/>
      <c r="J46" s="1"/>
      <c r="K46" s="243"/>
      <c r="L46" s="244"/>
    </row>
    <row r="47">
      <c r="A47" s="321"/>
      <c r="B47" s="232" t="s">
        <v>591</v>
      </c>
      <c r="C47" s="237">
        <f t="shared" ref="C47:C48" si="14">D62*$D$28</f>
        <v>0.08660493907</v>
      </c>
      <c r="E47" s="245"/>
      <c r="F47" s="1"/>
      <c r="G47" s="1"/>
      <c r="H47" s="1"/>
      <c r="I47" s="1"/>
      <c r="J47" s="1"/>
      <c r="K47" s="243"/>
      <c r="L47" s="244"/>
    </row>
    <row r="48">
      <c r="A48" s="321"/>
      <c r="B48" s="232" t="s">
        <v>568</v>
      </c>
      <c r="C48" s="237">
        <f t="shared" si="14"/>
        <v>0.01219506093</v>
      </c>
      <c r="E48" s="245"/>
      <c r="F48" s="1"/>
      <c r="G48" s="1"/>
      <c r="H48" s="1"/>
      <c r="I48" s="1"/>
      <c r="J48" s="1"/>
      <c r="K48" s="243"/>
      <c r="L48" s="244"/>
    </row>
    <row r="49">
      <c r="A49" s="321"/>
      <c r="B49" s="336" t="s">
        <v>2003</v>
      </c>
      <c r="C49" s="237">
        <f>$D$29*'Merval + VIST'!D3</f>
        <v>0.1180741756</v>
      </c>
      <c r="E49" s="245"/>
      <c r="F49" s="1"/>
      <c r="G49" s="1"/>
      <c r="H49" s="1"/>
      <c r="I49" s="1"/>
      <c r="J49" s="1"/>
      <c r="K49" s="243"/>
      <c r="L49" s="244"/>
    </row>
    <row r="50">
      <c r="A50" s="321"/>
      <c r="B50" s="337" t="s">
        <v>641</v>
      </c>
      <c r="C50" s="237">
        <f>$D$29*'Merval + VIST'!D4</f>
        <v>0.05276823446</v>
      </c>
      <c r="E50" s="245"/>
      <c r="F50" s="1"/>
      <c r="G50" s="1"/>
      <c r="H50" s="1"/>
      <c r="I50" s="1"/>
      <c r="J50" s="1"/>
      <c r="K50" s="243"/>
      <c r="L50" s="244"/>
    </row>
    <row r="51">
      <c r="A51" s="321"/>
      <c r="B51" s="337" t="s">
        <v>211</v>
      </c>
      <c r="C51" s="237">
        <f>$D$29*'Merval + VIST'!D5</f>
        <v>0.0315381487</v>
      </c>
      <c r="E51" s="245"/>
      <c r="F51" s="1"/>
      <c r="G51" s="1"/>
      <c r="H51" s="1"/>
      <c r="I51" s="1"/>
      <c r="J51" s="1"/>
      <c r="K51" s="243"/>
      <c r="L51" s="244"/>
    </row>
    <row r="52">
      <c r="A52" s="321"/>
      <c r="B52" s="336" t="s">
        <v>1138</v>
      </c>
      <c r="C52" s="237">
        <f>$D$29*'Merval + VIST'!D6</f>
        <v>0.02766050747</v>
      </c>
      <c r="E52" s="245"/>
      <c r="F52" s="1"/>
      <c r="G52" s="1"/>
      <c r="H52" s="1"/>
      <c r="I52" s="1"/>
      <c r="J52" s="1"/>
      <c r="K52" s="243"/>
      <c r="L52" s="244"/>
    </row>
    <row r="53">
      <c r="A53" s="321"/>
      <c r="B53" s="337" t="s">
        <v>346</v>
      </c>
      <c r="C53" s="237">
        <f>$D$29*'Merval + VIST'!D7</f>
        <v>0.0112128459</v>
      </c>
      <c r="E53" s="245"/>
      <c r="F53" s="1"/>
      <c r="G53" s="1"/>
      <c r="H53" s="1"/>
      <c r="I53" s="1"/>
      <c r="J53" s="1"/>
      <c r="K53" s="243"/>
      <c r="L53" s="244"/>
    </row>
    <row r="54">
      <c r="A54" s="321"/>
      <c r="B54" s="337" t="s">
        <v>1805</v>
      </c>
      <c r="C54" s="237">
        <f>$D$29*'Merval + VIST'!D8</f>
        <v>0.02921156396</v>
      </c>
      <c r="E54" s="245"/>
      <c r="F54" s="1"/>
      <c r="G54" s="1"/>
      <c r="H54" s="1"/>
      <c r="I54" s="1"/>
      <c r="J54" s="1"/>
      <c r="K54" s="243"/>
      <c r="L54" s="244"/>
    </row>
    <row r="55">
      <c r="A55" s="321"/>
      <c r="B55" s="338" t="s">
        <v>305</v>
      </c>
      <c r="C55" s="237">
        <f>$D$29*'Merval + VIST'!D9</f>
        <v>0.007910388118</v>
      </c>
      <c r="E55" s="245"/>
      <c r="F55" s="1"/>
      <c r="G55" s="1"/>
      <c r="H55" s="1"/>
      <c r="I55" s="1"/>
      <c r="J55" s="1"/>
      <c r="K55" s="243"/>
      <c r="L55" s="244"/>
    </row>
    <row r="56">
      <c r="A56" s="321"/>
      <c r="B56" s="338" t="s">
        <v>1547</v>
      </c>
      <c r="C56" s="237">
        <f>$D$29*'Merval + VIST'!D10</f>
        <v>0.0140241358</v>
      </c>
      <c r="E56" s="245"/>
      <c r="F56" s="1"/>
      <c r="G56" s="1"/>
      <c r="H56" s="1"/>
      <c r="I56" s="1"/>
      <c r="J56" s="1"/>
      <c r="K56" s="243"/>
      <c r="L56" s="244"/>
    </row>
    <row r="57">
      <c r="A57" s="322"/>
      <c r="B57" s="232" t="s">
        <v>1897</v>
      </c>
      <c r="C57" s="237">
        <f>D30</f>
        <v>0.029</v>
      </c>
      <c r="E57" s="245"/>
      <c r="F57" s="1"/>
      <c r="G57" s="1"/>
      <c r="H57" s="1"/>
      <c r="I57" s="1"/>
      <c r="J57" s="1"/>
      <c r="K57" s="243"/>
      <c r="L57" s="244"/>
    </row>
    <row r="58">
      <c r="C58" s="340">
        <f>SUM(C35:C57)</f>
        <v>0.9996</v>
      </c>
      <c r="E58" s="245"/>
      <c r="F58" s="1"/>
      <c r="G58" s="1"/>
      <c r="H58" s="1"/>
      <c r="I58" s="1"/>
      <c r="J58" s="1"/>
      <c r="K58" s="243"/>
      <c r="L58" s="244"/>
    </row>
    <row r="59">
      <c r="E59" s="245"/>
      <c r="K59" s="243"/>
      <c r="L59" s="244"/>
    </row>
    <row r="60">
      <c r="D60" s="239"/>
      <c r="E60" s="245"/>
      <c r="K60" s="243"/>
      <c r="L60" s="244"/>
    </row>
    <row r="61">
      <c r="D61" s="239"/>
      <c r="E61" s="245"/>
      <c r="K61" s="246"/>
      <c r="L61" s="244"/>
    </row>
    <row r="62">
      <c r="B62" s="1" t="s">
        <v>2486</v>
      </c>
      <c r="C62" s="1">
        <v>2457499.06</v>
      </c>
      <c r="D62" s="239">
        <f t="shared" ref="D62:D63" si="15">C62/$C$64</f>
        <v>0.8765682092</v>
      </c>
      <c r="E62" s="245"/>
      <c r="K62" s="246"/>
      <c r="L62" s="244"/>
    </row>
    <row r="63">
      <c r="B63" s="1" t="s">
        <v>2483</v>
      </c>
      <c r="C63" s="1">
        <v>346046.67</v>
      </c>
      <c r="D63" s="239">
        <f t="shared" si="15"/>
        <v>0.1234317908</v>
      </c>
      <c r="E63" s="245"/>
      <c r="K63" s="246"/>
      <c r="L63" s="244"/>
    </row>
    <row r="64">
      <c r="C64" s="197">
        <f>SUM(C62:C63)</f>
        <v>2803545.73</v>
      </c>
      <c r="E64" s="245"/>
      <c r="F64" s="1"/>
      <c r="G64" s="1"/>
      <c r="H64" s="1"/>
      <c r="I64" s="1"/>
      <c r="J64" s="1"/>
      <c r="K64" s="246"/>
      <c r="L64" s="244"/>
    </row>
    <row r="65">
      <c r="E65" s="245"/>
      <c r="K65" s="246"/>
      <c r="L65" s="244"/>
    </row>
    <row r="66">
      <c r="C66" s="1"/>
      <c r="D66" s="1"/>
      <c r="E66" s="245"/>
      <c r="K66" s="246"/>
      <c r="L66" s="244"/>
    </row>
    <row r="67">
      <c r="B67" s="1" t="s">
        <v>1800</v>
      </c>
      <c r="C67" s="1">
        <v>22962.0</v>
      </c>
      <c r="D67" s="252">
        <f t="shared" ref="D67:D68" si="16">C67/$C$69</f>
        <v>0.6455258497</v>
      </c>
      <c r="E67" s="245"/>
      <c r="K67" s="246"/>
      <c r="L67" s="244"/>
    </row>
    <row r="68">
      <c r="B68" s="1" t="s">
        <v>766</v>
      </c>
      <c r="C68" s="1">
        <v>12609.0</v>
      </c>
      <c r="D68" s="252">
        <f t="shared" si="16"/>
        <v>0.3544741503</v>
      </c>
      <c r="E68" s="245"/>
      <c r="F68" s="1"/>
      <c r="G68" s="1"/>
      <c r="H68" s="1"/>
      <c r="I68" s="1"/>
      <c r="J68" s="1"/>
      <c r="K68" s="246"/>
      <c r="L68" s="244"/>
    </row>
    <row r="69">
      <c r="C69" s="197">
        <f>SUM(C67:C68)</f>
        <v>35571</v>
      </c>
      <c r="E69" s="245"/>
      <c r="F69" s="1"/>
      <c r="G69" s="1"/>
      <c r="H69" s="1"/>
      <c r="I69" s="1"/>
      <c r="J69" s="1"/>
      <c r="K69" s="246"/>
      <c r="L69" s="244"/>
    </row>
    <row r="70">
      <c r="E70" s="245"/>
      <c r="K70" s="246"/>
      <c r="L70" s="244"/>
    </row>
    <row r="71">
      <c r="E71" s="245"/>
      <c r="F71" s="1"/>
      <c r="G71" s="1"/>
      <c r="H71" s="1"/>
      <c r="I71" s="1"/>
      <c r="J71" s="1"/>
      <c r="K71" s="246"/>
      <c r="L71" s="244"/>
    </row>
    <row r="72">
      <c r="E72" s="245"/>
      <c r="F72" s="1"/>
      <c r="G72" s="1"/>
      <c r="H72" s="1"/>
      <c r="I72" s="1"/>
      <c r="J72" s="1"/>
      <c r="K72" s="246"/>
      <c r="L72" s="244"/>
    </row>
    <row r="73">
      <c r="E73" s="245"/>
      <c r="K73" s="246"/>
      <c r="L73" s="244"/>
    </row>
    <row r="74">
      <c r="E74" s="245"/>
      <c r="F74" s="1"/>
      <c r="G74" s="1"/>
      <c r="H74" s="1"/>
      <c r="I74" s="1"/>
      <c r="J74" s="1"/>
      <c r="K74" s="246"/>
      <c r="L74" s="244"/>
    </row>
    <row r="75">
      <c r="E75" s="245"/>
      <c r="K75" s="246"/>
      <c r="L75" s="244"/>
    </row>
    <row r="76">
      <c r="E76" s="245"/>
      <c r="K76" s="246"/>
      <c r="L76" s="244"/>
    </row>
    <row r="77">
      <c r="E77" s="245"/>
      <c r="K77" s="246"/>
      <c r="L77" s="244"/>
    </row>
    <row r="78">
      <c r="E78" s="245"/>
      <c r="F78" s="1"/>
      <c r="G78" s="1"/>
      <c r="H78" s="1"/>
      <c r="I78" s="1"/>
      <c r="J78" s="1"/>
      <c r="K78" s="246"/>
      <c r="L78" s="244"/>
    </row>
    <row r="1016">
      <c r="A1016" s="321"/>
      <c r="M1016" s="236"/>
    </row>
  </sheetData>
  <dataValidations>
    <dataValidation type="custom" allowBlank="1" showDropDown="1" sqref="B21:D30">
      <formula1>AND(ISNUMBER(B21),(NOT(OR(NOT(ISERROR(DATEVALUE(B21))), AND(ISNUMBER(B21), LEFT(CELL("format", B21))="D")))))</formula1>
    </dataValidation>
  </dataValidations>
  <drawing r:id="rId1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A1" s="341" t="s">
        <v>2721</v>
      </c>
      <c r="B1" s="204" t="s">
        <v>2639</v>
      </c>
    </row>
    <row r="2">
      <c r="B2" s="205" t="s">
        <v>2635</v>
      </c>
      <c r="C2" s="207">
        <v>0.1343</v>
      </c>
    </row>
    <row r="3">
      <c r="B3" s="205" t="s">
        <v>2640</v>
      </c>
      <c r="C3" s="207">
        <v>0.122</v>
      </c>
      <c r="K3" s="299"/>
      <c r="L3" s="299"/>
      <c r="M3" s="300"/>
    </row>
    <row r="4">
      <c r="B4" s="209" t="s">
        <v>2615</v>
      </c>
      <c r="C4" s="210" t="s">
        <v>2616</v>
      </c>
      <c r="I4" s="208"/>
      <c r="K4" s="299"/>
      <c r="L4" s="299"/>
      <c r="M4" s="300"/>
    </row>
    <row r="5">
      <c r="A5" s="342"/>
      <c r="B5" s="214" t="s">
        <v>2608</v>
      </c>
      <c r="C5" s="310">
        <v>0.2002</v>
      </c>
      <c r="I5" s="211"/>
      <c r="J5" s="211"/>
      <c r="K5" s="299"/>
      <c r="L5" s="299"/>
      <c r="M5" s="300"/>
    </row>
    <row r="6">
      <c r="A6" s="343"/>
      <c r="B6" s="214" t="s">
        <v>2610</v>
      </c>
      <c r="C6" s="310">
        <v>0.2074</v>
      </c>
      <c r="I6" s="216"/>
      <c r="J6" s="216"/>
      <c r="K6" s="299"/>
      <c r="L6" s="299"/>
      <c r="M6" s="300"/>
    </row>
    <row r="7">
      <c r="A7" s="344"/>
      <c r="B7" s="214" t="s">
        <v>2722</v>
      </c>
      <c r="C7" s="310">
        <v>0.3411</v>
      </c>
      <c r="I7" s="216"/>
      <c r="J7" s="216"/>
      <c r="K7" s="299"/>
      <c r="L7" s="299"/>
      <c r="M7" s="300"/>
    </row>
    <row r="8">
      <c r="A8" s="345"/>
      <c r="B8" s="214" t="s">
        <v>2723</v>
      </c>
      <c r="C8" s="310">
        <v>0.2513</v>
      </c>
      <c r="I8" s="216"/>
      <c r="J8" s="216"/>
      <c r="K8" s="299"/>
      <c r="L8" s="299"/>
      <c r="M8" s="300"/>
    </row>
    <row r="9">
      <c r="A9" s="346"/>
      <c r="B9" s="216"/>
      <c r="C9" s="347"/>
      <c r="I9" s="216"/>
      <c r="J9" s="216"/>
      <c r="K9" s="299"/>
      <c r="L9" s="299"/>
      <c r="M9" s="300"/>
    </row>
    <row r="10">
      <c r="B10" s="1"/>
      <c r="C10" s="347"/>
      <c r="K10" s="299"/>
      <c r="L10" s="299"/>
      <c r="M10" s="300"/>
    </row>
    <row r="11">
      <c r="B11" s="1"/>
      <c r="C11" s="347"/>
      <c r="K11" s="299"/>
      <c r="L11" s="299"/>
      <c r="M11" s="300"/>
    </row>
    <row r="15">
      <c r="B15" s="216"/>
      <c r="C15" s="219"/>
    </row>
    <row r="17">
      <c r="A17" s="220" t="s">
        <v>2619</v>
      </c>
      <c r="B17" s="221" t="s">
        <v>2620</v>
      </c>
      <c r="C17" s="222" t="s">
        <v>2621</v>
      </c>
      <c r="D17" s="223" t="s">
        <v>2622</v>
      </c>
    </row>
    <row r="18">
      <c r="A18" s="224" t="str">
        <f t="shared" ref="A18:B18" si="1">B5</f>
        <v>Value</v>
      </c>
      <c r="B18" s="225">
        <f t="shared" si="1"/>
        <v>0.2002</v>
      </c>
      <c r="C18" s="226">
        <v>0.0</v>
      </c>
      <c r="D18" s="227">
        <f t="shared" ref="D18:D21" si="3">C18+B18</f>
        <v>0.2002</v>
      </c>
    </row>
    <row r="19">
      <c r="A19" s="224" t="str">
        <f t="shared" ref="A19:B19" si="2">B6</f>
        <v>Momentum</v>
      </c>
      <c r="B19" s="225">
        <f t="shared" si="2"/>
        <v>0.2074</v>
      </c>
      <c r="C19" s="226">
        <v>0.0</v>
      </c>
      <c r="D19" s="227">
        <f t="shared" si="3"/>
        <v>0.2074</v>
      </c>
      <c r="G19" s="205"/>
    </row>
    <row r="20">
      <c r="A20" s="224" t="str">
        <f t="shared" ref="A20:B20" si="4">B7</f>
        <v>Low Vol</v>
      </c>
      <c r="B20" s="225">
        <f t="shared" si="4"/>
        <v>0.3411</v>
      </c>
      <c r="C20" s="226">
        <v>0.0</v>
      </c>
      <c r="D20" s="227">
        <f t="shared" si="3"/>
        <v>0.3411</v>
      </c>
      <c r="H20" s="235"/>
    </row>
    <row r="21">
      <c r="A21" s="224" t="str">
        <f t="shared" ref="A21:B21" si="5">B8</f>
        <v>Skew</v>
      </c>
      <c r="B21" s="225">
        <f t="shared" si="5"/>
        <v>0.2513</v>
      </c>
      <c r="C21" s="226">
        <v>0.0</v>
      </c>
      <c r="D21" s="227">
        <f t="shared" si="3"/>
        <v>0.2513</v>
      </c>
      <c r="H21" s="235"/>
    </row>
    <row r="22">
      <c r="A22" s="228"/>
      <c r="B22" s="229">
        <f>SUM(Tactical_13[Modelo])</f>
        <v>1</v>
      </c>
      <c r="C22" s="230">
        <f>SUM(Tactical_13[Corredor +/- 10%])</f>
        <v>0</v>
      </c>
      <c r="D22" s="231">
        <f>SUM(Tactical_13[TAA])</f>
        <v>1</v>
      </c>
      <c r="E22" s="1"/>
      <c r="F22" s="1"/>
      <c r="G22" s="1"/>
    </row>
    <row r="23">
      <c r="B23" s="216"/>
      <c r="C23" s="219"/>
      <c r="E23" s="1"/>
      <c r="F23" s="1"/>
      <c r="G23" s="1"/>
    </row>
    <row r="24">
      <c r="E24" s="1"/>
      <c r="F24" s="1"/>
      <c r="G24" s="1"/>
    </row>
    <row r="25">
      <c r="A25" s="341" t="s">
        <v>2721</v>
      </c>
      <c r="C25" s="1" t="s">
        <v>2559</v>
      </c>
      <c r="E25" s="1"/>
      <c r="F25" s="1"/>
      <c r="G25" s="1"/>
    </row>
    <row r="26">
      <c r="A26" s="342"/>
      <c r="B26" s="232" t="str">
        <f>'Acciones individuales'!B3</f>
        <v>SLB</v>
      </c>
      <c r="C26" s="237">
        <f t="shared" ref="C26:C30" si="6">$D$18/5</f>
        <v>0.04004</v>
      </c>
      <c r="J26" s="238"/>
    </row>
    <row r="27">
      <c r="A27" s="342"/>
      <c r="B27" s="232" t="str">
        <f>'Acciones individuales'!B8</f>
        <v>PFE</v>
      </c>
      <c r="C27" s="237">
        <f t="shared" si="6"/>
        <v>0.04004</v>
      </c>
      <c r="J27" s="238"/>
    </row>
    <row r="28">
      <c r="A28" s="342"/>
      <c r="B28" s="232" t="str">
        <f>'Acciones individuales'!B5</f>
        <v>MO</v>
      </c>
      <c r="C28" s="237">
        <f t="shared" si="6"/>
        <v>0.04004</v>
      </c>
      <c r="J28" s="238"/>
    </row>
    <row r="29">
      <c r="A29" s="342"/>
      <c r="B29" s="232" t="str">
        <f>'Acciones individuales'!B6</f>
        <v>MRK</v>
      </c>
      <c r="C29" s="237">
        <f t="shared" si="6"/>
        <v>0.04004</v>
      </c>
      <c r="E29" s="245"/>
      <c r="F29" s="1"/>
      <c r="G29" s="1"/>
      <c r="H29" s="1"/>
      <c r="I29" s="1"/>
      <c r="J29" s="1"/>
      <c r="K29" s="243"/>
      <c r="L29" s="244"/>
    </row>
    <row r="30">
      <c r="A30" s="342"/>
      <c r="B30" s="232" t="str">
        <f>'Acciones individuales'!B7</f>
        <v>UAL</v>
      </c>
      <c r="C30" s="237">
        <f t="shared" si="6"/>
        <v>0.04004</v>
      </c>
      <c r="E30" s="245"/>
      <c r="F30" s="1"/>
      <c r="G30" s="1"/>
      <c r="H30" s="1"/>
      <c r="I30" s="1"/>
      <c r="J30" s="1"/>
      <c r="K30" s="243"/>
      <c r="L30" s="244"/>
    </row>
    <row r="31">
      <c r="A31" s="343"/>
      <c r="B31" s="232" t="str">
        <f>'Acciones individuales'!B36</f>
        <v>PM</v>
      </c>
      <c r="C31" s="237">
        <f t="shared" ref="C31:C35" si="7">$D$19/5</f>
        <v>0.04148</v>
      </c>
      <c r="E31" s="245"/>
      <c r="F31" s="1"/>
      <c r="G31" s="1"/>
      <c r="H31" s="1"/>
      <c r="I31" s="1"/>
      <c r="J31" s="1"/>
      <c r="K31" s="243"/>
      <c r="L31" s="244"/>
    </row>
    <row r="32">
      <c r="A32" s="343"/>
      <c r="B32" s="232" t="str">
        <f>'Acciones individuales'!B37</f>
        <v>GILD</v>
      </c>
      <c r="C32" s="237">
        <f t="shared" si="7"/>
        <v>0.04148</v>
      </c>
      <c r="E32" s="245"/>
      <c r="F32" s="1"/>
      <c r="G32" s="1"/>
      <c r="H32" s="1"/>
      <c r="I32" s="1"/>
      <c r="J32" s="1"/>
      <c r="K32" s="243"/>
      <c r="L32" s="244"/>
    </row>
    <row r="33">
      <c r="A33" s="343"/>
      <c r="B33" s="232" t="str">
        <f>'Acciones individuales'!B38</f>
        <v>T</v>
      </c>
      <c r="C33" s="237">
        <f t="shared" si="7"/>
        <v>0.04148</v>
      </c>
      <c r="E33" s="245"/>
      <c r="F33" s="1"/>
      <c r="G33" s="1"/>
      <c r="H33" s="1"/>
      <c r="I33" s="1"/>
      <c r="J33" s="1"/>
      <c r="K33" s="243"/>
      <c r="L33" s="244"/>
    </row>
    <row r="34">
      <c r="A34" s="343"/>
      <c r="B34" s="232" t="str">
        <f>'Acciones individuales'!B39</f>
        <v>RBLX</v>
      </c>
      <c r="C34" s="237">
        <f t="shared" si="7"/>
        <v>0.04148</v>
      </c>
      <c r="E34" s="245"/>
      <c r="F34" s="1"/>
      <c r="G34" s="1"/>
      <c r="H34" s="1"/>
      <c r="I34" s="1"/>
      <c r="J34" s="1"/>
      <c r="K34" s="243"/>
      <c r="L34" s="244"/>
    </row>
    <row r="35">
      <c r="A35" s="343"/>
      <c r="B35" s="232" t="str">
        <f>'Acciones individuales'!B40</f>
        <v>PLTR</v>
      </c>
      <c r="C35" s="237">
        <f t="shared" si="7"/>
        <v>0.04148</v>
      </c>
      <c r="E35" s="245"/>
      <c r="F35" s="1"/>
      <c r="G35" s="1"/>
      <c r="H35" s="1"/>
      <c r="I35" s="1"/>
      <c r="J35" s="1"/>
      <c r="K35" s="243"/>
      <c r="L35" s="244"/>
    </row>
    <row r="36">
      <c r="A36" s="344"/>
      <c r="B36" s="232" t="str">
        <f>'Acciones individuales'!B51</f>
        <v>KO</v>
      </c>
      <c r="C36" s="237">
        <f t="shared" ref="C36:C40" si="8">$D$20/5</f>
        <v>0.06822</v>
      </c>
      <c r="D36" s="239"/>
      <c r="E36" s="245"/>
      <c r="K36" s="243"/>
      <c r="L36" s="244"/>
    </row>
    <row r="37">
      <c r="A37" s="344"/>
      <c r="B37" s="232" t="str">
        <f>'Acciones individuales'!B52</f>
        <v>MMC</v>
      </c>
      <c r="C37" s="237">
        <f t="shared" si="8"/>
        <v>0.06822</v>
      </c>
      <c r="D37" s="239"/>
      <c r="E37" s="245"/>
      <c r="K37" s="246"/>
      <c r="L37" s="244"/>
    </row>
    <row r="38">
      <c r="A38" s="344"/>
      <c r="B38" s="232" t="s">
        <v>280</v>
      </c>
      <c r="C38" s="237">
        <f t="shared" si="8"/>
        <v>0.06822</v>
      </c>
      <c r="D38" s="1"/>
      <c r="E38" s="245"/>
      <c r="K38" s="246"/>
      <c r="L38" s="244"/>
    </row>
    <row r="39">
      <c r="A39" s="344"/>
      <c r="B39" s="232" t="str">
        <f>'Acciones individuales'!B54</f>
        <v>JNJ</v>
      </c>
      <c r="C39" s="237">
        <f t="shared" si="8"/>
        <v>0.06822</v>
      </c>
      <c r="D39" s="1"/>
      <c r="E39" s="245"/>
      <c r="K39" s="246"/>
      <c r="L39" s="244"/>
    </row>
    <row r="40">
      <c r="A40" s="344"/>
      <c r="B40" s="232" t="str">
        <f>'Acciones individuales'!B55</f>
        <v>PG</v>
      </c>
      <c r="C40" s="237">
        <f t="shared" si="8"/>
        <v>0.06822</v>
      </c>
      <c r="D40" s="1"/>
      <c r="E40" s="245"/>
      <c r="K40" s="246"/>
      <c r="L40" s="244"/>
    </row>
    <row r="41">
      <c r="A41" s="345"/>
      <c r="B41" s="234" t="str">
        <f>'Acciones individuales'!B69</f>
        <v>UNH</v>
      </c>
      <c r="C41" s="233">
        <f t="shared" ref="C41:C45" si="9">$D$21/5</f>
        <v>0.05026</v>
      </c>
      <c r="D41" s="1"/>
      <c r="E41" s="245"/>
      <c r="K41" s="246"/>
      <c r="L41" s="244"/>
    </row>
    <row r="42">
      <c r="A42" s="345"/>
      <c r="B42" s="234" t="str">
        <f>'Acciones individuales'!B70</f>
        <v>EA</v>
      </c>
      <c r="C42" s="233">
        <f t="shared" si="9"/>
        <v>0.05026</v>
      </c>
      <c r="D42" s="1"/>
      <c r="E42" s="245"/>
      <c r="K42" s="246"/>
      <c r="L42" s="244"/>
    </row>
    <row r="43">
      <c r="A43" s="345"/>
      <c r="B43" s="234" t="str">
        <f>'Acciones individuales'!B71</f>
        <v>GLOB</v>
      </c>
      <c r="C43" s="233">
        <f t="shared" si="9"/>
        <v>0.05026</v>
      </c>
      <c r="D43" s="1"/>
      <c r="E43" s="245"/>
      <c r="K43" s="246"/>
      <c r="L43" s="244"/>
    </row>
    <row r="44">
      <c r="A44" s="345"/>
      <c r="B44" s="234" t="str">
        <f>'Acciones individuales'!B72</f>
        <v>ADBE</v>
      </c>
      <c r="C44" s="233">
        <f t="shared" si="9"/>
        <v>0.05026</v>
      </c>
      <c r="D44" s="252"/>
      <c r="E44" s="245"/>
      <c r="K44" s="246"/>
      <c r="L44" s="244"/>
    </row>
    <row r="45">
      <c r="A45" s="345"/>
      <c r="B45" s="234" t="str">
        <f>'Acciones individuales'!B73</f>
        <v>TGT</v>
      </c>
      <c r="C45" s="348">
        <f t="shared" si="9"/>
        <v>0.05026</v>
      </c>
      <c r="D45" s="252"/>
      <c r="E45" s="245"/>
      <c r="F45" s="1"/>
      <c r="G45" s="1"/>
      <c r="H45" s="1"/>
      <c r="I45" s="1"/>
      <c r="J45" s="1"/>
      <c r="K45" s="246"/>
      <c r="L45" s="244"/>
    </row>
    <row r="46">
      <c r="A46" s="346"/>
      <c r="C46" s="5">
        <f>SUM(C26:C45)</f>
        <v>1</v>
      </c>
      <c r="E46" s="245"/>
      <c r="F46" s="1"/>
      <c r="G46" s="1"/>
      <c r="H46" s="1"/>
      <c r="I46" s="1"/>
      <c r="J46" s="1"/>
      <c r="K46" s="246"/>
      <c r="L46" s="244"/>
    </row>
    <row r="47">
      <c r="E47" s="245"/>
      <c r="K47" s="246"/>
      <c r="L47" s="244"/>
    </row>
    <row r="48">
      <c r="E48" s="245"/>
      <c r="F48" s="1"/>
      <c r="G48" s="1"/>
      <c r="H48" s="1"/>
      <c r="I48" s="1"/>
      <c r="J48" s="1"/>
      <c r="K48" s="246"/>
      <c r="L48" s="244"/>
    </row>
    <row r="49">
      <c r="E49" s="245"/>
      <c r="F49" s="1"/>
      <c r="G49" s="1"/>
      <c r="H49" s="1"/>
      <c r="I49" s="1"/>
      <c r="J49" s="1"/>
      <c r="K49" s="246"/>
      <c r="L49" s="244"/>
    </row>
    <row r="50">
      <c r="E50" s="245"/>
      <c r="K50" s="246"/>
      <c r="L50" s="244"/>
    </row>
    <row r="51">
      <c r="E51" s="245"/>
      <c r="F51" s="1"/>
      <c r="G51" s="1"/>
      <c r="H51" s="1"/>
      <c r="I51" s="1"/>
      <c r="J51" s="1"/>
      <c r="K51" s="246"/>
      <c r="L51" s="244"/>
    </row>
    <row r="52">
      <c r="E52" s="245"/>
      <c r="K52" s="246"/>
      <c r="L52" s="244"/>
    </row>
    <row r="53">
      <c r="E53" s="245"/>
      <c r="K53" s="246"/>
      <c r="L53" s="244"/>
    </row>
    <row r="54">
      <c r="E54" s="245"/>
      <c r="K54" s="246"/>
      <c r="L54" s="244"/>
    </row>
    <row r="55">
      <c r="E55" s="245"/>
      <c r="F55" s="1"/>
      <c r="G55" s="1"/>
      <c r="H55" s="1"/>
      <c r="I55" s="1"/>
      <c r="J55" s="1"/>
      <c r="K55" s="246"/>
      <c r="L55" s="244"/>
    </row>
    <row r="993">
      <c r="A993" s="321"/>
      <c r="M993" s="236"/>
    </row>
  </sheetData>
  <dataValidations>
    <dataValidation type="custom" allowBlank="1" showDropDown="1" sqref="B18:D21">
      <formula1>AND(ISNUMBER(B18),(NOT(OR(NOT(ISERROR(DATEVALUE(B18))), AND(ISNUMBER(B18), LEFT(CELL("format", B18))="D")))))</formula1>
    </dataValidation>
  </dataValidations>
  <hyperlinks>
    <hyperlink display="Acciones Individuales" location="'Acciones individuales'!A1" ref="A1"/>
    <hyperlink display="Acciones Individuales" location="'Acciones individuales'!A1" ref="A25"/>
  </hyperlinks>
  <drawing r:id="rId1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2.25"/>
    <col customWidth="1" min="5" max="5" width="25.0"/>
    <col customWidth="1" min="6" max="7" width="34.38"/>
    <col customWidth="1" min="8" max="8" width="21.63"/>
    <col customWidth="1" min="9" max="9" width="21.75"/>
  </cols>
  <sheetData>
    <row r="1">
      <c r="B1" s="204" t="s">
        <v>2639</v>
      </c>
    </row>
    <row r="2">
      <c r="B2" s="205" t="s">
        <v>2635</v>
      </c>
      <c r="C2" s="207">
        <v>0.0647</v>
      </c>
    </row>
    <row r="3">
      <c r="B3" s="205" t="s">
        <v>2640</v>
      </c>
      <c r="C3" s="207">
        <v>0.0619</v>
      </c>
      <c r="L3" s="211"/>
      <c r="M3" s="211"/>
      <c r="N3" s="299"/>
      <c r="O3" s="299"/>
      <c r="P3" s="300"/>
    </row>
    <row r="4">
      <c r="B4" s="209" t="s">
        <v>2615</v>
      </c>
      <c r="C4" s="210" t="s">
        <v>2616</v>
      </c>
      <c r="J4" s="208"/>
      <c r="L4" s="216"/>
      <c r="M4" s="216"/>
      <c r="N4" s="299"/>
      <c r="O4" s="299"/>
      <c r="P4" s="300"/>
    </row>
    <row r="5">
      <c r="A5" s="349"/>
      <c r="B5" s="214" t="s">
        <v>2584</v>
      </c>
      <c r="C5" s="215">
        <v>0.0424</v>
      </c>
      <c r="J5" s="211"/>
      <c r="K5" s="211"/>
      <c r="L5" s="216"/>
      <c r="M5" s="216"/>
      <c r="N5" s="299"/>
      <c r="O5" s="299"/>
      <c r="P5" s="300"/>
    </row>
    <row r="6">
      <c r="A6" s="350"/>
      <c r="B6" s="214" t="s">
        <v>2724</v>
      </c>
      <c r="C6" s="215">
        <v>0.003</v>
      </c>
      <c r="J6" s="216"/>
      <c r="K6" s="216"/>
      <c r="L6" s="216"/>
      <c r="M6" s="216"/>
      <c r="N6" s="299"/>
      <c r="O6" s="299"/>
      <c r="P6" s="300"/>
    </row>
    <row r="7">
      <c r="A7" s="351"/>
      <c r="B7" s="214" t="s">
        <v>2725</v>
      </c>
      <c r="C7" s="215">
        <v>0.0047</v>
      </c>
      <c r="J7" s="216"/>
      <c r="K7" s="216"/>
      <c r="L7" s="216"/>
      <c r="M7" s="216"/>
      <c r="N7" s="299"/>
      <c r="O7" s="299"/>
      <c r="P7" s="300"/>
    </row>
    <row r="8">
      <c r="A8" s="352"/>
      <c r="B8" s="214" t="s">
        <v>2726</v>
      </c>
      <c r="C8" s="215">
        <v>0.0296</v>
      </c>
      <c r="J8" s="216"/>
      <c r="K8" s="216"/>
      <c r="L8" s="216"/>
      <c r="M8" s="216"/>
      <c r="N8" s="299"/>
      <c r="O8" s="299"/>
      <c r="P8" s="300"/>
    </row>
    <row r="9">
      <c r="A9" s="353"/>
      <c r="B9" s="232" t="s">
        <v>2727</v>
      </c>
      <c r="C9" s="215">
        <v>0.0683</v>
      </c>
      <c r="L9" s="216"/>
      <c r="M9" s="216"/>
      <c r="N9" s="217"/>
    </row>
    <row r="10">
      <c r="A10" s="248"/>
      <c r="B10" s="232" t="s">
        <v>2633</v>
      </c>
      <c r="C10" s="215">
        <v>0.8521</v>
      </c>
      <c r="L10" s="216"/>
      <c r="M10" s="216"/>
      <c r="N10" s="217"/>
    </row>
    <row r="16">
      <c r="B16" s="216"/>
      <c r="C16" s="219"/>
    </row>
    <row r="18">
      <c r="A18" s="220" t="s">
        <v>2619</v>
      </c>
      <c r="B18" s="221" t="s">
        <v>2620</v>
      </c>
      <c r="C18" s="222" t="s">
        <v>2621</v>
      </c>
      <c r="D18" s="223" t="s">
        <v>2622</v>
      </c>
    </row>
    <row r="19">
      <c r="A19" s="224" t="str">
        <f t="shared" ref="A19:B19" si="1">B5</f>
        <v>Oro</v>
      </c>
      <c r="B19" s="225">
        <f t="shared" si="1"/>
        <v>0.0424</v>
      </c>
      <c r="C19" s="226">
        <v>0.025</v>
      </c>
      <c r="D19" s="227">
        <f t="shared" ref="D19:D24" si="3">C19+B19</f>
        <v>0.0674</v>
      </c>
    </row>
    <row r="20">
      <c r="A20" s="224" t="str">
        <f t="shared" ref="A20:B20" si="2">B6</f>
        <v>WTI</v>
      </c>
      <c r="B20" s="225">
        <f t="shared" si="2"/>
        <v>0.003</v>
      </c>
      <c r="C20" s="226">
        <v>0.025</v>
      </c>
      <c r="D20" s="227">
        <f t="shared" si="3"/>
        <v>0.028</v>
      </c>
      <c r="H20" s="205"/>
    </row>
    <row r="21">
      <c r="A21" s="224" t="str">
        <f t="shared" ref="A21:B21" si="4">B7</f>
        <v>SOYB</v>
      </c>
      <c r="B21" s="225">
        <f t="shared" si="4"/>
        <v>0.0047</v>
      </c>
      <c r="C21" s="226">
        <v>0.025</v>
      </c>
      <c r="D21" s="227">
        <f t="shared" si="3"/>
        <v>0.0297</v>
      </c>
      <c r="I21" s="235"/>
    </row>
    <row r="22">
      <c r="A22" s="224" t="str">
        <f t="shared" ref="A22:B22" si="5">B8</f>
        <v>CORN</v>
      </c>
      <c r="B22" s="225">
        <f t="shared" si="5"/>
        <v>0.0296</v>
      </c>
      <c r="C22" s="226">
        <v>0.025</v>
      </c>
      <c r="D22" s="227">
        <f t="shared" si="3"/>
        <v>0.0546</v>
      </c>
      <c r="E22" s="192"/>
    </row>
    <row r="23">
      <c r="A23" s="224" t="str">
        <f t="shared" ref="A23:B23" si="6">B9</f>
        <v>WEAT</v>
      </c>
      <c r="B23" s="225">
        <f t="shared" si="6"/>
        <v>0.0683</v>
      </c>
      <c r="C23" s="226">
        <v>0.0</v>
      </c>
      <c r="D23" s="320">
        <f t="shared" si="3"/>
        <v>0.0683</v>
      </c>
      <c r="E23" s="192"/>
    </row>
    <row r="24">
      <c r="A24" s="224" t="str">
        <f t="shared" ref="A24:B24" si="7">B10</f>
        <v>ONs</v>
      </c>
      <c r="B24" s="225">
        <f t="shared" si="7"/>
        <v>0.8521</v>
      </c>
      <c r="C24" s="226">
        <v>-0.1</v>
      </c>
      <c r="D24" s="320">
        <f t="shared" si="3"/>
        <v>0.7521</v>
      </c>
      <c r="E24" s="192"/>
    </row>
    <row r="25">
      <c r="A25" s="228"/>
      <c r="B25" s="229">
        <f>SUM(Tactical_16[Modelo])</f>
        <v>1.0001</v>
      </c>
      <c r="C25" s="230">
        <f>SUM(Tactical_16[Corredor +/- 10%])</f>
        <v>0</v>
      </c>
      <c r="D25" s="231">
        <f>SUM(Tactical_16[TAA])</f>
        <v>1.0001</v>
      </c>
      <c r="E25" s="1"/>
      <c r="F25" s="1"/>
      <c r="G25" s="1"/>
      <c r="H25" s="1"/>
    </row>
    <row r="26">
      <c r="B26" s="216"/>
      <c r="C26" s="219"/>
      <c r="E26" s="1"/>
      <c r="F26" s="1"/>
      <c r="G26" s="1"/>
      <c r="H26" s="1"/>
    </row>
    <row r="27">
      <c r="E27" s="1"/>
      <c r="F27" s="1"/>
      <c r="G27" s="1"/>
      <c r="H27" s="1"/>
    </row>
    <row r="28">
      <c r="C28" s="1" t="s">
        <v>2559</v>
      </c>
      <c r="E28" s="1"/>
      <c r="F28" s="1"/>
      <c r="G28" s="1"/>
      <c r="H28" s="1"/>
    </row>
    <row r="29">
      <c r="A29" s="314"/>
      <c r="B29" s="232" t="str">
        <f>Ons!B6</f>
        <v>TLCPD</v>
      </c>
      <c r="C29" s="233">
        <f>$D$24*Ons!G6</f>
        <v>0.2924889649</v>
      </c>
      <c r="E29" s="1"/>
      <c r="F29" s="1"/>
      <c r="G29" s="1"/>
      <c r="H29" s="1"/>
    </row>
    <row r="30">
      <c r="A30" s="314"/>
      <c r="B30" s="232" t="str">
        <f>Ons!B7</f>
        <v>BACGD</v>
      </c>
      <c r="C30" s="233">
        <f>$D$24*Ons!G7</f>
        <v>0.4596110351</v>
      </c>
      <c r="E30" s="1"/>
      <c r="F30" s="1"/>
      <c r="G30" s="1"/>
      <c r="H30" s="1"/>
    </row>
    <row r="31">
      <c r="A31" s="314"/>
      <c r="B31" s="232" t="str">
        <f>Ons!B8</f>
        <v/>
      </c>
      <c r="C31" s="233">
        <f>$D$24*Ons!G8</f>
        <v>0</v>
      </c>
    </row>
    <row r="32">
      <c r="A32" s="314"/>
      <c r="B32" s="232" t="str">
        <f>Ons!B9</f>
        <v/>
      </c>
      <c r="C32" s="234"/>
    </row>
    <row r="33">
      <c r="A33" s="314"/>
      <c r="B33" s="232" t="str">
        <f>Ons!B10</f>
        <v/>
      </c>
      <c r="C33" s="234"/>
      <c r="K33" s="238"/>
    </row>
    <row r="34">
      <c r="A34" s="314"/>
      <c r="B34" s="232" t="str">
        <f>Ons!B11</f>
        <v/>
      </c>
      <c r="C34" s="234"/>
    </row>
    <row r="35">
      <c r="A35" s="349"/>
      <c r="B35" s="232" t="s">
        <v>654</v>
      </c>
      <c r="C35" s="237">
        <f t="shared" ref="C35:C39" si="8">D19</f>
        <v>0.0674</v>
      </c>
      <c r="D35" s="354" t="s">
        <v>2728</v>
      </c>
      <c r="E35" s="354" t="s">
        <v>2729</v>
      </c>
      <c r="F35" s="355" t="s">
        <v>2730</v>
      </c>
      <c r="G35" s="192" t="s">
        <v>2731</v>
      </c>
      <c r="H35" s="192" t="s">
        <v>2732</v>
      </c>
      <c r="I35" s="192" t="s">
        <v>2733</v>
      </c>
      <c r="J35" s="192" t="s">
        <v>2734</v>
      </c>
    </row>
    <row r="36">
      <c r="A36" s="350"/>
      <c r="B36" s="232" t="str">
        <f>'Futuros A3'!B3</f>
        <v>WTI/JUL25</v>
      </c>
      <c r="C36" s="237">
        <f t="shared" si="8"/>
        <v>0.028</v>
      </c>
      <c r="D36" s="356">
        <f t="shared" ref="D36:D39" si="9">ROUNDDOWN(($E$43*C36/G36),0)</f>
        <v>20</v>
      </c>
      <c r="E36" s="357">
        <f t="shared" ref="E36:E39" si="10">D36*G36</f>
        <v>12092</v>
      </c>
      <c r="F36" s="237">
        <f t="shared" ref="F36:F39" si="11">E36/$E$42</f>
        <v>0.1860789637</v>
      </c>
      <c r="G36" s="358">
        <f>'Futuros A3'!H3</f>
        <v>604.6</v>
      </c>
      <c r="H36" s="358">
        <f t="shared" ref="H36:H39" si="12">G36/C36</f>
        <v>21592.85714</v>
      </c>
      <c r="I36" s="358">
        <f t="shared" ref="I36:I39" si="13">($E$43*C36/G36)</f>
        <v>20.84022494</v>
      </c>
      <c r="J36" s="358">
        <f t="shared" ref="J36:J39" si="14">I36*G36</f>
        <v>12600</v>
      </c>
    </row>
    <row r="37">
      <c r="A37" s="351"/>
      <c r="B37" s="232" t="str">
        <f>'Futuros A3'!B5</f>
        <v>SOY.CME/JUL25</v>
      </c>
      <c r="C37" s="237">
        <f t="shared" si="8"/>
        <v>0.0297</v>
      </c>
      <c r="D37" s="356">
        <f t="shared" si="9"/>
        <v>6</v>
      </c>
      <c r="E37" s="357">
        <f t="shared" si="10"/>
        <v>11580</v>
      </c>
      <c r="F37" s="237">
        <f t="shared" si="11"/>
        <v>0.1782</v>
      </c>
      <c r="G37" s="358">
        <f>'Futuros A3'!H5</f>
        <v>1930</v>
      </c>
      <c r="H37" s="358">
        <f t="shared" si="12"/>
        <v>64983.16498</v>
      </c>
      <c r="I37" s="358">
        <f t="shared" si="13"/>
        <v>6.924870466</v>
      </c>
      <c r="J37" s="358">
        <f t="shared" si="14"/>
        <v>13365</v>
      </c>
    </row>
    <row r="38">
      <c r="A38" s="352"/>
      <c r="B38" s="232" t="str">
        <f>'Futuros A3'!B6</f>
        <v>CRN.CME/JUN25</v>
      </c>
      <c r="C38" s="237">
        <f t="shared" si="8"/>
        <v>0.0546</v>
      </c>
      <c r="D38" s="356">
        <f t="shared" si="9"/>
        <v>26</v>
      </c>
      <c r="E38" s="357">
        <f t="shared" si="10"/>
        <v>24050</v>
      </c>
      <c r="F38" s="237">
        <f t="shared" si="11"/>
        <v>0.3700958549</v>
      </c>
      <c r="G38" s="358">
        <f>'Futuros A3'!H6</f>
        <v>925</v>
      </c>
      <c r="H38" s="358">
        <f t="shared" si="12"/>
        <v>16941.39194</v>
      </c>
      <c r="I38" s="358">
        <f t="shared" si="13"/>
        <v>26.56216216</v>
      </c>
      <c r="J38" s="358">
        <f t="shared" si="14"/>
        <v>24570</v>
      </c>
      <c r="M38" s="244"/>
    </row>
    <row r="39">
      <c r="A39" s="353"/>
      <c r="B39" s="232" t="str">
        <f>'Futuros A3'!B7</f>
        <v>TRI.ROS/JUL25</v>
      </c>
      <c r="C39" s="237">
        <f t="shared" si="8"/>
        <v>0.0683</v>
      </c>
      <c r="D39" s="356">
        <f t="shared" si="9"/>
        <v>14</v>
      </c>
      <c r="E39" s="357">
        <f t="shared" si="10"/>
        <v>30100</v>
      </c>
      <c r="F39" s="237">
        <f t="shared" si="11"/>
        <v>0.4631968912</v>
      </c>
      <c r="G39" s="358">
        <f>'Futuros A3'!H7</f>
        <v>2150</v>
      </c>
      <c r="H39" s="358">
        <f t="shared" si="12"/>
        <v>31478.77013</v>
      </c>
      <c r="I39" s="358">
        <f t="shared" si="13"/>
        <v>14.29534884</v>
      </c>
      <c r="J39" s="358">
        <f t="shared" si="14"/>
        <v>30735</v>
      </c>
      <c r="M39" s="244"/>
    </row>
    <row r="40">
      <c r="C40" s="236">
        <f>SUM(C29:C39)</f>
        <v>1.0001</v>
      </c>
      <c r="D40" s="359"/>
      <c r="E40" s="360">
        <f>SUM(E36:E39)</f>
        <v>77822</v>
      </c>
      <c r="F40" s="5"/>
      <c r="G40" s="361"/>
      <c r="H40" s="358"/>
      <c r="I40" s="358"/>
      <c r="J40" s="358">
        <f>SUM(J36:J39)</f>
        <v>81270</v>
      </c>
      <c r="M40" s="244"/>
    </row>
    <row r="41">
      <c r="D41" s="362" t="s">
        <v>2735</v>
      </c>
      <c r="E41" s="363">
        <f>J40-E40</f>
        <v>3448</v>
      </c>
      <c r="F41" s="364"/>
      <c r="G41" s="341" t="s">
        <v>2055</v>
      </c>
      <c r="M41" s="244"/>
    </row>
    <row r="42">
      <c r="D42" s="205" t="s">
        <v>2736</v>
      </c>
      <c r="E42" s="365">
        <f>max(H36:H39)</f>
        <v>64983.16498</v>
      </c>
      <c r="F42" s="239"/>
      <c r="G42" s="239"/>
      <c r="H42" s="245"/>
      <c r="M42" s="244"/>
    </row>
    <row r="43">
      <c r="D43" s="205" t="s">
        <v>2737</v>
      </c>
      <c r="E43" s="365">
        <v>450000.0</v>
      </c>
      <c r="F43" s="239"/>
      <c r="G43" s="239"/>
      <c r="H43" s="245"/>
      <c r="M43" s="244"/>
    </row>
    <row r="44">
      <c r="D44" s="1" t="s">
        <v>2738</v>
      </c>
      <c r="E44" s="236">
        <f>E41/$E$43</f>
        <v>0.007662222222</v>
      </c>
      <c r="M44" s="244"/>
    </row>
    <row r="45">
      <c r="E45" s="245"/>
      <c r="F45" s="239"/>
      <c r="G45" s="239"/>
      <c r="H45" s="245"/>
      <c r="M45" s="244"/>
    </row>
    <row r="46">
      <c r="E46" s="245"/>
      <c r="L46" s="246"/>
      <c r="M46" s="244"/>
    </row>
    <row r="47">
      <c r="C47" s="1"/>
      <c r="D47" s="1"/>
      <c r="E47" s="245"/>
      <c r="L47" s="246"/>
      <c r="M47" s="244"/>
    </row>
    <row r="48">
      <c r="E48" s="245"/>
      <c r="L48" s="246"/>
      <c r="M48" s="244"/>
    </row>
    <row r="49">
      <c r="E49" s="245"/>
      <c r="F49" s="1"/>
      <c r="G49" s="1"/>
      <c r="H49" s="1"/>
      <c r="I49" s="1"/>
      <c r="J49" s="1"/>
      <c r="K49" s="1"/>
      <c r="L49" s="246"/>
      <c r="M49" s="244"/>
    </row>
    <row r="50">
      <c r="E50" s="245"/>
      <c r="F50" s="1"/>
      <c r="G50" s="1"/>
      <c r="H50" s="1"/>
      <c r="I50" s="1"/>
      <c r="J50" s="1"/>
      <c r="K50" s="1"/>
      <c r="L50" s="246"/>
      <c r="M50" s="244"/>
    </row>
    <row r="51">
      <c r="E51" s="245"/>
      <c r="L51" s="246"/>
      <c r="M51" s="244"/>
    </row>
    <row r="52">
      <c r="E52" s="245"/>
      <c r="F52" s="1"/>
      <c r="G52" s="1"/>
      <c r="H52" s="1"/>
      <c r="I52" s="1"/>
      <c r="J52" s="1"/>
      <c r="K52" s="1"/>
      <c r="L52" s="246"/>
      <c r="M52" s="244"/>
    </row>
    <row r="53">
      <c r="E53" s="245"/>
      <c r="F53" s="1"/>
      <c r="G53" s="1"/>
      <c r="H53" s="1"/>
      <c r="I53" s="1"/>
      <c r="J53" s="1"/>
      <c r="K53" s="1"/>
      <c r="L53" s="246"/>
      <c r="M53" s="244"/>
    </row>
    <row r="54">
      <c r="E54" s="245"/>
      <c r="L54" s="246"/>
      <c r="M54" s="244"/>
    </row>
    <row r="55">
      <c r="E55" s="245"/>
      <c r="F55" s="1"/>
      <c r="G55" s="1"/>
      <c r="H55" s="1"/>
      <c r="I55" s="1"/>
      <c r="J55" s="1"/>
      <c r="K55" s="1"/>
      <c r="L55" s="246"/>
      <c r="M55" s="244"/>
    </row>
    <row r="56">
      <c r="E56" s="245"/>
      <c r="L56" s="246"/>
      <c r="M56" s="244"/>
    </row>
    <row r="57">
      <c r="E57" s="245"/>
      <c r="L57" s="246"/>
      <c r="M57" s="244"/>
    </row>
    <row r="58">
      <c r="E58" s="245"/>
      <c r="L58" s="246"/>
      <c r="M58" s="244"/>
    </row>
    <row r="59">
      <c r="E59" s="245"/>
      <c r="F59" s="1"/>
      <c r="G59" s="1"/>
      <c r="H59" s="1"/>
      <c r="I59" s="1"/>
      <c r="J59" s="1"/>
      <c r="K59" s="1"/>
      <c r="L59" s="246"/>
      <c r="M59" s="244"/>
    </row>
    <row r="997">
      <c r="A997" s="321"/>
      <c r="N997" s="236"/>
    </row>
  </sheetData>
  <dataValidations>
    <dataValidation type="custom" allowBlank="1" showDropDown="1" sqref="B19:D24">
      <formula1>AND(ISNUMBER(B19),(NOT(OR(NOT(ISERROR(DATEVALUE(B19))), AND(ISNUMBER(B19), LEFT(CELL("format", B19))="D")))))</formula1>
    </dataValidation>
  </dataValidations>
  <hyperlinks>
    <hyperlink display="Futuros A3" location="'Futuros A3'!A1" ref="G41"/>
  </hyperlinks>
  <drawing r:id="rId1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2.25"/>
    <col customWidth="1" min="5" max="5" width="25.0"/>
    <col customWidth="1" min="6" max="7" width="34.38"/>
    <col customWidth="1" min="8" max="8" width="21.63"/>
    <col customWidth="1" min="9" max="9" width="21.75"/>
  </cols>
  <sheetData>
    <row r="1">
      <c r="B1" s="204" t="s">
        <v>2639</v>
      </c>
    </row>
    <row r="2">
      <c r="B2" s="205" t="s">
        <v>2635</v>
      </c>
      <c r="C2" s="207">
        <v>0.1479</v>
      </c>
    </row>
    <row r="3">
      <c r="B3" s="205" t="s">
        <v>2640</v>
      </c>
      <c r="C3" s="207">
        <v>0.0787</v>
      </c>
      <c r="L3" s="211"/>
      <c r="M3" s="211"/>
      <c r="N3" s="299"/>
      <c r="O3" s="299"/>
      <c r="P3" s="300"/>
    </row>
    <row r="4">
      <c r="B4" s="209" t="s">
        <v>2615</v>
      </c>
      <c r="C4" s="210" t="s">
        <v>2616</v>
      </c>
      <c r="H4" s="366" t="s">
        <v>2605</v>
      </c>
      <c r="I4" s="366" t="s">
        <v>2615</v>
      </c>
      <c r="J4" s="367" t="s">
        <v>2616</v>
      </c>
      <c r="L4" s="216"/>
      <c r="M4" s="216"/>
      <c r="N4" s="299"/>
      <c r="O4" s="299"/>
      <c r="P4" s="300"/>
    </row>
    <row r="5">
      <c r="A5" s="349"/>
      <c r="B5" s="214" t="s">
        <v>2584</v>
      </c>
      <c r="C5" s="301">
        <v>0.0839</v>
      </c>
      <c r="H5" s="299" t="s">
        <v>654</v>
      </c>
      <c r="I5" s="299" t="s">
        <v>2648</v>
      </c>
      <c r="J5" s="300" t="s">
        <v>2739</v>
      </c>
      <c r="K5" s="211"/>
      <c r="L5" s="216"/>
      <c r="M5" s="216"/>
      <c r="N5" s="299"/>
      <c r="O5" s="299"/>
      <c r="P5" s="300"/>
    </row>
    <row r="6">
      <c r="A6" s="350"/>
      <c r="B6" s="214" t="s">
        <v>2724</v>
      </c>
      <c r="C6" s="301">
        <v>0.0613</v>
      </c>
      <c r="H6" s="299" t="s">
        <v>2740</v>
      </c>
      <c r="I6" s="299" t="s">
        <v>2741</v>
      </c>
      <c r="J6" s="300" t="s">
        <v>2742</v>
      </c>
      <c r="K6" s="216"/>
      <c r="L6" s="216"/>
      <c r="M6" s="216"/>
      <c r="N6" s="299"/>
      <c r="O6" s="299"/>
      <c r="P6" s="300"/>
    </row>
    <row r="7">
      <c r="A7" s="351"/>
      <c r="B7" s="214" t="s">
        <v>2725</v>
      </c>
      <c r="C7" s="301">
        <v>0.0763</v>
      </c>
      <c r="H7" s="299" t="s">
        <v>2725</v>
      </c>
      <c r="I7" s="299" t="s">
        <v>2743</v>
      </c>
      <c r="J7" s="300" t="s">
        <v>2744</v>
      </c>
      <c r="K7" s="216"/>
      <c r="L7" s="216"/>
      <c r="M7" s="216"/>
      <c r="N7" s="299"/>
      <c r="O7" s="299"/>
      <c r="P7" s="300"/>
    </row>
    <row r="8">
      <c r="A8" s="352"/>
      <c r="B8" s="214" t="s">
        <v>2726</v>
      </c>
      <c r="C8" s="301">
        <v>0.0483</v>
      </c>
      <c r="H8" s="299" t="s">
        <v>2726</v>
      </c>
      <c r="I8" s="299" t="s">
        <v>2745</v>
      </c>
      <c r="J8" s="300" t="s">
        <v>2746</v>
      </c>
      <c r="K8" s="216"/>
      <c r="L8" s="216"/>
      <c r="M8" s="216"/>
      <c r="N8" s="299"/>
      <c r="O8" s="299"/>
      <c r="P8" s="300"/>
    </row>
    <row r="9">
      <c r="A9" s="353"/>
      <c r="B9" s="232" t="s">
        <v>2727</v>
      </c>
      <c r="C9" s="301">
        <v>0.0744</v>
      </c>
      <c r="H9" s="299" t="s">
        <v>2727</v>
      </c>
      <c r="I9" s="299" t="s">
        <v>2747</v>
      </c>
      <c r="J9" s="300" t="s">
        <v>2748</v>
      </c>
      <c r="L9" s="216"/>
      <c r="M9" s="216"/>
      <c r="N9" s="217"/>
    </row>
    <row r="10">
      <c r="A10" s="318"/>
      <c r="B10" s="232" t="s">
        <v>2548</v>
      </c>
      <c r="C10" s="301">
        <v>0.1228</v>
      </c>
      <c r="H10" s="299" t="s">
        <v>2677</v>
      </c>
      <c r="I10" s="299" t="s">
        <v>2678</v>
      </c>
      <c r="J10" s="300" t="s">
        <v>2749</v>
      </c>
      <c r="L10" s="216"/>
      <c r="M10" s="216"/>
      <c r="N10" s="217"/>
    </row>
    <row r="11">
      <c r="A11" s="248"/>
      <c r="B11" s="232" t="s">
        <v>2633</v>
      </c>
      <c r="C11" s="301">
        <v>0.2139</v>
      </c>
      <c r="H11" s="299" t="s">
        <v>2058</v>
      </c>
      <c r="I11" s="299" t="s">
        <v>2641</v>
      </c>
      <c r="J11" s="300" t="s">
        <v>2750</v>
      </c>
      <c r="L11" s="216"/>
      <c r="M11" s="216"/>
      <c r="N11" s="217"/>
    </row>
    <row r="12">
      <c r="A12" s="302"/>
      <c r="B12" s="232" t="s">
        <v>2751</v>
      </c>
      <c r="C12" s="301">
        <v>0.0446</v>
      </c>
      <c r="H12" s="299" t="s">
        <v>2060</v>
      </c>
      <c r="I12" s="299" t="s">
        <v>2645</v>
      </c>
      <c r="J12" s="300" t="s">
        <v>2752</v>
      </c>
    </row>
    <row r="13">
      <c r="A13" s="368"/>
      <c r="B13" s="232" t="s">
        <v>2637</v>
      </c>
      <c r="C13" s="301">
        <v>0.0632</v>
      </c>
      <c r="H13" s="299" t="s">
        <v>2056</v>
      </c>
      <c r="I13" s="299" t="s">
        <v>2643</v>
      </c>
      <c r="J13" s="300" t="s">
        <v>2753</v>
      </c>
    </row>
    <row r="14">
      <c r="A14" s="318"/>
      <c r="B14" s="232" t="s">
        <v>2665</v>
      </c>
      <c r="C14" s="301">
        <v>0.0579</v>
      </c>
      <c r="H14" s="299" t="s">
        <v>2668</v>
      </c>
      <c r="I14" s="299" t="s">
        <v>2669</v>
      </c>
      <c r="J14" s="300" t="s">
        <v>2754</v>
      </c>
    </row>
    <row r="15">
      <c r="A15" s="318"/>
      <c r="B15" s="232" t="s">
        <v>2671</v>
      </c>
      <c r="C15" s="301">
        <v>0.0564</v>
      </c>
      <c r="H15" s="299" t="s">
        <v>545</v>
      </c>
      <c r="I15" s="299" t="s">
        <v>2674</v>
      </c>
      <c r="J15" s="300" t="s">
        <v>2755</v>
      </c>
    </row>
    <row r="16">
      <c r="A16" s="318"/>
      <c r="B16" s="232" t="s">
        <v>2756</v>
      </c>
      <c r="C16" s="301">
        <v>0.0721</v>
      </c>
      <c r="H16" s="299" t="s">
        <v>812</v>
      </c>
      <c r="I16" s="299" t="s">
        <v>2672</v>
      </c>
      <c r="J16" s="300" t="s">
        <v>2757</v>
      </c>
    </row>
    <row r="17">
      <c r="A17" s="369"/>
      <c r="B17" s="232" t="s">
        <v>2758</v>
      </c>
      <c r="C17" s="301">
        <v>0.0248</v>
      </c>
      <c r="H17" s="299" t="s">
        <v>1897</v>
      </c>
      <c r="I17" s="299" t="s">
        <v>2680</v>
      </c>
      <c r="J17" s="300" t="s">
        <v>2759</v>
      </c>
    </row>
    <row r="19">
      <c r="B19" s="216"/>
      <c r="C19" s="219"/>
    </row>
    <row r="21">
      <c r="A21" s="220" t="s">
        <v>2619</v>
      </c>
      <c r="B21" s="221" t="s">
        <v>2620</v>
      </c>
      <c r="C21" s="222" t="s">
        <v>2621</v>
      </c>
      <c r="D21" s="223" t="s">
        <v>2622</v>
      </c>
    </row>
    <row r="22">
      <c r="A22" s="224" t="str">
        <f t="shared" ref="A22:B22" si="1">B5</f>
        <v>Oro</v>
      </c>
      <c r="B22" s="225">
        <f t="shared" si="1"/>
        <v>0.0839</v>
      </c>
      <c r="C22" s="226">
        <v>-0.04</v>
      </c>
      <c r="D22" s="227">
        <f t="shared" ref="D22:D34" si="3">C22+B22</f>
        <v>0.0439</v>
      </c>
    </row>
    <row r="23">
      <c r="A23" s="224" t="str">
        <f t="shared" ref="A23:B23" si="2">B6</f>
        <v>WTI</v>
      </c>
      <c r="B23" s="225">
        <f t="shared" si="2"/>
        <v>0.0613</v>
      </c>
      <c r="C23" s="226">
        <v>0.0</v>
      </c>
      <c r="D23" s="227">
        <f t="shared" si="3"/>
        <v>0.0613</v>
      </c>
      <c r="H23" s="205"/>
    </row>
    <row r="24">
      <c r="A24" s="224" t="str">
        <f t="shared" ref="A24:B24" si="4">B7</f>
        <v>SOYB</v>
      </c>
      <c r="B24" s="225">
        <f t="shared" si="4"/>
        <v>0.0763</v>
      </c>
      <c r="C24" s="226">
        <v>0.0</v>
      </c>
      <c r="D24" s="227">
        <f t="shared" si="3"/>
        <v>0.0763</v>
      </c>
      <c r="I24" s="235"/>
    </row>
    <row r="25">
      <c r="A25" s="224" t="str">
        <f t="shared" ref="A25:B25" si="5">B8</f>
        <v>CORN</v>
      </c>
      <c r="B25" s="225">
        <f t="shared" si="5"/>
        <v>0.0483</v>
      </c>
      <c r="C25" s="226">
        <v>0.0</v>
      </c>
      <c r="D25" s="227">
        <f t="shared" si="3"/>
        <v>0.0483</v>
      </c>
      <c r="E25" s="192"/>
    </row>
    <row r="26">
      <c r="A26" s="224" t="str">
        <f t="shared" ref="A26:B26" si="6">B9</f>
        <v>WEAT</v>
      </c>
      <c r="B26" s="225">
        <f t="shared" si="6"/>
        <v>0.0744</v>
      </c>
      <c r="C26" s="226">
        <v>-0.02</v>
      </c>
      <c r="D26" s="320">
        <f t="shared" si="3"/>
        <v>0.0544</v>
      </c>
      <c r="E26" s="192"/>
    </row>
    <row r="27">
      <c r="A27" s="224" t="str">
        <f t="shared" ref="A27:B27" si="7">B10</f>
        <v>Argentina</v>
      </c>
      <c r="B27" s="225">
        <f t="shared" si="7"/>
        <v>0.1228</v>
      </c>
      <c r="C27" s="226">
        <v>-0.02</v>
      </c>
      <c r="D27" s="320">
        <f t="shared" si="3"/>
        <v>0.1028</v>
      </c>
      <c r="E27" s="192"/>
    </row>
    <row r="28">
      <c r="A28" s="224" t="str">
        <f t="shared" ref="A28:B28" si="8">B11</f>
        <v>ONs</v>
      </c>
      <c r="B28" s="225">
        <f t="shared" si="8"/>
        <v>0.2139</v>
      </c>
      <c r="C28" s="226">
        <v>-0.04</v>
      </c>
      <c r="D28" s="320">
        <f t="shared" si="3"/>
        <v>0.1739</v>
      </c>
      <c r="E28" s="192"/>
    </row>
    <row r="29">
      <c r="A29" s="224" t="str">
        <f t="shared" ref="A29:B29" si="9">B12</f>
        <v>Soberanos Pesos</v>
      </c>
      <c r="B29" s="225">
        <f t="shared" si="9"/>
        <v>0.0446</v>
      </c>
      <c r="C29" s="226">
        <v>0.06</v>
      </c>
      <c r="D29" s="320">
        <f t="shared" si="3"/>
        <v>0.1046</v>
      </c>
      <c r="E29" s="192"/>
    </row>
    <row r="30">
      <c r="A30" s="224" t="str">
        <f t="shared" ref="A30:B30" si="10">B13</f>
        <v>Soberanos Hard Dollar</v>
      </c>
      <c r="B30" s="225">
        <f t="shared" si="10"/>
        <v>0.0632</v>
      </c>
      <c r="C30" s="226">
        <v>0.04</v>
      </c>
      <c r="D30" s="320">
        <f t="shared" si="3"/>
        <v>0.1032</v>
      </c>
      <c r="E30" s="192"/>
    </row>
    <row r="31">
      <c r="A31" s="224" t="str">
        <f t="shared" ref="A31:B31" si="11">B14</f>
        <v>Desarrollados ex US</v>
      </c>
      <c r="B31" s="225">
        <f t="shared" si="11"/>
        <v>0.0579</v>
      </c>
      <c r="C31" s="226">
        <v>0.02</v>
      </c>
      <c r="D31" s="320">
        <f t="shared" si="3"/>
        <v>0.0779</v>
      </c>
      <c r="E31" s="192"/>
    </row>
    <row r="32">
      <c r="A32" s="224" t="str">
        <f t="shared" ref="A32:B32" si="12">B15</f>
        <v>Emergentes</v>
      </c>
      <c r="B32" s="225">
        <f t="shared" si="12"/>
        <v>0.0564</v>
      </c>
      <c r="C32" s="226">
        <v>0.0</v>
      </c>
      <c r="D32" s="320">
        <f t="shared" si="3"/>
        <v>0.0564</v>
      </c>
      <c r="E32" s="192"/>
    </row>
    <row r="33">
      <c r="A33" s="224" t="str">
        <f t="shared" ref="A33:B33" si="13">B16</f>
        <v>Small cap US</v>
      </c>
      <c r="B33" s="225">
        <f t="shared" si="13"/>
        <v>0.0721</v>
      </c>
      <c r="C33" s="226">
        <v>0.0</v>
      </c>
      <c r="D33" s="320">
        <f t="shared" si="3"/>
        <v>0.0721</v>
      </c>
      <c r="E33" s="192"/>
    </row>
    <row r="34">
      <c r="A34" s="224" t="str">
        <f t="shared" ref="A34:B34" si="14">B17</f>
        <v>Sector inmobiliario</v>
      </c>
      <c r="B34" s="225">
        <f t="shared" si="14"/>
        <v>0.0248</v>
      </c>
      <c r="C34" s="226">
        <v>0.0</v>
      </c>
      <c r="D34" s="320">
        <f t="shared" si="3"/>
        <v>0.0248</v>
      </c>
      <c r="E34" s="192"/>
    </row>
    <row r="35">
      <c r="A35" s="228"/>
      <c r="B35" s="229">
        <f>SUM(Tactical_17[Modelo])</f>
        <v>0.9999</v>
      </c>
      <c r="C35" s="230">
        <f>SUM(Tactical_17[Corredor +/- 10%])</f>
        <v>0</v>
      </c>
      <c r="D35" s="231">
        <f>SUM(Tactical_17[TAA])</f>
        <v>0.9999</v>
      </c>
      <c r="E35" s="1"/>
      <c r="F35" s="1"/>
      <c r="G35" s="1"/>
      <c r="H35" s="1"/>
    </row>
    <row r="36">
      <c r="B36" s="216"/>
      <c r="C36" s="219"/>
      <c r="E36" s="1"/>
      <c r="F36" s="1"/>
      <c r="G36" s="1"/>
      <c r="H36" s="1"/>
    </row>
    <row r="37">
      <c r="E37" s="1"/>
      <c r="F37" s="1"/>
      <c r="G37" s="1"/>
      <c r="H37" s="1"/>
    </row>
    <row r="38">
      <c r="C38" s="1" t="s">
        <v>2559</v>
      </c>
      <c r="E38" s="1"/>
      <c r="F38" s="1"/>
      <c r="G38" s="1"/>
      <c r="H38" s="1"/>
    </row>
    <row r="39">
      <c r="A39" s="314"/>
      <c r="B39" s="232" t="str">
        <f>Ons!B6</f>
        <v>TLCPD</v>
      </c>
      <c r="C39" s="233">
        <f>$D$28*Ons!G6</f>
        <v>0.0676290799</v>
      </c>
      <c r="E39" s="1"/>
      <c r="F39" s="1"/>
      <c r="G39" s="1"/>
      <c r="H39" s="1"/>
    </row>
    <row r="40">
      <c r="A40" s="314"/>
      <c r="B40" s="232" t="str">
        <f>Ons!B7</f>
        <v>BACGD</v>
      </c>
      <c r="C40" s="233">
        <f>$D$28*Ons!G7</f>
        <v>0.1062709201</v>
      </c>
      <c r="E40" s="1"/>
      <c r="F40" s="1"/>
      <c r="G40" s="1"/>
      <c r="H40" s="1"/>
    </row>
    <row r="41">
      <c r="A41" s="314"/>
      <c r="B41" s="232" t="str">
        <f>Ons!B8</f>
        <v/>
      </c>
      <c r="C41" s="233">
        <f>$D$28*Ons!G8</f>
        <v>0</v>
      </c>
    </row>
    <row r="42">
      <c r="A42" s="314"/>
      <c r="B42" s="232" t="str">
        <f>Ons!B9</f>
        <v/>
      </c>
      <c r="C42" s="234"/>
    </row>
    <row r="43">
      <c r="A43" s="314"/>
      <c r="B43" s="232" t="str">
        <f>Ons!B10</f>
        <v/>
      </c>
      <c r="C43" s="234"/>
      <c r="K43" s="238"/>
    </row>
    <row r="44">
      <c r="A44" s="315"/>
      <c r="B44" s="232" t="str">
        <f>Soberanos!B14</f>
        <v>S10N5</v>
      </c>
      <c r="C44" s="233">
        <f>$D$29*Soberanos!F14</f>
        <v>0.01131854833</v>
      </c>
    </row>
    <row r="45">
      <c r="A45" s="302"/>
      <c r="B45" s="232" t="str">
        <f>Soberanos!B15</f>
        <v/>
      </c>
      <c r="C45" s="233">
        <f>$D$29*Soberanos!F15</f>
        <v>0</v>
      </c>
    </row>
    <row r="46">
      <c r="A46" s="302"/>
      <c r="B46" s="232" t="str">
        <f>Soberanos!B16</f>
        <v>TZXD7</v>
      </c>
      <c r="C46" s="233">
        <f>$D$29*Soberanos!F16</f>
        <v>0.09328145167</v>
      </c>
    </row>
    <row r="47">
      <c r="A47" s="302"/>
      <c r="B47" s="232" t="str">
        <f>Soberanos!B17</f>
        <v/>
      </c>
      <c r="C47" s="233">
        <f>$D$29*Soberanos!F17</f>
        <v>0</v>
      </c>
    </row>
    <row r="48">
      <c r="A48" s="368"/>
      <c r="B48" s="254" t="str">
        <f>Soberanos!B28</f>
        <v>BPO8D</v>
      </c>
      <c r="C48" s="233">
        <f>$D$30*Soberanos!F28</f>
        <v>0.0360387249</v>
      </c>
    </row>
    <row r="49">
      <c r="A49" s="368"/>
      <c r="B49" s="232" t="str">
        <f>Soberanos!B29</f>
        <v>AL30D</v>
      </c>
      <c r="C49" s="233">
        <f>$D$30*Soberanos!F29</f>
        <v>0.04570133602</v>
      </c>
    </row>
    <row r="50">
      <c r="A50" s="368"/>
      <c r="B50" s="232" t="str">
        <f>Soberanos!B30</f>
        <v>AE38D</v>
      </c>
      <c r="C50" s="233">
        <f>$D$30*Soberanos!F30</f>
        <v>0.02145993908</v>
      </c>
    </row>
    <row r="51">
      <c r="A51" s="318"/>
      <c r="B51" s="232" t="s">
        <v>1800</v>
      </c>
      <c r="C51" s="233">
        <f t="shared" ref="C51:C52" si="15">$D$31*E71</f>
        <v>0.05028646369</v>
      </c>
    </row>
    <row r="52">
      <c r="A52" s="318"/>
      <c r="B52" s="232" t="s">
        <v>766</v>
      </c>
      <c r="C52" s="233">
        <f t="shared" si="15"/>
        <v>0.02761353631</v>
      </c>
    </row>
    <row r="53">
      <c r="A53" s="318"/>
      <c r="B53" s="232" t="s">
        <v>545</v>
      </c>
      <c r="C53" s="237">
        <f t="shared" ref="C53:C55" si="16">D32</f>
        <v>0.0564</v>
      </c>
    </row>
    <row r="54">
      <c r="A54" s="318"/>
      <c r="B54" s="232" t="s">
        <v>812</v>
      </c>
      <c r="C54" s="237">
        <f t="shared" si="16"/>
        <v>0.0721</v>
      </c>
    </row>
    <row r="55">
      <c r="A55" s="369"/>
      <c r="B55" s="232" t="s">
        <v>1897</v>
      </c>
      <c r="C55" s="237">
        <f t="shared" si="16"/>
        <v>0.0248</v>
      </c>
    </row>
    <row r="56">
      <c r="A56" s="349"/>
      <c r="B56" s="232" t="s">
        <v>654</v>
      </c>
      <c r="C56" s="237">
        <f>D22</f>
        <v>0.0439</v>
      </c>
      <c r="D56" s="354" t="s">
        <v>2728</v>
      </c>
      <c r="E56" s="354" t="s">
        <v>2729</v>
      </c>
      <c r="F56" s="355" t="s">
        <v>2730</v>
      </c>
      <c r="G56" s="192" t="s">
        <v>2731</v>
      </c>
      <c r="H56" s="192" t="s">
        <v>2732</v>
      </c>
      <c r="I56" s="192" t="s">
        <v>2733</v>
      </c>
      <c r="J56" s="192" t="s">
        <v>2734</v>
      </c>
    </row>
    <row r="57">
      <c r="A57" s="318"/>
      <c r="B57" s="1" t="str">
        <f>'Futuros A3'!B4</f>
        <v>ROFX20/JUN25</v>
      </c>
      <c r="C57" s="5">
        <f>D27</f>
        <v>0.1028</v>
      </c>
      <c r="D57" s="356">
        <f t="shared" ref="D57:D61" si="17">ROUNDDOWN(($E$65*C57/G57),0)</f>
        <v>114</v>
      </c>
      <c r="E57" s="370">
        <f t="shared" ref="E57:E61" si="18">D57*G57</f>
        <v>30686.43216</v>
      </c>
      <c r="F57" s="237">
        <f t="shared" ref="F57:F61" si="19">E57/$E$64</f>
        <v>0.7764380975</v>
      </c>
      <c r="G57" s="358">
        <f>'Futuros A3'!H4</f>
        <v>269.1792295</v>
      </c>
      <c r="H57" s="358">
        <f t="shared" ref="H57:H61" si="20">G57/C57</f>
        <v>2618.474995</v>
      </c>
      <c r="I57" s="358">
        <f t="shared" ref="I57:I61" si="21">($E$65*C57/G57)</f>
        <v>114.570504</v>
      </c>
      <c r="J57" s="358">
        <f t="shared" ref="J57:J61" si="22">I57*G57</f>
        <v>30840</v>
      </c>
    </row>
    <row r="58">
      <c r="A58" s="350"/>
      <c r="B58" s="232" t="str">
        <f>'Futuros A3'!B3</f>
        <v>WTI/JUL25</v>
      </c>
      <c r="C58" s="237">
        <f t="shared" ref="C58:C61" si="23">D23</f>
        <v>0.0613</v>
      </c>
      <c r="D58" s="356">
        <f t="shared" si="17"/>
        <v>30</v>
      </c>
      <c r="E58" s="357">
        <f t="shared" si="18"/>
        <v>18138</v>
      </c>
      <c r="F58" s="237">
        <f t="shared" si="19"/>
        <v>0.4589335814</v>
      </c>
      <c r="G58" s="358">
        <f>'Futuros A3'!H3</f>
        <v>604.6</v>
      </c>
      <c r="H58" s="358">
        <f t="shared" si="20"/>
        <v>9862.969005</v>
      </c>
      <c r="I58" s="358">
        <f t="shared" si="21"/>
        <v>30.4168045</v>
      </c>
      <c r="J58" s="358">
        <f t="shared" si="22"/>
        <v>18390</v>
      </c>
    </row>
    <row r="59">
      <c r="A59" s="351"/>
      <c r="B59" s="232" t="str">
        <f>'Futuros A3'!B5</f>
        <v>SOY.CME/JUL25</v>
      </c>
      <c r="C59" s="237">
        <f t="shared" si="23"/>
        <v>0.0763</v>
      </c>
      <c r="D59" s="356">
        <f t="shared" si="17"/>
        <v>11</v>
      </c>
      <c r="E59" s="357">
        <f t="shared" si="18"/>
        <v>21230</v>
      </c>
      <c r="F59" s="237">
        <f t="shared" si="19"/>
        <v>0.5371683721</v>
      </c>
      <c r="G59" s="358">
        <f>'Futuros A3'!H5</f>
        <v>1930</v>
      </c>
      <c r="H59" s="358">
        <f t="shared" si="20"/>
        <v>25294.8886</v>
      </c>
      <c r="I59" s="358">
        <f t="shared" si="21"/>
        <v>11.86010363</v>
      </c>
      <c r="J59" s="358">
        <f t="shared" si="22"/>
        <v>22890</v>
      </c>
    </row>
    <row r="60">
      <c r="A60" s="352"/>
      <c r="B60" s="232" t="str">
        <f>'Futuros A3'!B6</f>
        <v>CRN.CME/JUN25</v>
      </c>
      <c r="C60" s="237">
        <f t="shared" si="23"/>
        <v>0.0483</v>
      </c>
      <c r="D60" s="356">
        <f t="shared" si="17"/>
        <v>15</v>
      </c>
      <c r="E60" s="357">
        <f t="shared" si="18"/>
        <v>13875</v>
      </c>
      <c r="F60" s="237">
        <f t="shared" si="19"/>
        <v>0.3510697674</v>
      </c>
      <c r="G60" s="358">
        <f>'Futuros A3'!H6</f>
        <v>925</v>
      </c>
      <c r="H60" s="358">
        <f t="shared" si="20"/>
        <v>19151.13872</v>
      </c>
      <c r="I60" s="358">
        <f t="shared" si="21"/>
        <v>15.66486486</v>
      </c>
      <c r="J60" s="358">
        <f t="shared" si="22"/>
        <v>14490</v>
      </c>
      <c r="M60" s="244"/>
    </row>
    <row r="61">
      <c r="A61" s="353"/>
      <c r="B61" s="232" t="str">
        <f>'Futuros A3'!B7</f>
        <v>TRI.ROS/JUL25</v>
      </c>
      <c r="C61" s="237">
        <f t="shared" si="23"/>
        <v>0.0544</v>
      </c>
      <c r="D61" s="356">
        <f t="shared" si="17"/>
        <v>7</v>
      </c>
      <c r="E61" s="357">
        <f t="shared" si="18"/>
        <v>15050</v>
      </c>
      <c r="F61" s="237">
        <f t="shared" si="19"/>
        <v>0.3808</v>
      </c>
      <c r="G61" s="358">
        <f>'Futuros A3'!H7</f>
        <v>2150</v>
      </c>
      <c r="H61" s="358">
        <f t="shared" si="20"/>
        <v>39522.05882</v>
      </c>
      <c r="I61" s="358">
        <f t="shared" si="21"/>
        <v>7.590697674</v>
      </c>
      <c r="J61" s="358">
        <f t="shared" si="22"/>
        <v>16320</v>
      </c>
      <c r="M61" s="244"/>
    </row>
    <row r="62">
      <c r="C62" s="236">
        <f>SUM(C39:C61)</f>
        <v>0.9999</v>
      </c>
      <c r="D62" s="359"/>
      <c r="E62" s="360">
        <f>SUM(E57:E61)</f>
        <v>98979.43216</v>
      </c>
      <c r="F62" s="5"/>
      <c r="G62" s="361"/>
      <c r="H62" s="358"/>
      <c r="I62" s="358"/>
      <c r="J62" s="358">
        <f>SUM(J57:J61)</f>
        <v>102930</v>
      </c>
      <c r="M62" s="244"/>
    </row>
    <row r="63">
      <c r="D63" s="362" t="s">
        <v>2735</v>
      </c>
      <c r="E63" s="363">
        <f>J62-E62</f>
        <v>3950.567839</v>
      </c>
      <c r="F63" s="364"/>
      <c r="G63" s="341" t="s">
        <v>2055</v>
      </c>
      <c r="M63" s="244"/>
    </row>
    <row r="64">
      <c r="D64" s="205" t="s">
        <v>2736</v>
      </c>
      <c r="E64" s="365">
        <f>max(H57:H61)</f>
        <v>39522.05882</v>
      </c>
      <c r="F64" s="239"/>
      <c r="G64" s="239"/>
      <c r="H64" s="245"/>
      <c r="M64" s="244"/>
    </row>
    <row r="65">
      <c r="D65" s="205" t="s">
        <v>2737</v>
      </c>
      <c r="E65" s="365">
        <v>300000.0</v>
      </c>
      <c r="F65" s="239"/>
      <c r="G65" s="239"/>
      <c r="H65" s="245"/>
      <c r="M65" s="244"/>
    </row>
    <row r="66">
      <c r="D66" s="1" t="s">
        <v>2738</v>
      </c>
      <c r="E66" s="236">
        <f>E63/$E$65</f>
        <v>0.01316855946</v>
      </c>
      <c r="M66" s="244"/>
    </row>
    <row r="67">
      <c r="E67" s="245"/>
      <c r="F67" s="239"/>
      <c r="G67" s="239"/>
      <c r="H67" s="245"/>
      <c r="M67" s="244"/>
    </row>
    <row r="68">
      <c r="E68" s="245"/>
      <c r="L68" s="246"/>
      <c r="M68" s="244"/>
    </row>
    <row r="69">
      <c r="C69" s="1"/>
      <c r="D69" s="1"/>
      <c r="E69" s="245"/>
      <c r="L69" s="246"/>
      <c r="M69" s="244"/>
    </row>
    <row r="70">
      <c r="E70" s="245"/>
      <c r="L70" s="246"/>
      <c r="M70" s="244"/>
    </row>
    <row r="71">
      <c r="C71" s="1" t="s">
        <v>1800</v>
      </c>
      <c r="D71" s="1">
        <v>22962.0</v>
      </c>
      <c r="E71" s="252">
        <f t="shared" ref="E71:E72" si="24">D71/$D$73</f>
        <v>0.6455258497</v>
      </c>
      <c r="F71" s="1"/>
      <c r="G71" s="1"/>
      <c r="H71" s="1"/>
      <c r="I71" s="1"/>
      <c r="J71" s="1"/>
      <c r="K71" s="1"/>
      <c r="L71" s="246"/>
      <c r="M71" s="244"/>
    </row>
    <row r="72">
      <c r="C72" s="1" t="s">
        <v>766</v>
      </c>
      <c r="D72" s="1">
        <v>12609.0</v>
      </c>
      <c r="E72" s="252">
        <f t="shared" si="24"/>
        <v>0.3544741503</v>
      </c>
      <c r="F72" s="1"/>
      <c r="G72" s="1"/>
      <c r="H72" s="1"/>
      <c r="I72" s="1"/>
      <c r="J72" s="1"/>
      <c r="K72" s="1"/>
      <c r="L72" s="246"/>
      <c r="M72" s="244"/>
    </row>
    <row r="73">
      <c r="D73" s="197">
        <f>SUM(D71:D72)</f>
        <v>35571</v>
      </c>
      <c r="L73" s="246"/>
      <c r="M73" s="244"/>
    </row>
    <row r="74">
      <c r="E74" s="245"/>
      <c r="F74" s="1"/>
      <c r="G74" s="1"/>
      <c r="H74" s="1"/>
      <c r="I74" s="1"/>
      <c r="J74" s="1"/>
      <c r="K74" s="1"/>
      <c r="L74" s="246"/>
      <c r="M74" s="244"/>
    </row>
    <row r="75">
      <c r="E75" s="245"/>
      <c r="F75" s="1"/>
      <c r="G75" s="1"/>
      <c r="H75" s="1"/>
      <c r="I75" s="1"/>
      <c r="J75" s="1"/>
      <c r="K75" s="1"/>
      <c r="L75" s="246"/>
      <c r="M75" s="244"/>
    </row>
    <row r="76">
      <c r="E76" s="245"/>
      <c r="L76" s="246"/>
      <c r="M76" s="244"/>
    </row>
    <row r="77">
      <c r="E77" s="245"/>
      <c r="F77" s="1"/>
      <c r="G77" s="1"/>
      <c r="H77" s="1"/>
      <c r="I77" s="1"/>
      <c r="J77" s="1"/>
      <c r="K77" s="1"/>
      <c r="L77" s="246"/>
      <c r="M77" s="244"/>
    </row>
    <row r="78">
      <c r="E78" s="245"/>
      <c r="L78" s="246"/>
      <c r="M78" s="244"/>
    </row>
    <row r="79">
      <c r="E79" s="245"/>
      <c r="L79" s="246"/>
      <c r="M79" s="244"/>
    </row>
    <row r="80">
      <c r="E80" s="245"/>
      <c r="L80" s="246"/>
      <c r="M80" s="244"/>
    </row>
    <row r="81">
      <c r="E81" s="245"/>
      <c r="F81" s="1"/>
      <c r="G81" s="1"/>
      <c r="H81" s="1"/>
      <c r="I81" s="1"/>
      <c r="J81" s="1"/>
      <c r="K81" s="1"/>
      <c r="L81" s="246"/>
      <c r="M81" s="244"/>
    </row>
    <row r="1019">
      <c r="A1019" s="321"/>
      <c r="N1019" s="236"/>
    </row>
  </sheetData>
  <dataValidations>
    <dataValidation type="custom" allowBlank="1" showDropDown="1" sqref="B22:D34">
      <formula1>AND(ISNUMBER(B22),(NOT(OR(NOT(ISERROR(DATEVALUE(B22))), AND(ISNUMBER(B22), LEFT(CELL("format", B22))="D")))))</formula1>
    </dataValidation>
  </dataValidations>
  <hyperlinks>
    <hyperlink display="Futuros A3" location="'Futuros A3'!A1" ref="G63"/>
  </hyperlinks>
  <drawing r:id="rId1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2.25"/>
    <col customWidth="1" min="5" max="5" width="25.0"/>
    <col customWidth="1" min="6" max="7" width="34.38"/>
    <col customWidth="1" min="8" max="8" width="21.63"/>
    <col customWidth="1" min="9" max="9" width="21.75"/>
  </cols>
  <sheetData>
    <row r="1">
      <c r="B1" s="204" t="s">
        <v>2639</v>
      </c>
    </row>
    <row r="2">
      <c r="B2" s="205" t="s">
        <v>2635</v>
      </c>
      <c r="C2" s="207">
        <v>0.2956</v>
      </c>
    </row>
    <row r="3">
      <c r="B3" s="205" t="s">
        <v>2640</v>
      </c>
      <c r="C3" s="207">
        <v>0.1161</v>
      </c>
      <c r="L3" s="211"/>
      <c r="M3" s="211"/>
      <c r="N3" s="299"/>
      <c r="O3" s="299"/>
      <c r="P3" s="300"/>
    </row>
    <row r="4">
      <c r="B4" s="209" t="s">
        <v>2615</v>
      </c>
      <c r="C4" s="210" t="s">
        <v>2616</v>
      </c>
      <c r="H4" s="366" t="s">
        <v>2605</v>
      </c>
      <c r="I4" s="366" t="s">
        <v>2615</v>
      </c>
      <c r="J4" s="367" t="s">
        <v>2616</v>
      </c>
      <c r="L4" s="216"/>
      <c r="M4" s="216"/>
      <c r="N4" s="299"/>
      <c r="O4" s="299"/>
      <c r="P4" s="300"/>
    </row>
    <row r="5">
      <c r="A5" s="349"/>
      <c r="B5" s="214" t="s">
        <v>2584</v>
      </c>
      <c r="C5" s="310">
        <v>0.0265</v>
      </c>
      <c r="H5" s="299" t="s">
        <v>654</v>
      </c>
      <c r="I5" s="299" t="s">
        <v>2648</v>
      </c>
      <c r="J5" s="300" t="s">
        <v>2739</v>
      </c>
      <c r="K5" s="211"/>
      <c r="L5" s="216"/>
      <c r="M5" s="216"/>
      <c r="N5" s="299"/>
      <c r="O5" s="299"/>
      <c r="P5" s="300"/>
    </row>
    <row r="6">
      <c r="A6" s="350"/>
      <c r="B6" s="214" t="s">
        <v>2724</v>
      </c>
      <c r="C6" s="310">
        <v>0.0901</v>
      </c>
      <c r="H6" s="299" t="s">
        <v>2740</v>
      </c>
      <c r="I6" s="299" t="s">
        <v>2741</v>
      </c>
      <c r="J6" s="300" t="s">
        <v>2742</v>
      </c>
      <c r="K6" s="216"/>
      <c r="L6" s="216"/>
      <c r="M6" s="216"/>
      <c r="N6" s="299"/>
      <c r="O6" s="299"/>
      <c r="P6" s="300"/>
    </row>
    <row r="7">
      <c r="A7" s="351"/>
      <c r="B7" s="214" t="s">
        <v>2725</v>
      </c>
      <c r="C7" s="310">
        <v>0.0473</v>
      </c>
      <c r="H7" s="299" t="s">
        <v>2725</v>
      </c>
      <c r="I7" s="299" t="s">
        <v>2743</v>
      </c>
      <c r="J7" s="300" t="s">
        <v>2744</v>
      </c>
      <c r="K7" s="216"/>
      <c r="L7" s="216"/>
      <c r="M7" s="216"/>
      <c r="N7" s="299"/>
      <c r="O7" s="299"/>
      <c r="P7" s="300"/>
    </row>
    <row r="8">
      <c r="A8" s="352"/>
      <c r="B8" s="214" t="s">
        <v>2726</v>
      </c>
      <c r="C8" s="310">
        <v>0.0204</v>
      </c>
      <c r="H8" s="299" t="s">
        <v>2726</v>
      </c>
      <c r="I8" s="299" t="s">
        <v>2745</v>
      </c>
      <c r="J8" s="300" t="s">
        <v>2746</v>
      </c>
      <c r="K8" s="216"/>
      <c r="L8" s="216"/>
      <c r="M8" s="216"/>
      <c r="N8" s="299"/>
      <c r="O8" s="299"/>
      <c r="P8" s="300"/>
    </row>
    <row r="9">
      <c r="A9" s="353"/>
      <c r="B9" s="232" t="s">
        <v>2727</v>
      </c>
      <c r="C9" s="310">
        <v>0.0423</v>
      </c>
      <c r="H9" s="299" t="s">
        <v>2727</v>
      </c>
      <c r="I9" s="299" t="s">
        <v>2747</v>
      </c>
      <c r="J9" s="300" t="s">
        <v>2748</v>
      </c>
      <c r="L9" s="216"/>
      <c r="M9" s="216"/>
      <c r="N9" s="217"/>
    </row>
    <row r="10">
      <c r="A10" s="318"/>
      <c r="B10" s="232" t="s">
        <v>2548</v>
      </c>
      <c r="C10" s="310">
        <v>0.3183</v>
      </c>
      <c r="H10" s="299" t="s">
        <v>2677</v>
      </c>
      <c r="I10" s="299" t="s">
        <v>2678</v>
      </c>
      <c r="J10" s="300" t="s">
        <v>2749</v>
      </c>
      <c r="L10" s="216"/>
      <c r="M10" s="216"/>
      <c r="N10" s="217"/>
    </row>
    <row r="11">
      <c r="A11" s="248"/>
      <c r="B11" s="232" t="s">
        <v>2633</v>
      </c>
      <c r="C11" s="310">
        <v>0.0246</v>
      </c>
      <c r="H11" s="299" t="s">
        <v>2058</v>
      </c>
      <c r="I11" s="299" t="s">
        <v>2641</v>
      </c>
      <c r="J11" s="300" t="s">
        <v>2750</v>
      </c>
      <c r="L11" s="216"/>
      <c r="M11" s="216"/>
      <c r="N11" s="217"/>
    </row>
    <row r="12">
      <c r="A12" s="302"/>
      <c r="B12" s="232" t="s">
        <v>2751</v>
      </c>
      <c r="C12" s="310">
        <v>0.254</v>
      </c>
      <c r="H12" s="299" t="s">
        <v>2060</v>
      </c>
      <c r="I12" s="299" t="s">
        <v>2645</v>
      </c>
      <c r="J12" s="300" t="s">
        <v>2752</v>
      </c>
    </row>
    <row r="13">
      <c r="A13" s="368"/>
      <c r="B13" s="232" t="s">
        <v>2637</v>
      </c>
      <c r="C13" s="310">
        <v>0.0292</v>
      </c>
      <c r="H13" s="299" t="s">
        <v>2056</v>
      </c>
      <c r="I13" s="299" t="s">
        <v>2643</v>
      </c>
      <c r="J13" s="300" t="s">
        <v>2753</v>
      </c>
    </row>
    <row r="14">
      <c r="A14" s="318"/>
      <c r="B14" s="232" t="s">
        <v>2665</v>
      </c>
      <c r="C14" s="310">
        <v>0.027</v>
      </c>
      <c r="H14" s="299" t="s">
        <v>2668</v>
      </c>
      <c r="I14" s="299" t="s">
        <v>2669</v>
      </c>
      <c r="J14" s="300" t="s">
        <v>2754</v>
      </c>
    </row>
    <row r="15">
      <c r="A15" s="318"/>
      <c r="B15" s="232" t="s">
        <v>2671</v>
      </c>
      <c r="C15" s="310">
        <v>0.0466</v>
      </c>
      <c r="H15" s="299" t="s">
        <v>545</v>
      </c>
      <c r="I15" s="299" t="s">
        <v>2674</v>
      </c>
      <c r="J15" s="300" t="s">
        <v>2755</v>
      </c>
    </row>
    <row r="16">
      <c r="A16" s="318"/>
      <c r="B16" s="232" t="s">
        <v>2756</v>
      </c>
      <c r="C16" s="310">
        <v>0.0522</v>
      </c>
      <c r="H16" s="299" t="s">
        <v>812</v>
      </c>
      <c r="I16" s="299" t="s">
        <v>2672</v>
      </c>
      <c r="J16" s="300" t="s">
        <v>2757</v>
      </c>
    </row>
    <row r="17">
      <c r="A17" s="369"/>
      <c r="B17" s="232" t="s">
        <v>2758</v>
      </c>
      <c r="C17" s="310">
        <v>0.0216</v>
      </c>
      <c r="H17" s="299" t="s">
        <v>1897</v>
      </c>
      <c r="I17" s="299" t="s">
        <v>2680</v>
      </c>
      <c r="J17" s="300" t="s">
        <v>2759</v>
      </c>
    </row>
    <row r="19">
      <c r="B19" s="216"/>
      <c r="C19" s="219"/>
    </row>
    <row r="21">
      <c r="A21" s="220" t="s">
        <v>2619</v>
      </c>
      <c r="B21" s="221" t="s">
        <v>2620</v>
      </c>
      <c r="C21" s="222" t="s">
        <v>2621</v>
      </c>
      <c r="D21" s="223" t="s">
        <v>2622</v>
      </c>
    </row>
    <row r="22">
      <c r="A22" s="224" t="str">
        <f t="shared" ref="A22:B22" si="1">B5</f>
        <v>Oro</v>
      </c>
      <c r="B22" s="225">
        <f t="shared" si="1"/>
        <v>0.0265</v>
      </c>
      <c r="C22" s="226">
        <v>0.0</v>
      </c>
      <c r="D22" s="227">
        <f t="shared" ref="D22:D34" si="3">C22+B22</f>
        <v>0.0265</v>
      </c>
    </row>
    <row r="23">
      <c r="A23" s="224" t="str">
        <f t="shared" ref="A23:B23" si="2">B6</f>
        <v>WTI</v>
      </c>
      <c r="B23" s="225">
        <f t="shared" si="2"/>
        <v>0.0901</v>
      </c>
      <c r="C23" s="226">
        <v>-0.03</v>
      </c>
      <c r="D23" s="227">
        <f t="shared" si="3"/>
        <v>0.0601</v>
      </c>
      <c r="H23" s="205"/>
    </row>
    <row r="24">
      <c r="A24" s="224" t="str">
        <f t="shared" ref="A24:B24" si="4">B7</f>
        <v>SOYB</v>
      </c>
      <c r="B24" s="225">
        <f t="shared" si="4"/>
        <v>0.0473</v>
      </c>
      <c r="C24" s="226">
        <v>0.0</v>
      </c>
      <c r="D24" s="227">
        <f t="shared" si="3"/>
        <v>0.0473</v>
      </c>
      <c r="I24" s="235"/>
    </row>
    <row r="25">
      <c r="A25" s="224" t="str">
        <f t="shared" ref="A25:B25" si="5">B8</f>
        <v>CORN</v>
      </c>
      <c r="B25" s="225">
        <f t="shared" si="5"/>
        <v>0.0204</v>
      </c>
      <c r="C25" s="226">
        <v>0.0</v>
      </c>
      <c r="D25" s="227">
        <f t="shared" si="3"/>
        <v>0.0204</v>
      </c>
      <c r="E25" s="192"/>
    </row>
    <row r="26">
      <c r="A26" s="224" t="str">
        <f t="shared" ref="A26:B26" si="6">B9</f>
        <v>WEAT</v>
      </c>
      <c r="B26" s="225">
        <f t="shared" si="6"/>
        <v>0.0423</v>
      </c>
      <c r="C26" s="226">
        <v>0.0</v>
      </c>
      <c r="D26" s="320">
        <f t="shared" si="3"/>
        <v>0.0423</v>
      </c>
      <c r="E26" s="192"/>
    </row>
    <row r="27">
      <c r="A27" s="224" t="str">
        <f t="shared" ref="A27:B27" si="7">B10</f>
        <v>Argentina</v>
      </c>
      <c r="B27" s="225">
        <f t="shared" si="7"/>
        <v>0.3183</v>
      </c>
      <c r="C27" s="226">
        <v>-0.05</v>
      </c>
      <c r="D27" s="320">
        <f t="shared" si="3"/>
        <v>0.2683</v>
      </c>
      <c r="E27" s="192"/>
    </row>
    <row r="28">
      <c r="A28" s="224" t="str">
        <f t="shared" ref="A28:B28" si="8">B11</f>
        <v>ONs</v>
      </c>
      <c r="B28" s="225">
        <f t="shared" si="8"/>
        <v>0.0246</v>
      </c>
      <c r="C28" s="226">
        <v>-0.0246</v>
      </c>
      <c r="D28" s="320">
        <f t="shared" si="3"/>
        <v>0</v>
      </c>
      <c r="E28" s="192"/>
    </row>
    <row r="29">
      <c r="A29" s="224" t="str">
        <f t="shared" ref="A29:B29" si="9">B12</f>
        <v>Soberanos Pesos</v>
      </c>
      <c r="B29" s="225">
        <f t="shared" si="9"/>
        <v>0.254</v>
      </c>
      <c r="C29" s="226">
        <v>0.0</v>
      </c>
      <c r="D29" s="320">
        <f t="shared" si="3"/>
        <v>0.254</v>
      </c>
      <c r="E29" s="192"/>
    </row>
    <row r="30">
      <c r="A30" s="224" t="str">
        <f t="shared" ref="A30:B30" si="10">B13</f>
        <v>Soberanos Hard Dollar</v>
      </c>
      <c r="B30" s="225">
        <f t="shared" si="10"/>
        <v>0.0292</v>
      </c>
      <c r="C30" s="226">
        <v>0.05</v>
      </c>
      <c r="D30" s="320">
        <f t="shared" si="3"/>
        <v>0.0792</v>
      </c>
      <c r="E30" s="192"/>
    </row>
    <row r="31">
      <c r="A31" s="224" t="str">
        <f t="shared" ref="A31:B31" si="11">B14</f>
        <v>Desarrollados ex US</v>
      </c>
      <c r="B31" s="225">
        <f t="shared" si="11"/>
        <v>0.027</v>
      </c>
      <c r="C31" s="226">
        <v>0.0346</v>
      </c>
      <c r="D31" s="320">
        <f t="shared" si="3"/>
        <v>0.0616</v>
      </c>
      <c r="E31" s="192"/>
    </row>
    <row r="32">
      <c r="A32" s="224" t="str">
        <f t="shared" ref="A32:B32" si="12">B15</f>
        <v>Emergentes</v>
      </c>
      <c r="B32" s="225">
        <f t="shared" si="12"/>
        <v>0.0466</v>
      </c>
      <c r="C32" s="226">
        <v>0.05</v>
      </c>
      <c r="D32" s="320">
        <f t="shared" si="3"/>
        <v>0.0966</v>
      </c>
      <c r="E32" s="192"/>
    </row>
    <row r="33">
      <c r="A33" s="224" t="str">
        <f t="shared" ref="A33:B33" si="13">B16</f>
        <v>Small cap US</v>
      </c>
      <c r="B33" s="225">
        <f t="shared" si="13"/>
        <v>0.0522</v>
      </c>
      <c r="C33" s="226">
        <v>-0.03</v>
      </c>
      <c r="D33" s="320">
        <f t="shared" si="3"/>
        <v>0.0222</v>
      </c>
      <c r="E33" s="192"/>
    </row>
    <row r="34">
      <c r="A34" s="224" t="str">
        <f t="shared" ref="A34:B34" si="14">B17</f>
        <v>Sector inmobiliario</v>
      </c>
      <c r="B34" s="225">
        <f t="shared" si="14"/>
        <v>0.0216</v>
      </c>
      <c r="C34" s="226">
        <v>0.0</v>
      </c>
      <c r="D34" s="320">
        <f t="shared" si="3"/>
        <v>0.0216</v>
      </c>
      <c r="E34" s="192"/>
    </row>
    <row r="35">
      <c r="A35" s="228"/>
      <c r="B35" s="229">
        <f>SUM(Tactical_18[Modelo])</f>
        <v>1.0001</v>
      </c>
      <c r="C35" s="230">
        <f>SUM(Tactical_18[Corredor +/- 10%])</f>
        <v>0</v>
      </c>
      <c r="D35" s="231">
        <f>SUM(Tactical_18[TAA])</f>
        <v>1.0001</v>
      </c>
      <c r="E35" s="1"/>
      <c r="F35" s="1"/>
      <c r="G35" s="1"/>
      <c r="H35" s="1"/>
    </row>
    <row r="36">
      <c r="B36" s="216"/>
      <c r="C36" s="219"/>
      <c r="E36" s="1"/>
      <c r="F36" s="1"/>
      <c r="G36" s="1"/>
      <c r="H36" s="1"/>
    </row>
    <row r="37">
      <c r="E37" s="1"/>
      <c r="F37" s="1"/>
      <c r="G37" s="1"/>
      <c r="H37" s="1"/>
    </row>
    <row r="38">
      <c r="C38" s="1" t="s">
        <v>2559</v>
      </c>
      <c r="E38" s="1"/>
      <c r="F38" s="1"/>
      <c r="G38" s="1"/>
      <c r="H38" s="1"/>
    </row>
    <row r="39">
      <c r="A39" s="315"/>
      <c r="B39" s="232" t="str">
        <f>Soberanos!B21</f>
        <v>T30J6</v>
      </c>
      <c r="C39" s="233">
        <f>$D$29*Soberanos!F21</f>
        <v>0.05013488356</v>
      </c>
    </row>
    <row r="40">
      <c r="A40" s="302"/>
      <c r="B40" s="232" t="str">
        <f>Soberanos!B22</f>
        <v>TTD26</v>
      </c>
      <c r="C40" s="233">
        <f>$D$29*Soberanos!F22</f>
        <v>0.07512794124</v>
      </c>
    </row>
    <row r="41">
      <c r="A41" s="302"/>
      <c r="B41" s="232" t="str">
        <f>Soberanos!B24</f>
        <v/>
      </c>
      <c r="C41" s="233">
        <f>$D$29*Soberanos!F24</f>
        <v>0</v>
      </c>
    </row>
    <row r="42">
      <c r="A42" s="368"/>
      <c r="B42" s="254" t="str">
        <f>Soberanos!B36</f>
        <v>BPO8D</v>
      </c>
      <c r="C42" s="233">
        <f>$D$30*Soberanos!F36</f>
        <v>0.02283790115</v>
      </c>
    </row>
    <row r="43">
      <c r="A43" s="368"/>
      <c r="B43" s="232" t="str">
        <f>Soberanos!B37</f>
        <v>AL30D</v>
      </c>
      <c r="C43" s="233">
        <f>$D$30*Soberanos!F37</f>
        <v>0.01800929488</v>
      </c>
    </row>
    <row r="44">
      <c r="A44" s="368"/>
      <c r="B44" s="232" t="str">
        <f>Soberanos!B38</f>
        <v>AE38D</v>
      </c>
      <c r="C44" s="233">
        <f>$D$30*Soberanos!F38</f>
        <v>0.03835280398</v>
      </c>
    </row>
    <row r="45">
      <c r="A45" s="318"/>
      <c r="B45" s="232" t="s">
        <v>1800</v>
      </c>
      <c r="C45" s="233">
        <f t="shared" ref="C45:C46" si="15">$D$31*E66</f>
        <v>0.03976439234</v>
      </c>
    </row>
    <row r="46">
      <c r="A46" s="318"/>
      <c r="B46" s="232" t="s">
        <v>766</v>
      </c>
      <c r="C46" s="233">
        <f t="shared" si="15"/>
        <v>0.02183560766</v>
      </c>
    </row>
    <row r="47">
      <c r="A47" s="318"/>
      <c r="B47" s="232" t="s">
        <v>591</v>
      </c>
      <c r="C47" s="233">
        <f t="shared" ref="C47:C48" si="16">$D$32*E69</f>
        <v>0.08467648901</v>
      </c>
    </row>
    <row r="48">
      <c r="A48" s="318"/>
      <c r="B48" s="232" t="s">
        <v>568</v>
      </c>
      <c r="C48" s="233">
        <f t="shared" si="16"/>
        <v>0.01192351099</v>
      </c>
    </row>
    <row r="49">
      <c r="A49" s="318"/>
      <c r="B49" s="232" t="s">
        <v>812</v>
      </c>
      <c r="C49" s="237">
        <f t="shared" ref="C49:C50" si="17">D33</f>
        <v>0.0222</v>
      </c>
    </row>
    <row r="50">
      <c r="A50" s="369"/>
      <c r="B50" s="232" t="s">
        <v>1897</v>
      </c>
      <c r="C50" s="237">
        <f t="shared" si="17"/>
        <v>0.0216</v>
      </c>
    </row>
    <row r="51">
      <c r="A51" s="349"/>
      <c r="B51" s="232" t="s">
        <v>654</v>
      </c>
      <c r="C51" s="237">
        <f>D22</f>
        <v>0.0265</v>
      </c>
      <c r="D51" s="354" t="s">
        <v>2728</v>
      </c>
      <c r="E51" s="354" t="s">
        <v>2729</v>
      </c>
      <c r="F51" s="355" t="s">
        <v>2730</v>
      </c>
      <c r="G51" s="192" t="s">
        <v>2731</v>
      </c>
      <c r="H51" s="192" t="s">
        <v>2732</v>
      </c>
      <c r="I51" s="192" t="s">
        <v>2733</v>
      </c>
      <c r="J51" s="192" t="s">
        <v>2734</v>
      </c>
    </row>
    <row r="52">
      <c r="A52" s="318"/>
      <c r="B52" s="1" t="str">
        <f>'Futuros A3'!B4</f>
        <v>ROFX20/JUN25</v>
      </c>
      <c r="C52" s="5">
        <f>D27</f>
        <v>0.2683</v>
      </c>
      <c r="D52" s="356">
        <f t="shared" ref="D52:D56" si="18">ROUNDDOWN(($E$60*C52/G52),0)</f>
        <v>249</v>
      </c>
      <c r="E52" s="370">
        <f t="shared" ref="E52:E56" si="19">D52*G52</f>
        <v>67025.62814</v>
      </c>
      <c r="F52" s="237">
        <f t="shared" ref="F52:F56" si="20">E52/$E$59</f>
        <v>1.318690265</v>
      </c>
      <c r="G52" s="358">
        <f>'Futuros A3'!H4</f>
        <v>269.1792295</v>
      </c>
      <c r="H52" s="358">
        <f t="shared" ref="H52:H56" si="21">G52/C52</f>
        <v>1003.277039</v>
      </c>
      <c r="I52" s="358">
        <f t="shared" ref="I52:I56" si="22">($E$60*C52/G52)</f>
        <v>249.1834163</v>
      </c>
      <c r="J52" s="358">
        <f t="shared" ref="J52:J56" si="23">I52*G52</f>
        <v>67075</v>
      </c>
    </row>
    <row r="53">
      <c r="A53" s="350"/>
      <c r="B53" s="232" t="str">
        <f>'Futuros A3'!B3</f>
        <v>WTI/JUL25</v>
      </c>
      <c r="C53" s="237">
        <f t="shared" ref="C53:C56" si="24">D23</f>
        <v>0.0601</v>
      </c>
      <c r="D53" s="356">
        <f t="shared" si="18"/>
        <v>24</v>
      </c>
      <c r="E53" s="357">
        <f t="shared" si="19"/>
        <v>14510.4</v>
      </c>
      <c r="F53" s="237">
        <f t="shared" si="20"/>
        <v>0.2854836837</v>
      </c>
      <c r="G53" s="358">
        <f>'Futuros A3'!H3</f>
        <v>604.6</v>
      </c>
      <c r="H53" s="358">
        <f t="shared" si="21"/>
        <v>10059.90017</v>
      </c>
      <c r="I53" s="358">
        <f t="shared" si="22"/>
        <v>24.85114125</v>
      </c>
      <c r="J53" s="358">
        <f t="shared" si="23"/>
        <v>15025</v>
      </c>
    </row>
    <row r="54">
      <c r="A54" s="351"/>
      <c r="B54" s="232" t="str">
        <f>'Futuros A3'!B5</f>
        <v>SOY.CME/JUL25</v>
      </c>
      <c r="C54" s="237">
        <f t="shared" si="24"/>
        <v>0.0473</v>
      </c>
      <c r="D54" s="356">
        <f t="shared" si="18"/>
        <v>6</v>
      </c>
      <c r="E54" s="357">
        <f t="shared" si="19"/>
        <v>11580</v>
      </c>
      <c r="F54" s="237">
        <f t="shared" si="20"/>
        <v>0.2278297674</v>
      </c>
      <c r="G54" s="358">
        <f>'Futuros A3'!H5</f>
        <v>1930</v>
      </c>
      <c r="H54" s="358">
        <f t="shared" si="21"/>
        <v>40803.38266</v>
      </c>
      <c r="I54" s="358">
        <f t="shared" si="22"/>
        <v>6.126943005</v>
      </c>
      <c r="J54" s="358">
        <f t="shared" si="23"/>
        <v>11825</v>
      </c>
    </row>
    <row r="55">
      <c r="A55" s="352"/>
      <c r="B55" s="232" t="str">
        <f>'Futuros A3'!B6</f>
        <v>CRN.CME/JUN25</v>
      </c>
      <c r="C55" s="237">
        <f t="shared" si="24"/>
        <v>0.0204</v>
      </c>
      <c r="D55" s="356">
        <f t="shared" si="18"/>
        <v>5</v>
      </c>
      <c r="E55" s="357">
        <f t="shared" si="19"/>
        <v>4625</v>
      </c>
      <c r="F55" s="237">
        <f t="shared" si="20"/>
        <v>0.09099418605</v>
      </c>
      <c r="G55" s="358">
        <f>'Futuros A3'!H6</f>
        <v>925</v>
      </c>
      <c r="H55" s="358">
        <f t="shared" si="21"/>
        <v>45343.13725</v>
      </c>
      <c r="I55" s="358">
        <f t="shared" si="22"/>
        <v>5.513513514</v>
      </c>
      <c r="J55" s="358">
        <f t="shared" si="23"/>
        <v>5100</v>
      </c>
      <c r="M55" s="244"/>
    </row>
    <row r="56">
      <c r="A56" s="353"/>
      <c r="B56" s="232" t="str">
        <f>'Futuros A3'!B7</f>
        <v>TRI.ROS/JUL25</v>
      </c>
      <c r="C56" s="237">
        <f t="shared" si="24"/>
        <v>0.0423</v>
      </c>
      <c r="D56" s="356">
        <f t="shared" si="18"/>
        <v>4</v>
      </c>
      <c r="E56" s="357">
        <f t="shared" si="19"/>
        <v>8600</v>
      </c>
      <c r="F56" s="237">
        <f t="shared" si="20"/>
        <v>0.1692</v>
      </c>
      <c r="G56" s="358">
        <f>'Futuros A3'!H7</f>
        <v>2150</v>
      </c>
      <c r="H56" s="358">
        <f t="shared" si="21"/>
        <v>50827.42317</v>
      </c>
      <c r="I56" s="358">
        <f t="shared" si="22"/>
        <v>4.918604651</v>
      </c>
      <c r="J56" s="358">
        <f t="shared" si="23"/>
        <v>10575</v>
      </c>
      <c r="M56" s="244"/>
    </row>
    <row r="57">
      <c r="C57" s="236">
        <f>SUM(C39:C56)</f>
        <v>0.8713628248</v>
      </c>
      <c r="D57" s="359"/>
      <c r="E57" s="360">
        <f>SUM(E52:E56)</f>
        <v>106341.0281</v>
      </c>
      <c r="F57" s="5"/>
      <c r="G57" s="361"/>
      <c r="H57" s="358"/>
      <c r="I57" s="358"/>
      <c r="J57" s="358">
        <f>SUM(J52:J56)</f>
        <v>109600</v>
      </c>
      <c r="M57" s="244"/>
    </row>
    <row r="58">
      <c r="D58" s="362" t="s">
        <v>2760</v>
      </c>
      <c r="E58" s="363">
        <f>J57-E57</f>
        <v>3258.971859</v>
      </c>
      <c r="F58" s="364"/>
      <c r="G58" s="341" t="s">
        <v>2055</v>
      </c>
      <c r="M58" s="244"/>
    </row>
    <row r="59">
      <c r="D59" s="205" t="s">
        <v>2736</v>
      </c>
      <c r="E59" s="365">
        <f>MAX(H52:H56)</f>
        <v>50827.42317</v>
      </c>
      <c r="F59" s="239"/>
      <c r="G59" s="239"/>
      <c r="H59" s="245"/>
      <c r="M59" s="244"/>
    </row>
    <row r="60">
      <c r="D60" s="205" t="s">
        <v>2737</v>
      </c>
      <c r="E60" s="250">
        <v>250000.0</v>
      </c>
      <c r="F60" s="239"/>
      <c r="G60" s="239"/>
      <c r="H60" s="245"/>
      <c r="M60" s="244"/>
    </row>
    <row r="61">
      <c r="D61" s="1" t="s">
        <v>2738</v>
      </c>
      <c r="E61" s="236">
        <f>E58/$E$60</f>
        <v>0.01303588744</v>
      </c>
      <c r="M61" s="244"/>
    </row>
    <row r="62">
      <c r="E62" s="245"/>
      <c r="F62" s="239"/>
      <c r="G62" s="239"/>
      <c r="H62" s="245"/>
      <c r="M62" s="244"/>
    </row>
    <row r="63">
      <c r="E63" s="245"/>
      <c r="L63" s="246"/>
      <c r="M63" s="244"/>
    </row>
    <row r="64">
      <c r="C64" s="1"/>
      <c r="D64" s="1"/>
      <c r="E64" s="245"/>
      <c r="L64" s="246"/>
      <c r="M64" s="244"/>
    </row>
    <row r="65">
      <c r="E65" s="245"/>
      <c r="L65" s="246"/>
      <c r="M65" s="244"/>
    </row>
    <row r="66">
      <c r="C66" s="1" t="s">
        <v>1800</v>
      </c>
      <c r="D66" s="1">
        <v>22962.0</v>
      </c>
      <c r="E66" s="252">
        <f t="shared" ref="E66:E67" si="25">D66/$D$68</f>
        <v>0.6455258497</v>
      </c>
      <c r="F66" s="1"/>
      <c r="G66" s="1"/>
      <c r="H66" s="1"/>
      <c r="I66" s="1"/>
      <c r="J66" s="1"/>
      <c r="K66" s="1"/>
      <c r="L66" s="246"/>
      <c r="M66" s="244"/>
    </row>
    <row r="67">
      <c r="C67" s="1" t="s">
        <v>766</v>
      </c>
      <c r="D67" s="1">
        <v>12609.0</v>
      </c>
      <c r="E67" s="252">
        <f t="shared" si="25"/>
        <v>0.3544741503</v>
      </c>
      <c r="F67" s="1"/>
      <c r="G67" s="1"/>
      <c r="H67" s="1"/>
      <c r="I67" s="1"/>
      <c r="J67" s="1"/>
      <c r="K67" s="1"/>
      <c r="L67" s="246"/>
      <c r="M67" s="244"/>
    </row>
    <row r="68">
      <c r="D68" s="197">
        <f>SUM(D66:D67)</f>
        <v>35571</v>
      </c>
      <c r="L68" s="246"/>
      <c r="M68" s="244"/>
    </row>
    <row r="69">
      <c r="C69" s="1" t="s">
        <v>2486</v>
      </c>
      <c r="D69" s="1">
        <v>2457499.06</v>
      </c>
      <c r="E69" s="239">
        <v>0.8765682092155493</v>
      </c>
      <c r="F69" s="1"/>
      <c r="G69" s="1"/>
      <c r="H69" s="1"/>
      <c r="I69" s="1"/>
      <c r="J69" s="1"/>
      <c r="K69" s="1"/>
      <c r="L69" s="246"/>
      <c r="M69" s="244"/>
    </row>
    <row r="70">
      <c r="C70" s="1" t="s">
        <v>2483</v>
      </c>
      <c r="D70" s="1">
        <v>346046.67</v>
      </c>
      <c r="E70" s="239">
        <v>0.12343179078445066</v>
      </c>
      <c r="F70" s="1"/>
      <c r="G70" s="1"/>
      <c r="H70" s="1"/>
      <c r="I70" s="1"/>
      <c r="J70" s="1"/>
      <c r="K70" s="1"/>
      <c r="L70" s="246"/>
      <c r="M70" s="244"/>
    </row>
    <row r="71">
      <c r="D71" s="197">
        <v>2803545.73</v>
      </c>
      <c r="L71" s="246"/>
      <c r="M71" s="244"/>
    </row>
    <row r="72">
      <c r="F72" s="1"/>
      <c r="G72" s="1"/>
      <c r="H72" s="1"/>
      <c r="I72" s="1"/>
      <c r="J72" s="1"/>
      <c r="K72" s="1"/>
      <c r="L72" s="246"/>
      <c r="M72" s="244"/>
    </row>
    <row r="73">
      <c r="E73" s="245"/>
      <c r="L73" s="246"/>
      <c r="M73" s="244"/>
    </row>
    <row r="74">
      <c r="E74" s="245"/>
      <c r="L74" s="246"/>
      <c r="M74" s="244"/>
    </row>
    <row r="75">
      <c r="E75" s="245"/>
      <c r="L75" s="246"/>
      <c r="M75" s="244"/>
    </row>
    <row r="76">
      <c r="E76" s="245"/>
      <c r="F76" s="1"/>
      <c r="G76" s="1"/>
      <c r="H76" s="1"/>
      <c r="I76" s="1"/>
      <c r="J76" s="1"/>
      <c r="K76" s="1"/>
      <c r="L76" s="246"/>
      <c r="M76" s="244"/>
    </row>
    <row r="1014">
      <c r="A1014" s="321"/>
      <c r="N1014" s="236"/>
    </row>
  </sheetData>
  <dataValidations>
    <dataValidation type="custom" allowBlank="1" showDropDown="1" sqref="B22:D34">
      <formula1>AND(ISNUMBER(B22),(NOT(OR(NOT(ISERROR(DATEVALUE(B22))), AND(ISNUMBER(B22), LEFT(CELL("format", B22))="D")))))</formula1>
    </dataValidation>
  </dataValidations>
  <hyperlinks>
    <hyperlink display="Futuros A3" location="'Futuros A3'!A1" ref="G58"/>
  </hyperlinks>
  <drawing r:id="rId1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04" t="s">
        <v>2639</v>
      </c>
    </row>
    <row r="2">
      <c r="B2" s="205" t="s">
        <v>2635</v>
      </c>
      <c r="C2" s="207">
        <v>0.0812</v>
      </c>
    </row>
    <row r="3">
      <c r="B3" s="205" t="s">
        <v>2640</v>
      </c>
      <c r="C3" s="207">
        <v>0.0718</v>
      </c>
      <c r="K3" s="299"/>
      <c r="L3" s="299"/>
    </row>
    <row r="4">
      <c r="B4" s="209" t="s">
        <v>2615</v>
      </c>
      <c r="C4" s="210" t="s">
        <v>2616</v>
      </c>
      <c r="I4" s="208"/>
      <c r="K4" s="299"/>
      <c r="L4" s="299"/>
    </row>
    <row r="5">
      <c r="A5" s="248"/>
      <c r="B5" s="214" t="s">
        <v>2633</v>
      </c>
      <c r="C5" s="310">
        <v>0.9395</v>
      </c>
      <c r="I5" s="211"/>
      <c r="J5" s="211"/>
      <c r="K5" s="299"/>
      <c r="L5" s="299"/>
    </row>
    <row r="6">
      <c r="A6" s="251"/>
      <c r="B6" s="214" t="s">
        <v>2637</v>
      </c>
      <c r="C6" s="310">
        <v>0.0186</v>
      </c>
      <c r="I6" s="216"/>
      <c r="J6" s="216"/>
      <c r="K6" s="299"/>
      <c r="L6" s="299"/>
    </row>
    <row r="7">
      <c r="A7" s="269"/>
      <c r="B7" s="214" t="s">
        <v>2761</v>
      </c>
      <c r="C7" s="310">
        <v>0.0359</v>
      </c>
      <c r="I7" s="216"/>
      <c r="J7" s="216"/>
      <c r="K7" s="299"/>
      <c r="L7" s="299"/>
      <c r="M7" s="300"/>
    </row>
    <row r="8">
      <c r="A8" s="302"/>
      <c r="B8" s="214" t="s">
        <v>2647</v>
      </c>
      <c r="C8" s="310">
        <v>0.0061</v>
      </c>
      <c r="I8" s="216"/>
      <c r="J8" s="216"/>
      <c r="K8" s="299"/>
      <c r="L8" s="299"/>
      <c r="M8" s="300"/>
    </row>
    <row r="9">
      <c r="A9" s="318"/>
      <c r="B9" s="232"/>
      <c r="C9" s="310"/>
      <c r="K9" s="299"/>
      <c r="L9" s="299"/>
      <c r="M9" s="300"/>
    </row>
    <row r="10">
      <c r="A10" s="318"/>
      <c r="B10" s="232"/>
      <c r="C10" s="310"/>
      <c r="K10" s="299"/>
      <c r="L10" s="299"/>
      <c r="M10" s="300"/>
    </row>
    <row r="11">
      <c r="A11" s="318"/>
      <c r="B11" s="232"/>
      <c r="C11" s="310"/>
      <c r="K11" s="299"/>
      <c r="L11" s="299"/>
      <c r="M11" s="300"/>
    </row>
    <row r="12">
      <c r="A12" s="318"/>
      <c r="B12" s="232"/>
      <c r="C12" s="310"/>
      <c r="K12" s="216"/>
      <c r="L12" s="216"/>
      <c r="M12" s="217"/>
    </row>
    <row r="13">
      <c r="A13" s="319"/>
      <c r="B13" s="232"/>
      <c r="C13" s="310"/>
      <c r="K13" s="216"/>
      <c r="L13" s="216"/>
      <c r="M13" s="217"/>
    </row>
    <row r="17">
      <c r="B17" s="216"/>
      <c r="C17" s="219"/>
    </row>
    <row r="19">
      <c r="A19" s="220" t="s">
        <v>2619</v>
      </c>
      <c r="B19" s="221" t="s">
        <v>2620</v>
      </c>
      <c r="C19" s="222" t="s">
        <v>2621</v>
      </c>
      <c r="D19" s="223" t="s">
        <v>2622</v>
      </c>
    </row>
    <row r="20">
      <c r="A20" s="224" t="str">
        <f t="shared" ref="A20:B20" si="1">B5</f>
        <v>ONs</v>
      </c>
      <c r="B20" s="371">
        <f t="shared" si="1"/>
        <v>0.9395</v>
      </c>
      <c r="C20" s="226">
        <v>-0.08</v>
      </c>
      <c r="D20" s="227">
        <f t="shared" ref="D20:D23" si="3">C20+B20</f>
        <v>0.8595</v>
      </c>
    </row>
    <row r="21">
      <c r="A21" s="224" t="str">
        <f t="shared" ref="A21:B21" si="2">B6</f>
        <v>Soberanos Hard Dollar</v>
      </c>
      <c r="B21" s="371">
        <f t="shared" si="2"/>
        <v>0.0186</v>
      </c>
      <c r="C21" s="226">
        <v>0.0611</v>
      </c>
      <c r="D21" s="227">
        <f t="shared" si="3"/>
        <v>0.0797</v>
      </c>
      <c r="G21" s="205"/>
    </row>
    <row r="22">
      <c r="A22" s="224" t="s">
        <v>2761</v>
      </c>
      <c r="B22" s="371">
        <f>C7</f>
        <v>0.0359</v>
      </c>
      <c r="C22" s="226">
        <f>2.5%</f>
        <v>0.025</v>
      </c>
      <c r="D22" s="227">
        <f t="shared" si="3"/>
        <v>0.0609</v>
      </c>
      <c r="H22" s="235"/>
    </row>
    <row r="23">
      <c r="A23" s="224" t="str">
        <f t="shared" ref="A23:B23" si="4">B8</f>
        <v>Soberanos pesos</v>
      </c>
      <c r="B23" s="371">
        <f t="shared" si="4"/>
        <v>0.0061</v>
      </c>
      <c r="C23" s="226">
        <v>-0.0061</v>
      </c>
      <c r="D23" s="227">
        <f t="shared" si="3"/>
        <v>0</v>
      </c>
      <c r="E23" s="192"/>
    </row>
    <row r="24">
      <c r="A24" s="228"/>
      <c r="B24" s="229">
        <f>SUM(Tactical_8[Modelo])</f>
        <v>1.0001</v>
      </c>
      <c r="C24" s="230">
        <f>SUM(Tactical_8[Corredor +/- 10%])</f>
        <v>0</v>
      </c>
      <c r="D24" s="231">
        <f>SUM(Tactical_8[TAA])</f>
        <v>1.0001</v>
      </c>
      <c r="E24" s="1"/>
      <c r="F24" s="1"/>
      <c r="G24" s="1"/>
    </row>
    <row r="25">
      <c r="B25" s="216"/>
      <c r="C25" s="219"/>
      <c r="E25" s="1"/>
      <c r="F25" s="1"/>
      <c r="G25" s="1"/>
    </row>
    <row r="26">
      <c r="E26" s="1"/>
      <c r="F26" s="1"/>
      <c r="G26" s="1"/>
    </row>
    <row r="27">
      <c r="C27" s="1" t="s">
        <v>2559</v>
      </c>
      <c r="E27" s="1"/>
      <c r="F27" s="1"/>
      <c r="G27" s="1"/>
    </row>
    <row r="28">
      <c r="A28" s="248"/>
      <c r="B28" s="232" t="str">
        <f>Ons!B6</f>
        <v>TLCPD</v>
      </c>
      <c r="C28" s="237">
        <f>$D$20*Ons!G6</f>
        <v>0.3342564357</v>
      </c>
      <c r="J28" s="238"/>
    </row>
    <row r="29">
      <c r="A29" s="248"/>
      <c r="B29" s="232" t="str">
        <f>Ons!B7</f>
        <v>BACGD</v>
      </c>
      <c r="C29" s="237">
        <f>$D$20*Ons!G7</f>
        <v>0.5252435643</v>
      </c>
      <c r="E29" s="245"/>
      <c r="K29" s="243"/>
      <c r="L29" s="244"/>
    </row>
    <row r="30">
      <c r="A30" s="248"/>
      <c r="B30" s="232" t="str">
        <f>Ons!B8</f>
        <v/>
      </c>
      <c r="C30" s="237">
        <f>$D$20*Ons!G8</f>
        <v>0</v>
      </c>
      <c r="E30" s="245"/>
      <c r="F30" s="1"/>
      <c r="G30" s="1"/>
      <c r="H30" s="1"/>
      <c r="I30" s="1"/>
      <c r="J30" s="1"/>
      <c r="K30" s="243"/>
      <c r="L30" s="244"/>
    </row>
    <row r="31">
      <c r="A31" s="248"/>
      <c r="B31" s="232" t="str">
        <f>Ons!B9</f>
        <v/>
      </c>
      <c r="C31" s="237">
        <f>$D$20*Ons!G9</f>
        <v>0</v>
      </c>
      <c r="E31" s="245"/>
      <c r="F31" s="1"/>
      <c r="G31" s="1"/>
      <c r="H31" s="1"/>
      <c r="I31" s="1"/>
      <c r="J31" s="1"/>
      <c r="K31" s="243"/>
      <c r="L31" s="244"/>
    </row>
    <row r="32">
      <c r="A32" s="251"/>
      <c r="B32" s="254" t="str">
        <f>Soberanos!B28</f>
        <v>BPO8D</v>
      </c>
      <c r="C32" s="237">
        <f>$D$21*Soberanos!F28</f>
        <v>0.02783223231</v>
      </c>
      <c r="E32" s="245"/>
      <c r="F32" s="1"/>
      <c r="G32" s="1"/>
      <c r="H32" s="1"/>
      <c r="I32" s="1"/>
      <c r="J32" s="1"/>
      <c r="K32" s="243"/>
      <c r="L32" s="244"/>
    </row>
    <row r="33">
      <c r="A33" s="251"/>
      <c r="B33" s="232" t="str">
        <f>Soberanos!B29</f>
        <v>AL30D</v>
      </c>
      <c r="C33" s="237">
        <f>$D$21*Soberanos!F29</f>
        <v>0.03529453955</v>
      </c>
      <c r="E33" s="245"/>
      <c r="F33" s="1"/>
      <c r="G33" s="1"/>
      <c r="H33" s="1"/>
      <c r="I33" s="1"/>
      <c r="J33" s="1"/>
      <c r="K33" s="243"/>
      <c r="L33" s="244"/>
    </row>
    <row r="34">
      <c r="A34" s="251"/>
      <c r="B34" s="232" t="str">
        <f>Soberanos!B30</f>
        <v>AE38D</v>
      </c>
      <c r="C34" s="237">
        <f>$D$21*Soberanos!F30</f>
        <v>0.01657322814</v>
      </c>
      <c r="E34" s="245"/>
      <c r="F34" s="1"/>
      <c r="G34" s="1"/>
      <c r="H34" s="1"/>
      <c r="I34" s="1"/>
      <c r="J34" s="1"/>
      <c r="K34" s="243"/>
      <c r="L34" s="244"/>
    </row>
    <row r="35">
      <c r="A35" s="318"/>
      <c r="B35" s="1" t="s">
        <v>2003</v>
      </c>
      <c r="C35" s="5">
        <f>D22</f>
        <v>0.0609</v>
      </c>
      <c r="E35" s="245"/>
      <c r="F35" s="1"/>
      <c r="G35" s="1"/>
      <c r="H35" s="1"/>
      <c r="I35" s="1"/>
      <c r="J35" s="1"/>
      <c r="K35" s="243"/>
      <c r="L35" s="244"/>
    </row>
    <row r="36">
      <c r="E36" s="245"/>
      <c r="F36" s="1"/>
      <c r="G36" s="1"/>
      <c r="H36" s="1"/>
      <c r="I36" s="1"/>
      <c r="J36" s="1"/>
      <c r="K36" s="243"/>
      <c r="L36" s="244"/>
    </row>
    <row r="37">
      <c r="C37" s="5">
        <f>SUM(C28:C35)</f>
        <v>1.0001</v>
      </c>
      <c r="E37" s="245"/>
      <c r="F37" s="1"/>
      <c r="G37" s="1"/>
      <c r="H37" s="1"/>
      <c r="I37" s="1"/>
      <c r="J37" s="1"/>
      <c r="K37" s="243"/>
      <c r="L37" s="244"/>
    </row>
    <row r="38">
      <c r="C38" s="235"/>
      <c r="E38" s="245"/>
      <c r="F38" s="1"/>
      <c r="G38" s="1"/>
      <c r="H38" s="1"/>
      <c r="I38" s="1"/>
      <c r="J38" s="1"/>
      <c r="K38" s="243"/>
      <c r="L38" s="244"/>
    </row>
    <row r="39">
      <c r="E39" s="245"/>
      <c r="K39" s="243"/>
      <c r="L39" s="244"/>
    </row>
    <row r="40">
      <c r="D40" s="239"/>
      <c r="E40" s="245"/>
      <c r="K40" s="243"/>
      <c r="L40" s="244"/>
    </row>
    <row r="41">
      <c r="D41" s="239"/>
      <c r="E41" s="245"/>
      <c r="K41" s="246"/>
      <c r="L41" s="244"/>
    </row>
    <row r="42">
      <c r="D42" s="239"/>
      <c r="E42" s="245"/>
      <c r="K42" s="246"/>
      <c r="L42" s="244"/>
    </row>
    <row r="43">
      <c r="D43" s="239"/>
      <c r="E43" s="245"/>
      <c r="K43" s="246"/>
      <c r="L43" s="244"/>
    </row>
    <row r="44">
      <c r="E44" s="245"/>
      <c r="F44" s="1"/>
      <c r="G44" s="1"/>
      <c r="H44" s="1"/>
      <c r="I44" s="1"/>
      <c r="J44" s="1"/>
      <c r="K44" s="246"/>
      <c r="L44" s="244"/>
    </row>
    <row r="45">
      <c r="E45" s="245"/>
      <c r="K45" s="246"/>
      <c r="L45" s="244"/>
    </row>
    <row r="46">
      <c r="C46" s="1"/>
      <c r="D46" s="1"/>
      <c r="E46" s="245"/>
      <c r="K46" s="246"/>
      <c r="L46" s="244"/>
    </row>
    <row r="47">
      <c r="E47" s="245"/>
      <c r="K47" s="246"/>
      <c r="L47" s="244"/>
    </row>
    <row r="48">
      <c r="E48" s="245"/>
      <c r="F48" s="1"/>
      <c r="G48" s="1"/>
      <c r="H48" s="1"/>
      <c r="I48" s="1"/>
      <c r="J48" s="1"/>
      <c r="K48" s="246"/>
      <c r="L48" s="244"/>
    </row>
    <row r="49">
      <c r="E49" s="245"/>
      <c r="F49" s="1"/>
      <c r="G49" s="1"/>
      <c r="H49" s="1"/>
      <c r="I49" s="1"/>
      <c r="J49" s="1"/>
      <c r="K49" s="246"/>
      <c r="L49" s="244"/>
    </row>
    <row r="50">
      <c r="E50" s="245"/>
      <c r="K50" s="246"/>
      <c r="L50" s="244"/>
    </row>
    <row r="51">
      <c r="E51" s="245"/>
      <c r="F51" s="1"/>
      <c r="G51" s="1"/>
      <c r="H51" s="1"/>
      <c r="I51" s="1"/>
      <c r="J51" s="1"/>
      <c r="K51" s="246"/>
      <c r="L51" s="244"/>
    </row>
    <row r="52">
      <c r="E52" s="245"/>
      <c r="F52" s="1"/>
      <c r="G52" s="1"/>
      <c r="H52" s="1"/>
      <c r="I52" s="1"/>
      <c r="J52" s="1"/>
      <c r="K52" s="246"/>
      <c r="L52" s="244"/>
    </row>
    <row r="53">
      <c r="E53" s="245"/>
      <c r="K53" s="246"/>
      <c r="L53" s="244"/>
    </row>
    <row r="54">
      <c r="E54" s="245"/>
      <c r="F54" s="1"/>
      <c r="G54" s="1"/>
      <c r="H54" s="1"/>
      <c r="I54" s="1"/>
      <c r="J54" s="1"/>
      <c r="K54" s="246"/>
      <c r="L54" s="244"/>
    </row>
    <row r="55">
      <c r="E55" s="245"/>
      <c r="K55" s="246"/>
      <c r="L55" s="244"/>
    </row>
    <row r="56">
      <c r="E56" s="245"/>
      <c r="K56" s="246"/>
      <c r="L56" s="244"/>
    </row>
    <row r="57">
      <c r="E57" s="245"/>
      <c r="K57" s="246"/>
      <c r="L57" s="244"/>
    </row>
    <row r="58">
      <c r="E58" s="245"/>
      <c r="F58" s="1"/>
      <c r="G58" s="1"/>
      <c r="H58" s="1"/>
      <c r="I58" s="1"/>
      <c r="J58" s="1"/>
      <c r="K58" s="246"/>
      <c r="L58" s="244"/>
    </row>
    <row r="996">
      <c r="A996" s="321"/>
      <c r="M996" s="236"/>
    </row>
  </sheetData>
  <dataValidations>
    <dataValidation type="custom" allowBlank="1" showDropDown="1" sqref="B20:D23">
      <formula1>AND(ISNUMBER(B20),(NOT(OR(NOT(ISERROR(DATEVALUE(B20))), AND(ISNUMBER(B20), LEFT(CELL("format", B20))="D")))))</formula1>
    </dataValidation>
  </dataValidations>
  <drawing r:id="rId1"/>
  <tableParts count="1"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04" t="s">
        <v>2639</v>
      </c>
    </row>
    <row r="2">
      <c r="B2" s="205" t="s">
        <v>2635</v>
      </c>
      <c r="C2" s="207">
        <v>0.2985</v>
      </c>
    </row>
    <row r="3">
      <c r="B3" s="205" t="s">
        <v>2640</v>
      </c>
      <c r="C3" s="207">
        <v>0.1298</v>
      </c>
      <c r="K3" s="299"/>
      <c r="L3" s="299"/>
    </row>
    <row r="4">
      <c r="B4" s="209" t="s">
        <v>2615</v>
      </c>
      <c r="C4" s="210" t="s">
        <v>2616</v>
      </c>
      <c r="I4" s="208"/>
      <c r="K4" s="299"/>
      <c r="L4" s="299"/>
    </row>
    <row r="5">
      <c r="A5" s="314"/>
      <c r="B5" s="214" t="s">
        <v>2633</v>
      </c>
      <c r="C5" s="301">
        <v>0.1728</v>
      </c>
      <c r="I5" s="211"/>
      <c r="J5" s="211"/>
      <c r="K5" s="299"/>
      <c r="L5" s="299"/>
    </row>
    <row r="6">
      <c r="A6" s="372"/>
      <c r="B6" s="214" t="s">
        <v>2637</v>
      </c>
      <c r="C6" s="301">
        <v>0.2253</v>
      </c>
      <c r="I6" s="216"/>
      <c r="J6" s="216"/>
      <c r="K6" s="299"/>
      <c r="L6" s="299"/>
    </row>
    <row r="7">
      <c r="A7" s="316"/>
      <c r="B7" s="214" t="s">
        <v>2761</v>
      </c>
      <c r="C7" s="301">
        <v>0.3939</v>
      </c>
      <c r="I7" s="216"/>
      <c r="J7" s="216"/>
      <c r="K7" s="299"/>
      <c r="L7" s="299"/>
    </row>
    <row r="8">
      <c r="A8" s="315"/>
      <c r="B8" s="214" t="s">
        <v>2647</v>
      </c>
      <c r="C8" s="301">
        <v>0.2079</v>
      </c>
      <c r="I8" s="216"/>
      <c r="J8" s="216"/>
      <c r="K8" s="299"/>
      <c r="L8" s="299"/>
      <c r="M8" s="300"/>
    </row>
    <row r="12">
      <c r="B12" s="216"/>
      <c r="C12" s="219"/>
    </row>
    <row r="14">
      <c r="A14" s="220" t="s">
        <v>2619</v>
      </c>
      <c r="B14" s="221" t="s">
        <v>2620</v>
      </c>
      <c r="C14" s="222" t="s">
        <v>2621</v>
      </c>
      <c r="D14" s="223" t="s">
        <v>2622</v>
      </c>
    </row>
    <row r="15">
      <c r="A15" s="224" t="str">
        <f t="shared" ref="A15:B15" si="1">B5</f>
        <v>ONs</v>
      </c>
      <c r="B15" s="371">
        <f t="shared" si="1"/>
        <v>0.1728</v>
      </c>
      <c r="C15" s="226">
        <v>-0.1</v>
      </c>
      <c r="D15" s="227">
        <f t="shared" ref="D15:D18" si="3">C15+B15</f>
        <v>0.0728</v>
      </c>
    </row>
    <row r="16">
      <c r="A16" s="224" t="str">
        <f t="shared" ref="A16:B16" si="2">B6</f>
        <v>Soberanos Hard Dollar</v>
      </c>
      <c r="B16" s="371">
        <f t="shared" si="2"/>
        <v>0.2253</v>
      </c>
      <c r="C16" s="226">
        <v>0.0</v>
      </c>
      <c r="D16" s="227">
        <f t="shared" si="3"/>
        <v>0.2253</v>
      </c>
      <c r="G16" s="205"/>
    </row>
    <row r="17">
      <c r="A17" s="224" t="s">
        <v>2761</v>
      </c>
      <c r="B17" s="371">
        <f>C7</f>
        <v>0.3939</v>
      </c>
      <c r="C17" s="226">
        <v>0.04</v>
      </c>
      <c r="D17" s="227">
        <f t="shared" si="3"/>
        <v>0.4339</v>
      </c>
      <c r="H17" s="235"/>
    </row>
    <row r="18">
      <c r="A18" s="224" t="str">
        <f t="shared" ref="A18:B18" si="4">B8</f>
        <v>Soberanos pesos</v>
      </c>
      <c r="B18" s="371">
        <f t="shared" si="4"/>
        <v>0.2079</v>
      </c>
      <c r="C18" s="226">
        <v>0.06</v>
      </c>
      <c r="D18" s="227">
        <f t="shared" si="3"/>
        <v>0.2679</v>
      </c>
      <c r="E18" s="192"/>
    </row>
    <row r="19">
      <c r="A19" s="228"/>
      <c r="B19" s="229">
        <f>SUM(Tactical_9[Modelo])</f>
        <v>0.9999</v>
      </c>
      <c r="C19" s="230">
        <f>SUM(Tactical_9[Corredor +/- 10%])</f>
        <v>0</v>
      </c>
      <c r="D19" s="231">
        <f>SUM(Tactical_9[TAA])</f>
        <v>0.9999</v>
      </c>
      <c r="E19" s="1"/>
      <c r="F19" s="1"/>
      <c r="G19" s="1"/>
    </row>
    <row r="20">
      <c r="B20" s="216"/>
      <c r="C20" s="219"/>
      <c r="E20" s="1"/>
      <c r="F20" s="1"/>
      <c r="G20" s="1"/>
    </row>
    <row r="21">
      <c r="E21" s="1"/>
      <c r="F21" s="1"/>
      <c r="G21" s="1"/>
    </row>
    <row r="22">
      <c r="C22" s="1" t="s">
        <v>2559</v>
      </c>
      <c r="E22" s="1"/>
      <c r="F22" s="1"/>
      <c r="G22" s="1"/>
    </row>
    <row r="23">
      <c r="A23" s="248"/>
      <c r="B23" s="232" t="str">
        <f>Ons!B19</f>
        <v>DNC7D</v>
      </c>
      <c r="C23" s="237">
        <f>$D$15*Ons!G19</f>
        <v>0.02856583309</v>
      </c>
      <c r="J23" s="238"/>
    </row>
    <row r="24">
      <c r="A24" s="248"/>
      <c r="B24" s="232" t="str">
        <f>Ons!B20</f>
        <v>TLCPD</v>
      </c>
      <c r="C24" s="237">
        <f>$D$15*Ons!G20</f>
        <v>0.04423416691</v>
      </c>
      <c r="E24" s="245"/>
      <c r="K24" s="243"/>
      <c r="L24" s="244"/>
    </row>
    <row r="25">
      <c r="A25" s="248"/>
      <c r="B25" s="232" t="str">
        <f>Ons!B21</f>
        <v/>
      </c>
      <c r="C25" s="237">
        <f>$D$15*Ons!G21</f>
        <v>0</v>
      </c>
      <c r="E25" s="245"/>
      <c r="F25" s="1"/>
      <c r="G25" s="1"/>
      <c r="H25" s="1"/>
      <c r="I25" s="1"/>
      <c r="J25" s="1"/>
      <c r="K25" s="243"/>
      <c r="L25" s="244"/>
    </row>
    <row r="26">
      <c r="A26" s="248"/>
      <c r="B26" s="232" t="str">
        <f>Ons!B9</f>
        <v/>
      </c>
      <c r="C26" s="237">
        <f>$D$15*Ons!G9</f>
        <v>0</v>
      </c>
      <c r="E26" s="245"/>
      <c r="F26" s="1"/>
      <c r="G26" s="1"/>
      <c r="H26" s="1"/>
      <c r="I26" s="1"/>
      <c r="J26" s="1"/>
      <c r="K26" s="243"/>
      <c r="L26" s="244"/>
    </row>
    <row r="27">
      <c r="A27" s="251"/>
      <c r="B27" s="254" t="str">
        <f>Soberanos!B36</f>
        <v>BPO8D</v>
      </c>
      <c r="C27" s="237">
        <f>$D$16*Soberanos!F36</f>
        <v>0.06496690819</v>
      </c>
      <c r="E27" s="245"/>
      <c r="F27" s="1"/>
      <c r="G27" s="1"/>
      <c r="H27" s="1"/>
      <c r="I27" s="1"/>
      <c r="J27" s="1"/>
      <c r="K27" s="243"/>
      <c r="L27" s="244"/>
    </row>
    <row r="28">
      <c r="A28" s="251"/>
      <c r="B28" s="232" t="str">
        <f>Soberanos!B37</f>
        <v>AL30D</v>
      </c>
      <c r="C28" s="237">
        <f>$D$16*Soberanos!F37</f>
        <v>0.05123098656</v>
      </c>
      <c r="E28" s="245"/>
      <c r="F28" s="1"/>
      <c r="G28" s="1"/>
      <c r="H28" s="1"/>
      <c r="I28" s="1"/>
      <c r="J28" s="1"/>
      <c r="K28" s="243"/>
      <c r="L28" s="244"/>
    </row>
    <row r="29">
      <c r="A29" s="251"/>
      <c r="B29" s="232" t="str">
        <f>Soberanos!B38</f>
        <v>AE38D</v>
      </c>
      <c r="C29" s="237">
        <f>$D$16*Soberanos!F38</f>
        <v>0.1091021053</v>
      </c>
      <c r="E29" s="245"/>
      <c r="F29" s="1"/>
      <c r="G29" s="1"/>
      <c r="H29" s="1"/>
      <c r="I29" s="1"/>
      <c r="J29" s="1"/>
      <c r="K29" s="243"/>
      <c r="L29" s="244"/>
    </row>
    <row r="30">
      <c r="A30" s="302"/>
      <c r="B30" s="234" t="str">
        <f>Soberanos!B21</f>
        <v>T30J6</v>
      </c>
      <c r="C30" s="237">
        <f>$D$18*Soberanos!F21</f>
        <v>0.05287848546</v>
      </c>
      <c r="E30" s="245"/>
      <c r="F30" s="1"/>
      <c r="G30" s="1"/>
      <c r="H30" s="1"/>
      <c r="I30" s="1"/>
      <c r="J30" s="1"/>
      <c r="K30" s="243"/>
      <c r="L30" s="244"/>
    </row>
    <row r="31">
      <c r="A31" s="302"/>
      <c r="B31" s="234" t="str">
        <f>Soberanos!B22</f>
        <v>TTD26</v>
      </c>
      <c r="C31" s="237">
        <f>$D$18*Soberanos!F22</f>
        <v>0.07923927346</v>
      </c>
      <c r="E31" s="245"/>
      <c r="F31" s="1"/>
      <c r="G31" s="1"/>
      <c r="H31" s="1"/>
      <c r="I31" s="1"/>
      <c r="J31" s="1"/>
      <c r="K31" s="243"/>
      <c r="L31" s="244"/>
    </row>
    <row r="32">
      <c r="A32" s="302"/>
      <c r="B32" s="234" t="str">
        <f>Soberanos!B23</f>
        <v>TZXD7</v>
      </c>
      <c r="C32" s="237">
        <f>$D$18*Soberanos!F23</f>
        <v>0.1357822411</v>
      </c>
      <c r="E32" s="245"/>
      <c r="F32" s="1"/>
      <c r="G32" s="1"/>
      <c r="H32" s="1"/>
      <c r="I32" s="1"/>
      <c r="J32" s="1"/>
      <c r="K32" s="243"/>
      <c r="L32" s="244"/>
    </row>
    <row r="33">
      <c r="A33" s="318"/>
      <c r="B33" s="373" t="s">
        <v>2003</v>
      </c>
      <c r="C33" s="237">
        <f>$D$17*'Merval + VIST'!D3</f>
        <v>0.1752133543</v>
      </c>
      <c r="E33" s="245"/>
      <c r="F33" s="1"/>
      <c r="G33" s="1"/>
      <c r="H33" s="1"/>
      <c r="I33" s="1"/>
      <c r="J33" s="1"/>
      <c r="K33" s="243"/>
      <c r="L33" s="244"/>
    </row>
    <row r="34">
      <c r="A34" s="318"/>
      <c r="B34" s="374" t="s">
        <v>641</v>
      </c>
      <c r="C34" s="237">
        <f>$D$17*'Merval + VIST'!D4</f>
        <v>0.07830416188</v>
      </c>
      <c r="E34" s="245"/>
      <c r="F34" s="1"/>
      <c r="G34" s="1"/>
      <c r="H34" s="1"/>
      <c r="I34" s="1"/>
      <c r="J34" s="1"/>
      <c r="K34" s="243"/>
      <c r="L34" s="244"/>
    </row>
    <row r="35">
      <c r="A35" s="318"/>
      <c r="B35" s="374" t="s">
        <v>211</v>
      </c>
      <c r="C35" s="237">
        <f>$D$17*'Merval + VIST'!D5</f>
        <v>0.04680028291</v>
      </c>
      <c r="E35" s="245"/>
      <c r="F35" s="1"/>
      <c r="G35" s="1"/>
      <c r="H35" s="1"/>
      <c r="I35" s="1"/>
      <c r="J35" s="1"/>
      <c r="K35" s="243"/>
      <c r="L35" s="244"/>
    </row>
    <row r="36">
      <c r="A36" s="318"/>
      <c r="B36" s="373" t="s">
        <v>1138</v>
      </c>
      <c r="C36" s="237">
        <f>$D$17*'Merval + VIST'!D6</f>
        <v>0.04104614977</v>
      </c>
      <c r="E36" s="245"/>
      <c r="F36" s="1"/>
      <c r="G36" s="1"/>
      <c r="H36" s="1"/>
      <c r="I36" s="1"/>
      <c r="J36" s="1"/>
      <c r="K36" s="243"/>
      <c r="L36" s="244"/>
    </row>
    <row r="37">
      <c r="A37" s="318"/>
      <c r="B37" s="374" t="s">
        <v>346</v>
      </c>
      <c r="C37" s="237">
        <f>$D$17*'Merval + VIST'!D7</f>
        <v>0.01663903501</v>
      </c>
      <c r="E37" s="245"/>
      <c r="F37" s="1"/>
      <c r="G37" s="1"/>
      <c r="H37" s="1"/>
      <c r="I37" s="1"/>
      <c r="J37" s="1"/>
      <c r="K37" s="243"/>
      <c r="L37" s="244"/>
    </row>
    <row r="38">
      <c r="A38" s="318"/>
      <c r="B38" s="374" t="s">
        <v>1805</v>
      </c>
      <c r="C38" s="237">
        <f>$D$17*'Merval + VIST'!D8</f>
        <v>0.04334780302</v>
      </c>
      <c r="E38" s="245"/>
      <c r="F38" s="1"/>
      <c r="G38" s="1"/>
      <c r="H38" s="1"/>
      <c r="I38" s="1"/>
      <c r="J38" s="1"/>
      <c r="K38" s="243"/>
      <c r="L38" s="244"/>
    </row>
    <row r="39">
      <c r="A39" s="318"/>
      <c r="B39" s="80" t="s">
        <v>305</v>
      </c>
      <c r="C39" s="237">
        <f>$D$17*'Merval + VIST'!D9</f>
        <v>0.01173843162</v>
      </c>
      <c r="E39" s="245"/>
      <c r="F39" s="1"/>
      <c r="G39" s="1"/>
      <c r="H39" s="1"/>
      <c r="I39" s="1"/>
      <c r="J39" s="1"/>
      <c r="K39" s="243"/>
      <c r="L39" s="244"/>
    </row>
    <row r="40">
      <c r="A40" s="318"/>
      <c r="B40" s="80" t="s">
        <v>1547</v>
      </c>
      <c r="C40" s="237">
        <f>$D$17*'Merval + VIST'!D10</f>
        <v>0.02081078154</v>
      </c>
      <c r="E40" s="245"/>
      <c r="K40" s="243"/>
      <c r="L40" s="244"/>
    </row>
    <row r="41">
      <c r="C41" s="5">
        <f>SUM(C23:C40)</f>
        <v>0.9999</v>
      </c>
      <c r="D41" s="239"/>
      <c r="E41" s="245"/>
      <c r="K41" s="243"/>
      <c r="L41" s="244"/>
    </row>
    <row r="42">
      <c r="D42" s="239"/>
      <c r="E42" s="245"/>
      <c r="K42" s="246"/>
      <c r="L42" s="244"/>
    </row>
    <row r="43">
      <c r="D43" s="239"/>
      <c r="E43" s="245"/>
      <c r="K43" s="246"/>
      <c r="L43" s="244"/>
    </row>
    <row r="44">
      <c r="D44" s="239"/>
      <c r="E44" s="245"/>
      <c r="K44" s="246"/>
      <c r="L44" s="244"/>
    </row>
    <row r="45">
      <c r="E45" s="245"/>
      <c r="F45" s="1"/>
      <c r="G45" s="1"/>
      <c r="H45" s="1"/>
      <c r="I45" s="1"/>
      <c r="J45" s="1"/>
      <c r="K45" s="246"/>
      <c r="L45" s="244"/>
    </row>
    <row r="46">
      <c r="E46" s="245"/>
      <c r="K46" s="246"/>
      <c r="L46" s="244"/>
    </row>
    <row r="47">
      <c r="C47" s="1"/>
      <c r="D47" s="1"/>
      <c r="E47" s="245"/>
      <c r="K47" s="246"/>
      <c r="L47" s="244"/>
    </row>
    <row r="48">
      <c r="E48" s="245"/>
      <c r="K48" s="246"/>
      <c r="L48" s="244"/>
    </row>
    <row r="49">
      <c r="E49" s="245"/>
      <c r="F49" s="1"/>
      <c r="G49" s="1"/>
      <c r="H49" s="1"/>
      <c r="I49" s="1"/>
      <c r="J49" s="1"/>
      <c r="K49" s="246"/>
      <c r="L49" s="244"/>
    </row>
    <row r="50">
      <c r="E50" s="245"/>
      <c r="F50" s="1"/>
      <c r="G50" s="1"/>
      <c r="H50" s="1"/>
      <c r="I50" s="1"/>
      <c r="J50" s="1"/>
      <c r="K50" s="246"/>
      <c r="L50" s="244"/>
    </row>
    <row r="51">
      <c r="E51" s="245"/>
      <c r="K51" s="246"/>
      <c r="L51" s="244"/>
    </row>
    <row r="52">
      <c r="E52" s="245"/>
      <c r="F52" s="1"/>
      <c r="G52" s="1"/>
      <c r="H52" s="1"/>
      <c r="I52" s="1"/>
      <c r="J52" s="1"/>
      <c r="K52" s="246"/>
      <c r="L52" s="244"/>
    </row>
    <row r="53">
      <c r="E53" s="245"/>
      <c r="F53" s="1"/>
      <c r="G53" s="1"/>
      <c r="H53" s="1"/>
      <c r="I53" s="1"/>
      <c r="J53" s="1"/>
      <c r="K53" s="246"/>
      <c r="L53" s="244"/>
    </row>
    <row r="54">
      <c r="E54" s="245"/>
      <c r="K54" s="246"/>
      <c r="L54" s="244"/>
    </row>
    <row r="55">
      <c r="E55" s="245"/>
      <c r="F55" s="1"/>
      <c r="G55" s="1"/>
      <c r="H55" s="1"/>
      <c r="I55" s="1"/>
      <c r="J55" s="1"/>
      <c r="K55" s="246"/>
      <c r="L55" s="244"/>
    </row>
    <row r="56">
      <c r="E56" s="245"/>
      <c r="K56" s="246"/>
      <c r="L56" s="244"/>
    </row>
    <row r="57">
      <c r="E57" s="245"/>
      <c r="K57" s="246"/>
      <c r="L57" s="244"/>
    </row>
    <row r="58">
      <c r="E58" s="245"/>
      <c r="K58" s="246"/>
      <c r="L58" s="244"/>
    </row>
    <row r="59">
      <c r="E59" s="245"/>
      <c r="F59" s="1"/>
      <c r="G59" s="1"/>
      <c r="H59" s="1"/>
      <c r="I59" s="1"/>
      <c r="J59" s="1"/>
      <c r="K59" s="246"/>
      <c r="L59" s="244"/>
    </row>
    <row r="997">
      <c r="A997" s="321"/>
      <c r="M997" s="236"/>
    </row>
  </sheetData>
  <dataValidations>
    <dataValidation type="custom" allowBlank="1" showDropDown="1" sqref="B15:D18">
      <formula1>AND(ISNUMBER(B15),(NOT(OR(NOT(ISERROR(DATEVALUE(B15))), AND(ISNUMBER(B15), LEFT(CELL("format", B15))="D")))))</formula1>
    </dataValidation>
  </dataValidations>
  <drawing r:id="rId1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04" t="s">
        <v>2639</v>
      </c>
    </row>
    <row r="2">
      <c r="B2" s="205" t="s">
        <v>2635</v>
      </c>
      <c r="C2" s="207">
        <v>0.2</v>
      </c>
    </row>
    <row r="3">
      <c r="B3" s="205" t="s">
        <v>2640</v>
      </c>
      <c r="C3" s="207"/>
      <c r="K3" s="299"/>
      <c r="L3" s="299"/>
    </row>
    <row r="4">
      <c r="B4" s="209" t="s">
        <v>2615</v>
      </c>
      <c r="C4" s="210" t="s">
        <v>2616</v>
      </c>
      <c r="I4" s="208"/>
      <c r="K4" s="366" t="s">
        <v>2605</v>
      </c>
      <c r="L4" s="366" t="s">
        <v>2615</v>
      </c>
      <c r="M4" s="367" t="s">
        <v>2616</v>
      </c>
    </row>
    <row r="5">
      <c r="A5" s="314"/>
      <c r="B5" s="214" t="s">
        <v>2637</v>
      </c>
      <c r="C5" s="310">
        <v>0.7592</v>
      </c>
      <c r="I5" s="211"/>
      <c r="J5" s="211"/>
      <c r="K5" s="299" t="s">
        <v>2056</v>
      </c>
      <c r="L5" s="299" t="s">
        <v>2643</v>
      </c>
      <c r="M5" s="300" t="s">
        <v>2762</v>
      </c>
    </row>
    <row r="6">
      <c r="A6" s="372"/>
      <c r="B6" s="214" t="s">
        <v>2761</v>
      </c>
      <c r="C6" s="310">
        <v>0.0665</v>
      </c>
      <c r="I6" s="216"/>
      <c r="J6" s="216"/>
      <c r="K6" s="299" t="s">
        <v>2060</v>
      </c>
      <c r="L6" s="299" t="s">
        <v>2645</v>
      </c>
      <c r="M6" s="300" t="s">
        <v>2763</v>
      </c>
    </row>
    <row r="7">
      <c r="A7" s="316"/>
      <c r="B7" s="214" t="s">
        <v>2647</v>
      </c>
      <c r="C7" s="310">
        <v>0.1743</v>
      </c>
      <c r="I7" s="216"/>
      <c r="J7" s="216"/>
      <c r="K7" s="299" t="s">
        <v>2677</v>
      </c>
      <c r="L7" s="299" t="s">
        <v>2678</v>
      </c>
      <c r="M7" s="300" t="s">
        <v>2764</v>
      </c>
    </row>
    <row r="8">
      <c r="A8" s="315"/>
      <c r="I8" s="216"/>
      <c r="J8" s="216"/>
      <c r="K8" s="299"/>
      <c r="L8" s="299"/>
      <c r="M8" s="300"/>
    </row>
    <row r="12">
      <c r="B12" s="216"/>
      <c r="C12" s="219"/>
    </row>
    <row r="14">
      <c r="A14" s="220" t="s">
        <v>2619</v>
      </c>
      <c r="B14" s="221" t="s">
        <v>2620</v>
      </c>
      <c r="C14" s="222" t="s">
        <v>2621</v>
      </c>
      <c r="D14" s="223" t="s">
        <v>2622</v>
      </c>
    </row>
    <row r="15">
      <c r="A15" s="224"/>
      <c r="B15" s="371"/>
      <c r="C15" s="226"/>
      <c r="D15" s="227"/>
    </row>
    <row r="16">
      <c r="A16" s="224" t="str">
        <f t="shared" ref="A16:B16" si="1">B5</f>
        <v>Soberanos Hard Dollar</v>
      </c>
      <c r="B16" s="371">
        <f t="shared" si="1"/>
        <v>0.7592</v>
      </c>
      <c r="C16" s="226">
        <v>-0.1</v>
      </c>
      <c r="D16" s="227">
        <f t="shared" ref="D16:D18" si="2">C16+B16</f>
        <v>0.6592</v>
      </c>
      <c r="G16" s="205"/>
    </row>
    <row r="17">
      <c r="A17" s="224" t="s">
        <v>2761</v>
      </c>
      <c r="B17" s="371">
        <f>C6</f>
        <v>0.0665</v>
      </c>
      <c r="C17" s="226">
        <v>0.05</v>
      </c>
      <c r="D17" s="227">
        <f t="shared" si="2"/>
        <v>0.1165</v>
      </c>
      <c r="H17" s="235"/>
    </row>
    <row r="18">
      <c r="A18" s="224" t="str">
        <f t="shared" ref="A18:B18" si="3">B7</f>
        <v>Soberanos pesos</v>
      </c>
      <c r="B18" s="371">
        <f t="shared" si="3"/>
        <v>0.1743</v>
      </c>
      <c r="C18" s="226">
        <v>0.05</v>
      </c>
      <c r="D18" s="227">
        <f t="shared" si="2"/>
        <v>0.2243</v>
      </c>
      <c r="E18" s="192"/>
    </row>
    <row r="19">
      <c r="A19" s="228"/>
      <c r="B19" s="229">
        <f>SUM(Tactical_22[Modelo])</f>
        <v>1</v>
      </c>
      <c r="C19" s="230">
        <f>SUM(Tactical_22[Corredor +/- 10%])</f>
        <v>0</v>
      </c>
      <c r="D19" s="231">
        <f>SUM(Tactical_22[TAA])</f>
        <v>1</v>
      </c>
      <c r="E19" s="1"/>
      <c r="F19" s="1"/>
      <c r="G19" s="1"/>
    </row>
    <row r="20">
      <c r="B20" s="216"/>
      <c r="C20" s="219"/>
      <c r="E20" s="1"/>
      <c r="F20" s="1"/>
      <c r="G20" s="1"/>
    </row>
    <row r="21">
      <c r="E21" s="1"/>
      <c r="F21" s="1"/>
      <c r="G21" s="1"/>
    </row>
    <row r="22">
      <c r="C22" s="1" t="s">
        <v>2559</v>
      </c>
      <c r="E22" s="1"/>
      <c r="F22" s="1"/>
      <c r="G22" s="1"/>
    </row>
    <row r="23">
      <c r="A23" s="248"/>
      <c r="B23" s="232"/>
      <c r="C23" s="237"/>
      <c r="J23" s="238"/>
    </row>
    <row r="24">
      <c r="A24" s="248"/>
      <c r="B24" s="232"/>
      <c r="C24" s="237"/>
      <c r="E24" s="245"/>
      <c r="K24" s="243"/>
      <c r="L24" s="244"/>
    </row>
    <row r="25">
      <c r="A25" s="248"/>
      <c r="B25" s="232"/>
      <c r="C25" s="237"/>
      <c r="E25" s="245"/>
      <c r="F25" s="1"/>
      <c r="G25" s="1"/>
      <c r="H25" s="1"/>
      <c r="I25" s="1"/>
      <c r="J25" s="1"/>
      <c r="K25" s="243"/>
      <c r="L25" s="244"/>
    </row>
    <row r="26">
      <c r="A26" s="248"/>
      <c r="B26" s="232"/>
      <c r="C26" s="237"/>
      <c r="E26" s="245"/>
      <c r="F26" s="1"/>
      <c r="G26" s="1"/>
      <c r="H26" s="1"/>
      <c r="I26" s="1"/>
      <c r="J26" s="1"/>
      <c r="K26" s="243"/>
      <c r="L26" s="244"/>
    </row>
    <row r="27">
      <c r="A27" s="251"/>
      <c r="B27" s="232"/>
      <c r="C27" s="237"/>
      <c r="E27" s="245"/>
      <c r="F27" s="1"/>
      <c r="G27" s="1"/>
      <c r="H27" s="1"/>
      <c r="I27" s="1"/>
      <c r="J27" s="1"/>
      <c r="K27" s="243"/>
      <c r="L27" s="244"/>
    </row>
    <row r="28">
      <c r="A28" s="251"/>
      <c r="B28" s="232" t="str">
        <f>Soberanos!B29</f>
        <v>AL30D</v>
      </c>
      <c r="C28" s="237">
        <f>$D$16*Soberanos!F29</f>
        <v>0.2919217123</v>
      </c>
      <c r="E28" s="245"/>
      <c r="F28" s="1"/>
      <c r="G28" s="1"/>
      <c r="H28" s="1"/>
      <c r="I28" s="1"/>
      <c r="J28" s="1"/>
      <c r="K28" s="243"/>
      <c r="L28" s="244"/>
    </row>
    <row r="29">
      <c r="A29" s="251"/>
      <c r="B29" s="232" t="str">
        <f>Soberanos!B30</f>
        <v>AE38D</v>
      </c>
      <c r="C29" s="237">
        <f>$D$16*Soberanos!F30</f>
        <v>0.1370774403</v>
      </c>
      <c r="E29" s="245"/>
      <c r="F29" s="1"/>
      <c r="G29" s="1"/>
      <c r="H29" s="1"/>
      <c r="I29" s="1"/>
      <c r="J29" s="1"/>
      <c r="K29" s="243"/>
      <c r="L29" s="244"/>
    </row>
    <row r="30">
      <c r="A30" s="302"/>
      <c r="B30" s="234" t="str">
        <f>Soberanos!B10</f>
        <v>S12S5</v>
      </c>
      <c r="C30" s="237">
        <f>Soberanos!$F$10*$D$18</f>
        <v>0.0355001721</v>
      </c>
      <c r="E30" s="245"/>
      <c r="F30" s="1"/>
      <c r="G30" s="1"/>
      <c r="H30" s="1"/>
      <c r="I30" s="1"/>
      <c r="J30" s="1"/>
      <c r="K30" s="243"/>
      <c r="L30" s="244"/>
    </row>
    <row r="31">
      <c r="A31" s="302"/>
      <c r="B31" s="234" t="str">
        <f>Soberanos!B11</f>
        <v>TZXM6</v>
      </c>
      <c r="C31" s="237">
        <f>Soberanos!$F$11*$D$18</f>
        <v>0.1887998279</v>
      </c>
      <c r="E31" s="245"/>
      <c r="F31" s="1"/>
      <c r="G31" s="1"/>
      <c r="H31" s="1"/>
      <c r="I31" s="1"/>
      <c r="J31" s="1"/>
      <c r="K31" s="243"/>
      <c r="L31" s="244"/>
    </row>
    <row r="32">
      <c r="A32" s="302"/>
      <c r="B32" s="234"/>
      <c r="C32" s="237"/>
      <c r="E32" s="245"/>
      <c r="F32" s="1"/>
      <c r="G32" s="1"/>
      <c r="H32" s="1"/>
      <c r="I32" s="1"/>
      <c r="J32" s="1"/>
      <c r="K32" s="243"/>
      <c r="L32" s="244"/>
    </row>
    <row r="33">
      <c r="A33" s="318"/>
      <c r="B33" s="373" t="str">
        <f>Merval!B3</f>
        <v>YPF</v>
      </c>
      <c r="C33" s="237">
        <f>Merval!D3*$D$17</f>
        <v>0.05226537177</v>
      </c>
      <c r="E33" s="245"/>
      <c r="F33" s="1"/>
      <c r="G33" s="1"/>
      <c r="H33" s="1"/>
      <c r="I33" s="1"/>
      <c r="J33" s="1"/>
      <c r="K33" s="243"/>
      <c r="L33" s="244"/>
    </row>
    <row r="34">
      <c r="A34" s="318"/>
      <c r="B34" s="373" t="str">
        <f>Merval!B4</f>
        <v>GGAL</v>
      </c>
      <c r="C34" s="237">
        <f>Merval!D4*$D$17</f>
        <v>0.02335778656</v>
      </c>
      <c r="E34" s="245"/>
      <c r="F34" s="1"/>
      <c r="G34" s="1"/>
      <c r="H34" s="1"/>
      <c r="I34" s="1"/>
      <c r="J34" s="1"/>
      <c r="K34" s="243"/>
      <c r="L34" s="244"/>
    </row>
    <row r="35">
      <c r="A35" s="318"/>
      <c r="B35" s="373" t="str">
        <f>Merval!B5</f>
        <v>BMA</v>
      </c>
      <c r="C35" s="237">
        <f>Merval!D5*$D$17</f>
        <v>0.01396031824</v>
      </c>
      <c r="E35" s="245"/>
      <c r="F35" s="1"/>
      <c r="G35" s="1"/>
      <c r="H35" s="1"/>
      <c r="I35" s="1"/>
      <c r="J35" s="1"/>
      <c r="K35" s="243"/>
      <c r="L35" s="244"/>
    </row>
    <row r="36">
      <c r="A36" s="318"/>
      <c r="B36" s="373" t="s">
        <v>1138</v>
      </c>
      <c r="C36" s="237">
        <f>Merval!D6*$D$17</f>
        <v>0.01224388567</v>
      </c>
      <c r="E36" s="245"/>
      <c r="F36" s="1"/>
      <c r="G36" s="1"/>
      <c r="H36" s="1"/>
      <c r="I36" s="1"/>
      <c r="J36" s="1"/>
      <c r="K36" s="243"/>
      <c r="L36" s="244"/>
    </row>
    <row r="37">
      <c r="A37" s="318"/>
      <c r="B37" s="373" t="s">
        <v>1547</v>
      </c>
      <c r="C37" s="237">
        <f>Merval!D7*$D$17</f>
        <v>0.006207764463</v>
      </c>
      <c r="E37" s="245"/>
      <c r="F37" s="1"/>
      <c r="G37" s="1"/>
      <c r="H37" s="1"/>
      <c r="I37" s="1"/>
      <c r="J37" s="1"/>
      <c r="K37" s="243"/>
      <c r="L37" s="244"/>
    </row>
    <row r="38">
      <c r="A38" s="318"/>
      <c r="B38" s="373" t="str">
        <f>Merval!B8</f>
        <v>BYMA</v>
      </c>
      <c r="C38" s="237">
        <f>Merval!D8*$D$17</f>
        <v>0.003501522444</v>
      </c>
      <c r="E38" s="245"/>
      <c r="F38" s="1"/>
      <c r="G38" s="1"/>
      <c r="H38" s="1"/>
      <c r="I38" s="1"/>
      <c r="J38" s="1"/>
      <c r="K38" s="243"/>
      <c r="L38" s="244"/>
    </row>
    <row r="39">
      <c r="A39" s="318"/>
      <c r="B39" s="373" t="str">
        <f>Merval!B9</f>
        <v>CEPU</v>
      </c>
      <c r="C39" s="237">
        <f>Merval!D9*$D$17</f>
        <v>0.00496335085</v>
      </c>
      <c r="E39" s="245"/>
      <c r="F39" s="1"/>
      <c r="G39" s="1"/>
      <c r="H39" s="1"/>
      <c r="I39" s="1"/>
      <c r="J39" s="1"/>
      <c r="K39" s="243"/>
      <c r="L39" s="244"/>
    </row>
    <row r="40">
      <c r="A40" s="318"/>
      <c r="B40" s="80"/>
      <c r="C40" s="237">
        <f>Merval!D10*$D$17</f>
        <v>0</v>
      </c>
      <c r="E40" s="245"/>
      <c r="K40" s="243"/>
      <c r="L40" s="244"/>
    </row>
    <row r="41">
      <c r="C41" s="5">
        <f>SUM(C23:C40)</f>
        <v>0.7697991526</v>
      </c>
      <c r="D41" s="239"/>
      <c r="E41" s="245"/>
      <c r="K41" s="243"/>
      <c r="L41" s="244"/>
    </row>
    <row r="42">
      <c r="D42" s="239"/>
      <c r="E42" s="245"/>
      <c r="K42" s="246"/>
      <c r="L42" s="244"/>
    </row>
    <row r="43">
      <c r="D43" s="239"/>
      <c r="E43" s="245"/>
      <c r="K43" s="246"/>
      <c r="L43" s="244"/>
    </row>
    <row r="44">
      <c r="D44" s="239"/>
      <c r="E44" s="245"/>
      <c r="K44" s="246"/>
      <c r="L44" s="244"/>
    </row>
    <row r="45">
      <c r="E45" s="245"/>
      <c r="F45" s="1"/>
      <c r="G45" s="1"/>
      <c r="H45" s="1"/>
      <c r="I45" s="1"/>
      <c r="J45" s="1"/>
      <c r="K45" s="246"/>
      <c r="L45" s="244"/>
    </row>
    <row r="46">
      <c r="E46" s="245"/>
      <c r="K46" s="246"/>
      <c r="L46" s="244"/>
    </row>
    <row r="47">
      <c r="C47" s="1"/>
      <c r="D47" s="1"/>
      <c r="E47" s="245"/>
      <c r="K47" s="246"/>
      <c r="L47" s="244"/>
    </row>
    <row r="48">
      <c r="E48" s="245"/>
      <c r="K48" s="246"/>
      <c r="L48" s="244"/>
    </row>
    <row r="49">
      <c r="E49" s="245"/>
      <c r="F49" s="1"/>
      <c r="G49" s="1"/>
      <c r="H49" s="1"/>
      <c r="I49" s="1"/>
      <c r="J49" s="1"/>
      <c r="K49" s="246"/>
      <c r="L49" s="244"/>
    </row>
    <row r="50">
      <c r="E50" s="245"/>
      <c r="F50" s="1"/>
      <c r="G50" s="1"/>
      <c r="H50" s="1"/>
      <c r="I50" s="1"/>
      <c r="J50" s="1"/>
      <c r="K50" s="246"/>
      <c r="L50" s="244"/>
    </row>
    <row r="51">
      <c r="E51" s="245"/>
      <c r="K51" s="246"/>
      <c r="L51" s="244"/>
    </row>
    <row r="52">
      <c r="E52" s="245"/>
      <c r="F52" s="1"/>
      <c r="G52" s="1"/>
      <c r="H52" s="1"/>
      <c r="I52" s="1"/>
      <c r="J52" s="1"/>
      <c r="K52" s="246"/>
      <c r="L52" s="244"/>
    </row>
    <row r="53">
      <c r="E53" s="245"/>
      <c r="F53" s="1"/>
      <c r="G53" s="1"/>
      <c r="H53" s="1"/>
      <c r="I53" s="1"/>
      <c r="J53" s="1"/>
      <c r="K53" s="246"/>
      <c r="L53" s="244"/>
    </row>
    <row r="54">
      <c r="E54" s="245"/>
      <c r="K54" s="246"/>
      <c r="L54" s="244"/>
    </row>
    <row r="55">
      <c r="E55" s="245"/>
      <c r="F55" s="1"/>
      <c r="G55" s="1"/>
      <c r="H55" s="1"/>
      <c r="I55" s="1"/>
      <c r="J55" s="1"/>
      <c r="K55" s="246"/>
      <c r="L55" s="244"/>
    </row>
    <row r="56">
      <c r="E56" s="245"/>
      <c r="K56" s="246"/>
      <c r="L56" s="244"/>
    </row>
    <row r="57">
      <c r="E57" s="245"/>
      <c r="K57" s="246"/>
      <c r="L57" s="244"/>
    </row>
    <row r="58">
      <c r="E58" s="245"/>
      <c r="K58" s="246"/>
      <c r="L58" s="244"/>
    </row>
    <row r="59">
      <c r="E59" s="245"/>
      <c r="F59" s="1"/>
      <c r="G59" s="1"/>
      <c r="H59" s="1"/>
      <c r="I59" s="1"/>
      <c r="J59" s="1"/>
      <c r="K59" s="246"/>
      <c r="L59" s="244"/>
    </row>
    <row r="997">
      <c r="A997" s="321"/>
      <c r="M997" s="236"/>
    </row>
  </sheetData>
  <dataValidations>
    <dataValidation type="custom" allowBlank="1" showDropDown="1" sqref="B15:D18">
      <formula1>AND(ISNUMBER(B15),(NOT(OR(NOT(ISERROR(DATEVALUE(B15))), AND(ISNUMBER(B15), LEFT(CELL("format", B15))="D")))))</formula1>
    </dataValidation>
  </dataValidations>
  <drawing r:id="rId1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3"/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</row>
    <row r="2">
      <c r="A2" s="73"/>
      <c r="B2" s="73"/>
      <c r="C2" s="75" t="s">
        <v>2765</v>
      </c>
      <c r="D2" s="375">
        <v>0.4339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>
      <c r="A3" s="73"/>
      <c r="B3" s="374" t="s">
        <v>2766</v>
      </c>
      <c r="C3" s="376">
        <v>18.27</v>
      </c>
      <c r="D3" s="81">
        <f t="shared" ref="D3:D9" si="1">C3/$C$10</f>
        <v>0.4486298006</v>
      </c>
      <c r="E3" s="235">
        <f t="shared" ref="E3:E9" si="2">D3*$D$2</f>
        <v>0.1946604705</v>
      </c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</row>
    <row r="4">
      <c r="A4" s="73"/>
      <c r="B4" s="374" t="s">
        <v>641</v>
      </c>
      <c r="C4" s="376">
        <v>8.165</v>
      </c>
      <c r="D4" s="81">
        <f t="shared" si="1"/>
        <v>0.200496022</v>
      </c>
      <c r="E4" s="235">
        <f t="shared" si="2"/>
        <v>0.08699522395</v>
      </c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</row>
    <row r="5">
      <c r="A5" s="73"/>
      <c r="B5" s="374" t="s">
        <v>211</v>
      </c>
      <c r="C5" s="376">
        <v>4.88</v>
      </c>
      <c r="D5" s="81">
        <f t="shared" si="1"/>
        <v>0.1198310579</v>
      </c>
      <c r="E5" s="235">
        <f t="shared" si="2"/>
        <v>0.051994696</v>
      </c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</row>
    <row r="6">
      <c r="A6" s="73"/>
      <c r="B6" s="374" t="s">
        <v>2767</v>
      </c>
      <c r="C6" s="376">
        <v>4.28</v>
      </c>
      <c r="D6" s="81">
        <f t="shared" si="1"/>
        <v>0.1050977311</v>
      </c>
      <c r="E6" s="235">
        <f t="shared" si="2"/>
        <v>0.04560190551</v>
      </c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</row>
    <row r="7">
      <c r="A7" s="73"/>
      <c r="B7" s="80" t="s">
        <v>2768</v>
      </c>
      <c r="C7" s="80">
        <v>2.17</v>
      </c>
      <c r="D7" s="81">
        <f t="shared" si="1"/>
        <v>0.05328553187</v>
      </c>
      <c r="E7" s="235">
        <f t="shared" si="2"/>
        <v>0.02312059228</v>
      </c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</row>
    <row r="8">
      <c r="A8" s="73"/>
      <c r="B8" s="80" t="s">
        <v>305</v>
      </c>
      <c r="C8" s="80">
        <v>1.224</v>
      </c>
      <c r="D8" s="81">
        <f t="shared" si="1"/>
        <v>0.03005598664</v>
      </c>
      <c r="E8" s="235">
        <f t="shared" si="2"/>
        <v>0.0130412926</v>
      </c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</row>
    <row r="9">
      <c r="A9" s="73"/>
      <c r="B9" s="374" t="s">
        <v>346</v>
      </c>
      <c r="C9" s="376">
        <v>1.735</v>
      </c>
      <c r="D9" s="81">
        <f t="shared" si="1"/>
        <v>0.04260386995</v>
      </c>
      <c r="E9" s="235">
        <f t="shared" si="2"/>
        <v>0.01848581917</v>
      </c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</row>
    <row r="10">
      <c r="A10" s="73"/>
      <c r="B10" s="73"/>
      <c r="C10" s="96">
        <f>SUM(C3:C9)</f>
        <v>40.724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</row>
    <row r="11">
      <c r="A11" s="73"/>
      <c r="B11" s="73"/>
      <c r="C11" s="10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</row>
    <row r="12">
      <c r="A12" s="73"/>
      <c r="B12" s="73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</row>
    <row r="13">
      <c r="A13" s="73"/>
      <c r="B13" s="73"/>
      <c r="C13" s="73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</row>
    <row r="14">
      <c r="A14" s="73"/>
      <c r="B14" s="73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</row>
    <row r="15">
      <c r="A15" s="73"/>
      <c r="B15" s="73"/>
      <c r="C15" s="73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</row>
    <row r="16">
      <c r="A16" s="73"/>
      <c r="B16" s="73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</row>
    <row r="17">
      <c r="A17" s="73"/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</row>
    <row r="18">
      <c r="A18" s="73"/>
      <c r="B18" s="73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</row>
    <row r="19">
      <c r="A19" s="73"/>
      <c r="B19" s="73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</row>
    <row r="20">
      <c r="A20" s="73"/>
      <c r="B20" s="73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</row>
    <row r="21">
      <c r="A21" s="73"/>
      <c r="B21" s="73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</row>
    <row r="22">
      <c r="A22" s="73"/>
      <c r="B22" s="73"/>
      <c r="C22" s="73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</row>
    <row r="23">
      <c r="A23" s="73"/>
      <c r="B23" s="73"/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</row>
    <row r="24">
      <c r="A24" s="73"/>
      <c r="B24" s="73"/>
      <c r="C24" s="73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</row>
    <row r="25">
      <c r="A25" s="73"/>
      <c r="B25" s="73"/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</row>
    <row r="26">
      <c r="A26" s="73"/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</row>
    <row r="27">
      <c r="A27" s="73"/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</row>
    <row r="28">
      <c r="A28" s="73"/>
      <c r="B28" s="73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</row>
    <row r="29">
      <c r="A29" s="73"/>
      <c r="B29" s="73"/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</row>
    <row r="30">
      <c r="A30" s="73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</row>
    <row r="31">
      <c r="A31" s="73"/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</row>
    <row r="32">
      <c r="A32" s="73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</row>
    <row r="33">
      <c r="A33" s="73"/>
      <c r="B33" s="73"/>
      <c r="C33" s="73"/>
      <c r="D33" s="73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</row>
    <row r="34">
      <c r="A34" s="73"/>
      <c r="B34" s="73"/>
      <c r="C34" s="73"/>
      <c r="D34" s="73"/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</row>
    <row r="35">
      <c r="A35" s="73"/>
      <c r="B35" s="73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</row>
    <row r="36">
      <c r="A36" s="73"/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</row>
    <row r="37">
      <c r="A37" s="73"/>
      <c r="B37" s="73"/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</row>
    <row r="38">
      <c r="A38" s="73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</row>
    <row r="39">
      <c r="A39" s="73"/>
      <c r="B39" s="73"/>
      <c r="C39" s="73"/>
      <c r="D39" s="7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</row>
    <row r="40">
      <c r="A40" s="73"/>
      <c r="B40" s="73"/>
      <c r="C40" s="73"/>
      <c r="D40" s="73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</row>
    <row r="41">
      <c r="A41" s="73"/>
      <c r="B41" s="73"/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</row>
    <row r="42">
      <c r="A42" s="73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</row>
    <row r="43">
      <c r="A43" s="73"/>
      <c r="B43" s="73"/>
      <c r="C43" s="73"/>
      <c r="D43" s="73"/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</row>
    <row r="44">
      <c r="A44" s="73"/>
      <c r="B44" s="73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</row>
    <row r="45">
      <c r="A45" s="73"/>
      <c r="B45" s="73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</row>
    <row r="46">
      <c r="A46" s="73"/>
      <c r="B46" s="73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</row>
    <row r="47">
      <c r="A47" s="73"/>
      <c r="B47" s="73"/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</row>
    <row r="48">
      <c r="A48" s="73"/>
      <c r="B48" s="73"/>
      <c r="C48" s="73"/>
      <c r="D48" s="73"/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</row>
    <row r="49">
      <c r="A49" s="73"/>
      <c r="B49" s="73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</row>
    <row r="50">
      <c r="A50" s="73"/>
      <c r="B50" s="73"/>
      <c r="C50" s="73"/>
      <c r="D50" s="7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</row>
    <row r="51">
      <c r="A51" s="73"/>
      <c r="B51" s="73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</row>
    <row r="52">
      <c r="A52" s="73"/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</row>
    <row r="53">
      <c r="A53" s="73"/>
      <c r="B53" s="73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</row>
    <row r="54">
      <c r="A54" s="73"/>
      <c r="B54" s="73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</row>
    <row r="55">
      <c r="A55" s="73"/>
      <c r="B55" s="73"/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</row>
    <row r="56">
      <c r="A56" s="73"/>
      <c r="B56" s="73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</row>
    <row r="57">
      <c r="A57" s="73"/>
      <c r="B57" s="73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</row>
    <row r="58">
      <c r="A58" s="73"/>
      <c r="B58" s="73"/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</row>
    <row r="59">
      <c r="A59" s="73"/>
      <c r="B59" s="73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</row>
    <row r="60">
      <c r="A60" s="73"/>
      <c r="B60" s="73"/>
      <c r="C60" s="73"/>
      <c r="D60" s="73"/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</row>
    <row r="61">
      <c r="A61" s="73"/>
      <c r="B61" s="73"/>
      <c r="C61" s="73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</row>
    <row r="62">
      <c r="A62" s="73"/>
      <c r="B62" s="73"/>
      <c r="C62" s="73"/>
      <c r="D62" s="73"/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</row>
    <row r="63">
      <c r="A63" s="73"/>
      <c r="B63" s="73"/>
      <c r="C63" s="73"/>
      <c r="D63" s="73"/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</row>
    <row r="64">
      <c r="A64" s="73"/>
      <c r="B64" s="73"/>
      <c r="C64" s="73"/>
      <c r="D64" s="73"/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</row>
    <row r="65">
      <c r="A65" s="73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</row>
    <row r="66">
      <c r="A66" s="73"/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</row>
    <row r="67">
      <c r="A67" s="73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</row>
    <row r="68">
      <c r="A68" s="73"/>
      <c r="B68" s="73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</row>
    <row r="69">
      <c r="A69" s="73"/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</row>
    <row r="70">
      <c r="A70" s="73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</row>
    <row r="71">
      <c r="A71" s="73"/>
      <c r="B71" s="73"/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</row>
    <row r="72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</row>
    <row r="73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</row>
    <row r="74">
      <c r="A74" s="73"/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</row>
    <row r="75">
      <c r="A75" s="73"/>
      <c r="B75" s="73"/>
      <c r="C75" s="73"/>
      <c r="D75" s="73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</row>
    <row r="76">
      <c r="A76" s="73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</row>
    <row r="77">
      <c r="A77" s="73"/>
      <c r="B77" s="73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</row>
    <row r="78">
      <c r="A78" s="73"/>
      <c r="B78" s="73"/>
      <c r="C78" s="73"/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</row>
    <row r="79">
      <c r="A79" s="73"/>
      <c r="B79" s="73"/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</row>
    <row r="80">
      <c r="A80" s="73"/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</row>
    <row r="81">
      <c r="A81" s="73"/>
      <c r="B81" s="73"/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</row>
    <row r="82">
      <c r="A82" s="73"/>
      <c r="B82" s="73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</row>
    <row r="83">
      <c r="A83" s="73"/>
      <c r="B83" s="73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</row>
    <row r="84">
      <c r="A84" s="73"/>
      <c r="B84" s="73"/>
      <c r="C84" s="73"/>
      <c r="D84" s="73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</row>
    <row r="85">
      <c r="A85" s="73"/>
      <c r="B85" s="73"/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</row>
    <row r="86">
      <c r="A86" s="73"/>
      <c r="B86" s="73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</row>
    <row r="87">
      <c r="A87" s="73"/>
      <c r="B87" s="73"/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</row>
    <row r="88">
      <c r="A88" s="73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</row>
    <row r="89">
      <c r="A89" s="73"/>
      <c r="B89" s="73"/>
      <c r="C89" s="73"/>
      <c r="D89" s="73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</row>
    <row r="90">
      <c r="A90" s="73"/>
      <c r="B90" s="73"/>
      <c r="C90" s="73"/>
      <c r="D90" s="73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</row>
    <row r="91">
      <c r="A91" s="73"/>
      <c r="B91" s="73"/>
      <c r="C91" s="73"/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</row>
    <row r="92">
      <c r="A92" s="73"/>
      <c r="B92" s="73"/>
      <c r="C92" s="73"/>
      <c r="D92" s="73"/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</row>
    <row r="93">
      <c r="A93" s="73"/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</row>
    <row r="94">
      <c r="A94" s="73"/>
      <c r="B94" s="73"/>
      <c r="C94" s="73"/>
      <c r="D94" s="73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</row>
    <row r="95">
      <c r="A95" s="73"/>
      <c r="B95" s="73"/>
      <c r="C95" s="73"/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</row>
    <row r="96">
      <c r="A96" s="73"/>
      <c r="B96" s="73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</row>
    <row r="97">
      <c r="A97" s="73"/>
      <c r="B97" s="73"/>
      <c r="C97" s="73"/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</row>
    <row r="98">
      <c r="A98" s="73"/>
      <c r="B98" s="73"/>
      <c r="C98" s="73"/>
      <c r="D98" s="73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</row>
    <row r="99">
      <c r="A99" s="73"/>
      <c r="B99" s="73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</row>
    <row r="100">
      <c r="A100" s="73"/>
      <c r="B100" s="73"/>
      <c r="C100" s="73"/>
      <c r="D100" s="73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</row>
    <row r="101">
      <c r="A101" s="73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</row>
    <row r="102">
      <c r="A102" s="73"/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</row>
    <row r="103">
      <c r="A103" s="73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</row>
    <row r="104">
      <c r="A104" s="73"/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</row>
    <row r="105">
      <c r="A105" s="73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</row>
    <row r="106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</row>
    <row r="107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</row>
    <row r="108">
      <c r="A108" s="73"/>
      <c r="B108" s="73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</row>
    <row r="109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</row>
    <row r="110">
      <c r="A110" s="73"/>
      <c r="B110" s="73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</row>
    <row r="111">
      <c r="A111" s="73"/>
      <c r="B111" s="73"/>
      <c r="C111" s="73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3"/>
      <c r="Y111" s="73"/>
      <c r="Z111" s="73"/>
    </row>
    <row r="112">
      <c r="A112" s="73"/>
      <c r="B112" s="73"/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</row>
    <row r="113">
      <c r="A113" s="73"/>
      <c r="B113" s="73"/>
      <c r="C113" s="73"/>
      <c r="D113" s="73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</row>
    <row r="114">
      <c r="A114" s="73"/>
      <c r="B114" s="73"/>
      <c r="C114" s="73"/>
      <c r="D114" s="73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</row>
    <row r="115">
      <c r="A115" s="73"/>
      <c r="B115" s="73"/>
      <c r="C115" s="73"/>
      <c r="D115" s="73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3"/>
      <c r="Y115" s="73"/>
      <c r="Z115" s="73"/>
    </row>
    <row r="116">
      <c r="A116" s="73"/>
      <c r="B116" s="73"/>
      <c r="C116" s="73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/>
    </row>
    <row r="117">
      <c r="A117" s="73"/>
      <c r="B117" s="73"/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3"/>
      <c r="Y117" s="73"/>
      <c r="Z117" s="73"/>
    </row>
    <row r="118">
      <c r="A118" s="73"/>
      <c r="B118" s="73"/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</row>
    <row r="119">
      <c r="A119" s="73"/>
      <c r="B119" s="73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X119" s="73"/>
      <c r="Y119" s="73"/>
      <c r="Z119" s="73"/>
    </row>
    <row r="120">
      <c r="A120" s="73"/>
      <c r="B120" s="73"/>
      <c r="C120" s="73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</row>
    <row r="121">
      <c r="A121" s="73"/>
      <c r="B121" s="73"/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</row>
    <row r="122">
      <c r="A122" s="73"/>
      <c r="B122" s="73"/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3"/>
      <c r="Y122" s="73"/>
      <c r="Z122" s="73"/>
    </row>
    <row r="123">
      <c r="A123" s="73"/>
      <c r="B123" s="73"/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</row>
    <row r="124">
      <c r="A124" s="73"/>
      <c r="B124" s="73"/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</row>
    <row r="125">
      <c r="A125" s="73"/>
      <c r="B125" s="73"/>
      <c r="C125" s="73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</row>
    <row r="126">
      <c r="A126" s="73"/>
      <c r="B126" s="73"/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</row>
    <row r="127">
      <c r="A127" s="73"/>
      <c r="B127" s="73"/>
      <c r="C127" s="73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</row>
    <row r="128">
      <c r="A128" s="73"/>
      <c r="B128" s="73"/>
      <c r="C128" s="73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</row>
    <row r="129">
      <c r="A129" s="73"/>
      <c r="B129" s="73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</row>
    <row r="130">
      <c r="A130" s="73"/>
      <c r="B130" s="73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73"/>
      <c r="Y130" s="73"/>
      <c r="Z130" s="73"/>
    </row>
    <row r="131">
      <c r="A131" s="73"/>
      <c r="B131" s="73"/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</row>
    <row r="132">
      <c r="A132" s="73"/>
      <c r="B132" s="73"/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</row>
    <row r="133">
      <c r="A133" s="73"/>
      <c r="B133" s="73"/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</row>
    <row r="134">
      <c r="A134" s="73"/>
      <c r="B134" s="73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X134" s="73"/>
      <c r="Y134" s="73"/>
      <c r="Z134" s="73"/>
    </row>
    <row r="135">
      <c r="A135" s="73"/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</row>
    <row r="136">
      <c r="A136" s="73"/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</row>
    <row r="137">
      <c r="A137" s="73"/>
      <c r="B137" s="73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</row>
    <row r="138">
      <c r="A138" s="73"/>
      <c r="B138" s="73"/>
      <c r="C138" s="73"/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</row>
    <row r="139">
      <c r="A139" s="73"/>
      <c r="B139" s="73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</row>
    <row r="140">
      <c r="A140" s="73"/>
      <c r="B140" s="73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</row>
    <row r="141">
      <c r="A141" s="73"/>
      <c r="B141" s="73"/>
      <c r="C141" s="73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</row>
    <row r="142">
      <c r="A142" s="73"/>
      <c r="B142" s="73"/>
      <c r="C142" s="73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</row>
    <row r="143">
      <c r="A143" s="73"/>
      <c r="B143" s="73"/>
      <c r="C143" s="73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</row>
    <row r="144">
      <c r="A144" s="73"/>
      <c r="B144" s="73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</row>
    <row r="145">
      <c r="A145" s="73"/>
      <c r="B145" s="73"/>
      <c r="C145" s="73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</row>
    <row r="146">
      <c r="A146" s="73"/>
      <c r="B146" s="73"/>
      <c r="C146" s="73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</row>
    <row r="147">
      <c r="A147" s="73"/>
      <c r="B147" s="73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/>
      <c r="Z147" s="73"/>
    </row>
    <row r="148">
      <c r="A148" s="73"/>
      <c r="B148" s="73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</row>
    <row r="149">
      <c r="A149" s="73"/>
      <c r="B149" s="73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</row>
    <row r="150">
      <c r="A150" s="73"/>
      <c r="B150" s="73"/>
      <c r="C150" s="73"/>
      <c r="D150" s="73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73"/>
      <c r="X150" s="73"/>
      <c r="Y150" s="73"/>
      <c r="Z150" s="73"/>
    </row>
    <row r="151">
      <c r="A151" s="73"/>
      <c r="B151" s="73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</row>
    <row r="152">
      <c r="A152" s="73"/>
      <c r="B152" s="73"/>
      <c r="C152" s="73"/>
      <c r="D152" s="73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</row>
    <row r="153">
      <c r="A153" s="73"/>
      <c r="B153" s="73"/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</row>
    <row r="154">
      <c r="A154" s="73"/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</row>
    <row r="155">
      <c r="A155" s="73"/>
      <c r="B155" s="73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</row>
    <row r="156">
      <c r="A156" s="73"/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</row>
    <row r="157">
      <c r="A157" s="73"/>
      <c r="B157" s="73"/>
      <c r="C157" s="73"/>
      <c r="D157" s="73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</row>
    <row r="158">
      <c r="A158" s="73"/>
      <c r="B158" s="73"/>
      <c r="C158" s="73"/>
      <c r="D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</row>
    <row r="159">
      <c r="A159" s="73"/>
      <c r="B159" s="73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</row>
    <row r="160">
      <c r="A160" s="73"/>
      <c r="B160" s="73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</row>
    <row r="161">
      <c r="A161" s="73"/>
      <c r="B161" s="73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</row>
    <row r="162">
      <c r="A162" s="73"/>
      <c r="B162" s="73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</row>
    <row r="163">
      <c r="A163" s="73"/>
      <c r="B163" s="73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</row>
    <row r="164">
      <c r="A164" s="73"/>
      <c r="B164" s="73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</row>
    <row r="165">
      <c r="A165" s="73"/>
      <c r="B165" s="73"/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</row>
    <row r="166">
      <c r="A166" s="73"/>
      <c r="B166" s="73"/>
      <c r="C166" s="73"/>
      <c r="D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</row>
    <row r="167">
      <c r="A167" s="73"/>
      <c r="B167" s="73"/>
      <c r="C167" s="73"/>
      <c r="D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</row>
    <row r="168">
      <c r="A168" s="73"/>
      <c r="B168" s="73"/>
      <c r="C168" s="73"/>
      <c r="D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</row>
    <row r="169">
      <c r="A169" s="73"/>
      <c r="B169" s="73"/>
      <c r="C169" s="73"/>
      <c r="D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</row>
    <row r="170">
      <c r="A170" s="73"/>
      <c r="B170" s="73"/>
      <c r="C170" s="73"/>
      <c r="D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</row>
    <row r="171">
      <c r="A171" s="73"/>
      <c r="B171" s="73"/>
      <c r="C171" s="73"/>
      <c r="D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</row>
    <row r="172">
      <c r="A172" s="73"/>
      <c r="B172" s="73"/>
      <c r="C172" s="73"/>
      <c r="D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</row>
    <row r="173">
      <c r="A173" s="73"/>
      <c r="B173" s="73"/>
      <c r="C173" s="73"/>
      <c r="D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</row>
    <row r="174">
      <c r="A174" s="73"/>
      <c r="B174" s="73"/>
      <c r="C174" s="73"/>
      <c r="D174" s="73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</row>
    <row r="175">
      <c r="A175" s="73"/>
      <c r="B175" s="73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</row>
    <row r="176">
      <c r="A176" s="73"/>
      <c r="B176" s="73"/>
      <c r="C176" s="73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</row>
    <row r="177">
      <c r="A177" s="73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</row>
    <row r="178">
      <c r="A178" s="73"/>
      <c r="B178" s="73"/>
      <c r="C178" s="73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</row>
    <row r="179">
      <c r="A179" s="73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</row>
    <row r="180">
      <c r="A180" s="73"/>
      <c r="B180" s="73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</row>
    <row r="181">
      <c r="A181" s="73"/>
      <c r="B181" s="73"/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</row>
    <row r="182">
      <c r="A182" s="73"/>
      <c r="B182" s="73"/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</row>
    <row r="183">
      <c r="A183" s="73"/>
      <c r="B183" s="73"/>
      <c r="C183" s="73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</row>
    <row r="184">
      <c r="A184" s="73"/>
      <c r="B184" s="73"/>
      <c r="C184" s="73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</row>
    <row r="185">
      <c r="A185" s="73"/>
      <c r="B185" s="73"/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</row>
    <row r="186">
      <c r="A186" s="73"/>
      <c r="B186" s="73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</row>
    <row r="187">
      <c r="A187" s="73"/>
      <c r="B187" s="73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</row>
    <row r="188">
      <c r="A188" s="73"/>
      <c r="B188" s="73"/>
      <c r="C188" s="73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</row>
    <row r="189">
      <c r="A189" s="73"/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</row>
    <row r="190">
      <c r="A190" s="73"/>
      <c r="B190" s="73"/>
      <c r="C190" s="73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</row>
    <row r="191">
      <c r="A191" s="73"/>
      <c r="B191" s="73"/>
      <c r="C191" s="73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</row>
    <row r="192">
      <c r="A192" s="73"/>
      <c r="B192" s="73"/>
      <c r="C192" s="73"/>
      <c r="D192" s="73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</row>
    <row r="193">
      <c r="A193" s="73"/>
      <c r="B193" s="73"/>
      <c r="C193" s="73"/>
      <c r="D193" s="73"/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</row>
    <row r="194">
      <c r="A194" s="73"/>
      <c r="B194" s="73"/>
      <c r="C194" s="73"/>
      <c r="D194" s="73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</row>
    <row r="195">
      <c r="A195" s="73"/>
      <c r="B195" s="73"/>
      <c r="C195" s="73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</row>
    <row r="196">
      <c r="A196" s="73"/>
      <c r="B196" s="73"/>
      <c r="C196" s="73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</row>
    <row r="197">
      <c r="A197" s="73"/>
      <c r="B197" s="73"/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73"/>
      <c r="X197" s="73"/>
      <c r="Y197" s="73"/>
      <c r="Z197" s="73"/>
    </row>
    <row r="198">
      <c r="A198" s="73"/>
      <c r="B198" s="73"/>
      <c r="C198" s="73"/>
      <c r="D198" s="73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</row>
    <row r="199">
      <c r="A199" s="73"/>
      <c r="B199" s="73"/>
      <c r="C199" s="73"/>
      <c r="D199" s="73"/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73"/>
      <c r="X199" s="73"/>
      <c r="Y199" s="73"/>
      <c r="Z199" s="73"/>
    </row>
    <row r="200">
      <c r="A200" s="73"/>
      <c r="B200" s="73"/>
      <c r="C200" s="73"/>
      <c r="D200" s="73"/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</row>
    <row r="201">
      <c r="A201" s="73"/>
      <c r="B201" s="73"/>
      <c r="C201" s="73"/>
      <c r="D201" s="73"/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</row>
    <row r="202">
      <c r="A202" s="73"/>
      <c r="B202" s="73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</row>
    <row r="203">
      <c r="A203" s="73"/>
      <c r="B203" s="73"/>
      <c r="C203" s="73"/>
      <c r="D203" s="73"/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</row>
    <row r="204">
      <c r="A204" s="73"/>
      <c r="B204" s="73"/>
      <c r="C204" s="73"/>
      <c r="D204" s="73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</row>
    <row r="205">
      <c r="A205" s="73"/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</row>
    <row r="206">
      <c r="A206" s="73"/>
      <c r="B206" s="73"/>
      <c r="C206" s="73"/>
      <c r="D206" s="73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</row>
    <row r="207">
      <c r="A207" s="73"/>
      <c r="B207" s="73"/>
      <c r="C207" s="73"/>
      <c r="D207" s="73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</row>
    <row r="208">
      <c r="A208" s="73"/>
      <c r="B208" s="73"/>
      <c r="C208" s="73"/>
      <c r="D208" s="73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</row>
    <row r="209">
      <c r="A209" s="73"/>
      <c r="B209" s="73"/>
      <c r="C209" s="73"/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</row>
    <row r="210">
      <c r="A210" s="73"/>
      <c r="B210" s="73"/>
      <c r="C210" s="73"/>
      <c r="D210" s="73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</row>
    <row r="211">
      <c r="A211" s="73"/>
      <c r="B211" s="73"/>
      <c r="C211" s="73"/>
      <c r="D211" s="73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</row>
    <row r="212">
      <c r="A212" s="73"/>
      <c r="B212" s="73"/>
      <c r="C212" s="73"/>
      <c r="D212" s="73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</row>
    <row r="213">
      <c r="A213" s="73"/>
      <c r="B213" s="73"/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</row>
    <row r="214">
      <c r="A214" s="73"/>
      <c r="B214" s="73"/>
      <c r="C214" s="73"/>
      <c r="D214" s="73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</row>
    <row r="215">
      <c r="A215" s="73"/>
      <c r="B215" s="73"/>
      <c r="C215" s="73"/>
      <c r="D215" s="73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</row>
    <row r="216">
      <c r="A216" s="73"/>
      <c r="B216" s="73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</row>
    <row r="217">
      <c r="A217" s="73"/>
      <c r="B217" s="73"/>
      <c r="C217" s="73"/>
      <c r="D217" s="73"/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73"/>
      <c r="X217" s="73"/>
      <c r="Y217" s="73"/>
      <c r="Z217" s="73"/>
    </row>
    <row r="218">
      <c r="A218" s="73"/>
      <c r="B218" s="73"/>
      <c r="C218" s="73"/>
      <c r="D218" s="73"/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73"/>
      <c r="X218" s="73"/>
      <c r="Y218" s="73"/>
      <c r="Z218" s="73"/>
    </row>
    <row r="219">
      <c r="A219" s="73"/>
      <c r="B219" s="73"/>
      <c r="C219" s="73"/>
      <c r="D219" s="73"/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</row>
    <row r="220">
      <c r="A220" s="73"/>
      <c r="B220" s="73"/>
      <c r="C220" s="73"/>
      <c r="D220" s="73"/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73"/>
      <c r="X220" s="73"/>
      <c r="Y220" s="73"/>
      <c r="Z220" s="73"/>
    </row>
    <row r="221">
      <c r="A221" s="73"/>
      <c r="B221" s="73"/>
      <c r="C221" s="73"/>
      <c r="D221" s="73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</row>
    <row r="222">
      <c r="A222" s="73"/>
      <c r="B222" s="73"/>
      <c r="C222" s="73"/>
      <c r="D222" s="73"/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73"/>
      <c r="X222" s="73"/>
      <c r="Y222" s="73"/>
      <c r="Z222" s="73"/>
    </row>
    <row r="223">
      <c r="A223" s="73"/>
      <c r="B223" s="73"/>
      <c r="C223" s="73"/>
      <c r="D223" s="73"/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  <c r="V223" s="73"/>
      <c r="W223" s="73"/>
      <c r="X223" s="73"/>
      <c r="Y223" s="73"/>
      <c r="Z223" s="73"/>
    </row>
    <row r="224">
      <c r="A224" s="73"/>
      <c r="B224" s="73"/>
      <c r="C224" s="73"/>
      <c r="D224" s="73"/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73"/>
      <c r="X224" s="73"/>
      <c r="Y224" s="73"/>
      <c r="Z224" s="73"/>
    </row>
    <row r="225">
      <c r="A225" s="73"/>
      <c r="B225" s="73"/>
      <c r="C225" s="73"/>
      <c r="D225" s="73"/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73"/>
      <c r="W225" s="73"/>
      <c r="X225" s="73"/>
      <c r="Y225" s="73"/>
      <c r="Z225" s="73"/>
    </row>
    <row r="226">
      <c r="A226" s="73"/>
      <c r="B226" s="73"/>
      <c r="C226" s="73"/>
      <c r="D226" s="73"/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73"/>
      <c r="X226" s="73"/>
      <c r="Y226" s="73"/>
      <c r="Z226" s="73"/>
    </row>
    <row r="227">
      <c r="A227" s="73"/>
      <c r="B227" s="73"/>
      <c r="C227" s="73"/>
      <c r="D227" s="73"/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73"/>
      <c r="X227" s="73"/>
      <c r="Y227" s="73"/>
      <c r="Z227" s="73"/>
    </row>
    <row r="228">
      <c r="A228" s="73"/>
      <c r="B228" s="73"/>
      <c r="C228" s="73"/>
      <c r="D228" s="73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</row>
    <row r="229">
      <c r="A229" s="73"/>
      <c r="B229" s="73"/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73"/>
      <c r="X229" s="73"/>
      <c r="Y229" s="73"/>
      <c r="Z229" s="73"/>
    </row>
    <row r="230">
      <c r="A230" s="73"/>
      <c r="B230" s="73"/>
      <c r="C230" s="73"/>
      <c r="D230" s="73"/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</row>
    <row r="231">
      <c r="A231" s="73"/>
      <c r="B231" s="73"/>
      <c r="C231" s="73"/>
      <c r="D231" s="73"/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</row>
    <row r="232">
      <c r="A232" s="73"/>
      <c r="B232" s="73"/>
      <c r="C232" s="73"/>
      <c r="D232" s="73"/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</row>
    <row r="233">
      <c r="A233" s="73"/>
      <c r="B233" s="73"/>
      <c r="C233" s="73"/>
      <c r="D233" s="73"/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73"/>
      <c r="X233" s="73"/>
      <c r="Y233" s="73"/>
      <c r="Z233" s="73"/>
    </row>
    <row r="234">
      <c r="A234" s="73"/>
      <c r="B234" s="73"/>
      <c r="C234" s="73"/>
      <c r="D234" s="73"/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</row>
    <row r="235">
      <c r="A235" s="73"/>
      <c r="B235" s="73"/>
      <c r="C235" s="73"/>
      <c r="D235" s="73"/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</row>
    <row r="236">
      <c r="A236" s="73"/>
      <c r="B236" s="73"/>
      <c r="C236" s="73"/>
      <c r="D236" s="73"/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</row>
    <row r="237">
      <c r="A237" s="73"/>
      <c r="B237" s="73"/>
      <c r="C237" s="73"/>
      <c r="D237" s="73"/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73"/>
      <c r="X237" s="73"/>
      <c r="Y237" s="73"/>
      <c r="Z237" s="73"/>
    </row>
    <row r="238">
      <c r="A238" s="73"/>
      <c r="B238" s="73"/>
      <c r="C238" s="73"/>
      <c r="D238" s="73"/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</row>
    <row r="239">
      <c r="A239" s="73"/>
      <c r="B239" s="73"/>
      <c r="C239" s="73"/>
      <c r="D239" s="73"/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</row>
    <row r="240">
      <c r="A240" s="73"/>
      <c r="B240" s="73"/>
      <c r="C240" s="73"/>
      <c r="D240" s="73"/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</row>
    <row r="241">
      <c r="A241" s="73"/>
      <c r="B241" s="73"/>
      <c r="C241" s="73"/>
      <c r="D241" s="73"/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</row>
    <row r="242">
      <c r="A242" s="73"/>
      <c r="B242" s="73"/>
      <c r="C242" s="73"/>
      <c r="D242" s="73"/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</row>
    <row r="243">
      <c r="A243" s="73"/>
      <c r="B243" s="73"/>
      <c r="C243" s="73"/>
      <c r="D243" s="73"/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</row>
    <row r="244">
      <c r="A244" s="73"/>
      <c r="B244" s="73"/>
      <c r="C244" s="73"/>
      <c r="D244" s="73"/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</row>
    <row r="245">
      <c r="A245" s="73"/>
      <c r="B245" s="73"/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</row>
    <row r="246">
      <c r="A246" s="73"/>
      <c r="B246" s="73"/>
      <c r="C246" s="73"/>
      <c r="D246" s="73"/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</row>
    <row r="247">
      <c r="A247" s="73"/>
      <c r="B247" s="73"/>
      <c r="C247" s="73"/>
      <c r="D247" s="73"/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</row>
    <row r="248">
      <c r="A248" s="73"/>
      <c r="B248" s="73"/>
      <c r="C248" s="73"/>
      <c r="D248" s="73"/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73"/>
      <c r="X248" s="73"/>
      <c r="Y248" s="73"/>
      <c r="Z248" s="73"/>
    </row>
    <row r="249">
      <c r="A249" s="73"/>
      <c r="B249" s="73"/>
      <c r="C249" s="73"/>
      <c r="D249" s="73"/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</row>
    <row r="250">
      <c r="A250" s="73"/>
      <c r="B250" s="73"/>
      <c r="C250" s="73"/>
      <c r="D250" s="73"/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</row>
    <row r="251">
      <c r="A251" s="73"/>
      <c r="B251" s="73"/>
      <c r="C251" s="73"/>
      <c r="D251" s="73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</row>
    <row r="252">
      <c r="A252" s="73"/>
      <c r="B252" s="73"/>
      <c r="C252" s="73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  <c r="Z252" s="73"/>
    </row>
    <row r="253">
      <c r="A253" s="73"/>
      <c r="B253" s="73"/>
      <c r="C253" s="73"/>
      <c r="D253" s="73"/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73"/>
      <c r="X253" s="73"/>
      <c r="Y253" s="73"/>
      <c r="Z253" s="73"/>
    </row>
    <row r="254">
      <c r="A254" s="73"/>
      <c r="B254" s="73"/>
      <c r="C254" s="73"/>
      <c r="D254" s="73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</row>
    <row r="255">
      <c r="A255" s="73"/>
      <c r="B255" s="73"/>
      <c r="C255" s="73"/>
      <c r="D255" s="73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</row>
    <row r="256">
      <c r="A256" s="73"/>
      <c r="B256" s="73"/>
      <c r="C256" s="73"/>
      <c r="D256" s="73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</row>
    <row r="257">
      <c r="A257" s="73"/>
      <c r="B257" s="73"/>
      <c r="C257" s="73"/>
      <c r="D257" s="73"/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</row>
    <row r="258">
      <c r="A258" s="73"/>
      <c r="B258" s="73"/>
      <c r="C258" s="73"/>
      <c r="D258" s="73"/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</row>
    <row r="259">
      <c r="A259" s="73"/>
      <c r="B259" s="73"/>
      <c r="C259" s="73"/>
      <c r="D259" s="73"/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</row>
    <row r="260">
      <c r="A260" s="73"/>
      <c r="B260" s="73"/>
      <c r="C260" s="73"/>
      <c r="D260" s="73"/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</row>
    <row r="261">
      <c r="A261" s="73"/>
      <c r="B261" s="73"/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</row>
    <row r="262">
      <c r="A262" s="73"/>
      <c r="B262" s="73"/>
      <c r="C262" s="73"/>
      <c r="D262" s="73"/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</row>
    <row r="263">
      <c r="A263" s="73"/>
      <c r="B263" s="73"/>
      <c r="C263" s="73"/>
      <c r="D263" s="73"/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</row>
    <row r="264">
      <c r="A264" s="73"/>
      <c r="B264" s="73"/>
      <c r="C264" s="73"/>
      <c r="D264" s="73"/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</row>
    <row r="265">
      <c r="A265" s="73"/>
      <c r="B265" s="73"/>
      <c r="C265" s="73"/>
      <c r="D265" s="73"/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</row>
    <row r="266">
      <c r="A266" s="73"/>
      <c r="B266" s="73"/>
      <c r="C266" s="73"/>
      <c r="D266" s="73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</row>
    <row r="267">
      <c r="A267" s="73"/>
      <c r="B267" s="73"/>
      <c r="C267" s="73"/>
      <c r="D267" s="73"/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</row>
    <row r="268">
      <c r="A268" s="73"/>
      <c r="B268" s="73"/>
      <c r="C268" s="73"/>
      <c r="D268" s="73"/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</row>
    <row r="269">
      <c r="A269" s="73"/>
      <c r="B269" s="73"/>
      <c r="C269" s="73"/>
      <c r="D269" s="73"/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</row>
    <row r="270">
      <c r="A270" s="73"/>
      <c r="B270" s="73"/>
      <c r="C270" s="73"/>
      <c r="D270" s="73"/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</row>
    <row r="271">
      <c r="A271" s="73"/>
      <c r="B271" s="73"/>
      <c r="C271" s="73"/>
      <c r="D271" s="73"/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</row>
    <row r="272">
      <c r="A272" s="73"/>
      <c r="B272" s="73"/>
      <c r="C272" s="73"/>
      <c r="D272" s="73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</row>
    <row r="273">
      <c r="A273" s="73"/>
      <c r="B273" s="73"/>
      <c r="C273" s="73"/>
      <c r="D273" s="73"/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</row>
    <row r="274">
      <c r="A274" s="73"/>
      <c r="B274" s="73"/>
      <c r="C274" s="73"/>
      <c r="D274" s="73"/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</row>
    <row r="275">
      <c r="A275" s="73"/>
      <c r="B275" s="73"/>
      <c r="C275" s="73"/>
      <c r="D275" s="73"/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</row>
    <row r="276">
      <c r="A276" s="73"/>
      <c r="B276" s="73"/>
      <c r="C276" s="73"/>
      <c r="D276" s="73"/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</row>
    <row r="277">
      <c r="A277" s="73"/>
      <c r="B277" s="73"/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</row>
    <row r="278">
      <c r="A278" s="73"/>
      <c r="B278" s="73"/>
      <c r="C278" s="73"/>
      <c r="D278" s="73"/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</row>
    <row r="279">
      <c r="A279" s="73"/>
      <c r="B279" s="73"/>
      <c r="C279" s="73"/>
      <c r="D279" s="73"/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</row>
    <row r="280">
      <c r="A280" s="73"/>
      <c r="B280" s="73"/>
      <c r="C280" s="73"/>
      <c r="D280" s="73"/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</row>
    <row r="281">
      <c r="A281" s="73"/>
      <c r="B281" s="73"/>
      <c r="C281" s="73"/>
      <c r="D281" s="73"/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</row>
    <row r="282">
      <c r="A282" s="73"/>
      <c r="B282" s="73"/>
      <c r="C282" s="73"/>
      <c r="D282" s="73"/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</row>
    <row r="283">
      <c r="A283" s="73"/>
      <c r="B283" s="73"/>
      <c r="C283" s="73"/>
      <c r="D283" s="73"/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</row>
    <row r="284">
      <c r="A284" s="73"/>
      <c r="B284" s="73"/>
      <c r="C284" s="73"/>
      <c r="D284" s="73"/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</row>
    <row r="285">
      <c r="A285" s="73"/>
      <c r="B285" s="73"/>
      <c r="C285" s="73"/>
      <c r="D285" s="73"/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</row>
    <row r="286">
      <c r="A286" s="73"/>
      <c r="B286" s="73"/>
      <c r="C286" s="73"/>
      <c r="D286" s="73"/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</row>
    <row r="287">
      <c r="A287" s="73"/>
      <c r="B287" s="73"/>
      <c r="C287" s="73"/>
      <c r="D287" s="73"/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</row>
    <row r="288">
      <c r="A288" s="73"/>
      <c r="B288" s="73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</row>
    <row r="289">
      <c r="A289" s="73"/>
      <c r="B289" s="73"/>
      <c r="C289" s="73"/>
      <c r="D289" s="73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</row>
    <row r="290">
      <c r="A290" s="73"/>
      <c r="B290" s="73"/>
      <c r="C290" s="73"/>
      <c r="D290" s="73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</row>
    <row r="291">
      <c r="A291" s="73"/>
      <c r="B291" s="73"/>
      <c r="C291" s="73"/>
      <c r="D291" s="73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</row>
    <row r="292">
      <c r="A292" s="73"/>
      <c r="B292" s="73"/>
      <c r="C292" s="73"/>
      <c r="D292" s="73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</row>
    <row r="293">
      <c r="A293" s="73"/>
      <c r="B293" s="73"/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</row>
    <row r="294">
      <c r="A294" s="73"/>
      <c r="B294" s="73"/>
      <c r="C294" s="73"/>
      <c r="D294" s="73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</row>
    <row r="295">
      <c r="A295" s="73"/>
      <c r="B295" s="73"/>
      <c r="C295" s="73"/>
      <c r="D295" s="73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</row>
    <row r="296">
      <c r="A296" s="73"/>
      <c r="B296" s="73"/>
      <c r="C296" s="73"/>
      <c r="D296" s="73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</row>
    <row r="297">
      <c r="A297" s="73"/>
      <c r="B297" s="73"/>
      <c r="C297" s="73"/>
      <c r="D297" s="73"/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</row>
    <row r="298">
      <c r="A298" s="73"/>
      <c r="B298" s="73"/>
      <c r="C298" s="73"/>
      <c r="D298" s="73"/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</row>
    <row r="299">
      <c r="A299" s="73"/>
      <c r="B299" s="73"/>
      <c r="C299" s="73"/>
      <c r="D299" s="73"/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</row>
    <row r="300">
      <c r="A300" s="73"/>
      <c r="B300" s="73"/>
      <c r="C300" s="73"/>
      <c r="D300" s="73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</row>
    <row r="301">
      <c r="A301" s="73"/>
      <c r="B301" s="73"/>
      <c r="C301" s="73"/>
      <c r="D301" s="73"/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</row>
    <row r="302">
      <c r="A302" s="73"/>
      <c r="B302" s="73"/>
      <c r="C302" s="73"/>
      <c r="D302" s="73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</row>
    <row r="303">
      <c r="A303" s="73"/>
      <c r="B303" s="73"/>
      <c r="C303" s="73"/>
      <c r="D303" s="73"/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</row>
    <row r="304">
      <c r="A304" s="73"/>
      <c r="B304" s="73"/>
      <c r="C304" s="73"/>
      <c r="D304" s="73"/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</row>
    <row r="305">
      <c r="A305" s="73"/>
      <c r="B305" s="73"/>
      <c r="C305" s="73"/>
      <c r="D305" s="73"/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</row>
    <row r="306">
      <c r="A306" s="73"/>
      <c r="B306" s="73"/>
      <c r="C306" s="73"/>
      <c r="D306" s="73"/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</row>
    <row r="307">
      <c r="A307" s="73"/>
      <c r="B307" s="73"/>
      <c r="C307" s="73"/>
      <c r="D307" s="73"/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</row>
    <row r="308">
      <c r="A308" s="73"/>
      <c r="B308" s="73"/>
      <c r="C308" s="73"/>
      <c r="D308" s="73"/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</row>
    <row r="309">
      <c r="A309" s="73"/>
      <c r="B309" s="73"/>
      <c r="C309" s="73"/>
      <c r="D309" s="73"/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</row>
    <row r="310">
      <c r="A310" s="73"/>
      <c r="B310" s="73"/>
      <c r="C310" s="73"/>
      <c r="D310" s="73"/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</row>
    <row r="311">
      <c r="A311" s="73"/>
      <c r="B311" s="73"/>
      <c r="C311" s="73"/>
      <c r="D311" s="73"/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</row>
    <row r="312">
      <c r="A312" s="73"/>
      <c r="B312" s="73"/>
      <c r="C312" s="73"/>
      <c r="D312" s="73"/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</row>
    <row r="313">
      <c r="A313" s="73"/>
      <c r="B313" s="73"/>
      <c r="C313" s="73"/>
      <c r="D313" s="73"/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</row>
    <row r="314">
      <c r="A314" s="73"/>
      <c r="B314" s="73"/>
      <c r="C314" s="73"/>
      <c r="D314" s="73"/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</row>
    <row r="315">
      <c r="A315" s="73"/>
      <c r="B315" s="73"/>
      <c r="C315" s="73"/>
      <c r="D315" s="73"/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</row>
    <row r="316">
      <c r="A316" s="73"/>
      <c r="B316" s="73"/>
      <c r="C316" s="73"/>
      <c r="D316" s="73"/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</row>
    <row r="317">
      <c r="A317" s="73"/>
      <c r="B317" s="73"/>
      <c r="C317" s="73"/>
      <c r="D317" s="73"/>
      <c r="E317" s="73"/>
      <c r="F317" s="73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</row>
    <row r="318">
      <c r="A318" s="73"/>
      <c r="B318" s="73"/>
      <c r="C318" s="73"/>
      <c r="D318" s="73"/>
      <c r="E318" s="73"/>
      <c r="F318" s="73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</row>
    <row r="319">
      <c r="A319" s="73"/>
      <c r="B319" s="73"/>
      <c r="C319" s="73"/>
      <c r="D319" s="73"/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</row>
    <row r="320">
      <c r="A320" s="73"/>
      <c r="B320" s="73"/>
      <c r="C320" s="73"/>
      <c r="D320" s="73"/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</row>
    <row r="321">
      <c r="A321" s="73"/>
      <c r="B321" s="73"/>
      <c r="C321" s="73"/>
      <c r="D321" s="73"/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</row>
    <row r="322">
      <c r="A322" s="73"/>
      <c r="B322" s="73"/>
      <c r="C322" s="73"/>
      <c r="D322" s="73"/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</row>
    <row r="323">
      <c r="A323" s="73"/>
      <c r="B323" s="73"/>
      <c r="C323" s="73"/>
      <c r="D323" s="73"/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</row>
    <row r="324">
      <c r="A324" s="73"/>
      <c r="B324" s="73"/>
      <c r="C324" s="73"/>
      <c r="D324" s="73"/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</row>
    <row r="325">
      <c r="A325" s="73"/>
      <c r="B325" s="73"/>
      <c r="C325" s="73"/>
      <c r="D325" s="73"/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</row>
    <row r="326">
      <c r="A326" s="73"/>
      <c r="B326" s="73"/>
      <c r="C326" s="73"/>
      <c r="D326" s="73"/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</row>
    <row r="327">
      <c r="A327" s="73"/>
      <c r="B327" s="73"/>
      <c r="C327" s="73"/>
      <c r="D327" s="73"/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</row>
    <row r="328">
      <c r="A328" s="73"/>
      <c r="B328" s="73"/>
      <c r="C328" s="73"/>
      <c r="D328" s="73"/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</row>
    <row r="329">
      <c r="A329" s="73"/>
      <c r="B329" s="73"/>
      <c r="C329" s="73"/>
      <c r="D329" s="73"/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</row>
    <row r="330">
      <c r="A330" s="73"/>
      <c r="B330" s="73"/>
      <c r="C330" s="73"/>
      <c r="D330" s="73"/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</row>
    <row r="331">
      <c r="A331" s="73"/>
      <c r="B331" s="73"/>
      <c r="C331" s="73"/>
      <c r="D331" s="73"/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</row>
    <row r="332">
      <c r="A332" s="73"/>
      <c r="B332" s="73"/>
      <c r="C332" s="73"/>
      <c r="D332" s="73"/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</row>
    <row r="333">
      <c r="A333" s="73"/>
      <c r="B333" s="73"/>
      <c r="C333" s="73"/>
      <c r="D333" s="73"/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</row>
    <row r="334">
      <c r="A334" s="73"/>
      <c r="B334" s="73"/>
      <c r="C334" s="73"/>
      <c r="D334" s="73"/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</row>
    <row r="335">
      <c r="A335" s="73"/>
      <c r="B335" s="73"/>
      <c r="C335" s="73"/>
      <c r="D335" s="73"/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</row>
    <row r="336">
      <c r="A336" s="73"/>
      <c r="B336" s="73"/>
      <c r="C336" s="73"/>
      <c r="D336" s="73"/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</row>
    <row r="337">
      <c r="A337" s="73"/>
      <c r="B337" s="73"/>
      <c r="C337" s="73"/>
      <c r="D337" s="73"/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</row>
    <row r="338">
      <c r="A338" s="73"/>
      <c r="B338" s="73"/>
      <c r="C338" s="73"/>
      <c r="D338" s="73"/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</row>
    <row r="339">
      <c r="A339" s="73"/>
      <c r="B339" s="73"/>
      <c r="C339" s="73"/>
      <c r="D339" s="73"/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</row>
    <row r="340">
      <c r="A340" s="73"/>
      <c r="B340" s="73"/>
      <c r="C340" s="73"/>
      <c r="D340" s="73"/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</row>
    <row r="341">
      <c r="A341" s="73"/>
      <c r="B341" s="73"/>
      <c r="C341" s="73"/>
      <c r="D341" s="73"/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</row>
    <row r="342">
      <c r="A342" s="73"/>
      <c r="B342" s="73"/>
      <c r="C342" s="73"/>
      <c r="D342" s="73"/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</row>
    <row r="343">
      <c r="A343" s="73"/>
      <c r="B343" s="73"/>
      <c r="C343" s="73"/>
      <c r="D343" s="73"/>
      <c r="E343" s="73"/>
      <c r="F343" s="73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</row>
    <row r="344">
      <c r="A344" s="73"/>
      <c r="B344" s="73"/>
      <c r="C344" s="73"/>
      <c r="D344" s="73"/>
      <c r="E344" s="73"/>
      <c r="F344" s="73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</row>
    <row r="345">
      <c r="A345" s="73"/>
      <c r="B345" s="73"/>
      <c r="C345" s="73"/>
      <c r="D345" s="73"/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</row>
    <row r="346">
      <c r="A346" s="73"/>
      <c r="B346" s="73"/>
      <c r="C346" s="73"/>
      <c r="D346" s="73"/>
      <c r="E346" s="73"/>
      <c r="F346" s="73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</row>
    <row r="347">
      <c r="A347" s="73"/>
      <c r="B347" s="73"/>
      <c r="C347" s="73"/>
      <c r="D347" s="73"/>
      <c r="E347" s="73"/>
      <c r="F347" s="73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</row>
    <row r="348">
      <c r="A348" s="73"/>
      <c r="B348" s="73"/>
      <c r="C348" s="73"/>
      <c r="D348" s="73"/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</row>
    <row r="349">
      <c r="A349" s="73"/>
      <c r="B349" s="73"/>
      <c r="C349" s="73"/>
      <c r="D349" s="73"/>
      <c r="E349" s="73"/>
      <c r="F349" s="73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</row>
    <row r="350">
      <c r="A350" s="73"/>
      <c r="B350" s="73"/>
      <c r="C350" s="73"/>
      <c r="D350" s="73"/>
      <c r="E350" s="73"/>
      <c r="F350" s="73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</row>
    <row r="351">
      <c r="A351" s="73"/>
      <c r="B351" s="73"/>
      <c r="C351" s="73"/>
      <c r="D351" s="73"/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</row>
    <row r="352">
      <c r="A352" s="73"/>
      <c r="B352" s="73"/>
      <c r="C352" s="73"/>
      <c r="D352" s="73"/>
      <c r="E352" s="73"/>
      <c r="F352" s="73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</row>
    <row r="353">
      <c r="A353" s="73"/>
      <c r="B353" s="73"/>
      <c r="C353" s="73"/>
      <c r="D353" s="73"/>
      <c r="E353" s="73"/>
      <c r="F353" s="73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</row>
    <row r="354">
      <c r="A354" s="73"/>
      <c r="B354" s="73"/>
      <c r="C354" s="73"/>
      <c r="D354" s="73"/>
      <c r="E354" s="73"/>
      <c r="F354" s="73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</row>
    <row r="355">
      <c r="A355" s="73"/>
      <c r="B355" s="73"/>
      <c r="C355" s="73"/>
      <c r="D355" s="73"/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</row>
    <row r="356">
      <c r="A356" s="73"/>
      <c r="B356" s="73"/>
      <c r="C356" s="73"/>
      <c r="D356" s="73"/>
      <c r="E356" s="73"/>
      <c r="F356" s="73"/>
      <c r="G356" s="73"/>
      <c r="H356" s="73"/>
      <c r="I356" s="73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</row>
    <row r="357">
      <c r="A357" s="73"/>
      <c r="B357" s="73"/>
      <c r="C357" s="73"/>
      <c r="D357" s="73"/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</row>
    <row r="358">
      <c r="A358" s="73"/>
      <c r="B358" s="73"/>
      <c r="C358" s="73"/>
      <c r="D358" s="73"/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</row>
    <row r="359">
      <c r="A359" s="73"/>
      <c r="B359" s="73"/>
      <c r="C359" s="73"/>
      <c r="D359" s="73"/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</row>
    <row r="360">
      <c r="A360" s="73"/>
      <c r="B360" s="73"/>
      <c r="C360" s="73"/>
      <c r="D360" s="73"/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</row>
    <row r="361">
      <c r="A361" s="73"/>
      <c r="B361" s="73"/>
      <c r="C361" s="73"/>
      <c r="D361" s="73"/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</row>
    <row r="362">
      <c r="A362" s="73"/>
      <c r="B362" s="73"/>
      <c r="C362" s="73"/>
      <c r="D362" s="73"/>
      <c r="E362" s="73"/>
      <c r="F362" s="73"/>
      <c r="G362" s="73"/>
      <c r="H362" s="73"/>
      <c r="I362" s="73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</row>
    <row r="363">
      <c r="A363" s="73"/>
      <c r="B363" s="73"/>
      <c r="C363" s="73"/>
      <c r="D363" s="73"/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</row>
    <row r="364">
      <c r="A364" s="73"/>
      <c r="B364" s="73"/>
      <c r="C364" s="73"/>
      <c r="D364" s="73"/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</row>
    <row r="365">
      <c r="A365" s="73"/>
      <c r="B365" s="73"/>
      <c r="C365" s="73"/>
      <c r="D365" s="73"/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</row>
    <row r="366">
      <c r="A366" s="73"/>
      <c r="B366" s="73"/>
      <c r="C366" s="73"/>
      <c r="D366" s="73"/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</row>
    <row r="367">
      <c r="A367" s="73"/>
      <c r="B367" s="73"/>
      <c r="C367" s="73"/>
      <c r="D367" s="73"/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</row>
    <row r="368">
      <c r="A368" s="73"/>
      <c r="B368" s="73"/>
      <c r="C368" s="73"/>
      <c r="D368" s="73"/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</row>
    <row r="369">
      <c r="A369" s="73"/>
      <c r="B369" s="73"/>
      <c r="C369" s="73"/>
      <c r="D369" s="73"/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</row>
    <row r="370">
      <c r="A370" s="73"/>
      <c r="B370" s="73"/>
      <c r="C370" s="73"/>
      <c r="D370" s="73"/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</row>
    <row r="371">
      <c r="A371" s="73"/>
      <c r="B371" s="73"/>
      <c r="C371" s="73"/>
      <c r="D371" s="73"/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</row>
    <row r="372">
      <c r="A372" s="73"/>
      <c r="B372" s="73"/>
      <c r="C372" s="73"/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</row>
    <row r="373">
      <c r="A373" s="73"/>
      <c r="B373" s="73"/>
      <c r="C373" s="73"/>
      <c r="D373" s="73"/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</row>
    <row r="374">
      <c r="A374" s="73"/>
      <c r="B374" s="73"/>
      <c r="C374" s="73"/>
      <c r="D374" s="73"/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</row>
    <row r="375">
      <c r="A375" s="73"/>
      <c r="B375" s="73"/>
      <c r="C375" s="73"/>
      <c r="D375" s="73"/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</row>
    <row r="376">
      <c r="A376" s="73"/>
      <c r="B376" s="73"/>
      <c r="C376" s="73"/>
      <c r="D376" s="73"/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</row>
    <row r="377">
      <c r="A377" s="73"/>
      <c r="B377" s="73"/>
      <c r="C377" s="73"/>
      <c r="D377" s="73"/>
      <c r="E377" s="73"/>
      <c r="F377" s="73"/>
      <c r="G377" s="73"/>
      <c r="H377" s="73"/>
      <c r="I377" s="73"/>
      <c r="J377" s="73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73"/>
    </row>
    <row r="378">
      <c r="A378" s="73"/>
      <c r="B378" s="73"/>
      <c r="C378" s="73"/>
      <c r="D378" s="73"/>
      <c r="E378" s="73"/>
      <c r="F378" s="73"/>
      <c r="G378" s="73"/>
      <c r="H378" s="73"/>
      <c r="I378" s="73"/>
      <c r="J378" s="73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73"/>
    </row>
    <row r="379">
      <c r="A379" s="73"/>
      <c r="B379" s="73"/>
      <c r="C379" s="73"/>
      <c r="D379" s="73"/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</row>
    <row r="380">
      <c r="A380" s="73"/>
      <c r="B380" s="73"/>
      <c r="C380" s="73"/>
      <c r="D380" s="73"/>
      <c r="E380" s="73"/>
      <c r="F380" s="73"/>
      <c r="G380" s="73"/>
      <c r="H380" s="73"/>
      <c r="I380" s="73"/>
      <c r="J380" s="73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73"/>
    </row>
    <row r="381">
      <c r="A381" s="73"/>
      <c r="B381" s="73"/>
      <c r="C381" s="73"/>
      <c r="D381" s="73"/>
      <c r="E381" s="73"/>
      <c r="F381" s="73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</row>
    <row r="382">
      <c r="A382" s="73"/>
      <c r="B382" s="73"/>
      <c r="C382" s="73"/>
      <c r="D382" s="73"/>
      <c r="E382" s="73"/>
      <c r="F382" s="73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</row>
    <row r="383">
      <c r="A383" s="73"/>
      <c r="B383" s="73"/>
      <c r="C383" s="73"/>
      <c r="D383" s="73"/>
      <c r="E383" s="73"/>
      <c r="F383" s="73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</row>
    <row r="384">
      <c r="A384" s="73"/>
      <c r="B384" s="73"/>
      <c r="C384" s="73"/>
      <c r="D384" s="73"/>
      <c r="E384" s="73"/>
      <c r="F384" s="73"/>
      <c r="G384" s="73"/>
      <c r="H384" s="73"/>
      <c r="I384" s="73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73"/>
    </row>
    <row r="385">
      <c r="A385" s="73"/>
      <c r="B385" s="73"/>
      <c r="C385" s="73"/>
      <c r="D385" s="73"/>
      <c r="E385" s="73"/>
      <c r="F385" s="73"/>
      <c r="G385" s="73"/>
      <c r="H385" s="73"/>
      <c r="I385" s="73"/>
      <c r="J385" s="73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73"/>
    </row>
    <row r="386">
      <c r="A386" s="73"/>
      <c r="B386" s="73"/>
      <c r="C386" s="73"/>
      <c r="D386" s="73"/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</row>
    <row r="387">
      <c r="A387" s="73"/>
      <c r="B387" s="73"/>
      <c r="C387" s="73"/>
      <c r="D387" s="73"/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</row>
    <row r="388">
      <c r="A388" s="73"/>
      <c r="B388" s="73"/>
      <c r="C388" s="73"/>
      <c r="D388" s="73"/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</row>
    <row r="389">
      <c r="A389" s="73"/>
      <c r="B389" s="73"/>
      <c r="C389" s="73"/>
      <c r="D389" s="73"/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</row>
    <row r="390">
      <c r="A390" s="73"/>
      <c r="B390" s="73"/>
      <c r="C390" s="73"/>
      <c r="D390" s="73"/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</row>
    <row r="391">
      <c r="A391" s="73"/>
      <c r="B391" s="73"/>
      <c r="C391" s="73"/>
      <c r="D391" s="73"/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</row>
    <row r="392">
      <c r="A392" s="73"/>
      <c r="B392" s="73"/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</row>
    <row r="393">
      <c r="A393" s="73"/>
      <c r="B393" s="73"/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</row>
    <row r="394">
      <c r="A394" s="73"/>
      <c r="B394" s="73"/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</row>
    <row r="395">
      <c r="A395" s="73"/>
      <c r="B395" s="73"/>
      <c r="C395" s="73"/>
      <c r="D395" s="73"/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</row>
    <row r="396">
      <c r="A396" s="73"/>
      <c r="B396" s="73"/>
      <c r="C396" s="73"/>
      <c r="D396" s="73"/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</row>
    <row r="397">
      <c r="A397" s="73"/>
      <c r="B397" s="73"/>
      <c r="C397" s="73"/>
      <c r="D397" s="73"/>
      <c r="E397" s="73"/>
      <c r="F397" s="73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73"/>
    </row>
    <row r="398">
      <c r="A398" s="73"/>
      <c r="B398" s="73"/>
      <c r="C398" s="73"/>
      <c r="D398" s="73"/>
      <c r="E398" s="73"/>
      <c r="F398" s="73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73"/>
    </row>
    <row r="399">
      <c r="A399" s="73"/>
      <c r="B399" s="73"/>
      <c r="C399" s="73"/>
      <c r="D399" s="73"/>
      <c r="E399" s="73"/>
      <c r="F399" s="73"/>
      <c r="G399" s="73"/>
      <c r="H399" s="73"/>
      <c r="I399" s="73"/>
      <c r="J399" s="73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  <c r="V399" s="73"/>
      <c r="W399" s="73"/>
      <c r="X399" s="73"/>
      <c r="Y399" s="73"/>
      <c r="Z399" s="73"/>
    </row>
    <row r="400">
      <c r="A400" s="73"/>
      <c r="B400" s="73"/>
      <c r="C400" s="73"/>
      <c r="D400" s="73"/>
      <c r="E400" s="73"/>
      <c r="F400" s="73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</row>
    <row r="401">
      <c r="A401" s="73"/>
      <c r="B401" s="73"/>
      <c r="C401" s="73"/>
      <c r="D401" s="73"/>
      <c r="E401" s="73"/>
      <c r="F401" s="73"/>
      <c r="G401" s="73"/>
      <c r="H401" s="73"/>
      <c r="I401" s="73"/>
      <c r="J401" s="73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</row>
    <row r="402">
      <c r="A402" s="73"/>
      <c r="B402" s="73"/>
      <c r="C402" s="73"/>
      <c r="D402" s="73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73"/>
    </row>
    <row r="403">
      <c r="A403" s="73"/>
      <c r="B403" s="73"/>
      <c r="C403" s="73"/>
      <c r="D403" s="73"/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</row>
    <row r="404">
      <c r="A404" s="73"/>
      <c r="B404" s="73"/>
      <c r="C404" s="73"/>
      <c r="D404" s="73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</row>
    <row r="405">
      <c r="A405" s="73"/>
      <c r="B405" s="73"/>
      <c r="C405" s="73"/>
      <c r="D405" s="73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</row>
    <row r="406">
      <c r="A406" s="73"/>
      <c r="B406" s="73"/>
      <c r="C406" s="73"/>
      <c r="D406" s="73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</row>
    <row r="407">
      <c r="A407" s="73"/>
      <c r="B407" s="73"/>
      <c r="C407" s="73"/>
      <c r="D407" s="73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</row>
    <row r="408">
      <c r="A408" s="73"/>
      <c r="B408" s="73"/>
      <c r="C408" s="73"/>
      <c r="D408" s="73"/>
      <c r="E408" s="73"/>
      <c r="F408" s="73"/>
      <c r="G408" s="73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73"/>
      <c r="V408" s="73"/>
      <c r="W408" s="73"/>
      <c r="X408" s="73"/>
      <c r="Y408" s="73"/>
      <c r="Z408" s="73"/>
    </row>
    <row r="409">
      <c r="A409" s="73"/>
      <c r="B409" s="73"/>
      <c r="C409" s="73"/>
      <c r="D409" s="73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73"/>
    </row>
    <row r="410">
      <c r="A410" s="73"/>
      <c r="B410" s="73"/>
      <c r="C410" s="73"/>
      <c r="D410" s="73"/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</row>
    <row r="411">
      <c r="A411" s="73"/>
      <c r="B411" s="73"/>
      <c r="C411" s="73"/>
      <c r="D411" s="73"/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</row>
    <row r="412">
      <c r="A412" s="73"/>
      <c r="B412" s="73"/>
      <c r="C412" s="73"/>
      <c r="D412" s="73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</row>
    <row r="413">
      <c r="A413" s="73"/>
      <c r="B413" s="73"/>
      <c r="C413" s="73"/>
      <c r="D413" s="73"/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</row>
    <row r="414">
      <c r="A414" s="73"/>
      <c r="B414" s="73"/>
      <c r="C414" s="73"/>
      <c r="D414" s="73"/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</row>
    <row r="415">
      <c r="A415" s="73"/>
      <c r="B415" s="73"/>
      <c r="C415" s="73"/>
      <c r="D415" s="73"/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</row>
    <row r="416">
      <c r="A416" s="73"/>
      <c r="B416" s="73"/>
      <c r="C416" s="73"/>
      <c r="D416" s="73"/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</row>
    <row r="417">
      <c r="A417" s="73"/>
      <c r="B417" s="73"/>
      <c r="C417" s="73"/>
      <c r="D417" s="73"/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</row>
    <row r="418">
      <c r="A418" s="73"/>
      <c r="B418" s="73"/>
      <c r="C418" s="73"/>
      <c r="D418" s="73"/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3"/>
      <c r="Z418" s="73"/>
    </row>
    <row r="419">
      <c r="A419" s="73"/>
      <c r="B419" s="73"/>
      <c r="C419" s="73"/>
      <c r="D419" s="73"/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3"/>
      <c r="Z419" s="73"/>
    </row>
    <row r="420">
      <c r="A420" s="73"/>
      <c r="B420" s="73"/>
      <c r="C420" s="73"/>
      <c r="D420" s="73"/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</row>
    <row r="421">
      <c r="A421" s="73"/>
      <c r="B421" s="73"/>
      <c r="C421" s="73"/>
      <c r="D421" s="73"/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</row>
    <row r="422">
      <c r="A422" s="73"/>
      <c r="B422" s="73"/>
      <c r="C422" s="73"/>
      <c r="D422" s="73"/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</row>
    <row r="423">
      <c r="A423" s="73"/>
      <c r="B423" s="73"/>
      <c r="C423" s="73"/>
      <c r="D423" s="73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  <c r="V423" s="73"/>
      <c r="W423" s="73"/>
      <c r="X423" s="73"/>
      <c r="Y423" s="73"/>
      <c r="Z423" s="73"/>
    </row>
    <row r="424">
      <c r="A424" s="73"/>
      <c r="B424" s="73"/>
      <c r="C424" s="73"/>
      <c r="D424" s="73"/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</row>
    <row r="425">
      <c r="A425" s="73"/>
      <c r="B425" s="73"/>
      <c r="C425" s="73"/>
      <c r="D425" s="73"/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</row>
    <row r="426">
      <c r="A426" s="73"/>
      <c r="B426" s="73"/>
      <c r="C426" s="73"/>
      <c r="D426" s="73"/>
      <c r="E426" s="73"/>
      <c r="F426" s="73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  <c r="V426" s="73"/>
      <c r="W426" s="73"/>
      <c r="X426" s="73"/>
      <c r="Y426" s="73"/>
      <c r="Z426" s="73"/>
    </row>
    <row r="427">
      <c r="A427" s="73"/>
      <c r="B427" s="73"/>
      <c r="C427" s="73"/>
      <c r="D427" s="73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</row>
    <row r="428">
      <c r="A428" s="73"/>
      <c r="B428" s="73"/>
      <c r="C428" s="73"/>
      <c r="D428" s="73"/>
      <c r="E428" s="73"/>
      <c r="F428" s="73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73"/>
      <c r="V428" s="73"/>
      <c r="W428" s="73"/>
      <c r="X428" s="73"/>
      <c r="Y428" s="73"/>
      <c r="Z428" s="73"/>
    </row>
    <row r="429">
      <c r="A429" s="73"/>
      <c r="B429" s="73"/>
      <c r="C429" s="73"/>
      <c r="D429" s="73"/>
      <c r="E429" s="73"/>
      <c r="F429" s="73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73"/>
      <c r="V429" s="73"/>
      <c r="W429" s="73"/>
      <c r="X429" s="73"/>
      <c r="Y429" s="73"/>
      <c r="Z429" s="73"/>
    </row>
    <row r="430">
      <c r="A430" s="73"/>
      <c r="B430" s="73"/>
      <c r="C430" s="73"/>
      <c r="D430" s="73"/>
      <c r="E430" s="73"/>
      <c r="F430" s="73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73"/>
      <c r="V430" s="73"/>
      <c r="W430" s="73"/>
      <c r="X430" s="73"/>
      <c r="Y430" s="73"/>
      <c r="Z430" s="73"/>
    </row>
    <row r="431">
      <c r="A431" s="73"/>
      <c r="B431" s="73"/>
      <c r="C431" s="73"/>
      <c r="D431" s="73"/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</row>
    <row r="432">
      <c r="A432" s="73"/>
      <c r="B432" s="73"/>
      <c r="C432" s="73"/>
      <c r="D432" s="73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</row>
    <row r="433">
      <c r="A433" s="73"/>
      <c r="B433" s="73"/>
      <c r="C433" s="73"/>
      <c r="D433" s="73"/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</row>
    <row r="434">
      <c r="A434" s="73"/>
      <c r="B434" s="73"/>
      <c r="C434" s="73"/>
      <c r="D434" s="73"/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</row>
    <row r="435">
      <c r="A435" s="73"/>
      <c r="B435" s="73"/>
      <c r="C435" s="73"/>
      <c r="D435" s="73"/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</row>
    <row r="436">
      <c r="A436" s="73"/>
      <c r="B436" s="73"/>
      <c r="C436" s="73"/>
      <c r="D436" s="73"/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</row>
    <row r="437">
      <c r="A437" s="73"/>
      <c r="B437" s="73"/>
      <c r="C437" s="73"/>
      <c r="D437" s="73"/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</row>
    <row r="438">
      <c r="A438" s="73"/>
      <c r="B438" s="73"/>
      <c r="C438" s="73"/>
      <c r="D438" s="73"/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</row>
    <row r="439">
      <c r="A439" s="73"/>
      <c r="B439" s="73"/>
      <c r="C439" s="73"/>
      <c r="D439" s="73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</row>
    <row r="440">
      <c r="A440" s="73"/>
      <c r="B440" s="73"/>
      <c r="C440" s="73"/>
      <c r="D440" s="73"/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</row>
    <row r="441">
      <c r="A441" s="73"/>
      <c r="B441" s="73"/>
      <c r="C441" s="73"/>
      <c r="D441" s="73"/>
      <c r="E441" s="73"/>
      <c r="F441" s="73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  <c r="V441" s="73"/>
      <c r="W441" s="73"/>
      <c r="X441" s="73"/>
      <c r="Y441" s="73"/>
      <c r="Z441" s="73"/>
    </row>
    <row r="442">
      <c r="A442" s="73"/>
      <c r="B442" s="73"/>
      <c r="C442" s="73"/>
      <c r="D442" s="73"/>
      <c r="E442" s="73"/>
      <c r="F442" s="73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  <c r="V442" s="73"/>
      <c r="W442" s="73"/>
      <c r="X442" s="73"/>
      <c r="Y442" s="73"/>
      <c r="Z442" s="73"/>
    </row>
    <row r="443">
      <c r="A443" s="73"/>
      <c r="B443" s="73"/>
      <c r="C443" s="73"/>
      <c r="D443" s="73"/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</row>
    <row r="444">
      <c r="A444" s="73"/>
      <c r="B444" s="73"/>
      <c r="C444" s="73"/>
      <c r="D444" s="73"/>
      <c r="E444" s="73"/>
      <c r="F444" s="73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  <c r="V444" s="73"/>
      <c r="W444" s="73"/>
      <c r="X444" s="73"/>
      <c r="Y444" s="73"/>
      <c r="Z444" s="73"/>
    </row>
    <row r="445">
      <c r="A445" s="73"/>
      <c r="B445" s="73"/>
      <c r="C445" s="73"/>
      <c r="D445" s="73"/>
      <c r="E445" s="73"/>
      <c r="F445" s="73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  <c r="V445" s="73"/>
      <c r="W445" s="73"/>
      <c r="X445" s="73"/>
      <c r="Y445" s="73"/>
      <c r="Z445" s="73"/>
    </row>
    <row r="446">
      <c r="A446" s="73"/>
      <c r="B446" s="73"/>
      <c r="C446" s="73"/>
      <c r="D446" s="73"/>
      <c r="E446" s="73"/>
      <c r="F446" s="73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  <c r="V446" s="73"/>
      <c r="W446" s="73"/>
      <c r="X446" s="73"/>
      <c r="Y446" s="73"/>
      <c r="Z446" s="73"/>
    </row>
    <row r="447">
      <c r="A447" s="73"/>
      <c r="B447" s="73"/>
      <c r="C447" s="73"/>
      <c r="D447" s="73"/>
      <c r="E447" s="73"/>
      <c r="F447" s="73"/>
      <c r="G447" s="73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73"/>
      <c r="V447" s="73"/>
      <c r="W447" s="73"/>
      <c r="X447" s="73"/>
      <c r="Y447" s="73"/>
      <c r="Z447" s="73"/>
    </row>
    <row r="448">
      <c r="A448" s="73"/>
      <c r="B448" s="73"/>
      <c r="C448" s="73"/>
      <c r="D448" s="73"/>
      <c r="E448" s="73"/>
      <c r="F448" s="73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  <c r="V448" s="73"/>
      <c r="W448" s="73"/>
      <c r="X448" s="73"/>
      <c r="Y448" s="73"/>
      <c r="Z448" s="73"/>
    </row>
    <row r="449">
      <c r="A449" s="73"/>
      <c r="B449" s="73"/>
      <c r="C449" s="73"/>
      <c r="D449" s="73"/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</row>
    <row r="450">
      <c r="A450" s="73"/>
      <c r="B450" s="73"/>
      <c r="C450" s="73"/>
      <c r="D450" s="73"/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</row>
    <row r="451">
      <c r="A451" s="73"/>
      <c r="B451" s="73"/>
      <c r="C451" s="73"/>
      <c r="D451" s="73"/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</row>
    <row r="452">
      <c r="A452" s="73"/>
      <c r="B452" s="73"/>
      <c r="C452" s="73"/>
      <c r="D452" s="73"/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</row>
    <row r="453">
      <c r="A453" s="73"/>
      <c r="B453" s="73"/>
      <c r="C453" s="73"/>
      <c r="D453" s="73"/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</row>
    <row r="454">
      <c r="A454" s="73"/>
      <c r="B454" s="73"/>
      <c r="C454" s="73"/>
      <c r="D454" s="73"/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</row>
    <row r="455">
      <c r="A455" s="73"/>
      <c r="B455" s="73"/>
      <c r="C455" s="73"/>
      <c r="D455" s="73"/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</row>
    <row r="456">
      <c r="A456" s="73"/>
      <c r="B456" s="73"/>
      <c r="C456" s="73"/>
      <c r="D456" s="73"/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</row>
    <row r="457">
      <c r="A457" s="73"/>
      <c r="B457" s="73"/>
      <c r="C457" s="73"/>
      <c r="D457" s="73"/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</row>
    <row r="458">
      <c r="A458" s="73"/>
      <c r="B458" s="73"/>
      <c r="C458" s="73"/>
      <c r="D458" s="73"/>
      <c r="E458" s="73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73"/>
      <c r="V458" s="73"/>
      <c r="W458" s="73"/>
      <c r="X458" s="73"/>
      <c r="Y458" s="73"/>
      <c r="Z458" s="73"/>
    </row>
    <row r="459">
      <c r="A459" s="73"/>
      <c r="B459" s="73"/>
      <c r="C459" s="73"/>
      <c r="D459" s="73"/>
      <c r="E459" s="73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73"/>
      <c r="V459" s="73"/>
      <c r="W459" s="73"/>
      <c r="X459" s="73"/>
      <c r="Y459" s="73"/>
      <c r="Z459" s="73"/>
    </row>
    <row r="460">
      <c r="A460" s="73"/>
      <c r="B460" s="73"/>
      <c r="C460" s="73"/>
      <c r="D460" s="73"/>
      <c r="E460" s="73"/>
      <c r="F460" s="73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73"/>
      <c r="V460" s="73"/>
      <c r="W460" s="73"/>
      <c r="X460" s="73"/>
      <c r="Y460" s="73"/>
      <c r="Z460" s="73"/>
    </row>
    <row r="461">
      <c r="A461" s="73"/>
      <c r="B461" s="73"/>
      <c r="C461" s="73"/>
      <c r="D461" s="73"/>
      <c r="E461" s="73"/>
      <c r="F461" s="73"/>
      <c r="G461" s="73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73"/>
      <c r="V461" s="73"/>
      <c r="W461" s="73"/>
      <c r="X461" s="73"/>
      <c r="Y461" s="73"/>
      <c r="Z461" s="73"/>
    </row>
    <row r="462">
      <c r="A462" s="73"/>
      <c r="B462" s="73"/>
      <c r="C462" s="73"/>
      <c r="D462" s="73"/>
      <c r="E462" s="73"/>
      <c r="F462" s="73"/>
      <c r="G462" s="73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73"/>
      <c r="V462" s="73"/>
      <c r="W462" s="73"/>
      <c r="X462" s="73"/>
      <c r="Y462" s="73"/>
      <c r="Z462" s="73"/>
    </row>
    <row r="463">
      <c r="A463" s="73"/>
      <c r="B463" s="73"/>
      <c r="C463" s="73"/>
      <c r="D463" s="73"/>
      <c r="E463" s="73"/>
      <c r="F463" s="73"/>
      <c r="G463" s="73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73"/>
      <c r="V463" s="73"/>
      <c r="W463" s="73"/>
      <c r="X463" s="73"/>
      <c r="Y463" s="73"/>
      <c r="Z463" s="73"/>
    </row>
    <row r="464">
      <c r="A464" s="73"/>
      <c r="B464" s="73"/>
      <c r="C464" s="73"/>
      <c r="D464" s="73"/>
      <c r="E464" s="73"/>
      <c r="F464" s="73"/>
      <c r="G464" s="73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73"/>
      <c r="V464" s="73"/>
      <c r="W464" s="73"/>
      <c r="X464" s="73"/>
      <c r="Y464" s="73"/>
      <c r="Z464" s="73"/>
    </row>
    <row r="465">
      <c r="A465" s="73"/>
      <c r="B465" s="73"/>
      <c r="C465" s="73"/>
      <c r="D465" s="73"/>
      <c r="E465" s="73"/>
      <c r="F465" s="73"/>
      <c r="G465" s="73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73"/>
      <c r="V465" s="73"/>
      <c r="W465" s="73"/>
      <c r="X465" s="73"/>
      <c r="Y465" s="73"/>
      <c r="Z465" s="73"/>
    </row>
    <row r="466">
      <c r="A466" s="73"/>
      <c r="B466" s="73"/>
      <c r="C466" s="73"/>
      <c r="D466" s="73"/>
      <c r="E466" s="73"/>
      <c r="F466" s="73"/>
      <c r="G466" s="73"/>
      <c r="H466" s="73"/>
      <c r="I466" s="73"/>
      <c r="J466" s="73"/>
      <c r="K466" s="73"/>
      <c r="L466" s="73"/>
      <c r="M466" s="73"/>
      <c r="N466" s="73"/>
      <c r="O466" s="73"/>
      <c r="P466" s="73"/>
      <c r="Q466" s="73"/>
      <c r="R466" s="73"/>
      <c r="S466" s="73"/>
      <c r="T466" s="73"/>
      <c r="U466" s="73"/>
      <c r="V466" s="73"/>
      <c r="W466" s="73"/>
      <c r="X466" s="73"/>
      <c r="Y466" s="73"/>
      <c r="Z466" s="73"/>
    </row>
    <row r="467">
      <c r="A467" s="73"/>
      <c r="B467" s="73"/>
      <c r="C467" s="73"/>
      <c r="D467" s="73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</row>
    <row r="468">
      <c r="A468" s="73"/>
      <c r="B468" s="73"/>
      <c r="C468" s="73"/>
      <c r="D468" s="73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  <c r="V468" s="73"/>
      <c r="W468" s="73"/>
      <c r="X468" s="73"/>
      <c r="Y468" s="73"/>
      <c r="Z468" s="73"/>
    </row>
    <row r="469">
      <c r="A469" s="73"/>
      <c r="B469" s="73"/>
      <c r="C469" s="73"/>
      <c r="D469" s="73"/>
      <c r="E469" s="73"/>
      <c r="F469" s="73"/>
      <c r="G469" s="73"/>
      <c r="H469" s="73"/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73"/>
      <c r="V469" s="73"/>
      <c r="W469" s="73"/>
      <c r="X469" s="73"/>
      <c r="Y469" s="73"/>
      <c r="Z469" s="73"/>
    </row>
    <row r="470">
      <c r="A470" s="73"/>
      <c r="B470" s="73"/>
      <c r="C470" s="73"/>
      <c r="D470" s="73"/>
      <c r="E470" s="73"/>
      <c r="F470" s="73"/>
      <c r="G470" s="73"/>
      <c r="H470" s="73"/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73"/>
      <c r="V470" s="73"/>
      <c r="W470" s="73"/>
      <c r="X470" s="73"/>
      <c r="Y470" s="73"/>
      <c r="Z470" s="73"/>
    </row>
    <row r="471">
      <c r="A471" s="73"/>
      <c r="B471" s="73"/>
      <c r="C471" s="73"/>
      <c r="D471" s="73"/>
      <c r="E471" s="73"/>
      <c r="F471" s="73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73"/>
      <c r="V471" s="73"/>
      <c r="W471" s="73"/>
      <c r="X471" s="73"/>
      <c r="Y471" s="73"/>
      <c r="Z471" s="73"/>
    </row>
    <row r="472">
      <c r="A472" s="73"/>
      <c r="B472" s="73"/>
      <c r="C472" s="73"/>
      <c r="D472" s="73"/>
      <c r="E472" s="73"/>
      <c r="F472" s="73"/>
      <c r="G472" s="73"/>
      <c r="H472" s="73"/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73"/>
      <c r="V472" s="73"/>
      <c r="W472" s="73"/>
      <c r="X472" s="73"/>
      <c r="Y472" s="73"/>
      <c r="Z472" s="73"/>
    </row>
    <row r="473">
      <c r="A473" s="73"/>
      <c r="B473" s="73"/>
      <c r="C473" s="73"/>
      <c r="D473" s="73"/>
      <c r="E473" s="73"/>
      <c r="F473" s="73"/>
      <c r="G473" s="73"/>
      <c r="H473" s="73"/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73"/>
      <c r="V473" s="73"/>
      <c r="W473" s="73"/>
      <c r="X473" s="73"/>
      <c r="Y473" s="73"/>
      <c r="Z473" s="73"/>
    </row>
    <row r="474">
      <c r="A474" s="73"/>
      <c r="B474" s="73"/>
      <c r="C474" s="73"/>
      <c r="D474" s="73"/>
      <c r="E474" s="73"/>
      <c r="F474" s="73"/>
      <c r="G474" s="73"/>
      <c r="H474" s="73"/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73"/>
      <c r="V474" s="73"/>
      <c r="W474" s="73"/>
      <c r="X474" s="73"/>
      <c r="Y474" s="73"/>
      <c r="Z474" s="73"/>
    </row>
    <row r="475">
      <c r="A475" s="73"/>
      <c r="B475" s="73"/>
      <c r="C475" s="73"/>
      <c r="D475" s="73"/>
      <c r="E475" s="73"/>
      <c r="F475" s="73"/>
      <c r="G475" s="73"/>
      <c r="H475" s="73"/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73"/>
      <c r="V475" s="73"/>
      <c r="W475" s="73"/>
      <c r="X475" s="73"/>
      <c r="Y475" s="73"/>
      <c r="Z475" s="73"/>
    </row>
    <row r="476">
      <c r="A476" s="73"/>
      <c r="B476" s="73"/>
      <c r="C476" s="73"/>
      <c r="D476" s="73"/>
      <c r="E476" s="73"/>
      <c r="F476" s="73"/>
      <c r="G476" s="73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73"/>
      <c r="V476" s="73"/>
      <c r="W476" s="73"/>
      <c r="X476" s="73"/>
      <c r="Y476" s="73"/>
      <c r="Z476" s="73"/>
    </row>
    <row r="477">
      <c r="A477" s="73"/>
      <c r="B477" s="73"/>
      <c r="C477" s="73"/>
      <c r="D477" s="73"/>
      <c r="E477" s="73"/>
      <c r="F477" s="73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  <c r="V477" s="73"/>
      <c r="W477" s="73"/>
      <c r="X477" s="73"/>
      <c r="Y477" s="73"/>
      <c r="Z477" s="73"/>
    </row>
    <row r="478">
      <c r="A478" s="73"/>
      <c r="B478" s="73"/>
      <c r="C478" s="73"/>
      <c r="D478" s="73"/>
      <c r="E478" s="73"/>
      <c r="F478" s="73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73"/>
      <c r="X478" s="73"/>
      <c r="Y478" s="73"/>
      <c r="Z478" s="73"/>
    </row>
    <row r="479">
      <c r="A479" s="73"/>
      <c r="B479" s="73"/>
      <c r="C479" s="73"/>
      <c r="D479" s="73"/>
      <c r="E479" s="73"/>
      <c r="F479" s="73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  <c r="V479" s="73"/>
      <c r="W479" s="73"/>
      <c r="X479" s="73"/>
      <c r="Y479" s="73"/>
      <c r="Z479" s="73"/>
    </row>
    <row r="480">
      <c r="A480" s="73"/>
      <c r="B480" s="73"/>
      <c r="C480" s="73"/>
      <c r="D480" s="73"/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</row>
    <row r="481">
      <c r="A481" s="73"/>
      <c r="B481" s="73"/>
      <c r="C481" s="73"/>
      <c r="D481" s="73"/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</row>
    <row r="482">
      <c r="A482" s="73"/>
      <c r="B482" s="73"/>
      <c r="C482" s="73"/>
      <c r="D482" s="73"/>
      <c r="E482" s="73"/>
      <c r="F482" s="73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  <c r="V482" s="73"/>
      <c r="W482" s="73"/>
      <c r="X482" s="73"/>
      <c r="Y482" s="73"/>
      <c r="Z482" s="73"/>
    </row>
    <row r="483">
      <c r="A483" s="73"/>
      <c r="B483" s="73"/>
      <c r="C483" s="73"/>
      <c r="D483" s="73"/>
      <c r="E483" s="73"/>
      <c r="F483" s="73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  <c r="V483" s="73"/>
      <c r="W483" s="73"/>
      <c r="X483" s="73"/>
      <c r="Y483" s="73"/>
      <c r="Z483" s="73"/>
    </row>
    <row r="484">
      <c r="A484" s="73"/>
      <c r="B484" s="73"/>
      <c r="C484" s="73"/>
      <c r="D484" s="73"/>
      <c r="E484" s="73"/>
      <c r="F484" s="73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  <c r="V484" s="73"/>
      <c r="W484" s="73"/>
      <c r="X484" s="73"/>
      <c r="Y484" s="73"/>
      <c r="Z484" s="73"/>
    </row>
    <row r="485">
      <c r="A485" s="73"/>
      <c r="B485" s="73"/>
      <c r="C485" s="73"/>
      <c r="D485" s="73"/>
      <c r="E485" s="73"/>
      <c r="F485" s="73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  <c r="V485" s="73"/>
      <c r="W485" s="73"/>
      <c r="X485" s="73"/>
      <c r="Y485" s="73"/>
      <c r="Z485" s="73"/>
    </row>
    <row r="486">
      <c r="A486" s="73"/>
      <c r="B486" s="73"/>
      <c r="C486" s="73"/>
      <c r="D486" s="73"/>
      <c r="E486" s="73"/>
      <c r="F486" s="73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  <c r="V486" s="73"/>
      <c r="W486" s="73"/>
      <c r="X486" s="73"/>
      <c r="Y486" s="73"/>
      <c r="Z486" s="73"/>
    </row>
    <row r="487">
      <c r="A487" s="73"/>
      <c r="B487" s="73"/>
      <c r="C487" s="73"/>
      <c r="D487" s="73"/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</row>
    <row r="488">
      <c r="A488" s="73"/>
      <c r="B488" s="73"/>
      <c r="C488" s="73"/>
      <c r="D488" s="73"/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</row>
    <row r="489">
      <c r="A489" s="73"/>
      <c r="B489" s="73"/>
      <c r="C489" s="73"/>
      <c r="D489" s="73"/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</row>
    <row r="490">
      <c r="A490" s="73"/>
      <c r="B490" s="73"/>
      <c r="C490" s="73"/>
      <c r="D490" s="73"/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</row>
    <row r="491">
      <c r="A491" s="73"/>
      <c r="B491" s="73"/>
      <c r="C491" s="73"/>
      <c r="D491" s="73"/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</row>
    <row r="492">
      <c r="A492" s="73"/>
      <c r="B492" s="73"/>
      <c r="C492" s="73"/>
      <c r="D492" s="73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</row>
    <row r="493">
      <c r="A493" s="73"/>
      <c r="B493" s="73"/>
      <c r="C493" s="73"/>
      <c r="D493" s="73"/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</row>
    <row r="494">
      <c r="A494" s="73"/>
      <c r="B494" s="73"/>
      <c r="C494" s="73"/>
      <c r="D494" s="73"/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</row>
    <row r="495">
      <c r="A495" s="73"/>
      <c r="B495" s="73"/>
      <c r="C495" s="73"/>
      <c r="D495" s="73"/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</row>
    <row r="496">
      <c r="A496" s="73"/>
      <c r="B496" s="73"/>
      <c r="C496" s="73"/>
      <c r="D496" s="73"/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</row>
    <row r="497">
      <c r="A497" s="73"/>
      <c r="B497" s="73"/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  <c r="V497" s="73"/>
      <c r="W497" s="73"/>
      <c r="X497" s="73"/>
      <c r="Y497" s="73"/>
      <c r="Z497" s="73"/>
    </row>
    <row r="498">
      <c r="A498" s="73"/>
      <c r="B498" s="73"/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</row>
    <row r="499">
      <c r="A499" s="73"/>
      <c r="B499" s="73"/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</row>
    <row r="500">
      <c r="A500" s="73"/>
      <c r="B500" s="73"/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</row>
    <row r="501">
      <c r="A501" s="73"/>
      <c r="B501" s="73"/>
      <c r="C501" s="73"/>
      <c r="D501" s="73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</row>
    <row r="502">
      <c r="A502" s="73"/>
      <c r="B502" s="73"/>
      <c r="C502" s="73"/>
      <c r="D502" s="73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</row>
    <row r="503">
      <c r="A503" s="73"/>
      <c r="B503" s="73"/>
      <c r="C503" s="73"/>
      <c r="D503" s="73"/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</row>
    <row r="504">
      <c r="A504" s="73"/>
      <c r="B504" s="73"/>
      <c r="C504" s="73"/>
      <c r="D504" s="73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</row>
    <row r="505">
      <c r="A505" s="73"/>
      <c r="B505" s="73"/>
      <c r="C505" s="73"/>
      <c r="D505" s="73"/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</row>
    <row r="506">
      <c r="A506" s="73"/>
      <c r="B506" s="73"/>
      <c r="C506" s="73"/>
      <c r="D506" s="73"/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</row>
    <row r="507">
      <c r="A507" s="73"/>
      <c r="B507" s="73"/>
      <c r="C507" s="73"/>
      <c r="D507" s="73"/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</row>
    <row r="508">
      <c r="A508" s="73"/>
      <c r="B508" s="73"/>
      <c r="C508" s="73"/>
      <c r="D508" s="73"/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</row>
    <row r="509">
      <c r="A509" s="73"/>
      <c r="B509" s="73"/>
      <c r="C509" s="73"/>
      <c r="D509" s="73"/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</row>
    <row r="510">
      <c r="A510" s="73"/>
      <c r="B510" s="73"/>
      <c r="C510" s="73"/>
      <c r="D510" s="73"/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</row>
    <row r="511">
      <c r="A511" s="73"/>
      <c r="B511" s="73"/>
      <c r="C511" s="73"/>
      <c r="D511" s="73"/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</row>
    <row r="512">
      <c r="A512" s="73"/>
      <c r="B512" s="73"/>
      <c r="C512" s="73"/>
      <c r="D512" s="73"/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</row>
    <row r="513">
      <c r="A513" s="73"/>
      <c r="B513" s="73"/>
      <c r="C513" s="73"/>
      <c r="D513" s="73"/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</row>
    <row r="514">
      <c r="A514" s="73"/>
      <c r="B514" s="73"/>
      <c r="C514" s="73"/>
      <c r="D514" s="73"/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</row>
    <row r="515">
      <c r="A515" s="73"/>
      <c r="B515" s="73"/>
      <c r="C515" s="73"/>
      <c r="D515" s="73"/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</row>
    <row r="516">
      <c r="A516" s="73"/>
      <c r="B516" s="73"/>
      <c r="C516" s="73"/>
      <c r="D516" s="73"/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</row>
    <row r="517">
      <c r="A517" s="73"/>
      <c r="B517" s="73"/>
      <c r="C517" s="73"/>
      <c r="D517" s="73"/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</row>
    <row r="518">
      <c r="A518" s="73"/>
      <c r="B518" s="73"/>
      <c r="C518" s="73"/>
      <c r="D518" s="73"/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73"/>
      <c r="V518" s="73"/>
      <c r="W518" s="73"/>
      <c r="X518" s="73"/>
      <c r="Y518" s="73"/>
      <c r="Z518" s="73"/>
    </row>
    <row r="519">
      <c r="A519" s="73"/>
      <c r="B519" s="73"/>
      <c r="C519" s="73"/>
      <c r="D519" s="73"/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73"/>
      <c r="V519" s="73"/>
      <c r="W519" s="73"/>
      <c r="X519" s="73"/>
      <c r="Y519" s="73"/>
      <c r="Z519" s="73"/>
    </row>
    <row r="520">
      <c r="A520" s="73"/>
      <c r="B520" s="73"/>
      <c r="C520" s="73"/>
      <c r="D520" s="73"/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73"/>
      <c r="V520" s="73"/>
      <c r="W520" s="73"/>
      <c r="X520" s="73"/>
      <c r="Y520" s="73"/>
      <c r="Z520" s="73"/>
    </row>
    <row r="521">
      <c r="A521" s="73"/>
      <c r="B521" s="73"/>
      <c r="C521" s="73"/>
      <c r="D521" s="73"/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  <c r="V521" s="73"/>
      <c r="W521" s="73"/>
      <c r="X521" s="73"/>
      <c r="Y521" s="73"/>
      <c r="Z521" s="73"/>
    </row>
    <row r="522">
      <c r="A522" s="73"/>
      <c r="B522" s="73"/>
      <c r="C522" s="73"/>
      <c r="D522" s="73"/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</row>
    <row r="523">
      <c r="A523" s="73"/>
      <c r="B523" s="73"/>
      <c r="C523" s="73"/>
      <c r="D523" s="73"/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</row>
    <row r="524">
      <c r="A524" s="73"/>
      <c r="B524" s="73"/>
      <c r="C524" s="73"/>
      <c r="D524" s="73"/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</row>
    <row r="525">
      <c r="A525" s="73"/>
      <c r="B525" s="73"/>
      <c r="C525" s="73"/>
      <c r="D525" s="73"/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</row>
    <row r="526">
      <c r="A526" s="73"/>
      <c r="B526" s="73"/>
      <c r="C526" s="73"/>
      <c r="D526" s="73"/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</row>
    <row r="527">
      <c r="A527" s="73"/>
      <c r="B527" s="73"/>
      <c r="C527" s="73"/>
      <c r="D527" s="73"/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</row>
    <row r="528">
      <c r="A528" s="73"/>
      <c r="B528" s="73"/>
      <c r="C528" s="73"/>
      <c r="D528" s="73"/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</row>
    <row r="529">
      <c r="A529" s="73"/>
      <c r="B529" s="73"/>
      <c r="C529" s="73"/>
      <c r="D529" s="73"/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</row>
    <row r="530">
      <c r="A530" s="73"/>
      <c r="B530" s="73"/>
      <c r="C530" s="73"/>
      <c r="D530" s="73"/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</row>
    <row r="531">
      <c r="A531" s="73"/>
      <c r="B531" s="73"/>
      <c r="C531" s="73"/>
      <c r="D531" s="73"/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</row>
    <row r="532">
      <c r="A532" s="73"/>
      <c r="B532" s="73"/>
      <c r="C532" s="73"/>
      <c r="D532" s="73"/>
      <c r="E532" s="73"/>
      <c r="F532" s="73"/>
      <c r="G532" s="73"/>
      <c r="H532" s="73"/>
      <c r="I532" s="73"/>
      <c r="J532" s="73"/>
      <c r="K532" s="73"/>
      <c r="L532" s="73"/>
      <c r="M532" s="73"/>
      <c r="N532" s="73"/>
      <c r="O532" s="73"/>
      <c r="P532" s="73"/>
      <c r="Q532" s="73"/>
      <c r="R532" s="73"/>
      <c r="S532" s="73"/>
      <c r="T532" s="73"/>
      <c r="U532" s="73"/>
      <c r="V532" s="73"/>
      <c r="W532" s="73"/>
      <c r="X532" s="73"/>
      <c r="Y532" s="73"/>
      <c r="Z532" s="73"/>
    </row>
    <row r="533">
      <c r="A533" s="73"/>
      <c r="B533" s="73"/>
      <c r="C533" s="73"/>
      <c r="D533" s="73"/>
      <c r="E533" s="73"/>
      <c r="F533" s="73"/>
      <c r="G533" s="73"/>
      <c r="H533" s="73"/>
      <c r="I533" s="73"/>
      <c r="J533" s="73"/>
      <c r="K533" s="73"/>
      <c r="L533" s="73"/>
      <c r="M533" s="73"/>
      <c r="N533" s="73"/>
      <c r="O533" s="73"/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</row>
    <row r="534">
      <c r="A534" s="73"/>
      <c r="B534" s="73"/>
      <c r="C534" s="73"/>
      <c r="D534" s="73"/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</row>
    <row r="535">
      <c r="A535" s="73"/>
      <c r="B535" s="73"/>
      <c r="C535" s="73"/>
      <c r="D535" s="73"/>
      <c r="E535" s="73"/>
      <c r="F535" s="73"/>
      <c r="G535" s="73"/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/>
      <c r="S535" s="73"/>
      <c r="T535" s="73"/>
      <c r="U535" s="73"/>
      <c r="V535" s="73"/>
      <c r="W535" s="73"/>
      <c r="X535" s="73"/>
      <c r="Y535" s="73"/>
      <c r="Z535" s="73"/>
    </row>
    <row r="536">
      <c r="A536" s="73"/>
      <c r="B536" s="73"/>
      <c r="C536" s="73"/>
      <c r="D536" s="73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  <c r="S536" s="73"/>
      <c r="T536" s="73"/>
      <c r="U536" s="73"/>
      <c r="V536" s="73"/>
      <c r="W536" s="73"/>
      <c r="X536" s="73"/>
      <c r="Y536" s="73"/>
      <c r="Z536" s="73"/>
    </row>
    <row r="537">
      <c r="A537" s="73"/>
      <c r="B537" s="73"/>
      <c r="C537" s="73"/>
      <c r="D537" s="73"/>
      <c r="E537" s="73"/>
      <c r="F537" s="73"/>
      <c r="G537" s="73"/>
      <c r="H537" s="73"/>
      <c r="I537" s="73"/>
      <c r="J537" s="73"/>
      <c r="K537" s="73"/>
      <c r="L537" s="73"/>
      <c r="M537" s="73"/>
      <c r="N537" s="73"/>
      <c r="O537" s="73"/>
      <c r="P537" s="73"/>
      <c r="Q537" s="73"/>
      <c r="R537" s="73"/>
      <c r="S537" s="73"/>
      <c r="T537" s="73"/>
      <c r="U537" s="73"/>
      <c r="V537" s="73"/>
      <c r="W537" s="73"/>
      <c r="X537" s="73"/>
      <c r="Y537" s="73"/>
      <c r="Z537" s="73"/>
    </row>
    <row r="538">
      <c r="A538" s="73"/>
      <c r="B538" s="73"/>
      <c r="C538" s="73"/>
      <c r="D538" s="73"/>
      <c r="E538" s="73"/>
      <c r="F538" s="73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73"/>
      <c r="V538" s="73"/>
      <c r="W538" s="73"/>
      <c r="X538" s="73"/>
      <c r="Y538" s="73"/>
      <c r="Z538" s="73"/>
    </row>
    <row r="539">
      <c r="A539" s="73"/>
      <c r="B539" s="73"/>
      <c r="C539" s="73"/>
      <c r="D539" s="73"/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</row>
    <row r="540">
      <c r="A540" s="73"/>
      <c r="B540" s="73"/>
      <c r="C540" s="73"/>
      <c r="D540" s="73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</row>
    <row r="541">
      <c r="A541" s="73"/>
      <c r="B541" s="73"/>
      <c r="C541" s="73"/>
      <c r="D541" s="73"/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</row>
    <row r="542">
      <c r="A542" s="73"/>
      <c r="B542" s="73"/>
      <c r="C542" s="73"/>
      <c r="D542" s="73"/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</row>
    <row r="543">
      <c r="A543" s="73"/>
      <c r="B543" s="73"/>
      <c r="C543" s="73"/>
      <c r="D543" s="73"/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</row>
    <row r="544">
      <c r="A544" s="73"/>
      <c r="B544" s="73"/>
      <c r="C544" s="73"/>
      <c r="D544" s="73"/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</row>
    <row r="545">
      <c r="A545" s="73"/>
      <c r="B545" s="73"/>
      <c r="C545" s="73"/>
      <c r="D545" s="73"/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</row>
    <row r="546">
      <c r="A546" s="73"/>
      <c r="B546" s="73"/>
      <c r="C546" s="73"/>
      <c r="D546" s="73"/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</row>
    <row r="547">
      <c r="A547" s="73"/>
      <c r="B547" s="73"/>
      <c r="C547" s="73"/>
      <c r="D547" s="73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</row>
    <row r="548">
      <c r="A548" s="73"/>
      <c r="B548" s="73"/>
      <c r="C548" s="73"/>
      <c r="D548" s="73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</row>
    <row r="549">
      <c r="A549" s="73"/>
      <c r="B549" s="73"/>
      <c r="C549" s="73"/>
      <c r="D549" s="73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</row>
    <row r="550">
      <c r="A550" s="73"/>
      <c r="B550" s="73"/>
      <c r="C550" s="73"/>
      <c r="D550" s="73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</row>
    <row r="551">
      <c r="A551" s="73"/>
      <c r="B551" s="73"/>
      <c r="C551" s="73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</row>
    <row r="552">
      <c r="A552" s="73"/>
      <c r="B552" s="73"/>
      <c r="C552" s="73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</row>
    <row r="553">
      <c r="A553" s="73"/>
      <c r="B553" s="73"/>
      <c r="C553" s="73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</row>
    <row r="554">
      <c r="A554" s="73"/>
      <c r="B554" s="73"/>
      <c r="C554" s="73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</row>
    <row r="555">
      <c r="A555" s="73"/>
      <c r="B555" s="73"/>
      <c r="C555" s="73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</row>
    <row r="556">
      <c r="A556" s="73"/>
      <c r="B556" s="73"/>
      <c r="C556" s="73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  <c r="Z556" s="73"/>
    </row>
    <row r="557">
      <c r="A557" s="73"/>
      <c r="B557" s="73"/>
      <c r="C557" s="73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  <c r="Z557" s="73"/>
    </row>
    <row r="558">
      <c r="A558" s="73"/>
      <c r="B558" s="73"/>
      <c r="C558" s="73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</row>
    <row r="559">
      <c r="A559" s="73"/>
      <c r="B559" s="73"/>
      <c r="C559" s="73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  <c r="Z559" s="73"/>
    </row>
    <row r="560">
      <c r="A560" s="73"/>
      <c r="B560" s="73"/>
      <c r="C560" s="73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  <c r="Z560" s="73"/>
    </row>
    <row r="561">
      <c r="A561" s="73"/>
      <c r="B561" s="73"/>
      <c r="C561" s="73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  <c r="Z561" s="73"/>
    </row>
    <row r="562">
      <c r="A562" s="73"/>
      <c r="B562" s="73"/>
      <c r="C562" s="73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  <c r="Z562" s="73"/>
    </row>
    <row r="563">
      <c r="A563" s="73"/>
      <c r="B563" s="73"/>
      <c r="C563" s="73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  <c r="Z563" s="73"/>
    </row>
    <row r="564">
      <c r="A564" s="73"/>
      <c r="B564" s="73"/>
      <c r="C564" s="73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</row>
    <row r="565">
      <c r="A565" s="73"/>
      <c r="B565" s="73"/>
      <c r="C565" s="73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</row>
    <row r="566">
      <c r="A566" s="73"/>
      <c r="B566" s="73"/>
      <c r="C566" s="73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</row>
    <row r="567">
      <c r="A567" s="73"/>
      <c r="B567" s="73"/>
      <c r="C567" s="73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</row>
    <row r="568">
      <c r="A568" s="73"/>
      <c r="B568" s="73"/>
      <c r="C568" s="73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</row>
    <row r="569">
      <c r="A569" s="73"/>
      <c r="B569" s="73"/>
      <c r="C569" s="73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</row>
    <row r="570">
      <c r="A570" s="73"/>
      <c r="B570" s="73"/>
      <c r="C570" s="73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</row>
    <row r="571">
      <c r="A571" s="73"/>
      <c r="B571" s="73"/>
      <c r="C571" s="73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</row>
    <row r="572">
      <c r="A572" s="73"/>
      <c r="B572" s="73"/>
      <c r="C572" s="73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</row>
    <row r="573">
      <c r="A573" s="73"/>
      <c r="B573" s="73"/>
      <c r="C573" s="73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  <c r="Z573" s="73"/>
    </row>
    <row r="574">
      <c r="A574" s="73"/>
      <c r="B574" s="73"/>
      <c r="C574" s="73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  <c r="Z574" s="73"/>
    </row>
    <row r="575">
      <c r="A575" s="73"/>
      <c r="B575" s="73"/>
      <c r="C575" s="73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  <c r="Z575" s="73"/>
    </row>
    <row r="576">
      <c r="A576" s="73"/>
      <c r="B576" s="73"/>
      <c r="C576" s="73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  <c r="Z576" s="73"/>
    </row>
    <row r="577">
      <c r="A577" s="73"/>
      <c r="B577" s="73"/>
      <c r="C577" s="73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  <c r="Z577" s="73"/>
    </row>
    <row r="578">
      <c r="A578" s="73"/>
      <c r="B578" s="73"/>
      <c r="C578" s="73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  <c r="Z578" s="73"/>
    </row>
    <row r="579">
      <c r="A579" s="73"/>
      <c r="B579" s="73"/>
      <c r="C579" s="73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  <c r="Z579" s="73"/>
    </row>
    <row r="580">
      <c r="A580" s="73"/>
      <c r="B580" s="73"/>
      <c r="C580" s="73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  <c r="Z580" s="73"/>
    </row>
    <row r="581">
      <c r="A581" s="73"/>
      <c r="B581" s="73"/>
      <c r="C581" s="73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  <c r="Z581" s="73"/>
    </row>
    <row r="582">
      <c r="A582" s="73"/>
      <c r="B582" s="73"/>
      <c r="C582" s="73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  <c r="Z582" s="73"/>
    </row>
    <row r="583">
      <c r="A583" s="73"/>
      <c r="B583" s="73"/>
      <c r="C583" s="73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  <c r="Z583" s="73"/>
    </row>
    <row r="584">
      <c r="A584" s="73"/>
      <c r="B584" s="73"/>
      <c r="C584" s="73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  <c r="Z584" s="73"/>
    </row>
    <row r="585">
      <c r="A585" s="73"/>
      <c r="B585" s="73"/>
      <c r="C585" s="73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  <c r="Z585" s="73"/>
    </row>
    <row r="586">
      <c r="A586" s="73"/>
      <c r="B586" s="73"/>
      <c r="C586" s="73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  <c r="Z586" s="73"/>
    </row>
    <row r="587">
      <c r="A587" s="73"/>
      <c r="B587" s="73"/>
      <c r="C587" s="73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  <c r="Z587" s="73"/>
    </row>
    <row r="588">
      <c r="A588" s="73"/>
      <c r="B588" s="73"/>
      <c r="C588" s="73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  <c r="Z588" s="73"/>
    </row>
    <row r="589">
      <c r="A589" s="73"/>
      <c r="B589" s="73"/>
      <c r="C589" s="73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  <c r="Z589" s="73"/>
    </row>
    <row r="590">
      <c r="A590" s="73"/>
      <c r="B590" s="73"/>
      <c r="C590" s="73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  <c r="Z590" s="73"/>
    </row>
    <row r="591">
      <c r="A591" s="73"/>
      <c r="B591" s="73"/>
      <c r="C591" s="73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  <c r="Z591" s="73"/>
    </row>
    <row r="592">
      <c r="A592" s="73"/>
      <c r="B592" s="73"/>
      <c r="C592" s="73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  <c r="Z592" s="73"/>
    </row>
    <row r="593">
      <c r="A593" s="73"/>
      <c r="B593" s="73"/>
      <c r="C593" s="73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  <c r="Z593" s="73"/>
    </row>
    <row r="594">
      <c r="A594" s="73"/>
      <c r="B594" s="73"/>
      <c r="C594" s="73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  <c r="Z594" s="73"/>
    </row>
    <row r="595">
      <c r="A595" s="73"/>
      <c r="B595" s="73"/>
      <c r="C595" s="73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  <c r="Z595" s="73"/>
    </row>
    <row r="596">
      <c r="A596" s="73"/>
      <c r="B596" s="73"/>
      <c r="C596" s="73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  <c r="Z596" s="73"/>
    </row>
    <row r="597">
      <c r="A597" s="73"/>
      <c r="B597" s="73"/>
      <c r="C597" s="73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  <c r="Z597" s="73"/>
    </row>
    <row r="598">
      <c r="A598" s="73"/>
      <c r="B598" s="73"/>
      <c r="C598" s="73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  <c r="Z598" s="73"/>
    </row>
    <row r="599">
      <c r="A599" s="73"/>
      <c r="B599" s="73"/>
      <c r="C599" s="73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  <c r="Z599" s="73"/>
    </row>
    <row r="600">
      <c r="A600" s="73"/>
      <c r="B600" s="73"/>
      <c r="C600" s="73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  <c r="Z600" s="73"/>
    </row>
    <row r="601">
      <c r="A601" s="73"/>
      <c r="B601" s="73"/>
      <c r="C601" s="73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  <c r="Z601" s="73"/>
    </row>
    <row r="602">
      <c r="A602" s="73"/>
      <c r="B602" s="73"/>
      <c r="C602" s="73"/>
      <c r="D602" s="73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  <c r="Z602" s="73"/>
    </row>
    <row r="603">
      <c r="A603" s="73"/>
      <c r="B603" s="73"/>
      <c r="C603" s="73"/>
      <c r="D603" s="73"/>
      <c r="E603" s="73"/>
      <c r="F603" s="73"/>
      <c r="G603" s="73"/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/>
      <c r="S603" s="73"/>
      <c r="T603" s="73"/>
      <c r="U603" s="73"/>
      <c r="V603" s="73"/>
      <c r="W603" s="73"/>
      <c r="X603" s="73"/>
      <c r="Y603" s="73"/>
      <c r="Z603" s="73"/>
    </row>
    <row r="604">
      <c r="A604" s="73"/>
      <c r="B604" s="73"/>
      <c r="C604" s="73"/>
      <c r="D604" s="73"/>
      <c r="E604" s="73"/>
      <c r="F604" s="73"/>
      <c r="G604" s="73"/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/>
      <c r="S604" s="73"/>
      <c r="T604" s="73"/>
      <c r="U604" s="73"/>
      <c r="V604" s="73"/>
      <c r="W604" s="73"/>
      <c r="X604" s="73"/>
      <c r="Y604" s="73"/>
      <c r="Z604" s="73"/>
    </row>
    <row r="605">
      <c r="A605" s="73"/>
      <c r="B605" s="73"/>
      <c r="C605" s="73"/>
      <c r="D605" s="73"/>
      <c r="E605" s="73"/>
      <c r="F605" s="73"/>
      <c r="G605" s="73"/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/>
      <c r="S605" s="73"/>
      <c r="T605" s="73"/>
      <c r="U605" s="73"/>
      <c r="V605" s="73"/>
      <c r="W605" s="73"/>
      <c r="X605" s="73"/>
      <c r="Y605" s="73"/>
      <c r="Z605" s="73"/>
    </row>
    <row r="606">
      <c r="A606" s="73"/>
      <c r="B606" s="73"/>
      <c r="C606" s="73"/>
      <c r="D606" s="73"/>
      <c r="E606" s="73"/>
      <c r="F606" s="73"/>
      <c r="G606" s="73"/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/>
      <c r="S606" s="73"/>
      <c r="T606" s="73"/>
      <c r="U606" s="73"/>
      <c r="V606" s="73"/>
      <c r="W606" s="73"/>
      <c r="X606" s="73"/>
      <c r="Y606" s="73"/>
      <c r="Z606" s="73"/>
    </row>
    <row r="607">
      <c r="A607" s="73"/>
      <c r="B607" s="73"/>
      <c r="C607" s="73"/>
      <c r="D607" s="73"/>
      <c r="E607" s="73"/>
      <c r="F607" s="73"/>
      <c r="G607" s="73"/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/>
      <c r="S607" s="73"/>
      <c r="T607" s="73"/>
      <c r="U607" s="73"/>
      <c r="V607" s="73"/>
      <c r="W607" s="73"/>
      <c r="X607" s="73"/>
      <c r="Y607" s="73"/>
      <c r="Z607" s="73"/>
    </row>
    <row r="608">
      <c r="A608" s="73"/>
      <c r="B608" s="73"/>
      <c r="C608" s="73"/>
      <c r="D608" s="73"/>
      <c r="E608" s="73"/>
      <c r="F608" s="73"/>
      <c r="G608" s="73"/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/>
      <c r="S608" s="73"/>
      <c r="T608" s="73"/>
      <c r="U608" s="73"/>
      <c r="V608" s="73"/>
      <c r="W608" s="73"/>
      <c r="X608" s="73"/>
      <c r="Y608" s="73"/>
      <c r="Z608" s="73"/>
    </row>
    <row r="609">
      <c r="A609" s="73"/>
      <c r="B609" s="73"/>
      <c r="C609" s="73"/>
      <c r="D609" s="73"/>
      <c r="E609" s="73"/>
      <c r="F609" s="73"/>
      <c r="G609" s="73"/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/>
      <c r="S609" s="73"/>
      <c r="T609" s="73"/>
      <c r="U609" s="73"/>
      <c r="V609" s="73"/>
      <c r="W609" s="73"/>
      <c r="X609" s="73"/>
      <c r="Y609" s="73"/>
      <c r="Z609" s="73"/>
    </row>
    <row r="610">
      <c r="A610" s="73"/>
      <c r="B610" s="73"/>
      <c r="C610" s="73"/>
      <c r="D610" s="73"/>
      <c r="E610" s="73"/>
      <c r="F610" s="73"/>
      <c r="G610" s="73"/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/>
      <c r="S610" s="73"/>
      <c r="T610" s="73"/>
      <c r="U610" s="73"/>
      <c r="V610" s="73"/>
      <c r="W610" s="73"/>
      <c r="X610" s="73"/>
      <c r="Y610" s="73"/>
      <c r="Z610" s="73"/>
    </row>
    <row r="611">
      <c r="A611" s="73"/>
      <c r="B611" s="73"/>
      <c r="C611" s="73"/>
      <c r="D611" s="73"/>
      <c r="E611" s="73"/>
      <c r="F611" s="73"/>
      <c r="G611" s="73"/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/>
      <c r="S611" s="73"/>
      <c r="T611" s="73"/>
      <c r="U611" s="73"/>
      <c r="V611" s="73"/>
      <c r="W611" s="73"/>
      <c r="X611" s="73"/>
      <c r="Y611" s="73"/>
      <c r="Z611" s="73"/>
    </row>
    <row r="612">
      <c r="A612" s="73"/>
      <c r="B612" s="73"/>
      <c r="C612" s="73"/>
      <c r="D612" s="73"/>
      <c r="E612" s="73"/>
      <c r="F612" s="73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73"/>
      <c r="V612" s="73"/>
      <c r="W612" s="73"/>
      <c r="X612" s="73"/>
      <c r="Y612" s="73"/>
      <c r="Z612" s="73"/>
    </row>
    <row r="613">
      <c r="A613" s="73"/>
      <c r="B613" s="73"/>
      <c r="C613" s="73"/>
      <c r="D613" s="73"/>
      <c r="E613" s="73"/>
      <c r="F613" s="73"/>
      <c r="G613" s="73"/>
      <c r="H613" s="73"/>
      <c r="I613" s="73"/>
      <c r="J613" s="73"/>
      <c r="K613" s="73"/>
      <c r="L613" s="73"/>
      <c r="M613" s="73"/>
      <c r="N613" s="73"/>
      <c r="O613" s="73"/>
      <c r="P613" s="73"/>
      <c r="Q613" s="73"/>
      <c r="R613" s="73"/>
      <c r="S613" s="73"/>
      <c r="T613" s="73"/>
      <c r="U613" s="73"/>
      <c r="V613" s="73"/>
      <c r="W613" s="73"/>
      <c r="X613" s="73"/>
      <c r="Y613" s="73"/>
      <c r="Z613" s="73"/>
    </row>
    <row r="614">
      <c r="A614" s="73"/>
      <c r="B614" s="73"/>
      <c r="C614" s="73"/>
      <c r="D614" s="73"/>
      <c r="E614" s="73"/>
      <c r="F614" s="73"/>
      <c r="G614" s="73"/>
      <c r="H614" s="73"/>
      <c r="I614" s="73"/>
      <c r="J614" s="73"/>
      <c r="K614" s="73"/>
      <c r="L614" s="73"/>
      <c r="M614" s="73"/>
      <c r="N614" s="73"/>
      <c r="O614" s="73"/>
      <c r="P614" s="73"/>
      <c r="Q614" s="73"/>
      <c r="R614" s="73"/>
      <c r="S614" s="73"/>
      <c r="T614" s="73"/>
      <c r="U614" s="73"/>
      <c r="V614" s="73"/>
      <c r="W614" s="73"/>
      <c r="X614" s="73"/>
      <c r="Y614" s="73"/>
      <c r="Z614" s="73"/>
    </row>
    <row r="615">
      <c r="A615" s="73"/>
      <c r="B615" s="73"/>
      <c r="C615" s="73"/>
      <c r="D615" s="73"/>
      <c r="E615" s="73"/>
      <c r="F615" s="73"/>
      <c r="G615" s="73"/>
      <c r="H615" s="73"/>
      <c r="I615" s="73"/>
      <c r="J615" s="73"/>
      <c r="K615" s="73"/>
      <c r="L615" s="73"/>
      <c r="M615" s="73"/>
      <c r="N615" s="73"/>
      <c r="O615" s="73"/>
      <c r="P615" s="73"/>
      <c r="Q615" s="73"/>
      <c r="R615" s="73"/>
      <c r="S615" s="73"/>
      <c r="T615" s="73"/>
      <c r="U615" s="73"/>
      <c r="V615" s="73"/>
      <c r="W615" s="73"/>
      <c r="X615" s="73"/>
      <c r="Y615" s="73"/>
      <c r="Z615" s="73"/>
    </row>
    <row r="616">
      <c r="A616" s="73"/>
      <c r="B616" s="73"/>
      <c r="C616" s="73"/>
      <c r="D616" s="73"/>
      <c r="E616" s="73"/>
      <c r="F616" s="73"/>
      <c r="G616" s="73"/>
      <c r="H616" s="73"/>
      <c r="I616" s="73"/>
      <c r="J616" s="73"/>
      <c r="K616" s="73"/>
      <c r="L616" s="73"/>
      <c r="M616" s="73"/>
      <c r="N616" s="73"/>
      <c r="O616" s="73"/>
      <c r="P616" s="73"/>
      <c r="Q616" s="73"/>
      <c r="R616" s="73"/>
      <c r="S616" s="73"/>
      <c r="T616" s="73"/>
      <c r="U616" s="73"/>
      <c r="V616" s="73"/>
      <c r="W616" s="73"/>
      <c r="X616" s="73"/>
      <c r="Y616" s="73"/>
      <c r="Z616" s="73"/>
    </row>
    <row r="617">
      <c r="A617" s="73"/>
      <c r="B617" s="73"/>
      <c r="C617" s="73"/>
      <c r="D617" s="73"/>
      <c r="E617" s="73"/>
      <c r="F617" s="73"/>
      <c r="G617" s="73"/>
      <c r="H617" s="73"/>
      <c r="I617" s="73"/>
      <c r="J617" s="73"/>
      <c r="K617" s="73"/>
      <c r="L617" s="73"/>
      <c r="M617" s="73"/>
      <c r="N617" s="73"/>
      <c r="O617" s="73"/>
      <c r="P617" s="73"/>
      <c r="Q617" s="73"/>
      <c r="R617" s="73"/>
      <c r="S617" s="73"/>
      <c r="T617" s="73"/>
      <c r="U617" s="73"/>
      <c r="V617" s="73"/>
      <c r="W617" s="73"/>
      <c r="X617" s="73"/>
      <c r="Y617" s="73"/>
      <c r="Z617" s="73"/>
    </row>
    <row r="618">
      <c r="A618" s="73"/>
      <c r="B618" s="73"/>
      <c r="C618" s="73"/>
      <c r="D618" s="73"/>
      <c r="E618" s="73"/>
      <c r="F618" s="73"/>
      <c r="G618" s="73"/>
      <c r="H618" s="73"/>
      <c r="I618" s="73"/>
      <c r="J618" s="73"/>
      <c r="K618" s="73"/>
      <c r="L618" s="73"/>
      <c r="M618" s="73"/>
      <c r="N618" s="73"/>
      <c r="O618" s="73"/>
      <c r="P618" s="73"/>
      <c r="Q618" s="73"/>
      <c r="R618" s="73"/>
      <c r="S618" s="73"/>
      <c r="T618" s="73"/>
      <c r="U618" s="73"/>
      <c r="V618" s="73"/>
      <c r="W618" s="73"/>
      <c r="X618" s="73"/>
      <c r="Y618" s="73"/>
      <c r="Z618" s="73"/>
    </row>
    <row r="619">
      <c r="A619" s="73"/>
      <c r="B619" s="73"/>
      <c r="C619" s="73"/>
      <c r="D619" s="73"/>
      <c r="E619" s="73"/>
      <c r="F619" s="73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73"/>
      <c r="V619" s="73"/>
      <c r="W619" s="73"/>
      <c r="X619" s="73"/>
      <c r="Y619" s="73"/>
      <c r="Z619" s="73"/>
    </row>
    <row r="620">
      <c r="A620" s="73"/>
      <c r="B620" s="73"/>
      <c r="C620" s="73"/>
      <c r="D620" s="73"/>
      <c r="E620" s="73"/>
      <c r="F620" s="73"/>
      <c r="G620" s="73"/>
      <c r="H620" s="73"/>
      <c r="I620" s="73"/>
      <c r="J620" s="73"/>
      <c r="K620" s="73"/>
      <c r="L620" s="73"/>
      <c r="M620" s="73"/>
      <c r="N620" s="73"/>
      <c r="O620" s="73"/>
      <c r="P620" s="73"/>
      <c r="Q620" s="73"/>
      <c r="R620" s="73"/>
      <c r="S620" s="73"/>
      <c r="T620" s="73"/>
      <c r="U620" s="73"/>
      <c r="V620" s="73"/>
      <c r="W620" s="73"/>
      <c r="X620" s="73"/>
      <c r="Y620" s="73"/>
      <c r="Z620" s="73"/>
    </row>
    <row r="621">
      <c r="A621" s="73"/>
      <c r="B621" s="73"/>
      <c r="C621" s="73"/>
      <c r="D621" s="73"/>
      <c r="E621" s="73"/>
      <c r="F621" s="73"/>
      <c r="G621" s="73"/>
      <c r="H621" s="73"/>
      <c r="I621" s="73"/>
      <c r="J621" s="73"/>
      <c r="K621" s="73"/>
      <c r="L621" s="73"/>
      <c r="M621" s="73"/>
      <c r="N621" s="73"/>
      <c r="O621" s="73"/>
      <c r="P621" s="73"/>
      <c r="Q621" s="73"/>
      <c r="R621" s="73"/>
      <c r="S621" s="73"/>
      <c r="T621" s="73"/>
      <c r="U621" s="73"/>
      <c r="V621" s="73"/>
      <c r="W621" s="73"/>
      <c r="X621" s="73"/>
      <c r="Y621" s="73"/>
      <c r="Z621" s="73"/>
    </row>
    <row r="622">
      <c r="A622" s="73"/>
      <c r="B622" s="73"/>
      <c r="C622" s="73"/>
      <c r="D622" s="73"/>
      <c r="E622" s="73"/>
      <c r="F622" s="73"/>
      <c r="G622" s="73"/>
      <c r="H622" s="73"/>
      <c r="I622" s="73"/>
      <c r="J622" s="73"/>
      <c r="K622" s="73"/>
      <c r="L622" s="73"/>
      <c r="M622" s="73"/>
      <c r="N622" s="73"/>
      <c r="O622" s="73"/>
      <c r="P622" s="73"/>
      <c r="Q622" s="73"/>
      <c r="R622" s="73"/>
      <c r="S622" s="73"/>
      <c r="T622" s="73"/>
      <c r="U622" s="73"/>
      <c r="V622" s="73"/>
      <c r="W622" s="73"/>
      <c r="X622" s="73"/>
      <c r="Y622" s="73"/>
      <c r="Z622" s="73"/>
    </row>
    <row r="623">
      <c r="A623" s="73"/>
      <c r="B623" s="73"/>
      <c r="C623" s="73"/>
      <c r="D623" s="73"/>
      <c r="E623" s="73"/>
      <c r="F623" s="73"/>
      <c r="G623" s="73"/>
      <c r="H623" s="73"/>
      <c r="I623" s="73"/>
      <c r="J623" s="73"/>
      <c r="K623" s="73"/>
      <c r="L623" s="73"/>
      <c r="M623" s="73"/>
      <c r="N623" s="73"/>
      <c r="O623" s="73"/>
      <c r="P623" s="73"/>
      <c r="Q623" s="73"/>
      <c r="R623" s="73"/>
      <c r="S623" s="73"/>
      <c r="T623" s="73"/>
      <c r="U623" s="73"/>
      <c r="V623" s="73"/>
      <c r="W623" s="73"/>
      <c r="X623" s="73"/>
      <c r="Y623" s="73"/>
      <c r="Z623" s="73"/>
    </row>
    <row r="624">
      <c r="A624" s="73"/>
      <c r="B624" s="73"/>
      <c r="C624" s="73"/>
      <c r="D624" s="73"/>
      <c r="E624" s="73"/>
      <c r="F624" s="73"/>
      <c r="G624" s="73"/>
      <c r="H624" s="73"/>
      <c r="I624" s="73"/>
      <c r="J624" s="73"/>
      <c r="K624" s="73"/>
      <c r="L624" s="73"/>
      <c r="M624" s="73"/>
      <c r="N624" s="73"/>
      <c r="O624" s="73"/>
      <c r="P624" s="73"/>
      <c r="Q624" s="73"/>
      <c r="R624" s="73"/>
      <c r="S624" s="73"/>
      <c r="T624" s="73"/>
      <c r="U624" s="73"/>
      <c r="V624" s="73"/>
      <c r="W624" s="73"/>
      <c r="X624" s="73"/>
      <c r="Y624" s="73"/>
      <c r="Z624" s="73"/>
    </row>
    <row r="625">
      <c r="A625" s="73"/>
      <c r="B625" s="73"/>
      <c r="C625" s="73"/>
      <c r="D625" s="73"/>
      <c r="E625" s="73"/>
      <c r="F625" s="73"/>
      <c r="G625" s="73"/>
      <c r="H625" s="73"/>
      <c r="I625" s="73"/>
      <c r="J625" s="73"/>
      <c r="K625" s="73"/>
      <c r="L625" s="73"/>
      <c r="M625" s="73"/>
      <c r="N625" s="73"/>
      <c r="O625" s="73"/>
      <c r="P625" s="73"/>
      <c r="Q625" s="73"/>
      <c r="R625" s="73"/>
      <c r="S625" s="73"/>
      <c r="T625" s="73"/>
      <c r="U625" s="73"/>
      <c r="V625" s="73"/>
      <c r="W625" s="73"/>
      <c r="X625" s="73"/>
      <c r="Y625" s="73"/>
      <c r="Z625" s="73"/>
    </row>
    <row r="626">
      <c r="A626" s="73"/>
      <c r="B626" s="73"/>
      <c r="C626" s="73"/>
      <c r="D626" s="73"/>
      <c r="E626" s="73"/>
      <c r="F626" s="73"/>
      <c r="G626" s="73"/>
      <c r="H626" s="73"/>
      <c r="I626" s="73"/>
      <c r="J626" s="73"/>
      <c r="K626" s="73"/>
      <c r="L626" s="73"/>
      <c r="M626" s="73"/>
      <c r="N626" s="73"/>
      <c r="O626" s="73"/>
      <c r="P626" s="73"/>
      <c r="Q626" s="73"/>
      <c r="R626" s="73"/>
      <c r="S626" s="73"/>
      <c r="T626" s="73"/>
      <c r="U626" s="73"/>
      <c r="V626" s="73"/>
      <c r="W626" s="73"/>
      <c r="X626" s="73"/>
      <c r="Y626" s="73"/>
      <c r="Z626" s="73"/>
    </row>
    <row r="627">
      <c r="A627" s="73"/>
      <c r="B627" s="73"/>
      <c r="C627" s="73"/>
      <c r="D627" s="73"/>
      <c r="E627" s="73"/>
      <c r="F627" s="73"/>
      <c r="G627" s="73"/>
      <c r="H627" s="73"/>
      <c r="I627" s="73"/>
      <c r="J627" s="73"/>
      <c r="K627" s="73"/>
      <c r="L627" s="73"/>
      <c r="M627" s="73"/>
      <c r="N627" s="73"/>
      <c r="O627" s="73"/>
      <c r="P627" s="73"/>
      <c r="Q627" s="73"/>
      <c r="R627" s="73"/>
      <c r="S627" s="73"/>
      <c r="T627" s="73"/>
      <c r="U627" s="73"/>
      <c r="V627" s="73"/>
      <c r="W627" s="73"/>
      <c r="X627" s="73"/>
      <c r="Y627" s="73"/>
      <c r="Z627" s="73"/>
    </row>
    <row r="628">
      <c r="A628" s="73"/>
      <c r="B628" s="73"/>
      <c r="C628" s="73"/>
      <c r="D628" s="73"/>
      <c r="E628" s="73"/>
      <c r="F628" s="73"/>
      <c r="G628" s="73"/>
      <c r="H628" s="73"/>
      <c r="I628" s="73"/>
      <c r="J628" s="73"/>
      <c r="K628" s="73"/>
      <c r="L628" s="73"/>
      <c r="M628" s="73"/>
      <c r="N628" s="73"/>
      <c r="O628" s="73"/>
      <c r="P628" s="73"/>
      <c r="Q628" s="73"/>
      <c r="R628" s="73"/>
      <c r="S628" s="73"/>
      <c r="T628" s="73"/>
      <c r="U628" s="73"/>
      <c r="V628" s="73"/>
      <c r="W628" s="73"/>
      <c r="X628" s="73"/>
      <c r="Y628" s="73"/>
      <c r="Z628" s="73"/>
    </row>
    <row r="629">
      <c r="A629" s="73"/>
      <c r="B629" s="73"/>
      <c r="C629" s="73"/>
      <c r="D629" s="73"/>
      <c r="E629" s="73"/>
      <c r="F629" s="73"/>
      <c r="G629" s="73"/>
      <c r="H629" s="73"/>
      <c r="I629" s="73"/>
      <c r="J629" s="73"/>
      <c r="K629" s="73"/>
      <c r="L629" s="73"/>
      <c r="M629" s="73"/>
      <c r="N629" s="73"/>
      <c r="O629" s="73"/>
      <c r="P629" s="73"/>
      <c r="Q629" s="73"/>
      <c r="R629" s="73"/>
      <c r="S629" s="73"/>
      <c r="T629" s="73"/>
      <c r="U629" s="73"/>
      <c r="V629" s="73"/>
      <c r="W629" s="73"/>
      <c r="X629" s="73"/>
      <c r="Y629" s="73"/>
      <c r="Z629" s="73"/>
    </row>
    <row r="630">
      <c r="A630" s="73"/>
      <c r="B630" s="73"/>
      <c r="C630" s="73"/>
      <c r="D630" s="73"/>
      <c r="E630" s="73"/>
      <c r="F630" s="73"/>
      <c r="G630" s="73"/>
      <c r="H630" s="73"/>
      <c r="I630" s="73"/>
      <c r="J630" s="73"/>
      <c r="K630" s="73"/>
      <c r="L630" s="73"/>
      <c r="M630" s="73"/>
      <c r="N630" s="73"/>
      <c r="O630" s="73"/>
      <c r="P630" s="73"/>
      <c r="Q630" s="73"/>
      <c r="R630" s="73"/>
      <c r="S630" s="73"/>
      <c r="T630" s="73"/>
      <c r="U630" s="73"/>
      <c r="V630" s="73"/>
      <c r="W630" s="73"/>
      <c r="X630" s="73"/>
      <c r="Y630" s="73"/>
      <c r="Z630" s="73"/>
    </row>
    <row r="631">
      <c r="A631" s="73"/>
      <c r="B631" s="73"/>
      <c r="C631" s="73"/>
      <c r="D631" s="73"/>
      <c r="E631" s="73"/>
      <c r="F631" s="73"/>
      <c r="G631" s="73"/>
      <c r="H631" s="73"/>
      <c r="I631" s="73"/>
      <c r="J631" s="73"/>
      <c r="K631" s="73"/>
      <c r="L631" s="73"/>
      <c r="M631" s="73"/>
      <c r="N631" s="73"/>
      <c r="O631" s="73"/>
      <c r="P631" s="73"/>
      <c r="Q631" s="73"/>
      <c r="R631" s="73"/>
      <c r="S631" s="73"/>
      <c r="T631" s="73"/>
      <c r="U631" s="73"/>
      <c r="V631" s="73"/>
      <c r="W631" s="73"/>
      <c r="X631" s="73"/>
      <c r="Y631" s="73"/>
      <c r="Z631" s="73"/>
    </row>
    <row r="632">
      <c r="A632" s="73"/>
      <c r="B632" s="73"/>
      <c r="C632" s="73"/>
      <c r="D632" s="73"/>
      <c r="E632" s="73"/>
      <c r="F632" s="73"/>
      <c r="G632" s="73"/>
      <c r="H632" s="73"/>
      <c r="I632" s="73"/>
      <c r="J632" s="73"/>
      <c r="K632" s="73"/>
      <c r="L632" s="73"/>
      <c r="M632" s="73"/>
      <c r="N632" s="73"/>
      <c r="O632" s="73"/>
      <c r="P632" s="73"/>
      <c r="Q632" s="73"/>
      <c r="R632" s="73"/>
      <c r="S632" s="73"/>
      <c r="T632" s="73"/>
      <c r="U632" s="73"/>
      <c r="V632" s="73"/>
      <c r="W632" s="73"/>
      <c r="X632" s="73"/>
      <c r="Y632" s="73"/>
      <c r="Z632" s="73"/>
    </row>
    <row r="633">
      <c r="A633" s="73"/>
      <c r="B633" s="73"/>
      <c r="C633" s="73"/>
      <c r="D633" s="73"/>
      <c r="E633" s="73"/>
      <c r="F633" s="73"/>
      <c r="G633" s="73"/>
      <c r="H633" s="73"/>
      <c r="I633" s="73"/>
      <c r="J633" s="73"/>
      <c r="K633" s="73"/>
      <c r="L633" s="73"/>
      <c r="M633" s="73"/>
      <c r="N633" s="73"/>
      <c r="O633" s="73"/>
      <c r="P633" s="73"/>
      <c r="Q633" s="73"/>
      <c r="R633" s="73"/>
      <c r="S633" s="73"/>
      <c r="T633" s="73"/>
      <c r="U633" s="73"/>
      <c r="V633" s="73"/>
      <c r="W633" s="73"/>
      <c r="X633" s="73"/>
      <c r="Y633" s="73"/>
      <c r="Z633" s="73"/>
    </row>
    <row r="634">
      <c r="A634" s="73"/>
      <c r="B634" s="73"/>
      <c r="C634" s="73"/>
      <c r="D634" s="73"/>
      <c r="E634" s="73"/>
      <c r="F634" s="73"/>
      <c r="G634" s="73"/>
      <c r="H634" s="73"/>
      <c r="I634" s="73"/>
      <c r="J634" s="73"/>
      <c r="K634" s="73"/>
      <c r="L634" s="73"/>
      <c r="M634" s="73"/>
      <c r="N634" s="73"/>
      <c r="O634" s="73"/>
      <c r="P634" s="73"/>
      <c r="Q634" s="73"/>
      <c r="R634" s="73"/>
      <c r="S634" s="73"/>
      <c r="T634" s="73"/>
      <c r="U634" s="73"/>
      <c r="V634" s="73"/>
      <c r="W634" s="73"/>
      <c r="X634" s="73"/>
      <c r="Y634" s="73"/>
      <c r="Z634" s="73"/>
    </row>
    <row r="635">
      <c r="A635" s="73"/>
      <c r="B635" s="73"/>
      <c r="C635" s="73"/>
      <c r="D635" s="73"/>
      <c r="E635" s="73"/>
      <c r="F635" s="73"/>
      <c r="G635" s="73"/>
      <c r="H635" s="73"/>
      <c r="I635" s="73"/>
      <c r="J635" s="73"/>
      <c r="K635" s="73"/>
      <c r="L635" s="73"/>
      <c r="M635" s="73"/>
      <c r="N635" s="73"/>
      <c r="O635" s="73"/>
      <c r="P635" s="73"/>
      <c r="Q635" s="73"/>
      <c r="R635" s="73"/>
      <c r="S635" s="73"/>
      <c r="T635" s="73"/>
      <c r="U635" s="73"/>
      <c r="V635" s="73"/>
      <c r="W635" s="73"/>
      <c r="X635" s="73"/>
      <c r="Y635" s="73"/>
      <c r="Z635" s="73"/>
    </row>
    <row r="636">
      <c r="A636" s="73"/>
      <c r="B636" s="73"/>
      <c r="C636" s="73"/>
      <c r="D636" s="73"/>
      <c r="E636" s="73"/>
      <c r="F636" s="73"/>
      <c r="G636" s="73"/>
      <c r="H636" s="73"/>
      <c r="I636" s="73"/>
      <c r="J636" s="73"/>
      <c r="K636" s="73"/>
      <c r="L636" s="73"/>
      <c r="M636" s="73"/>
      <c r="N636" s="73"/>
      <c r="O636" s="73"/>
      <c r="P636" s="73"/>
      <c r="Q636" s="73"/>
      <c r="R636" s="73"/>
      <c r="S636" s="73"/>
      <c r="T636" s="73"/>
      <c r="U636" s="73"/>
      <c r="V636" s="73"/>
      <c r="W636" s="73"/>
      <c r="X636" s="73"/>
      <c r="Y636" s="73"/>
      <c r="Z636" s="73"/>
    </row>
    <row r="637">
      <c r="A637" s="73"/>
      <c r="B637" s="73"/>
      <c r="C637" s="73"/>
      <c r="D637" s="73"/>
      <c r="E637" s="73"/>
      <c r="F637" s="73"/>
      <c r="G637" s="73"/>
      <c r="H637" s="73"/>
      <c r="I637" s="73"/>
      <c r="J637" s="73"/>
      <c r="K637" s="73"/>
      <c r="L637" s="73"/>
      <c r="M637" s="73"/>
      <c r="N637" s="73"/>
      <c r="O637" s="73"/>
      <c r="P637" s="73"/>
      <c r="Q637" s="73"/>
      <c r="R637" s="73"/>
      <c r="S637" s="73"/>
      <c r="T637" s="73"/>
      <c r="U637" s="73"/>
      <c r="V637" s="73"/>
      <c r="W637" s="73"/>
      <c r="X637" s="73"/>
      <c r="Y637" s="73"/>
      <c r="Z637" s="73"/>
    </row>
    <row r="638">
      <c r="A638" s="73"/>
      <c r="B638" s="73"/>
      <c r="C638" s="73"/>
      <c r="D638" s="73"/>
      <c r="E638" s="73"/>
      <c r="F638" s="73"/>
      <c r="G638" s="73"/>
      <c r="H638" s="73"/>
      <c r="I638" s="73"/>
      <c r="J638" s="73"/>
      <c r="K638" s="73"/>
      <c r="L638" s="73"/>
      <c r="M638" s="73"/>
      <c r="N638" s="73"/>
      <c r="O638" s="73"/>
      <c r="P638" s="73"/>
      <c r="Q638" s="73"/>
      <c r="R638" s="73"/>
      <c r="S638" s="73"/>
      <c r="T638" s="73"/>
      <c r="U638" s="73"/>
      <c r="V638" s="73"/>
      <c r="W638" s="73"/>
      <c r="X638" s="73"/>
      <c r="Y638" s="73"/>
      <c r="Z638" s="73"/>
    </row>
    <row r="639">
      <c r="A639" s="73"/>
      <c r="B639" s="73"/>
      <c r="C639" s="73"/>
      <c r="D639" s="73"/>
      <c r="E639" s="73"/>
      <c r="F639" s="73"/>
      <c r="G639" s="73"/>
      <c r="H639" s="73"/>
      <c r="I639" s="73"/>
      <c r="J639" s="73"/>
      <c r="K639" s="73"/>
      <c r="L639" s="73"/>
      <c r="M639" s="73"/>
      <c r="N639" s="73"/>
      <c r="O639" s="73"/>
      <c r="P639" s="73"/>
      <c r="Q639" s="73"/>
      <c r="R639" s="73"/>
      <c r="S639" s="73"/>
      <c r="T639" s="73"/>
      <c r="U639" s="73"/>
      <c r="V639" s="73"/>
      <c r="W639" s="73"/>
      <c r="X639" s="73"/>
      <c r="Y639" s="73"/>
      <c r="Z639" s="73"/>
    </row>
    <row r="640">
      <c r="A640" s="73"/>
      <c r="B640" s="73"/>
      <c r="C640" s="73"/>
      <c r="D640" s="73"/>
      <c r="E640" s="73"/>
      <c r="F640" s="73"/>
      <c r="G640" s="73"/>
      <c r="H640" s="73"/>
      <c r="I640" s="73"/>
      <c r="J640" s="73"/>
      <c r="K640" s="73"/>
      <c r="L640" s="73"/>
      <c r="M640" s="73"/>
      <c r="N640" s="73"/>
      <c r="O640" s="73"/>
      <c r="P640" s="73"/>
      <c r="Q640" s="73"/>
      <c r="R640" s="73"/>
      <c r="S640" s="73"/>
      <c r="T640" s="73"/>
      <c r="U640" s="73"/>
      <c r="V640" s="73"/>
      <c r="W640" s="73"/>
      <c r="X640" s="73"/>
      <c r="Y640" s="73"/>
      <c r="Z640" s="73"/>
    </row>
    <row r="641">
      <c r="A641" s="73"/>
      <c r="B641" s="73"/>
      <c r="C641" s="73"/>
      <c r="D641" s="73"/>
      <c r="E641" s="73"/>
      <c r="F641" s="73"/>
      <c r="G641" s="73"/>
      <c r="H641" s="73"/>
      <c r="I641" s="73"/>
      <c r="J641" s="73"/>
      <c r="K641" s="73"/>
      <c r="L641" s="73"/>
      <c r="M641" s="73"/>
      <c r="N641" s="73"/>
      <c r="O641" s="73"/>
      <c r="P641" s="73"/>
      <c r="Q641" s="73"/>
      <c r="R641" s="73"/>
      <c r="S641" s="73"/>
      <c r="T641" s="73"/>
      <c r="U641" s="73"/>
      <c r="V641" s="73"/>
      <c r="W641" s="73"/>
      <c r="X641" s="73"/>
      <c r="Y641" s="73"/>
      <c r="Z641" s="73"/>
    </row>
    <row r="642">
      <c r="A642" s="73"/>
      <c r="B642" s="73"/>
      <c r="C642" s="73"/>
      <c r="D642" s="73"/>
      <c r="E642" s="73"/>
      <c r="F642" s="73"/>
      <c r="G642" s="73"/>
      <c r="H642" s="73"/>
      <c r="I642" s="73"/>
      <c r="J642" s="73"/>
      <c r="K642" s="73"/>
      <c r="L642" s="73"/>
      <c r="M642" s="73"/>
      <c r="N642" s="73"/>
      <c r="O642" s="73"/>
      <c r="P642" s="73"/>
      <c r="Q642" s="73"/>
      <c r="R642" s="73"/>
      <c r="S642" s="73"/>
      <c r="T642" s="73"/>
      <c r="U642" s="73"/>
      <c r="V642" s="73"/>
      <c r="W642" s="73"/>
      <c r="X642" s="73"/>
      <c r="Y642" s="73"/>
      <c r="Z642" s="73"/>
    </row>
    <row r="643">
      <c r="A643" s="73"/>
      <c r="B643" s="73"/>
      <c r="C643" s="73"/>
      <c r="D643" s="73"/>
      <c r="E643" s="73"/>
      <c r="F643" s="73"/>
      <c r="G643" s="73"/>
      <c r="H643" s="73"/>
      <c r="I643" s="73"/>
      <c r="J643" s="73"/>
      <c r="K643" s="73"/>
      <c r="L643" s="73"/>
      <c r="M643" s="73"/>
      <c r="N643" s="73"/>
      <c r="O643" s="73"/>
      <c r="P643" s="73"/>
      <c r="Q643" s="73"/>
      <c r="R643" s="73"/>
      <c r="S643" s="73"/>
      <c r="T643" s="73"/>
      <c r="U643" s="73"/>
      <c r="V643" s="73"/>
      <c r="W643" s="73"/>
      <c r="X643" s="73"/>
      <c r="Y643" s="73"/>
      <c r="Z643" s="73"/>
    </row>
    <row r="644">
      <c r="A644" s="73"/>
      <c r="B644" s="73"/>
      <c r="C644" s="73"/>
      <c r="D644" s="73"/>
      <c r="E644" s="73"/>
      <c r="F644" s="73"/>
      <c r="G644" s="73"/>
      <c r="H644" s="73"/>
      <c r="I644" s="73"/>
      <c r="J644" s="73"/>
      <c r="K644" s="73"/>
      <c r="L644" s="73"/>
      <c r="M644" s="73"/>
      <c r="N644" s="73"/>
      <c r="O644" s="73"/>
      <c r="P644" s="73"/>
      <c r="Q644" s="73"/>
      <c r="R644" s="73"/>
      <c r="S644" s="73"/>
      <c r="T644" s="73"/>
      <c r="U644" s="73"/>
      <c r="V644" s="73"/>
      <c r="W644" s="73"/>
      <c r="X644" s="73"/>
      <c r="Y644" s="73"/>
      <c r="Z644" s="73"/>
    </row>
    <row r="645">
      <c r="A645" s="73"/>
      <c r="B645" s="73"/>
      <c r="C645" s="73"/>
      <c r="D645" s="73"/>
      <c r="E645" s="73"/>
      <c r="F645" s="73"/>
      <c r="G645" s="73"/>
      <c r="H645" s="73"/>
      <c r="I645" s="73"/>
      <c r="J645" s="73"/>
      <c r="K645" s="73"/>
      <c r="L645" s="73"/>
      <c r="M645" s="73"/>
      <c r="N645" s="73"/>
      <c r="O645" s="73"/>
      <c r="P645" s="73"/>
      <c r="Q645" s="73"/>
      <c r="R645" s="73"/>
      <c r="S645" s="73"/>
      <c r="T645" s="73"/>
      <c r="U645" s="73"/>
      <c r="V645" s="73"/>
      <c r="W645" s="73"/>
      <c r="X645" s="73"/>
      <c r="Y645" s="73"/>
      <c r="Z645" s="73"/>
    </row>
    <row r="646">
      <c r="A646" s="73"/>
      <c r="B646" s="73"/>
      <c r="C646" s="73"/>
      <c r="D646" s="73"/>
      <c r="E646" s="73"/>
      <c r="F646" s="73"/>
      <c r="G646" s="73"/>
      <c r="H646" s="73"/>
      <c r="I646" s="73"/>
      <c r="J646" s="73"/>
      <c r="K646" s="73"/>
      <c r="L646" s="73"/>
      <c r="M646" s="73"/>
      <c r="N646" s="73"/>
      <c r="O646" s="73"/>
      <c r="P646" s="73"/>
      <c r="Q646" s="73"/>
      <c r="R646" s="73"/>
      <c r="S646" s="73"/>
      <c r="T646" s="73"/>
      <c r="U646" s="73"/>
      <c r="V646" s="73"/>
      <c r="W646" s="73"/>
      <c r="X646" s="73"/>
      <c r="Y646" s="73"/>
      <c r="Z646" s="73"/>
    </row>
    <row r="647">
      <c r="A647" s="73"/>
      <c r="B647" s="73"/>
      <c r="C647" s="73"/>
      <c r="D647" s="73"/>
      <c r="E647" s="73"/>
      <c r="F647" s="73"/>
      <c r="G647" s="73"/>
      <c r="H647" s="73"/>
      <c r="I647" s="73"/>
      <c r="J647" s="73"/>
      <c r="K647" s="73"/>
      <c r="L647" s="73"/>
      <c r="M647" s="73"/>
      <c r="N647" s="73"/>
      <c r="O647" s="73"/>
      <c r="P647" s="73"/>
      <c r="Q647" s="73"/>
      <c r="R647" s="73"/>
      <c r="S647" s="73"/>
      <c r="T647" s="73"/>
      <c r="U647" s="73"/>
      <c r="V647" s="73"/>
      <c r="W647" s="73"/>
      <c r="X647" s="73"/>
      <c r="Y647" s="73"/>
      <c r="Z647" s="73"/>
    </row>
    <row r="648">
      <c r="A648" s="73"/>
      <c r="B648" s="73"/>
      <c r="C648" s="73"/>
      <c r="D648" s="73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73"/>
      <c r="V648" s="73"/>
      <c r="W648" s="73"/>
      <c r="X648" s="73"/>
      <c r="Y648" s="73"/>
      <c r="Z648" s="73"/>
    </row>
    <row r="649">
      <c r="A649" s="73"/>
      <c r="B649" s="73"/>
      <c r="C649" s="73"/>
      <c r="D649" s="73"/>
      <c r="E649" s="73"/>
      <c r="F649" s="73"/>
      <c r="G649" s="73"/>
      <c r="H649" s="73"/>
      <c r="I649" s="73"/>
      <c r="J649" s="73"/>
      <c r="K649" s="73"/>
      <c r="L649" s="73"/>
      <c r="M649" s="73"/>
      <c r="N649" s="73"/>
      <c r="O649" s="73"/>
      <c r="P649" s="73"/>
      <c r="Q649" s="73"/>
      <c r="R649" s="73"/>
      <c r="S649" s="73"/>
      <c r="T649" s="73"/>
      <c r="U649" s="73"/>
      <c r="V649" s="73"/>
      <c r="W649" s="73"/>
      <c r="X649" s="73"/>
      <c r="Y649" s="73"/>
      <c r="Z649" s="73"/>
    </row>
    <row r="650">
      <c r="A650" s="73"/>
      <c r="B650" s="73"/>
      <c r="C650" s="73"/>
      <c r="D650" s="73"/>
      <c r="E650" s="73"/>
      <c r="F650" s="73"/>
      <c r="G650" s="73"/>
      <c r="H650" s="73"/>
      <c r="I650" s="73"/>
      <c r="J650" s="73"/>
      <c r="K650" s="73"/>
      <c r="L650" s="73"/>
      <c r="M650" s="73"/>
      <c r="N650" s="73"/>
      <c r="O650" s="73"/>
      <c r="P650" s="73"/>
      <c r="Q650" s="73"/>
      <c r="R650" s="73"/>
      <c r="S650" s="73"/>
      <c r="T650" s="73"/>
      <c r="U650" s="73"/>
      <c r="V650" s="73"/>
      <c r="W650" s="73"/>
      <c r="X650" s="73"/>
      <c r="Y650" s="73"/>
      <c r="Z650" s="73"/>
    </row>
    <row r="651">
      <c r="A651" s="73"/>
      <c r="B651" s="73"/>
      <c r="C651" s="73"/>
      <c r="D651" s="73"/>
      <c r="E651" s="73"/>
      <c r="F651" s="73"/>
      <c r="G651" s="73"/>
      <c r="H651" s="73"/>
      <c r="I651" s="73"/>
      <c r="J651" s="73"/>
      <c r="K651" s="73"/>
      <c r="L651" s="73"/>
      <c r="M651" s="73"/>
      <c r="N651" s="73"/>
      <c r="O651" s="73"/>
      <c r="P651" s="73"/>
      <c r="Q651" s="73"/>
      <c r="R651" s="73"/>
      <c r="S651" s="73"/>
      <c r="T651" s="73"/>
      <c r="U651" s="73"/>
      <c r="V651" s="73"/>
      <c r="W651" s="73"/>
      <c r="X651" s="73"/>
      <c r="Y651" s="73"/>
      <c r="Z651" s="73"/>
    </row>
    <row r="652">
      <c r="A652" s="73"/>
      <c r="B652" s="73"/>
      <c r="C652" s="73"/>
      <c r="D652" s="73"/>
      <c r="E652" s="73"/>
      <c r="F652" s="73"/>
      <c r="G652" s="73"/>
      <c r="H652" s="73"/>
      <c r="I652" s="73"/>
      <c r="J652" s="73"/>
      <c r="K652" s="73"/>
      <c r="L652" s="73"/>
      <c r="M652" s="73"/>
      <c r="N652" s="73"/>
      <c r="O652" s="73"/>
      <c r="P652" s="73"/>
      <c r="Q652" s="73"/>
      <c r="R652" s="73"/>
      <c r="S652" s="73"/>
      <c r="T652" s="73"/>
      <c r="U652" s="73"/>
      <c r="V652" s="73"/>
      <c r="W652" s="73"/>
      <c r="X652" s="73"/>
      <c r="Y652" s="73"/>
      <c r="Z652" s="73"/>
    </row>
    <row r="653">
      <c r="A653" s="73"/>
      <c r="B653" s="73"/>
      <c r="C653" s="73"/>
      <c r="D653" s="73"/>
      <c r="E653" s="73"/>
      <c r="F653" s="73"/>
      <c r="G653" s="73"/>
      <c r="H653" s="73"/>
      <c r="I653" s="73"/>
      <c r="J653" s="73"/>
      <c r="K653" s="73"/>
      <c r="L653" s="73"/>
      <c r="M653" s="73"/>
      <c r="N653" s="73"/>
      <c r="O653" s="73"/>
      <c r="P653" s="73"/>
      <c r="Q653" s="73"/>
      <c r="R653" s="73"/>
      <c r="S653" s="73"/>
      <c r="T653" s="73"/>
      <c r="U653" s="73"/>
      <c r="V653" s="73"/>
      <c r="W653" s="73"/>
      <c r="X653" s="73"/>
      <c r="Y653" s="73"/>
      <c r="Z653" s="73"/>
    </row>
    <row r="654">
      <c r="A654" s="73"/>
      <c r="B654" s="73"/>
      <c r="C654" s="73"/>
      <c r="D654" s="73"/>
      <c r="E654" s="73"/>
      <c r="F654" s="73"/>
      <c r="G654" s="73"/>
      <c r="H654" s="73"/>
      <c r="I654" s="73"/>
      <c r="J654" s="73"/>
      <c r="K654" s="73"/>
      <c r="L654" s="73"/>
      <c r="M654" s="73"/>
      <c r="N654" s="73"/>
      <c r="O654" s="73"/>
      <c r="P654" s="73"/>
      <c r="Q654" s="73"/>
      <c r="R654" s="73"/>
      <c r="S654" s="73"/>
      <c r="T654" s="73"/>
      <c r="U654" s="73"/>
      <c r="V654" s="73"/>
      <c r="W654" s="73"/>
      <c r="X654" s="73"/>
      <c r="Y654" s="73"/>
      <c r="Z654" s="73"/>
    </row>
    <row r="655">
      <c r="A655" s="73"/>
      <c r="B655" s="73"/>
      <c r="C655" s="73"/>
      <c r="D655" s="73"/>
      <c r="E655" s="73"/>
      <c r="F655" s="73"/>
      <c r="G655" s="73"/>
      <c r="H655" s="73"/>
      <c r="I655" s="73"/>
      <c r="J655" s="73"/>
      <c r="K655" s="73"/>
      <c r="L655" s="73"/>
      <c r="M655" s="73"/>
      <c r="N655" s="73"/>
      <c r="O655" s="73"/>
      <c r="P655" s="73"/>
      <c r="Q655" s="73"/>
      <c r="R655" s="73"/>
      <c r="S655" s="73"/>
      <c r="T655" s="73"/>
      <c r="U655" s="73"/>
      <c r="V655" s="73"/>
      <c r="W655" s="73"/>
      <c r="X655" s="73"/>
      <c r="Y655" s="73"/>
      <c r="Z655" s="73"/>
    </row>
    <row r="656">
      <c r="A656" s="73"/>
      <c r="B656" s="73"/>
      <c r="C656" s="73"/>
      <c r="D656" s="73"/>
      <c r="E656" s="73"/>
      <c r="F656" s="73"/>
      <c r="G656" s="73"/>
      <c r="H656" s="73"/>
      <c r="I656" s="73"/>
      <c r="J656" s="73"/>
      <c r="K656" s="73"/>
      <c r="L656" s="73"/>
      <c r="M656" s="73"/>
      <c r="N656" s="73"/>
      <c r="O656" s="73"/>
      <c r="P656" s="73"/>
      <c r="Q656" s="73"/>
      <c r="R656" s="73"/>
      <c r="S656" s="73"/>
      <c r="T656" s="73"/>
      <c r="U656" s="73"/>
      <c r="V656" s="73"/>
      <c r="W656" s="73"/>
      <c r="X656" s="73"/>
      <c r="Y656" s="73"/>
      <c r="Z656" s="73"/>
    </row>
    <row r="657">
      <c r="A657" s="73"/>
      <c r="B657" s="73"/>
      <c r="C657" s="73"/>
      <c r="D657" s="73"/>
      <c r="E657" s="73"/>
      <c r="F657" s="73"/>
      <c r="G657" s="73"/>
      <c r="H657" s="73"/>
      <c r="I657" s="73"/>
      <c r="J657" s="73"/>
      <c r="K657" s="73"/>
      <c r="L657" s="73"/>
      <c r="M657" s="73"/>
      <c r="N657" s="73"/>
      <c r="O657" s="73"/>
      <c r="P657" s="73"/>
      <c r="Q657" s="73"/>
      <c r="R657" s="73"/>
      <c r="S657" s="73"/>
      <c r="T657" s="73"/>
      <c r="U657" s="73"/>
      <c r="V657" s="73"/>
      <c r="W657" s="73"/>
      <c r="X657" s="73"/>
      <c r="Y657" s="73"/>
      <c r="Z657" s="73"/>
    </row>
    <row r="658">
      <c r="A658" s="73"/>
      <c r="B658" s="73"/>
      <c r="C658" s="73"/>
      <c r="D658" s="73"/>
      <c r="E658" s="73"/>
      <c r="F658" s="73"/>
      <c r="G658" s="73"/>
      <c r="H658" s="73"/>
      <c r="I658" s="73"/>
      <c r="J658" s="73"/>
      <c r="K658" s="73"/>
      <c r="L658" s="73"/>
      <c r="M658" s="73"/>
      <c r="N658" s="73"/>
      <c r="O658" s="73"/>
      <c r="P658" s="73"/>
      <c r="Q658" s="73"/>
      <c r="R658" s="73"/>
      <c r="S658" s="73"/>
      <c r="T658" s="73"/>
      <c r="U658" s="73"/>
      <c r="V658" s="73"/>
      <c r="W658" s="73"/>
      <c r="X658" s="73"/>
      <c r="Y658" s="73"/>
      <c r="Z658" s="73"/>
    </row>
    <row r="659">
      <c r="A659" s="73"/>
      <c r="B659" s="73"/>
      <c r="C659" s="73"/>
      <c r="D659" s="73"/>
      <c r="E659" s="73"/>
      <c r="F659" s="73"/>
      <c r="G659" s="73"/>
      <c r="H659" s="73"/>
      <c r="I659" s="73"/>
      <c r="J659" s="73"/>
      <c r="K659" s="73"/>
      <c r="L659" s="73"/>
      <c r="M659" s="73"/>
      <c r="N659" s="73"/>
      <c r="O659" s="73"/>
      <c r="P659" s="73"/>
      <c r="Q659" s="73"/>
      <c r="R659" s="73"/>
      <c r="S659" s="73"/>
      <c r="T659" s="73"/>
      <c r="U659" s="73"/>
      <c r="V659" s="73"/>
      <c r="W659" s="73"/>
      <c r="X659" s="73"/>
      <c r="Y659" s="73"/>
      <c r="Z659" s="73"/>
    </row>
    <row r="660">
      <c r="A660" s="73"/>
      <c r="B660" s="73"/>
      <c r="C660" s="73"/>
      <c r="D660" s="73"/>
      <c r="E660" s="73"/>
      <c r="F660" s="73"/>
      <c r="G660" s="73"/>
      <c r="H660" s="73"/>
      <c r="I660" s="73"/>
      <c r="J660" s="73"/>
      <c r="K660" s="73"/>
      <c r="L660" s="73"/>
      <c r="M660" s="73"/>
      <c r="N660" s="73"/>
      <c r="O660" s="73"/>
      <c r="P660" s="73"/>
      <c r="Q660" s="73"/>
      <c r="R660" s="73"/>
      <c r="S660" s="73"/>
      <c r="T660" s="73"/>
      <c r="U660" s="73"/>
      <c r="V660" s="73"/>
      <c r="W660" s="73"/>
      <c r="X660" s="73"/>
      <c r="Y660" s="73"/>
      <c r="Z660" s="73"/>
    </row>
    <row r="661">
      <c r="A661" s="73"/>
      <c r="B661" s="73"/>
      <c r="C661" s="73"/>
      <c r="D661" s="73"/>
      <c r="E661" s="73"/>
      <c r="F661" s="73"/>
      <c r="G661" s="73"/>
      <c r="H661" s="73"/>
      <c r="I661" s="73"/>
      <c r="J661" s="73"/>
      <c r="K661" s="73"/>
      <c r="L661" s="73"/>
      <c r="M661" s="73"/>
      <c r="N661" s="73"/>
      <c r="O661" s="73"/>
      <c r="P661" s="73"/>
      <c r="Q661" s="73"/>
      <c r="R661" s="73"/>
      <c r="S661" s="73"/>
      <c r="T661" s="73"/>
      <c r="U661" s="73"/>
      <c r="V661" s="73"/>
      <c r="W661" s="73"/>
      <c r="X661" s="73"/>
      <c r="Y661" s="73"/>
      <c r="Z661" s="73"/>
    </row>
    <row r="662">
      <c r="A662" s="73"/>
      <c r="B662" s="73"/>
      <c r="C662" s="73"/>
      <c r="D662" s="73"/>
      <c r="E662" s="73"/>
      <c r="F662" s="73"/>
      <c r="G662" s="73"/>
      <c r="H662" s="73"/>
      <c r="I662" s="73"/>
      <c r="J662" s="73"/>
      <c r="K662" s="73"/>
      <c r="L662" s="73"/>
      <c r="M662" s="73"/>
      <c r="N662" s="73"/>
      <c r="O662" s="73"/>
      <c r="P662" s="73"/>
      <c r="Q662" s="73"/>
      <c r="R662" s="73"/>
      <c r="S662" s="73"/>
      <c r="T662" s="73"/>
      <c r="U662" s="73"/>
      <c r="V662" s="73"/>
      <c r="W662" s="73"/>
      <c r="X662" s="73"/>
      <c r="Y662" s="73"/>
      <c r="Z662" s="73"/>
    </row>
    <row r="663">
      <c r="A663" s="73"/>
      <c r="B663" s="73"/>
      <c r="C663" s="73"/>
      <c r="D663" s="73"/>
      <c r="E663" s="73"/>
      <c r="F663" s="73"/>
      <c r="G663" s="73"/>
      <c r="H663" s="73"/>
      <c r="I663" s="73"/>
      <c r="J663" s="73"/>
      <c r="K663" s="73"/>
      <c r="L663" s="73"/>
      <c r="M663" s="73"/>
      <c r="N663" s="73"/>
      <c r="O663" s="73"/>
      <c r="P663" s="73"/>
      <c r="Q663" s="73"/>
      <c r="R663" s="73"/>
      <c r="S663" s="73"/>
      <c r="T663" s="73"/>
      <c r="U663" s="73"/>
      <c r="V663" s="73"/>
      <c r="W663" s="73"/>
      <c r="X663" s="73"/>
      <c r="Y663" s="73"/>
      <c r="Z663" s="73"/>
    </row>
    <row r="664">
      <c r="A664" s="73"/>
      <c r="B664" s="73"/>
      <c r="C664" s="73"/>
      <c r="D664" s="73"/>
      <c r="E664" s="73"/>
      <c r="F664" s="73"/>
      <c r="G664" s="73"/>
      <c r="H664" s="73"/>
      <c r="I664" s="73"/>
      <c r="J664" s="73"/>
      <c r="K664" s="73"/>
      <c r="L664" s="73"/>
      <c r="M664" s="73"/>
      <c r="N664" s="73"/>
      <c r="O664" s="73"/>
      <c r="P664" s="73"/>
      <c r="Q664" s="73"/>
      <c r="R664" s="73"/>
      <c r="S664" s="73"/>
      <c r="T664" s="73"/>
      <c r="U664" s="73"/>
      <c r="V664" s="73"/>
      <c r="W664" s="73"/>
      <c r="X664" s="73"/>
      <c r="Y664" s="73"/>
      <c r="Z664" s="73"/>
    </row>
    <row r="665">
      <c r="A665" s="73"/>
      <c r="B665" s="73"/>
      <c r="C665" s="73"/>
      <c r="D665" s="73"/>
      <c r="E665" s="73"/>
      <c r="F665" s="73"/>
      <c r="G665" s="73"/>
      <c r="H665" s="73"/>
      <c r="I665" s="73"/>
      <c r="J665" s="73"/>
      <c r="K665" s="73"/>
      <c r="L665" s="73"/>
      <c r="M665" s="73"/>
      <c r="N665" s="73"/>
      <c r="O665" s="73"/>
      <c r="P665" s="73"/>
      <c r="Q665" s="73"/>
      <c r="R665" s="73"/>
      <c r="S665" s="73"/>
      <c r="T665" s="73"/>
      <c r="U665" s="73"/>
      <c r="V665" s="73"/>
      <c r="W665" s="73"/>
      <c r="X665" s="73"/>
      <c r="Y665" s="73"/>
      <c r="Z665" s="73"/>
    </row>
    <row r="666">
      <c r="A666" s="73"/>
      <c r="B666" s="73"/>
      <c r="C666" s="73"/>
      <c r="D666" s="73"/>
      <c r="E666" s="73"/>
      <c r="F666" s="73"/>
      <c r="G666" s="73"/>
      <c r="H666" s="73"/>
      <c r="I666" s="73"/>
      <c r="J666" s="73"/>
      <c r="K666" s="73"/>
      <c r="L666" s="73"/>
      <c r="M666" s="73"/>
      <c r="N666" s="73"/>
      <c r="O666" s="73"/>
      <c r="P666" s="73"/>
      <c r="Q666" s="73"/>
      <c r="R666" s="73"/>
      <c r="S666" s="73"/>
      <c r="T666" s="73"/>
      <c r="U666" s="73"/>
      <c r="V666" s="73"/>
      <c r="W666" s="73"/>
      <c r="X666" s="73"/>
      <c r="Y666" s="73"/>
      <c r="Z666" s="73"/>
    </row>
    <row r="667">
      <c r="A667" s="73"/>
      <c r="B667" s="73"/>
      <c r="C667" s="73"/>
      <c r="D667" s="73"/>
      <c r="E667" s="73"/>
      <c r="F667" s="73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73"/>
      <c r="V667" s="73"/>
      <c r="W667" s="73"/>
      <c r="X667" s="73"/>
      <c r="Y667" s="73"/>
      <c r="Z667" s="73"/>
    </row>
    <row r="668">
      <c r="A668" s="73"/>
      <c r="B668" s="73"/>
      <c r="C668" s="73"/>
      <c r="D668" s="73"/>
      <c r="E668" s="73"/>
      <c r="F668" s="73"/>
      <c r="G668" s="73"/>
      <c r="H668" s="73"/>
      <c r="I668" s="73"/>
      <c r="J668" s="73"/>
      <c r="K668" s="73"/>
      <c r="L668" s="73"/>
      <c r="M668" s="73"/>
      <c r="N668" s="73"/>
      <c r="O668" s="73"/>
      <c r="P668" s="73"/>
      <c r="Q668" s="73"/>
      <c r="R668" s="73"/>
      <c r="S668" s="73"/>
      <c r="T668" s="73"/>
      <c r="U668" s="73"/>
      <c r="V668" s="73"/>
      <c r="W668" s="73"/>
      <c r="X668" s="73"/>
      <c r="Y668" s="73"/>
      <c r="Z668" s="73"/>
    </row>
    <row r="669">
      <c r="A669" s="73"/>
      <c r="B669" s="73"/>
      <c r="C669" s="73"/>
      <c r="D669" s="73"/>
      <c r="E669" s="73"/>
      <c r="F669" s="73"/>
      <c r="G669" s="73"/>
      <c r="H669" s="73"/>
      <c r="I669" s="73"/>
      <c r="J669" s="73"/>
      <c r="K669" s="73"/>
      <c r="L669" s="73"/>
      <c r="M669" s="73"/>
      <c r="N669" s="73"/>
      <c r="O669" s="73"/>
      <c r="P669" s="73"/>
      <c r="Q669" s="73"/>
      <c r="R669" s="73"/>
      <c r="S669" s="73"/>
      <c r="T669" s="73"/>
      <c r="U669" s="73"/>
      <c r="V669" s="73"/>
      <c r="W669" s="73"/>
      <c r="X669" s="73"/>
      <c r="Y669" s="73"/>
      <c r="Z669" s="73"/>
    </row>
    <row r="670">
      <c r="A670" s="73"/>
      <c r="B670" s="73"/>
      <c r="C670" s="73"/>
      <c r="D670" s="73"/>
      <c r="E670" s="73"/>
      <c r="F670" s="73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73"/>
      <c r="V670" s="73"/>
      <c r="W670" s="73"/>
      <c r="X670" s="73"/>
      <c r="Y670" s="73"/>
      <c r="Z670" s="73"/>
    </row>
    <row r="671">
      <c r="A671" s="73"/>
      <c r="B671" s="73"/>
      <c r="C671" s="73"/>
      <c r="D671" s="73"/>
      <c r="E671" s="73"/>
      <c r="F671" s="73"/>
      <c r="G671" s="73"/>
      <c r="H671" s="73"/>
      <c r="I671" s="73"/>
      <c r="J671" s="73"/>
      <c r="K671" s="73"/>
      <c r="L671" s="73"/>
      <c r="M671" s="73"/>
      <c r="N671" s="73"/>
      <c r="O671" s="73"/>
      <c r="P671" s="73"/>
      <c r="Q671" s="73"/>
      <c r="R671" s="73"/>
      <c r="S671" s="73"/>
      <c r="T671" s="73"/>
      <c r="U671" s="73"/>
      <c r="V671" s="73"/>
      <c r="W671" s="73"/>
      <c r="X671" s="73"/>
      <c r="Y671" s="73"/>
      <c r="Z671" s="73"/>
    </row>
    <row r="672">
      <c r="A672" s="73"/>
      <c r="B672" s="73"/>
      <c r="C672" s="73"/>
      <c r="D672" s="73"/>
      <c r="E672" s="73"/>
      <c r="F672" s="73"/>
      <c r="G672" s="73"/>
      <c r="H672" s="73"/>
      <c r="I672" s="73"/>
      <c r="J672" s="73"/>
      <c r="K672" s="73"/>
      <c r="L672" s="73"/>
      <c r="M672" s="73"/>
      <c r="N672" s="73"/>
      <c r="O672" s="73"/>
      <c r="P672" s="73"/>
      <c r="Q672" s="73"/>
      <c r="R672" s="73"/>
      <c r="S672" s="73"/>
      <c r="T672" s="73"/>
      <c r="U672" s="73"/>
      <c r="V672" s="73"/>
      <c r="W672" s="73"/>
      <c r="X672" s="73"/>
      <c r="Y672" s="73"/>
      <c r="Z672" s="73"/>
    </row>
    <row r="673">
      <c r="A673" s="73"/>
      <c r="B673" s="73"/>
      <c r="C673" s="73"/>
      <c r="D673" s="73"/>
      <c r="E673" s="73"/>
      <c r="F673" s="73"/>
      <c r="G673" s="73"/>
      <c r="H673" s="73"/>
      <c r="I673" s="73"/>
      <c r="J673" s="73"/>
      <c r="K673" s="73"/>
      <c r="L673" s="73"/>
      <c r="M673" s="73"/>
      <c r="N673" s="73"/>
      <c r="O673" s="73"/>
      <c r="P673" s="73"/>
      <c r="Q673" s="73"/>
      <c r="R673" s="73"/>
      <c r="S673" s="73"/>
      <c r="T673" s="73"/>
      <c r="U673" s="73"/>
      <c r="V673" s="73"/>
      <c r="W673" s="73"/>
      <c r="X673" s="73"/>
      <c r="Y673" s="73"/>
      <c r="Z673" s="73"/>
    </row>
    <row r="674">
      <c r="A674" s="73"/>
      <c r="B674" s="73"/>
      <c r="C674" s="73"/>
      <c r="D674" s="73"/>
      <c r="E674" s="73"/>
      <c r="F674" s="73"/>
      <c r="G674" s="73"/>
      <c r="H674" s="73"/>
      <c r="I674" s="73"/>
      <c r="J674" s="73"/>
      <c r="K674" s="73"/>
      <c r="L674" s="73"/>
      <c r="M674" s="73"/>
      <c r="N674" s="73"/>
      <c r="O674" s="73"/>
      <c r="P674" s="73"/>
      <c r="Q674" s="73"/>
      <c r="R674" s="73"/>
      <c r="S674" s="73"/>
      <c r="T674" s="73"/>
      <c r="U674" s="73"/>
      <c r="V674" s="73"/>
      <c r="W674" s="73"/>
      <c r="X674" s="73"/>
      <c r="Y674" s="73"/>
      <c r="Z674" s="73"/>
    </row>
    <row r="675">
      <c r="A675" s="73"/>
      <c r="B675" s="73"/>
      <c r="C675" s="73"/>
      <c r="D675" s="73"/>
      <c r="E675" s="73"/>
      <c r="F675" s="73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73"/>
      <c r="V675" s="73"/>
      <c r="W675" s="73"/>
      <c r="X675" s="73"/>
      <c r="Y675" s="73"/>
      <c r="Z675" s="73"/>
    </row>
    <row r="676">
      <c r="A676" s="73"/>
      <c r="B676" s="73"/>
      <c r="C676" s="73"/>
      <c r="D676" s="73"/>
      <c r="E676" s="73"/>
      <c r="F676" s="73"/>
      <c r="G676" s="73"/>
      <c r="H676" s="73"/>
      <c r="I676" s="73"/>
      <c r="J676" s="73"/>
      <c r="K676" s="73"/>
      <c r="L676" s="73"/>
      <c r="M676" s="73"/>
      <c r="N676" s="73"/>
      <c r="O676" s="73"/>
      <c r="P676" s="73"/>
      <c r="Q676" s="73"/>
      <c r="R676" s="73"/>
      <c r="S676" s="73"/>
      <c r="T676" s="73"/>
      <c r="U676" s="73"/>
      <c r="V676" s="73"/>
      <c r="W676" s="73"/>
      <c r="X676" s="73"/>
      <c r="Y676" s="73"/>
      <c r="Z676" s="73"/>
    </row>
    <row r="677">
      <c r="A677" s="73"/>
      <c r="B677" s="73"/>
      <c r="C677" s="73"/>
      <c r="D677" s="73"/>
      <c r="E677" s="73"/>
      <c r="F677" s="73"/>
      <c r="G677" s="73"/>
      <c r="H677" s="73"/>
      <c r="I677" s="73"/>
      <c r="J677" s="73"/>
      <c r="K677" s="73"/>
      <c r="L677" s="73"/>
      <c r="M677" s="73"/>
      <c r="N677" s="73"/>
      <c r="O677" s="73"/>
      <c r="P677" s="73"/>
      <c r="Q677" s="73"/>
      <c r="R677" s="73"/>
      <c r="S677" s="73"/>
      <c r="T677" s="73"/>
      <c r="U677" s="73"/>
      <c r="V677" s="73"/>
      <c r="W677" s="73"/>
      <c r="X677" s="73"/>
      <c r="Y677" s="73"/>
      <c r="Z677" s="73"/>
    </row>
    <row r="678">
      <c r="A678" s="73"/>
      <c r="B678" s="73"/>
      <c r="C678" s="73"/>
      <c r="D678" s="73"/>
      <c r="E678" s="73"/>
      <c r="F678" s="73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73"/>
      <c r="V678" s="73"/>
      <c r="W678" s="73"/>
      <c r="X678" s="73"/>
      <c r="Y678" s="73"/>
      <c r="Z678" s="73"/>
    </row>
    <row r="679">
      <c r="A679" s="73"/>
      <c r="B679" s="73"/>
      <c r="C679" s="73"/>
      <c r="D679" s="73"/>
      <c r="E679" s="73"/>
      <c r="F679" s="73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73"/>
      <c r="V679" s="73"/>
      <c r="W679" s="73"/>
      <c r="X679" s="73"/>
      <c r="Y679" s="73"/>
      <c r="Z679" s="73"/>
    </row>
    <row r="680">
      <c r="A680" s="73"/>
      <c r="B680" s="73"/>
      <c r="C680" s="73"/>
      <c r="D680" s="73"/>
      <c r="E680" s="73"/>
      <c r="F680" s="73"/>
      <c r="G680" s="73"/>
      <c r="H680" s="73"/>
      <c r="I680" s="73"/>
      <c r="J680" s="73"/>
      <c r="K680" s="73"/>
      <c r="L680" s="73"/>
      <c r="M680" s="73"/>
      <c r="N680" s="73"/>
      <c r="O680" s="73"/>
      <c r="P680" s="73"/>
      <c r="Q680" s="73"/>
      <c r="R680" s="73"/>
      <c r="S680" s="73"/>
      <c r="T680" s="73"/>
      <c r="U680" s="73"/>
      <c r="V680" s="73"/>
      <c r="W680" s="73"/>
      <c r="X680" s="73"/>
      <c r="Y680" s="73"/>
      <c r="Z680" s="73"/>
    </row>
    <row r="681">
      <c r="A681" s="73"/>
      <c r="B681" s="73"/>
      <c r="C681" s="73"/>
      <c r="D681" s="73"/>
      <c r="E681" s="73"/>
      <c r="F681" s="73"/>
      <c r="G681" s="73"/>
      <c r="H681" s="73"/>
      <c r="I681" s="73"/>
      <c r="J681" s="73"/>
      <c r="K681" s="73"/>
      <c r="L681" s="73"/>
      <c r="M681" s="73"/>
      <c r="N681" s="73"/>
      <c r="O681" s="73"/>
      <c r="P681" s="73"/>
      <c r="Q681" s="73"/>
      <c r="R681" s="73"/>
      <c r="S681" s="73"/>
      <c r="T681" s="73"/>
      <c r="U681" s="73"/>
      <c r="V681" s="73"/>
      <c r="W681" s="73"/>
      <c r="X681" s="73"/>
      <c r="Y681" s="73"/>
      <c r="Z681" s="73"/>
    </row>
    <row r="682">
      <c r="A682" s="73"/>
      <c r="B682" s="73"/>
      <c r="C682" s="73"/>
      <c r="D682" s="73"/>
      <c r="E682" s="73"/>
      <c r="F682" s="73"/>
      <c r="G682" s="73"/>
      <c r="H682" s="73"/>
      <c r="I682" s="73"/>
      <c r="J682" s="73"/>
      <c r="K682" s="73"/>
      <c r="L682" s="73"/>
      <c r="M682" s="73"/>
      <c r="N682" s="73"/>
      <c r="O682" s="73"/>
      <c r="P682" s="73"/>
      <c r="Q682" s="73"/>
      <c r="R682" s="73"/>
      <c r="S682" s="73"/>
      <c r="T682" s="73"/>
      <c r="U682" s="73"/>
      <c r="V682" s="73"/>
      <c r="W682" s="73"/>
      <c r="X682" s="73"/>
      <c r="Y682" s="73"/>
      <c r="Z682" s="73"/>
    </row>
    <row r="683">
      <c r="A683" s="73"/>
      <c r="B683" s="73"/>
      <c r="C683" s="73"/>
      <c r="D683" s="73"/>
      <c r="E683" s="73"/>
      <c r="F683" s="73"/>
      <c r="G683" s="73"/>
      <c r="H683" s="73"/>
      <c r="I683" s="73"/>
      <c r="J683" s="73"/>
      <c r="K683" s="73"/>
      <c r="L683" s="73"/>
      <c r="M683" s="73"/>
      <c r="N683" s="73"/>
      <c r="O683" s="73"/>
      <c r="P683" s="73"/>
      <c r="Q683" s="73"/>
      <c r="R683" s="73"/>
      <c r="S683" s="73"/>
      <c r="T683" s="73"/>
      <c r="U683" s="73"/>
      <c r="V683" s="73"/>
      <c r="W683" s="73"/>
      <c r="X683" s="73"/>
      <c r="Y683" s="73"/>
      <c r="Z683" s="73"/>
    </row>
    <row r="684">
      <c r="A684" s="73"/>
      <c r="B684" s="73"/>
      <c r="C684" s="73"/>
      <c r="D684" s="73"/>
      <c r="E684" s="73"/>
      <c r="F684" s="73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73"/>
      <c r="V684" s="73"/>
      <c r="W684" s="73"/>
      <c r="X684" s="73"/>
      <c r="Y684" s="73"/>
      <c r="Z684" s="73"/>
    </row>
    <row r="685">
      <c r="A685" s="73"/>
      <c r="B685" s="73"/>
      <c r="C685" s="73"/>
      <c r="D685" s="73"/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3"/>
    </row>
    <row r="686">
      <c r="A686" s="73"/>
      <c r="B686" s="73"/>
      <c r="C686" s="73"/>
      <c r="D686" s="73"/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</row>
    <row r="687">
      <c r="A687" s="73"/>
      <c r="B687" s="73"/>
      <c r="C687" s="73"/>
      <c r="D687" s="73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</row>
    <row r="688">
      <c r="A688" s="73"/>
      <c r="B688" s="73"/>
      <c r="C688" s="73"/>
      <c r="D688" s="73"/>
      <c r="E688" s="73"/>
      <c r="F688" s="73"/>
      <c r="G688" s="73"/>
      <c r="H688" s="73"/>
      <c r="I688" s="73"/>
      <c r="J688" s="73"/>
      <c r="K688" s="73"/>
      <c r="L688" s="73"/>
      <c r="M688" s="73"/>
      <c r="N688" s="73"/>
      <c r="O688" s="73"/>
      <c r="P688" s="73"/>
      <c r="Q688" s="73"/>
      <c r="R688" s="73"/>
      <c r="S688" s="73"/>
      <c r="T688" s="73"/>
      <c r="U688" s="73"/>
      <c r="V688" s="73"/>
      <c r="W688" s="73"/>
      <c r="X688" s="73"/>
      <c r="Y688" s="73"/>
      <c r="Z688" s="73"/>
    </row>
    <row r="689">
      <c r="A689" s="73"/>
      <c r="B689" s="73"/>
      <c r="C689" s="73"/>
      <c r="D689" s="73"/>
      <c r="E689" s="73"/>
      <c r="F689" s="73"/>
      <c r="G689" s="73"/>
      <c r="H689" s="73"/>
      <c r="I689" s="73"/>
      <c r="J689" s="73"/>
      <c r="K689" s="73"/>
      <c r="L689" s="73"/>
      <c r="M689" s="73"/>
      <c r="N689" s="73"/>
      <c r="O689" s="73"/>
      <c r="P689" s="73"/>
      <c r="Q689" s="73"/>
      <c r="R689" s="73"/>
      <c r="S689" s="73"/>
      <c r="T689" s="73"/>
      <c r="U689" s="73"/>
      <c r="V689" s="73"/>
      <c r="W689" s="73"/>
      <c r="X689" s="73"/>
      <c r="Y689" s="73"/>
      <c r="Z689" s="73"/>
    </row>
    <row r="690">
      <c r="A690" s="73"/>
      <c r="B690" s="73"/>
      <c r="C690" s="73"/>
      <c r="D690" s="73"/>
      <c r="E690" s="73"/>
      <c r="F690" s="73"/>
      <c r="G690" s="73"/>
      <c r="H690" s="73"/>
      <c r="I690" s="73"/>
      <c r="J690" s="73"/>
      <c r="K690" s="73"/>
      <c r="L690" s="73"/>
      <c r="M690" s="73"/>
      <c r="N690" s="73"/>
      <c r="O690" s="73"/>
      <c r="P690" s="73"/>
      <c r="Q690" s="73"/>
      <c r="R690" s="73"/>
      <c r="S690" s="73"/>
      <c r="T690" s="73"/>
      <c r="U690" s="73"/>
      <c r="V690" s="73"/>
      <c r="W690" s="73"/>
      <c r="X690" s="73"/>
      <c r="Y690" s="73"/>
      <c r="Z690" s="73"/>
    </row>
    <row r="691">
      <c r="A691" s="73"/>
      <c r="B691" s="73"/>
      <c r="C691" s="73"/>
      <c r="D691" s="73"/>
      <c r="E691" s="73"/>
      <c r="F691" s="73"/>
      <c r="G691" s="73"/>
      <c r="H691" s="73"/>
      <c r="I691" s="73"/>
      <c r="J691" s="73"/>
      <c r="K691" s="73"/>
      <c r="L691" s="73"/>
      <c r="M691" s="73"/>
      <c r="N691" s="73"/>
      <c r="O691" s="73"/>
      <c r="P691" s="73"/>
      <c r="Q691" s="73"/>
      <c r="R691" s="73"/>
      <c r="S691" s="73"/>
      <c r="T691" s="73"/>
      <c r="U691" s="73"/>
      <c r="V691" s="73"/>
      <c r="W691" s="73"/>
      <c r="X691" s="73"/>
      <c r="Y691" s="73"/>
      <c r="Z691" s="73"/>
    </row>
    <row r="692">
      <c r="A692" s="73"/>
      <c r="B692" s="73"/>
      <c r="C692" s="73"/>
      <c r="D692" s="73"/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73"/>
      <c r="X692" s="73"/>
      <c r="Y692" s="73"/>
      <c r="Z692" s="73"/>
    </row>
    <row r="693">
      <c r="A693" s="73"/>
      <c r="B693" s="73"/>
      <c r="C693" s="73"/>
      <c r="D693" s="73"/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</row>
    <row r="694">
      <c r="A694" s="73"/>
      <c r="B694" s="73"/>
      <c r="C694" s="73"/>
      <c r="D694" s="73"/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</row>
    <row r="695">
      <c r="A695" s="73"/>
      <c r="B695" s="73"/>
      <c r="C695" s="73"/>
      <c r="D695" s="73"/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</row>
    <row r="696">
      <c r="A696" s="73"/>
      <c r="B696" s="73"/>
      <c r="C696" s="73"/>
      <c r="D696" s="73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</row>
    <row r="697">
      <c r="A697" s="73"/>
      <c r="B697" s="73"/>
      <c r="C697" s="73"/>
      <c r="D697" s="73"/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</row>
    <row r="698">
      <c r="A698" s="73"/>
      <c r="B698" s="73"/>
      <c r="C698" s="73"/>
      <c r="D698" s="73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</row>
    <row r="699">
      <c r="A699" s="73"/>
      <c r="B699" s="73"/>
      <c r="C699" s="73"/>
      <c r="D699" s="73"/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</row>
    <row r="700">
      <c r="A700" s="73"/>
      <c r="B700" s="73"/>
      <c r="C700" s="73"/>
      <c r="D700" s="73"/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</row>
    <row r="701">
      <c r="A701" s="73"/>
      <c r="B701" s="73"/>
      <c r="C701" s="73"/>
      <c r="D701" s="73"/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</row>
    <row r="702">
      <c r="A702" s="73"/>
      <c r="B702" s="73"/>
      <c r="C702" s="73"/>
      <c r="D702" s="73"/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</row>
    <row r="703">
      <c r="A703" s="73"/>
      <c r="B703" s="73"/>
      <c r="C703" s="73"/>
      <c r="D703" s="73"/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73"/>
      <c r="V703" s="73"/>
      <c r="W703" s="73"/>
      <c r="X703" s="73"/>
      <c r="Y703" s="73"/>
      <c r="Z703" s="73"/>
    </row>
    <row r="704">
      <c r="A704" s="73"/>
      <c r="B704" s="73"/>
      <c r="C704" s="73"/>
      <c r="D704" s="73"/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73"/>
      <c r="V704" s="73"/>
      <c r="W704" s="73"/>
      <c r="X704" s="73"/>
      <c r="Y704" s="73"/>
      <c r="Z704" s="73"/>
    </row>
    <row r="705">
      <c r="A705" s="73"/>
      <c r="B705" s="73"/>
      <c r="C705" s="73"/>
      <c r="D705" s="73"/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</row>
    <row r="706">
      <c r="A706" s="73"/>
      <c r="B706" s="73"/>
      <c r="C706" s="73"/>
      <c r="D706" s="73"/>
      <c r="E706" s="73"/>
      <c r="F706" s="73"/>
      <c r="G706" s="73"/>
      <c r="H706" s="73"/>
      <c r="I706" s="73"/>
      <c r="J706" s="73"/>
      <c r="K706" s="73"/>
      <c r="L706" s="73"/>
      <c r="M706" s="73"/>
      <c r="N706" s="73"/>
      <c r="O706" s="73"/>
      <c r="P706" s="73"/>
      <c r="Q706" s="73"/>
      <c r="R706" s="73"/>
      <c r="S706" s="73"/>
      <c r="T706" s="73"/>
      <c r="U706" s="73"/>
      <c r="V706" s="73"/>
      <c r="W706" s="73"/>
      <c r="X706" s="73"/>
      <c r="Y706" s="73"/>
      <c r="Z706" s="73"/>
    </row>
    <row r="707">
      <c r="A707" s="73"/>
      <c r="B707" s="73"/>
      <c r="C707" s="73"/>
      <c r="D707" s="73"/>
      <c r="E707" s="73"/>
      <c r="F707" s="73"/>
      <c r="G707" s="73"/>
      <c r="H707" s="73"/>
      <c r="I707" s="73"/>
      <c r="J707" s="73"/>
      <c r="K707" s="73"/>
      <c r="L707" s="73"/>
      <c r="M707" s="73"/>
      <c r="N707" s="73"/>
      <c r="O707" s="73"/>
      <c r="P707" s="73"/>
      <c r="Q707" s="73"/>
      <c r="R707" s="73"/>
      <c r="S707" s="73"/>
      <c r="T707" s="73"/>
      <c r="U707" s="73"/>
      <c r="V707" s="73"/>
      <c r="W707" s="73"/>
      <c r="X707" s="73"/>
      <c r="Y707" s="73"/>
      <c r="Z707" s="73"/>
    </row>
    <row r="708">
      <c r="A708" s="73"/>
      <c r="B708" s="73"/>
      <c r="C708" s="73"/>
      <c r="D708" s="73"/>
      <c r="E708" s="73"/>
      <c r="F708" s="73"/>
      <c r="G708" s="73"/>
      <c r="H708" s="73"/>
      <c r="I708" s="73"/>
      <c r="J708" s="73"/>
      <c r="K708" s="73"/>
      <c r="L708" s="73"/>
      <c r="M708" s="73"/>
      <c r="N708" s="73"/>
      <c r="O708" s="73"/>
      <c r="P708" s="73"/>
      <c r="Q708" s="73"/>
      <c r="R708" s="73"/>
      <c r="S708" s="73"/>
      <c r="T708" s="73"/>
      <c r="U708" s="73"/>
      <c r="V708" s="73"/>
      <c r="W708" s="73"/>
      <c r="X708" s="73"/>
      <c r="Y708" s="73"/>
      <c r="Z708" s="73"/>
    </row>
    <row r="709">
      <c r="A709" s="73"/>
      <c r="B709" s="73"/>
      <c r="C709" s="73"/>
      <c r="D709" s="73"/>
      <c r="E709" s="73"/>
      <c r="F709" s="73"/>
      <c r="G709" s="73"/>
      <c r="H709" s="73"/>
      <c r="I709" s="73"/>
      <c r="J709" s="73"/>
      <c r="K709" s="73"/>
      <c r="L709" s="73"/>
      <c r="M709" s="73"/>
      <c r="N709" s="73"/>
      <c r="O709" s="73"/>
      <c r="P709" s="73"/>
      <c r="Q709" s="73"/>
      <c r="R709" s="73"/>
      <c r="S709" s="73"/>
      <c r="T709" s="73"/>
      <c r="U709" s="73"/>
      <c r="V709" s="73"/>
      <c r="W709" s="73"/>
      <c r="X709" s="73"/>
      <c r="Y709" s="73"/>
      <c r="Z709" s="73"/>
    </row>
    <row r="710">
      <c r="A710" s="73"/>
      <c r="B710" s="73"/>
      <c r="C710" s="73"/>
      <c r="D710" s="73"/>
      <c r="E710" s="73"/>
      <c r="F710" s="73"/>
      <c r="G710" s="73"/>
      <c r="H710" s="73"/>
      <c r="I710" s="73"/>
      <c r="J710" s="73"/>
      <c r="K710" s="73"/>
      <c r="L710" s="73"/>
      <c r="M710" s="73"/>
      <c r="N710" s="73"/>
      <c r="O710" s="73"/>
      <c r="P710" s="73"/>
      <c r="Q710" s="73"/>
      <c r="R710" s="73"/>
      <c r="S710" s="73"/>
      <c r="T710" s="73"/>
      <c r="U710" s="73"/>
      <c r="V710" s="73"/>
      <c r="W710" s="73"/>
      <c r="X710" s="73"/>
      <c r="Y710" s="73"/>
      <c r="Z710" s="73"/>
    </row>
    <row r="711">
      <c r="A711" s="73"/>
      <c r="B711" s="73"/>
      <c r="C711" s="73"/>
      <c r="D711" s="73"/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  <c r="V711" s="73"/>
      <c r="W711" s="73"/>
      <c r="X711" s="73"/>
      <c r="Y711" s="73"/>
      <c r="Z711" s="73"/>
    </row>
    <row r="712">
      <c r="A712" s="73"/>
      <c r="B712" s="73"/>
      <c r="C712" s="73"/>
      <c r="D712" s="73"/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</row>
    <row r="713">
      <c r="A713" s="73"/>
      <c r="B713" s="73"/>
      <c r="C713" s="73"/>
      <c r="D713" s="73"/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</row>
    <row r="714">
      <c r="A714" s="73"/>
      <c r="B714" s="73"/>
      <c r="C714" s="73"/>
      <c r="D714" s="73"/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</row>
    <row r="715">
      <c r="A715" s="73"/>
      <c r="B715" s="73"/>
      <c r="C715" s="73"/>
      <c r="D715" s="73"/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</row>
    <row r="716">
      <c r="A716" s="73"/>
      <c r="B716" s="73"/>
      <c r="C716" s="73"/>
      <c r="D716" s="73"/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</row>
    <row r="717">
      <c r="A717" s="73"/>
      <c r="B717" s="73"/>
      <c r="C717" s="73"/>
      <c r="D717" s="73"/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73"/>
      <c r="V717" s="73"/>
      <c r="W717" s="73"/>
      <c r="X717" s="73"/>
      <c r="Y717" s="73"/>
      <c r="Z717" s="73"/>
    </row>
    <row r="718">
      <c r="A718" s="73"/>
      <c r="B718" s="73"/>
      <c r="C718" s="73"/>
      <c r="D718" s="73"/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73"/>
      <c r="V718" s="73"/>
      <c r="W718" s="73"/>
      <c r="X718" s="73"/>
      <c r="Y718" s="73"/>
      <c r="Z718" s="73"/>
    </row>
    <row r="719">
      <c r="A719" s="73"/>
      <c r="B719" s="73"/>
      <c r="C719" s="73"/>
      <c r="D719" s="73"/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73"/>
      <c r="V719" s="73"/>
      <c r="W719" s="73"/>
      <c r="X719" s="73"/>
      <c r="Y719" s="73"/>
      <c r="Z719" s="73"/>
    </row>
    <row r="720">
      <c r="A720" s="73"/>
      <c r="B720" s="73"/>
      <c r="C720" s="73"/>
      <c r="D720" s="73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73"/>
      <c r="U720" s="73"/>
      <c r="V720" s="73"/>
      <c r="W720" s="73"/>
      <c r="X720" s="73"/>
      <c r="Y720" s="73"/>
      <c r="Z720" s="73"/>
    </row>
    <row r="721">
      <c r="A721" s="73"/>
      <c r="B721" s="73"/>
      <c r="C721" s="73"/>
      <c r="D721" s="73"/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</row>
    <row r="722">
      <c r="A722" s="73"/>
      <c r="B722" s="73"/>
      <c r="C722" s="73"/>
      <c r="D722" s="73"/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</row>
    <row r="723">
      <c r="A723" s="73"/>
      <c r="B723" s="73"/>
      <c r="C723" s="73"/>
      <c r="D723" s="73"/>
      <c r="E723" s="73"/>
      <c r="F723" s="73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73"/>
      <c r="U723" s="73"/>
      <c r="V723" s="73"/>
      <c r="W723" s="73"/>
      <c r="X723" s="73"/>
      <c r="Y723" s="73"/>
      <c r="Z723" s="73"/>
    </row>
    <row r="724">
      <c r="A724" s="73"/>
      <c r="B724" s="73"/>
      <c r="C724" s="73"/>
      <c r="D724" s="73"/>
      <c r="E724" s="73"/>
      <c r="F724" s="73"/>
      <c r="G724" s="73"/>
      <c r="H724" s="73"/>
      <c r="I724" s="73"/>
      <c r="J724" s="73"/>
      <c r="K724" s="73"/>
      <c r="L724" s="73"/>
      <c r="M724" s="73"/>
      <c r="N724" s="73"/>
      <c r="O724" s="73"/>
      <c r="P724" s="73"/>
      <c r="Q724" s="73"/>
      <c r="R724" s="73"/>
      <c r="S724" s="73"/>
      <c r="T724" s="73"/>
      <c r="U724" s="73"/>
      <c r="V724" s="73"/>
      <c r="W724" s="73"/>
      <c r="X724" s="73"/>
      <c r="Y724" s="73"/>
      <c r="Z724" s="73"/>
    </row>
    <row r="725">
      <c r="A725" s="73"/>
      <c r="B725" s="73"/>
      <c r="C725" s="73"/>
      <c r="D725" s="73"/>
      <c r="E725" s="73"/>
      <c r="F725" s="73"/>
      <c r="G725" s="73"/>
      <c r="H725" s="73"/>
      <c r="I725" s="73"/>
      <c r="J725" s="73"/>
      <c r="K725" s="73"/>
      <c r="L725" s="73"/>
      <c r="M725" s="73"/>
      <c r="N725" s="73"/>
      <c r="O725" s="73"/>
      <c r="P725" s="73"/>
      <c r="Q725" s="73"/>
      <c r="R725" s="73"/>
      <c r="S725" s="73"/>
      <c r="T725" s="73"/>
      <c r="U725" s="73"/>
      <c r="V725" s="73"/>
      <c r="W725" s="73"/>
      <c r="X725" s="73"/>
      <c r="Y725" s="73"/>
      <c r="Z725" s="73"/>
    </row>
    <row r="726">
      <c r="A726" s="73"/>
      <c r="B726" s="73"/>
      <c r="C726" s="73"/>
      <c r="D726" s="73"/>
      <c r="E726" s="73"/>
      <c r="F726" s="73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73"/>
      <c r="U726" s="73"/>
      <c r="V726" s="73"/>
      <c r="W726" s="73"/>
      <c r="X726" s="73"/>
      <c r="Y726" s="73"/>
      <c r="Z726" s="73"/>
    </row>
    <row r="727">
      <c r="A727" s="73"/>
      <c r="B727" s="73"/>
      <c r="C727" s="73"/>
      <c r="D727" s="73"/>
      <c r="E727" s="73"/>
      <c r="F727" s="73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73"/>
      <c r="U727" s="73"/>
      <c r="V727" s="73"/>
      <c r="W727" s="73"/>
      <c r="X727" s="73"/>
      <c r="Y727" s="73"/>
      <c r="Z727" s="73"/>
    </row>
    <row r="728">
      <c r="A728" s="73"/>
      <c r="B728" s="73"/>
      <c r="C728" s="73"/>
      <c r="D728" s="73"/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</row>
    <row r="729">
      <c r="A729" s="73"/>
      <c r="B729" s="73"/>
      <c r="C729" s="73"/>
      <c r="D729" s="73"/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</row>
    <row r="730">
      <c r="A730" s="73"/>
      <c r="B730" s="73"/>
      <c r="C730" s="73"/>
      <c r="D730" s="73"/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</row>
    <row r="731">
      <c r="A731" s="73"/>
      <c r="B731" s="73"/>
      <c r="C731" s="73"/>
      <c r="D731" s="73"/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</row>
    <row r="732">
      <c r="A732" s="73"/>
      <c r="B732" s="73"/>
      <c r="C732" s="73"/>
      <c r="D732" s="73"/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</row>
    <row r="733">
      <c r="A733" s="73"/>
      <c r="B733" s="73"/>
      <c r="C733" s="73"/>
      <c r="D733" s="73"/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</row>
    <row r="734">
      <c r="A734" s="73"/>
      <c r="B734" s="73"/>
      <c r="C734" s="73"/>
      <c r="D734" s="73"/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</row>
    <row r="735">
      <c r="A735" s="73"/>
      <c r="B735" s="73"/>
      <c r="C735" s="73"/>
      <c r="D735" s="73"/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</row>
    <row r="736">
      <c r="A736" s="73"/>
      <c r="B736" s="73"/>
      <c r="C736" s="73"/>
      <c r="D736" s="73"/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</row>
    <row r="737">
      <c r="A737" s="73"/>
      <c r="B737" s="73"/>
      <c r="C737" s="73"/>
      <c r="D737" s="73"/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</row>
    <row r="738">
      <c r="A738" s="73"/>
      <c r="B738" s="73"/>
      <c r="C738" s="73"/>
      <c r="D738" s="73"/>
      <c r="E738" s="73"/>
      <c r="F738" s="73"/>
      <c r="G738" s="73"/>
      <c r="H738" s="73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73"/>
      <c r="U738" s="73"/>
      <c r="V738" s="73"/>
      <c r="W738" s="73"/>
      <c r="X738" s="73"/>
      <c r="Y738" s="73"/>
      <c r="Z738" s="73"/>
    </row>
    <row r="739">
      <c r="A739" s="73"/>
      <c r="B739" s="73"/>
      <c r="C739" s="73"/>
      <c r="D739" s="73"/>
      <c r="E739" s="73"/>
      <c r="F739" s="73"/>
      <c r="G739" s="73"/>
      <c r="H739" s="73"/>
      <c r="I739" s="73"/>
      <c r="J739" s="73"/>
      <c r="K739" s="73"/>
      <c r="L739" s="73"/>
      <c r="M739" s="73"/>
      <c r="N739" s="73"/>
      <c r="O739" s="73"/>
      <c r="P739" s="73"/>
      <c r="Q739" s="73"/>
      <c r="R739" s="73"/>
      <c r="S739" s="73"/>
      <c r="T739" s="73"/>
      <c r="U739" s="73"/>
      <c r="V739" s="73"/>
      <c r="W739" s="73"/>
      <c r="X739" s="73"/>
      <c r="Y739" s="73"/>
      <c r="Z739" s="73"/>
    </row>
    <row r="740">
      <c r="A740" s="73"/>
      <c r="B740" s="73"/>
      <c r="C740" s="73"/>
      <c r="D740" s="73"/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</row>
    <row r="741">
      <c r="A741" s="73"/>
      <c r="B741" s="73"/>
      <c r="C741" s="73"/>
      <c r="D741" s="73"/>
      <c r="E741" s="73"/>
      <c r="F741" s="73"/>
      <c r="G741" s="73"/>
      <c r="H741" s="73"/>
      <c r="I741" s="73"/>
      <c r="J741" s="73"/>
      <c r="K741" s="73"/>
      <c r="L741" s="73"/>
      <c r="M741" s="73"/>
      <c r="N741" s="73"/>
      <c r="O741" s="73"/>
      <c r="P741" s="73"/>
      <c r="Q741" s="73"/>
      <c r="R741" s="73"/>
      <c r="S741" s="73"/>
      <c r="T741" s="73"/>
      <c r="U741" s="73"/>
      <c r="V741" s="73"/>
      <c r="W741" s="73"/>
      <c r="X741" s="73"/>
      <c r="Y741" s="73"/>
      <c r="Z741" s="73"/>
    </row>
    <row r="742">
      <c r="A742" s="73"/>
      <c r="B742" s="73"/>
      <c r="C742" s="73"/>
      <c r="D742" s="73"/>
      <c r="E742" s="73"/>
      <c r="F742" s="73"/>
      <c r="G742" s="73"/>
      <c r="H742" s="73"/>
      <c r="I742" s="73"/>
      <c r="J742" s="73"/>
      <c r="K742" s="73"/>
      <c r="L742" s="73"/>
      <c r="M742" s="73"/>
      <c r="N742" s="73"/>
      <c r="O742" s="73"/>
      <c r="P742" s="73"/>
      <c r="Q742" s="73"/>
      <c r="R742" s="73"/>
      <c r="S742" s="73"/>
      <c r="T742" s="73"/>
      <c r="U742" s="73"/>
      <c r="V742" s="73"/>
      <c r="W742" s="73"/>
      <c r="X742" s="73"/>
      <c r="Y742" s="73"/>
      <c r="Z742" s="73"/>
    </row>
    <row r="743">
      <c r="A743" s="73"/>
      <c r="B743" s="73"/>
      <c r="C743" s="73"/>
      <c r="D743" s="73"/>
      <c r="E743" s="73"/>
      <c r="F743" s="73"/>
      <c r="G743" s="73"/>
      <c r="H743" s="73"/>
      <c r="I743" s="73"/>
      <c r="J743" s="73"/>
      <c r="K743" s="73"/>
      <c r="L743" s="73"/>
      <c r="M743" s="73"/>
      <c r="N743" s="73"/>
      <c r="O743" s="73"/>
      <c r="P743" s="73"/>
      <c r="Q743" s="73"/>
      <c r="R743" s="73"/>
      <c r="S743" s="73"/>
      <c r="T743" s="73"/>
      <c r="U743" s="73"/>
      <c r="V743" s="73"/>
      <c r="W743" s="73"/>
      <c r="X743" s="73"/>
      <c r="Y743" s="73"/>
      <c r="Z743" s="73"/>
    </row>
    <row r="744">
      <c r="A744" s="73"/>
      <c r="B744" s="73"/>
      <c r="C744" s="73"/>
      <c r="D744" s="73"/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73"/>
      <c r="U744" s="73"/>
      <c r="V744" s="73"/>
      <c r="W744" s="73"/>
      <c r="X744" s="73"/>
      <c r="Y744" s="73"/>
      <c r="Z744" s="73"/>
    </row>
    <row r="745">
      <c r="A745" s="73"/>
      <c r="B745" s="73"/>
      <c r="C745" s="73"/>
      <c r="D745" s="73"/>
      <c r="E745" s="73"/>
      <c r="F745" s="73"/>
      <c r="G745" s="73"/>
      <c r="H745" s="73"/>
      <c r="I745" s="73"/>
      <c r="J745" s="73"/>
      <c r="K745" s="73"/>
      <c r="L745" s="73"/>
      <c r="M745" s="73"/>
      <c r="N745" s="73"/>
      <c r="O745" s="73"/>
      <c r="P745" s="73"/>
      <c r="Q745" s="73"/>
      <c r="R745" s="73"/>
      <c r="S745" s="73"/>
      <c r="T745" s="73"/>
      <c r="U745" s="73"/>
      <c r="V745" s="73"/>
      <c r="W745" s="73"/>
      <c r="X745" s="73"/>
      <c r="Y745" s="73"/>
      <c r="Z745" s="73"/>
    </row>
    <row r="746">
      <c r="A746" s="73"/>
      <c r="B746" s="73"/>
      <c r="C746" s="73"/>
      <c r="D746" s="73"/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</row>
    <row r="747">
      <c r="A747" s="73"/>
      <c r="B747" s="73"/>
      <c r="C747" s="73"/>
      <c r="D747" s="73"/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</row>
    <row r="748">
      <c r="A748" s="73"/>
      <c r="B748" s="73"/>
      <c r="C748" s="73"/>
      <c r="D748" s="73"/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</row>
    <row r="749">
      <c r="A749" s="73"/>
      <c r="B749" s="73"/>
      <c r="C749" s="73"/>
      <c r="D749" s="73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</row>
    <row r="750">
      <c r="A750" s="73"/>
      <c r="B750" s="73"/>
      <c r="C750" s="73"/>
      <c r="D750" s="73"/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</row>
    <row r="751">
      <c r="A751" s="73"/>
      <c r="B751" s="73"/>
      <c r="C751" s="73"/>
      <c r="D751" s="73"/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</row>
    <row r="752">
      <c r="A752" s="73"/>
      <c r="B752" s="73"/>
      <c r="C752" s="73"/>
      <c r="D752" s="73"/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</row>
    <row r="753">
      <c r="A753" s="73"/>
      <c r="B753" s="73"/>
      <c r="C753" s="73"/>
      <c r="D753" s="73"/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</row>
    <row r="754">
      <c r="A754" s="73"/>
      <c r="B754" s="73"/>
      <c r="C754" s="73"/>
      <c r="D754" s="73"/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</row>
    <row r="755">
      <c r="A755" s="73"/>
      <c r="B755" s="73"/>
      <c r="C755" s="73"/>
      <c r="D755" s="73"/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73"/>
      <c r="U755" s="73"/>
      <c r="V755" s="73"/>
      <c r="W755" s="73"/>
      <c r="X755" s="73"/>
      <c r="Y755" s="73"/>
      <c r="Z755" s="73"/>
    </row>
    <row r="756">
      <c r="A756" s="73"/>
      <c r="B756" s="73"/>
      <c r="C756" s="73"/>
      <c r="D756" s="73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73"/>
      <c r="V756" s="73"/>
      <c r="W756" s="73"/>
      <c r="X756" s="73"/>
      <c r="Y756" s="73"/>
      <c r="Z756" s="73"/>
    </row>
    <row r="757">
      <c r="A757" s="73"/>
      <c r="B757" s="73"/>
      <c r="C757" s="73"/>
      <c r="D757" s="73"/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73"/>
      <c r="U757" s="73"/>
      <c r="V757" s="73"/>
      <c r="W757" s="73"/>
      <c r="X757" s="73"/>
      <c r="Y757" s="73"/>
      <c r="Z757" s="73"/>
    </row>
    <row r="758">
      <c r="A758" s="73"/>
      <c r="B758" s="73"/>
      <c r="C758" s="73"/>
      <c r="D758" s="73"/>
      <c r="E758" s="73"/>
      <c r="F758" s="73"/>
      <c r="G758" s="73"/>
      <c r="H758" s="73"/>
      <c r="I758" s="73"/>
      <c r="J758" s="73"/>
      <c r="K758" s="73"/>
      <c r="L758" s="73"/>
      <c r="M758" s="73"/>
      <c r="N758" s="73"/>
      <c r="O758" s="73"/>
      <c r="P758" s="73"/>
      <c r="Q758" s="73"/>
      <c r="R758" s="73"/>
      <c r="S758" s="73"/>
      <c r="T758" s="73"/>
      <c r="U758" s="73"/>
      <c r="V758" s="73"/>
      <c r="W758" s="73"/>
      <c r="X758" s="73"/>
      <c r="Y758" s="73"/>
      <c r="Z758" s="73"/>
    </row>
    <row r="759">
      <c r="A759" s="73"/>
      <c r="B759" s="73"/>
      <c r="C759" s="73"/>
      <c r="D759" s="73"/>
      <c r="E759" s="73"/>
      <c r="F759" s="73"/>
      <c r="G759" s="73"/>
      <c r="H759" s="73"/>
      <c r="I759" s="73"/>
      <c r="J759" s="73"/>
      <c r="K759" s="73"/>
      <c r="L759" s="73"/>
      <c r="M759" s="73"/>
      <c r="N759" s="73"/>
      <c r="O759" s="73"/>
      <c r="P759" s="73"/>
      <c r="Q759" s="73"/>
      <c r="R759" s="73"/>
      <c r="S759" s="73"/>
      <c r="T759" s="73"/>
      <c r="U759" s="73"/>
      <c r="V759" s="73"/>
      <c r="W759" s="73"/>
      <c r="X759" s="73"/>
      <c r="Y759" s="73"/>
      <c r="Z759" s="73"/>
    </row>
    <row r="760">
      <c r="A760" s="73"/>
      <c r="B760" s="73"/>
      <c r="C760" s="73"/>
      <c r="D760" s="73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73"/>
      <c r="U760" s="73"/>
      <c r="V760" s="73"/>
      <c r="W760" s="73"/>
      <c r="X760" s="73"/>
      <c r="Y760" s="73"/>
      <c r="Z760" s="73"/>
    </row>
    <row r="761">
      <c r="A761" s="73"/>
      <c r="B761" s="73"/>
      <c r="C761" s="73"/>
      <c r="D761" s="73"/>
      <c r="E761" s="73"/>
      <c r="F761" s="73"/>
      <c r="G761" s="73"/>
      <c r="H761" s="73"/>
      <c r="I761" s="73"/>
      <c r="J761" s="73"/>
      <c r="K761" s="73"/>
      <c r="L761" s="73"/>
      <c r="M761" s="73"/>
      <c r="N761" s="73"/>
      <c r="O761" s="73"/>
      <c r="P761" s="73"/>
      <c r="Q761" s="73"/>
      <c r="R761" s="73"/>
      <c r="S761" s="73"/>
      <c r="T761" s="73"/>
      <c r="U761" s="73"/>
      <c r="V761" s="73"/>
      <c r="W761" s="73"/>
      <c r="X761" s="73"/>
      <c r="Y761" s="73"/>
      <c r="Z761" s="73"/>
    </row>
    <row r="762">
      <c r="A762" s="73"/>
      <c r="B762" s="73"/>
      <c r="C762" s="73"/>
      <c r="D762" s="73"/>
      <c r="E762" s="73"/>
      <c r="F762" s="73"/>
      <c r="G762" s="73"/>
      <c r="H762" s="73"/>
      <c r="I762" s="73"/>
      <c r="J762" s="73"/>
      <c r="K762" s="73"/>
      <c r="L762" s="73"/>
      <c r="M762" s="73"/>
      <c r="N762" s="73"/>
      <c r="O762" s="73"/>
      <c r="P762" s="73"/>
      <c r="Q762" s="73"/>
      <c r="R762" s="73"/>
      <c r="S762" s="73"/>
      <c r="T762" s="73"/>
      <c r="U762" s="73"/>
      <c r="V762" s="73"/>
      <c r="W762" s="73"/>
      <c r="X762" s="73"/>
      <c r="Y762" s="73"/>
      <c r="Z762" s="73"/>
    </row>
    <row r="763">
      <c r="A763" s="73"/>
      <c r="B763" s="73"/>
      <c r="C763" s="73"/>
      <c r="D763" s="73"/>
      <c r="E763" s="73"/>
      <c r="F763" s="73"/>
      <c r="G763" s="73"/>
      <c r="H763" s="73"/>
      <c r="I763" s="73"/>
      <c r="J763" s="73"/>
      <c r="K763" s="73"/>
      <c r="L763" s="73"/>
      <c r="M763" s="73"/>
      <c r="N763" s="73"/>
      <c r="O763" s="73"/>
      <c r="P763" s="73"/>
      <c r="Q763" s="73"/>
      <c r="R763" s="73"/>
      <c r="S763" s="73"/>
      <c r="T763" s="73"/>
      <c r="U763" s="73"/>
      <c r="V763" s="73"/>
      <c r="W763" s="73"/>
      <c r="X763" s="73"/>
      <c r="Y763" s="73"/>
      <c r="Z763" s="73"/>
    </row>
    <row r="764">
      <c r="A764" s="73"/>
      <c r="B764" s="73"/>
      <c r="C764" s="73"/>
      <c r="D764" s="73"/>
      <c r="E764" s="73"/>
      <c r="F764" s="73"/>
      <c r="G764" s="73"/>
      <c r="H764" s="73"/>
      <c r="I764" s="73"/>
      <c r="J764" s="73"/>
      <c r="K764" s="73"/>
      <c r="L764" s="73"/>
      <c r="M764" s="73"/>
      <c r="N764" s="73"/>
      <c r="O764" s="73"/>
      <c r="P764" s="73"/>
      <c r="Q764" s="73"/>
      <c r="R764" s="73"/>
      <c r="S764" s="73"/>
      <c r="T764" s="73"/>
      <c r="U764" s="73"/>
      <c r="V764" s="73"/>
      <c r="W764" s="73"/>
      <c r="X764" s="73"/>
      <c r="Y764" s="73"/>
      <c r="Z764" s="73"/>
    </row>
    <row r="765">
      <c r="A765" s="73"/>
      <c r="B765" s="73"/>
      <c r="C765" s="73"/>
      <c r="D765" s="73"/>
      <c r="E765" s="73"/>
      <c r="F765" s="73"/>
      <c r="G765" s="73"/>
      <c r="H765" s="73"/>
      <c r="I765" s="73"/>
      <c r="J765" s="73"/>
      <c r="K765" s="73"/>
      <c r="L765" s="73"/>
      <c r="M765" s="73"/>
      <c r="N765" s="73"/>
      <c r="O765" s="73"/>
      <c r="P765" s="73"/>
      <c r="Q765" s="73"/>
      <c r="R765" s="73"/>
      <c r="S765" s="73"/>
      <c r="T765" s="73"/>
      <c r="U765" s="73"/>
      <c r="V765" s="73"/>
      <c r="W765" s="73"/>
      <c r="X765" s="73"/>
      <c r="Y765" s="73"/>
      <c r="Z765" s="73"/>
    </row>
    <row r="766">
      <c r="A766" s="73"/>
      <c r="B766" s="73"/>
      <c r="C766" s="73"/>
      <c r="D766" s="73"/>
      <c r="E766" s="73"/>
      <c r="F766" s="73"/>
      <c r="G766" s="73"/>
      <c r="H766" s="73"/>
      <c r="I766" s="73"/>
      <c r="J766" s="73"/>
      <c r="K766" s="73"/>
      <c r="L766" s="73"/>
      <c r="M766" s="73"/>
      <c r="N766" s="73"/>
      <c r="O766" s="73"/>
      <c r="P766" s="73"/>
      <c r="Q766" s="73"/>
      <c r="R766" s="73"/>
      <c r="S766" s="73"/>
      <c r="T766" s="73"/>
      <c r="U766" s="73"/>
      <c r="V766" s="73"/>
      <c r="W766" s="73"/>
      <c r="X766" s="73"/>
      <c r="Y766" s="73"/>
      <c r="Z766" s="73"/>
    </row>
    <row r="767">
      <c r="A767" s="73"/>
      <c r="B767" s="73"/>
      <c r="C767" s="73"/>
      <c r="D767" s="73"/>
      <c r="E767" s="73"/>
      <c r="F767" s="73"/>
      <c r="G767" s="73"/>
      <c r="H767" s="73"/>
      <c r="I767" s="73"/>
      <c r="J767" s="73"/>
      <c r="K767" s="73"/>
      <c r="L767" s="73"/>
      <c r="M767" s="73"/>
      <c r="N767" s="73"/>
      <c r="O767" s="73"/>
      <c r="P767" s="73"/>
      <c r="Q767" s="73"/>
      <c r="R767" s="73"/>
      <c r="S767" s="73"/>
      <c r="T767" s="73"/>
      <c r="U767" s="73"/>
      <c r="V767" s="73"/>
      <c r="W767" s="73"/>
      <c r="X767" s="73"/>
      <c r="Y767" s="73"/>
      <c r="Z767" s="73"/>
    </row>
    <row r="768">
      <c r="A768" s="73"/>
      <c r="B768" s="73"/>
      <c r="C768" s="73"/>
      <c r="D768" s="73"/>
      <c r="E768" s="73"/>
      <c r="F768" s="73"/>
      <c r="G768" s="73"/>
      <c r="H768" s="73"/>
      <c r="I768" s="73"/>
      <c r="J768" s="73"/>
      <c r="K768" s="73"/>
      <c r="L768" s="73"/>
      <c r="M768" s="73"/>
      <c r="N768" s="73"/>
      <c r="O768" s="73"/>
      <c r="P768" s="73"/>
      <c r="Q768" s="73"/>
      <c r="R768" s="73"/>
      <c r="S768" s="73"/>
      <c r="T768" s="73"/>
      <c r="U768" s="73"/>
      <c r="V768" s="73"/>
      <c r="W768" s="73"/>
      <c r="X768" s="73"/>
      <c r="Y768" s="73"/>
      <c r="Z768" s="73"/>
    </row>
    <row r="769">
      <c r="A769" s="73"/>
      <c r="B769" s="73"/>
      <c r="C769" s="73"/>
      <c r="D769" s="73"/>
      <c r="E769" s="73"/>
      <c r="F769" s="73"/>
      <c r="G769" s="73"/>
      <c r="H769" s="73"/>
      <c r="I769" s="73"/>
      <c r="J769" s="73"/>
      <c r="K769" s="73"/>
      <c r="L769" s="73"/>
      <c r="M769" s="73"/>
      <c r="N769" s="73"/>
      <c r="O769" s="73"/>
      <c r="P769" s="73"/>
      <c r="Q769" s="73"/>
      <c r="R769" s="73"/>
      <c r="S769" s="73"/>
      <c r="T769" s="73"/>
      <c r="U769" s="73"/>
      <c r="V769" s="73"/>
      <c r="W769" s="73"/>
      <c r="X769" s="73"/>
      <c r="Y769" s="73"/>
      <c r="Z769" s="73"/>
    </row>
    <row r="770">
      <c r="A770" s="73"/>
      <c r="B770" s="73"/>
      <c r="C770" s="73"/>
      <c r="D770" s="73"/>
      <c r="E770" s="73"/>
      <c r="F770" s="73"/>
      <c r="G770" s="73"/>
      <c r="H770" s="73"/>
      <c r="I770" s="73"/>
      <c r="J770" s="73"/>
      <c r="K770" s="73"/>
      <c r="L770" s="73"/>
      <c r="M770" s="73"/>
      <c r="N770" s="73"/>
      <c r="O770" s="73"/>
      <c r="P770" s="73"/>
      <c r="Q770" s="73"/>
      <c r="R770" s="73"/>
      <c r="S770" s="73"/>
      <c r="T770" s="73"/>
      <c r="U770" s="73"/>
      <c r="V770" s="73"/>
      <c r="W770" s="73"/>
      <c r="X770" s="73"/>
      <c r="Y770" s="73"/>
      <c r="Z770" s="73"/>
    </row>
    <row r="771">
      <c r="A771" s="73"/>
      <c r="B771" s="73"/>
      <c r="C771" s="73"/>
      <c r="D771" s="73"/>
      <c r="E771" s="73"/>
      <c r="F771" s="73"/>
      <c r="G771" s="73"/>
      <c r="H771" s="73"/>
      <c r="I771" s="73"/>
      <c r="J771" s="73"/>
      <c r="K771" s="73"/>
      <c r="L771" s="73"/>
      <c r="M771" s="73"/>
      <c r="N771" s="73"/>
      <c r="O771" s="73"/>
      <c r="P771" s="73"/>
      <c r="Q771" s="73"/>
      <c r="R771" s="73"/>
      <c r="S771" s="73"/>
      <c r="T771" s="73"/>
      <c r="U771" s="73"/>
      <c r="V771" s="73"/>
      <c r="W771" s="73"/>
      <c r="X771" s="73"/>
      <c r="Y771" s="73"/>
      <c r="Z771" s="73"/>
    </row>
    <row r="772">
      <c r="A772" s="73"/>
      <c r="B772" s="73"/>
      <c r="C772" s="73"/>
      <c r="D772" s="73"/>
      <c r="E772" s="73"/>
      <c r="F772" s="73"/>
      <c r="G772" s="73"/>
      <c r="H772" s="73"/>
      <c r="I772" s="73"/>
      <c r="J772" s="73"/>
      <c r="K772" s="73"/>
      <c r="L772" s="73"/>
      <c r="M772" s="73"/>
      <c r="N772" s="73"/>
      <c r="O772" s="73"/>
      <c r="P772" s="73"/>
      <c r="Q772" s="73"/>
      <c r="R772" s="73"/>
      <c r="S772" s="73"/>
      <c r="T772" s="73"/>
      <c r="U772" s="73"/>
      <c r="V772" s="73"/>
      <c r="W772" s="73"/>
      <c r="X772" s="73"/>
      <c r="Y772" s="73"/>
      <c r="Z772" s="73"/>
    </row>
    <row r="773">
      <c r="A773" s="73"/>
      <c r="B773" s="73"/>
      <c r="C773" s="73"/>
      <c r="D773" s="73"/>
      <c r="E773" s="73"/>
      <c r="F773" s="73"/>
      <c r="G773" s="73"/>
      <c r="H773" s="73"/>
      <c r="I773" s="73"/>
      <c r="J773" s="73"/>
      <c r="K773" s="73"/>
      <c r="L773" s="73"/>
      <c r="M773" s="73"/>
      <c r="N773" s="73"/>
      <c r="O773" s="73"/>
      <c r="P773" s="73"/>
      <c r="Q773" s="73"/>
      <c r="R773" s="73"/>
      <c r="S773" s="73"/>
      <c r="T773" s="73"/>
      <c r="U773" s="73"/>
      <c r="V773" s="73"/>
      <c r="W773" s="73"/>
      <c r="X773" s="73"/>
      <c r="Y773" s="73"/>
      <c r="Z773" s="73"/>
    </row>
    <row r="774">
      <c r="A774" s="73"/>
      <c r="B774" s="73"/>
      <c r="C774" s="73"/>
      <c r="D774" s="73"/>
      <c r="E774" s="73"/>
      <c r="F774" s="73"/>
      <c r="G774" s="73"/>
      <c r="H774" s="73"/>
      <c r="I774" s="73"/>
      <c r="J774" s="73"/>
      <c r="K774" s="73"/>
      <c r="L774" s="73"/>
      <c r="M774" s="73"/>
      <c r="N774" s="73"/>
      <c r="O774" s="73"/>
      <c r="P774" s="73"/>
      <c r="Q774" s="73"/>
      <c r="R774" s="73"/>
      <c r="S774" s="73"/>
      <c r="T774" s="73"/>
      <c r="U774" s="73"/>
      <c r="V774" s="73"/>
      <c r="W774" s="73"/>
      <c r="X774" s="73"/>
      <c r="Y774" s="73"/>
      <c r="Z774" s="73"/>
    </row>
    <row r="775">
      <c r="A775" s="73"/>
      <c r="B775" s="73"/>
      <c r="C775" s="73"/>
      <c r="D775" s="73"/>
      <c r="E775" s="73"/>
      <c r="F775" s="73"/>
      <c r="G775" s="73"/>
      <c r="H775" s="73"/>
      <c r="I775" s="73"/>
      <c r="J775" s="73"/>
      <c r="K775" s="73"/>
      <c r="L775" s="73"/>
      <c r="M775" s="73"/>
      <c r="N775" s="73"/>
      <c r="O775" s="73"/>
      <c r="P775" s="73"/>
      <c r="Q775" s="73"/>
      <c r="R775" s="73"/>
      <c r="S775" s="73"/>
      <c r="T775" s="73"/>
      <c r="U775" s="73"/>
      <c r="V775" s="73"/>
      <c r="W775" s="73"/>
      <c r="X775" s="73"/>
      <c r="Y775" s="73"/>
      <c r="Z775" s="73"/>
    </row>
    <row r="776">
      <c r="A776" s="73"/>
      <c r="B776" s="73"/>
      <c r="C776" s="73"/>
      <c r="D776" s="73"/>
      <c r="E776" s="73"/>
      <c r="F776" s="73"/>
      <c r="G776" s="73"/>
      <c r="H776" s="73"/>
      <c r="I776" s="73"/>
      <c r="J776" s="73"/>
      <c r="K776" s="73"/>
      <c r="L776" s="73"/>
      <c r="M776" s="73"/>
      <c r="N776" s="73"/>
      <c r="O776" s="73"/>
      <c r="P776" s="73"/>
      <c r="Q776" s="73"/>
      <c r="R776" s="73"/>
      <c r="S776" s="73"/>
      <c r="T776" s="73"/>
      <c r="U776" s="73"/>
      <c r="V776" s="73"/>
      <c r="W776" s="73"/>
      <c r="X776" s="73"/>
      <c r="Y776" s="73"/>
      <c r="Z776" s="73"/>
    </row>
    <row r="777">
      <c r="A777" s="73"/>
      <c r="B777" s="73"/>
      <c r="C777" s="73"/>
      <c r="D777" s="73"/>
      <c r="E777" s="73"/>
      <c r="F777" s="73"/>
      <c r="G777" s="73"/>
      <c r="H777" s="73"/>
      <c r="I777" s="73"/>
      <c r="J777" s="73"/>
      <c r="K777" s="73"/>
      <c r="L777" s="73"/>
      <c r="M777" s="73"/>
      <c r="N777" s="73"/>
      <c r="O777" s="73"/>
      <c r="P777" s="73"/>
      <c r="Q777" s="73"/>
      <c r="R777" s="73"/>
      <c r="S777" s="73"/>
      <c r="T777" s="73"/>
      <c r="U777" s="73"/>
      <c r="V777" s="73"/>
      <c r="W777" s="73"/>
      <c r="X777" s="73"/>
      <c r="Y777" s="73"/>
      <c r="Z777" s="73"/>
    </row>
    <row r="778">
      <c r="A778" s="73"/>
      <c r="B778" s="73"/>
      <c r="C778" s="73"/>
      <c r="D778" s="73"/>
      <c r="E778" s="73"/>
      <c r="F778" s="73"/>
      <c r="G778" s="73"/>
      <c r="H778" s="73"/>
      <c r="I778" s="73"/>
      <c r="J778" s="73"/>
      <c r="K778" s="73"/>
      <c r="L778" s="73"/>
      <c r="M778" s="73"/>
      <c r="N778" s="73"/>
      <c r="O778" s="73"/>
      <c r="P778" s="73"/>
      <c r="Q778" s="73"/>
      <c r="R778" s="73"/>
      <c r="S778" s="73"/>
      <c r="T778" s="73"/>
      <c r="U778" s="73"/>
      <c r="V778" s="73"/>
      <c r="W778" s="73"/>
      <c r="X778" s="73"/>
      <c r="Y778" s="73"/>
      <c r="Z778" s="73"/>
    </row>
    <row r="779">
      <c r="A779" s="73"/>
      <c r="B779" s="73"/>
      <c r="C779" s="73"/>
      <c r="D779" s="73"/>
      <c r="E779" s="73"/>
      <c r="F779" s="73"/>
      <c r="G779" s="73"/>
      <c r="H779" s="73"/>
      <c r="I779" s="73"/>
      <c r="J779" s="73"/>
      <c r="K779" s="73"/>
      <c r="L779" s="73"/>
      <c r="M779" s="73"/>
      <c r="N779" s="73"/>
      <c r="O779" s="73"/>
      <c r="P779" s="73"/>
      <c r="Q779" s="73"/>
      <c r="R779" s="73"/>
      <c r="S779" s="73"/>
      <c r="T779" s="73"/>
      <c r="U779" s="73"/>
      <c r="V779" s="73"/>
      <c r="W779" s="73"/>
      <c r="X779" s="73"/>
      <c r="Y779" s="73"/>
      <c r="Z779" s="73"/>
    </row>
    <row r="780">
      <c r="A780" s="73"/>
      <c r="B780" s="73"/>
      <c r="C780" s="73"/>
      <c r="D780" s="73"/>
      <c r="E780" s="73"/>
      <c r="F780" s="73"/>
      <c r="G780" s="73"/>
      <c r="H780" s="73"/>
      <c r="I780" s="73"/>
      <c r="J780" s="73"/>
      <c r="K780" s="73"/>
      <c r="L780" s="73"/>
      <c r="M780" s="73"/>
      <c r="N780" s="73"/>
      <c r="O780" s="73"/>
      <c r="P780" s="73"/>
      <c r="Q780" s="73"/>
      <c r="R780" s="73"/>
      <c r="S780" s="73"/>
      <c r="T780" s="73"/>
      <c r="U780" s="73"/>
      <c r="V780" s="73"/>
      <c r="W780" s="73"/>
      <c r="X780" s="73"/>
      <c r="Y780" s="73"/>
      <c r="Z780" s="73"/>
    </row>
    <row r="781">
      <c r="A781" s="73"/>
      <c r="B781" s="73"/>
      <c r="C781" s="73"/>
      <c r="D781" s="73"/>
      <c r="E781" s="73"/>
      <c r="F781" s="73"/>
      <c r="G781" s="73"/>
      <c r="H781" s="73"/>
      <c r="I781" s="73"/>
      <c r="J781" s="73"/>
      <c r="K781" s="73"/>
      <c r="L781" s="73"/>
      <c r="M781" s="73"/>
      <c r="N781" s="73"/>
      <c r="O781" s="73"/>
      <c r="P781" s="73"/>
      <c r="Q781" s="73"/>
      <c r="R781" s="73"/>
      <c r="S781" s="73"/>
      <c r="T781" s="73"/>
      <c r="U781" s="73"/>
      <c r="V781" s="73"/>
      <c r="W781" s="73"/>
      <c r="X781" s="73"/>
      <c r="Y781" s="73"/>
      <c r="Z781" s="73"/>
    </row>
    <row r="782">
      <c r="A782" s="73"/>
      <c r="B782" s="73"/>
      <c r="C782" s="73"/>
      <c r="D782" s="73"/>
      <c r="E782" s="73"/>
      <c r="F782" s="73"/>
      <c r="G782" s="73"/>
      <c r="H782" s="73"/>
      <c r="I782" s="73"/>
      <c r="J782" s="73"/>
      <c r="K782" s="73"/>
      <c r="L782" s="73"/>
      <c r="M782" s="73"/>
      <c r="N782" s="73"/>
      <c r="O782" s="73"/>
      <c r="P782" s="73"/>
      <c r="Q782" s="73"/>
      <c r="R782" s="73"/>
      <c r="S782" s="73"/>
      <c r="T782" s="73"/>
      <c r="U782" s="73"/>
      <c r="V782" s="73"/>
      <c r="W782" s="73"/>
      <c r="X782" s="73"/>
      <c r="Y782" s="73"/>
      <c r="Z782" s="73"/>
    </row>
    <row r="783">
      <c r="A783" s="73"/>
      <c r="B783" s="73"/>
      <c r="C783" s="73"/>
      <c r="D783" s="73"/>
      <c r="E783" s="73"/>
      <c r="F783" s="73"/>
      <c r="G783" s="73"/>
      <c r="H783" s="73"/>
      <c r="I783" s="73"/>
      <c r="J783" s="73"/>
      <c r="K783" s="73"/>
      <c r="L783" s="73"/>
      <c r="M783" s="73"/>
      <c r="N783" s="73"/>
      <c r="O783" s="73"/>
      <c r="P783" s="73"/>
      <c r="Q783" s="73"/>
      <c r="R783" s="73"/>
      <c r="S783" s="73"/>
      <c r="T783" s="73"/>
      <c r="U783" s="73"/>
      <c r="V783" s="73"/>
      <c r="W783" s="73"/>
      <c r="X783" s="73"/>
      <c r="Y783" s="73"/>
      <c r="Z783" s="73"/>
    </row>
    <row r="784">
      <c r="A784" s="73"/>
      <c r="B784" s="73"/>
      <c r="C784" s="73"/>
      <c r="D784" s="73"/>
      <c r="E784" s="73"/>
      <c r="F784" s="73"/>
      <c r="G784" s="73"/>
      <c r="H784" s="73"/>
      <c r="I784" s="73"/>
      <c r="J784" s="73"/>
      <c r="K784" s="73"/>
      <c r="L784" s="73"/>
      <c r="M784" s="73"/>
      <c r="N784" s="73"/>
      <c r="O784" s="73"/>
      <c r="P784" s="73"/>
      <c r="Q784" s="73"/>
      <c r="R784" s="73"/>
      <c r="S784" s="73"/>
      <c r="T784" s="73"/>
      <c r="U784" s="73"/>
      <c r="V784" s="73"/>
      <c r="W784" s="73"/>
      <c r="X784" s="73"/>
      <c r="Y784" s="73"/>
      <c r="Z784" s="73"/>
    </row>
    <row r="785">
      <c r="A785" s="73"/>
      <c r="B785" s="73"/>
      <c r="C785" s="73"/>
      <c r="D785" s="73"/>
      <c r="E785" s="73"/>
      <c r="F785" s="73"/>
      <c r="G785" s="73"/>
      <c r="H785" s="73"/>
      <c r="I785" s="73"/>
      <c r="J785" s="73"/>
      <c r="K785" s="73"/>
      <c r="L785" s="73"/>
      <c r="M785" s="73"/>
      <c r="N785" s="73"/>
      <c r="O785" s="73"/>
      <c r="P785" s="73"/>
      <c r="Q785" s="73"/>
      <c r="R785" s="73"/>
      <c r="S785" s="73"/>
      <c r="T785" s="73"/>
      <c r="U785" s="73"/>
      <c r="V785" s="73"/>
      <c r="W785" s="73"/>
      <c r="X785" s="73"/>
      <c r="Y785" s="73"/>
      <c r="Z785" s="73"/>
    </row>
    <row r="786">
      <c r="A786" s="73"/>
      <c r="B786" s="73"/>
      <c r="C786" s="73"/>
      <c r="D786" s="73"/>
      <c r="E786" s="73"/>
      <c r="F786" s="73"/>
      <c r="G786" s="73"/>
      <c r="H786" s="73"/>
      <c r="I786" s="73"/>
      <c r="J786" s="73"/>
      <c r="K786" s="73"/>
      <c r="L786" s="73"/>
      <c r="M786" s="73"/>
      <c r="N786" s="73"/>
      <c r="O786" s="73"/>
      <c r="P786" s="73"/>
      <c r="Q786" s="73"/>
      <c r="R786" s="73"/>
      <c r="S786" s="73"/>
      <c r="T786" s="73"/>
      <c r="U786" s="73"/>
      <c r="V786" s="73"/>
      <c r="W786" s="73"/>
      <c r="X786" s="73"/>
      <c r="Y786" s="73"/>
      <c r="Z786" s="73"/>
    </row>
    <row r="787">
      <c r="A787" s="73"/>
      <c r="B787" s="73"/>
      <c r="C787" s="73"/>
      <c r="D787" s="73"/>
      <c r="E787" s="73"/>
      <c r="F787" s="73"/>
      <c r="G787" s="73"/>
      <c r="H787" s="73"/>
      <c r="I787" s="73"/>
      <c r="J787" s="73"/>
      <c r="K787" s="73"/>
      <c r="L787" s="73"/>
      <c r="M787" s="73"/>
      <c r="N787" s="73"/>
      <c r="O787" s="73"/>
      <c r="P787" s="73"/>
      <c r="Q787" s="73"/>
      <c r="R787" s="73"/>
      <c r="S787" s="73"/>
      <c r="T787" s="73"/>
      <c r="U787" s="73"/>
      <c r="V787" s="73"/>
      <c r="W787" s="73"/>
      <c r="X787" s="73"/>
      <c r="Y787" s="73"/>
      <c r="Z787" s="73"/>
    </row>
    <row r="788">
      <c r="A788" s="73"/>
      <c r="B788" s="73"/>
      <c r="C788" s="73"/>
      <c r="D788" s="73"/>
      <c r="E788" s="73"/>
      <c r="F788" s="73"/>
      <c r="G788" s="73"/>
      <c r="H788" s="73"/>
      <c r="I788" s="73"/>
      <c r="J788" s="73"/>
      <c r="K788" s="73"/>
      <c r="L788" s="73"/>
      <c r="M788" s="73"/>
      <c r="N788" s="73"/>
      <c r="O788" s="73"/>
      <c r="P788" s="73"/>
      <c r="Q788" s="73"/>
      <c r="R788" s="73"/>
      <c r="S788" s="73"/>
      <c r="T788" s="73"/>
      <c r="U788" s="73"/>
      <c r="V788" s="73"/>
      <c r="W788" s="73"/>
      <c r="X788" s="73"/>
      <c r="Y788" s="73"/>
      <c r="Z788" s="73"/>
    </row>
    <row r="789">
      <c r="A789" s="73"/>
      <c r="B789" s="73"/>
      <c r="C789" s="73"/>
      <c r="D789" s="73"/>
      <c r="E789" s="73"/>
      <c r="F789" s="73"/>
      <c r="G789" s="73"/>
      <c r="H789" s="73"/>
      <c r="I789" s="73"/>
      <c r="J789" s="73"/>
      <c r="K789" s="73"/>
      <c r="L789" s="73"/>
      <c r="M789" s="73"/>
      <c r="N789" s="73"/>
      <c r="O789" s="73"/>
      <c r="P789" s="73"/>
      <c r="Q789" s="73"/>
      <c r="R789" s="73"/>
      <c r="S789" s="73"/>
      <c r="T789" s="73"/>
      <c r="U789" s="73"/>
      <c r="V789" s="73"/>
      <c r="W789" s="73"/>
      <c r="X789" s="73"/>
      <c r="Y789" s="73"/>
      <c r="Z789" s="73"/>
    </row>
    <row r="790">
      <c r="A790" s="73"/>
      <c r="B790" s="73"/>
      <c r="C790" s="73"/>
      <c r="D790" s="73"/>
      <c r="E790" s="73"/>
      <c r="F790" s="73"/>
      <c r="G790" s="73"/>
      <c r="H790" s="73"/>
      <c r="I790" s="73"/>
      <c r="J790" s="73"/>
      <c r="K790" s="73"/>
      <c r="L790" s="73"/>
      <c r="M790" s="73"/>
      <c r="N790" s="73"/>
      <c r="O790" s="73"/>
      <c r="P790" s="73"/>
      <c r="Q790" s="73"/>
      <c r="R790" s="73"/>
      <c r="S790" s="73"/>
      <c r="T790" s="73"/>
      <c r="U790" s="73"/>
      <c r="V790" s="73"/>
      <c r="W790" s="73"/>
      <c r="X790" s="73"/>
      <c r="Y790" s="73"/>
      <c r="Z790" s="73"/>
    </row>
    <row r="791">
      <c r="A791" s="73"/>
      <c r="B791" s="73"/>
      <c r="C791" s="73"/>
      <c r="D791" s="73"/>
      <c r="E791" s="73"/>
      <c r="F791" s="73"/>
      <c r="G791" s="73"/>
      <c r="H791" s="73"/>
      <c r="I791" s="73"/>
      <c r="J791" s="73"/>
      <c r="K791" s="73"/>
      <c r="L791" s="73"/>
      <c r="M791" s="73"/>
      <c r="N791" s="73"/>
      <c r="O791" s="73"/>
      <c r="P791" s="73"/>
      <c r="Q791" s="73"/>
      <c r="R791" s="73"/>
      <c r="S791" s="73"/>
      <c r="T791" s="73"/>
      <c r="U791" s="73"/>
      <c r="V791" s="73"/>
      <c r="W791" s="73"/>
      <c r="X791" s="73"/>
      <c r="Y791" s="73"/>
      <c r="Z791" s="73"/>
    </row>
    <row r="792">
      <c r="A792" s="73"/>
      <c r="B792" s="73"/>
      <c r="C792" s="73"/>
      <c r="D792" s="73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73"/>
      <c r="V792" s="73"/>
      <c r="W792" s="73"/>
      <c r="X792" s="73"/>
      <c r="Y792" s="73"/>
      <c r="Z792" s="73"/>
    </row>
    <row r="793">
      <c r="A793" s="73"/>
      <c r="B793" s="73"/>
      <c r="C793" s="73"/>
      <c r="D793" s="73"/>
      <c r="E793" s="73"/>
      <c r="F793" s="73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73"/>
      <c r="U793" s="73"/>
      <c r="V793" s="73"/>
      <c r="W793" s="73"/>
      <c r="X793" s="73"/>
      <c r="Y793" s="73"/>
      <c r="Z793" s="73"/>
    </row>
    <row r="794">
      <c r="A794" s="73"/>
      <c r="B794" s="73"/>
      <c r="C794" s="73"/>
      <c r="D794" s="73"/>
      <c r="E794" s="73"/>
      <c r="F794" s="73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73"/>
      <c r="U794" s="73"/>
      <c r="V794" s="73"/>
      <c r="W794" s="73"/>
      <c r="X794" s="73"/>
      <c r="Y794" s="73"/>
      <c r="Z794" s="73"/>
    </row>
    <row r="795">
      <c r="A795" s="73"/>
      <c r="B795" s="73"/>
      <c r="C795" s="73"/>
      <c r="D795" s="73"/>
      <c r="E795" s="73"/>
      <c r="F795" s="73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73"/>
      <c r="U795" s="73"/>
      <c r="V795" s="73"/>
      <c r="W795" s="73"/>
      <c r="X795" s="73"/>
      <c r="Y795" s="73"/>
      <c r="Z795" s="73"/>
    </row>
    <row r="796">
      <c r="A796" s="73"/>
      <c r="B796" s="73"/>
      <c r="C796" s="73"/>
      <c r="D796" s="73"/>
      <c r="E796" s="73"/>
      <c r="F796" s="73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73"/>
      <c r="U796" s="73"/>
      <c r="V796" s="73"/>
      <c r="W796" s="73"/>
      <c r="X796" s="73"/>
      <c r="Y796" s="73"/>
      <c r="Z796" s="73"/>
    </row>
    <row r="797">
      <c r="A797" s="73"/>
      <c r="B797" s="73"/>
      <c r="C797" s="73"/>
      <c r="D797" s="73"/>
      <c r="E797" s="73"/>
      <c r="F797" s="73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73"/>
      <c r="U797" s="73"/>
      <c r="V797" s="73"/>
      <c r="W797" s="73"/>
      <c r="X797" s="73"/>
      <c r="Y797" s="73"/>
      <c r="Z797" s="73"/>
    </row>
    <row r="798">
      <c r="A798" s="73"/>
      <c r="B798" s="73"/>
      <c r="C798" s="73"/>
      <c r="D798" s="73"/>
      <c r="E798" s="73"/>
      <c r="F798" s="73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73"/>
      <c r="U798" s="73"/>
      <c r="V798" s="73"/>
      <c r="W798" s="73"/>
      <c r="X798" s="73"/>
      <c r="Y798" s="73"/>
      <c r="Z798" s="73"/>
    </row>
    <row r="799">
      <c r="A799" s="73"/>
      <c r="B799" s="73"/>
      <c r="C799" s="73"/>
      <c r="D799" s="73"/>
      <c r="E799" s="73"/>
      <c r="F799" s="73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73"/>
      <c r="U799" s="73"/>
      <c r="V799" s="73"/>
      <c r="W799" s="73"/>
      <c r="X799" s="73"/>
      <c r="Y799" s="73"/>
      <c r="Z799" s="73"/>
    </row>
    <row r="800">
      <c r="A800" s="73"/>
      <c r="B800" s="73"/>
      <c r="C800" s="73"/>
      <c r="D800" s="73"/>
      <c r="E800" s="73"/>
      <c r="F800" s="73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73"/>
      <c r="U800" s="73"/>
      <c r="V800" s="73"/>
      <c r="W800" s="73"/>
      <c r="X800" s="73"/>
      <c r="Y800" s="73"/>
      <c r="Z800" s="73"/>
    </row>
    <row r="801">
      <c r="A801" s="73"/>
      <c r="B801" s="73"/>
      <c r="C801" s="73"/>
      <c r="D801" s="73"/>
      <c r="E801" s="73"/>
      <c r="F801" s="73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73"/>
      <c r="U801" s="73"/>
      <c r="V801" s="73"/>
      <c r="W801" s="73"/>
      <c r="X801" s="73"/>
      <c r="Y801" s="73"/>
      <c r="Z801" s="73"/>
    </row>
    <row r="802">
      <c r="A802" s="73"/>
      <c r="B802" s="73"/>
      <c r="C802" s="73"/>
      <c r="D802" s="73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73"/>
      <c r="U802" s="73"/>
      <c r="V802" s="73"/>
      <c r="W802" s="73"/>
      <c r="X802" s="73"/>
      <c r="Y802" s="73"/>
      <c r="Z802" s="73"/>
    </row>
    <row r="803">
      <c r="A803" s="73"/>
      <c r="B803" s="73"/>
      <c r="C803" s="73"/>
      <c r="D803" s="73"/>
      <c r="E803" s="73"/>
      <c r="F803" s="73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73"/>
      <c r="U803" s="73"/>
      <c r="V803" s="73"/>
      <c r="W803" s="73"/>
      <c r="X803" s="73"/>
      <c r="Y803" s="73"/>
      <c r="Z803" s="73"/>
    </row>
    <row r="804">
      <c r="A804" s="73"/>
      <c r="B804" s="73"/>
      <c r="C804" s="73"/>
      <c r="D804" s="73"/>
      <c r="E804" s="73"/>
      <c r="F804" s="73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73"/>
      <c r="U804" s="73"/>
      <c r="V804" s="73"/>
      <c r="W804" s="73"/>
      <c r="X804" s="73"/>
      <c r="Y804" s="73"/>
      <c r="Z804" s="73"/>
    </row>
    <row r="805">
      <c r="A805" s="73"/>
      <c r="B805" s="73"/>
      <c r="C805" s="73"/>
      <c r="D805" s="73"/>
      <c r="E805" s="73"/>
      <c r="F805" s="73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73"/>
      <c r="U805" s="73"/>
      <c r="V805" s="73"/>
      <c r="W805" s="73"/>
      <c r="X805" s="73"/>
      <c r="Y805" s="73"/>
      <c r="Z805" s="73"/>
    </row>
    <row r="806">
      <c r="A806" s="73"/>
      <c r="B806" s="73"/>
      <c r="C806" s="73"/>
      <c r="D806" s="73"/>
      <c r="E806" s="73"/>
      <c r="F806" s="73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73"/>
      <c r="U806" s="73"/>
      <c r="V806" s="73"/>
      <c r="W806" s="73"/>
      <c r="X806" s="73"/>
      <c r="Y806" s="73"/>
      <c r="Z806" s="73"/>
    </row>
    <row r="807">
      <c r="A807" s="73"/>
      <c r="B807" s="73"/>
      <c r="C807" s="73"/>
      <c r="D807" s="73"/>
      <c r="E807" s="73"/>
      <c r="F807" s="73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73"/>
      <c r="U807" s="73"/>
      <c r="V807" s="73"/>
      <c r="W807" s="73"/>
      <c r="X807" s="73"/>
      <c r="Y807" s="73"/>
      <c r="Z807" s="73"/>
    </row>
    <row r="808">
      <c r="A808" s="73"/>
      <c r="B808" s="73"/>
      <c r="C808" s="73"/>
      <c r="D808" s="73"/>
      <c r="E808" s="73"/>
      <c r="F808" s="73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73"/>
      <c r="U808" s="73"/>
      <c r="V808" s="73"/>
      <c r="W808" s="73"/>
      <c r="X808" s="73"/>
      <c r="Y808" s="73"/>
      <c r="Z808" s="73"/>
    </row>
    <row r="809">
      <c r="A809" s="73"/>
      <c r="B809" s="73"/>
      <c r="C809" s="73"/>
      <c r="D809" s="73"/>
      <c r="E809" s="73"/>
      <c r="F809" s="73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73"/>
      <c r="U809" s="73"/>
      <c r="V809" s="73"/>
      <c r="W809" s="73"/>
      <c r="X809" s="73"/>
      <c r="Y809" s="73"/>
      <c r="Z809" s="73"/>
    </row>
    <row r="810">
      <c r="A810" s="73"/>
      <c r="B810" s="73"/>
      <c r="C810" s="73"/>
      <c r="D810" s="73"/>
      <c r="E810" s="73"/>
      <c r="F810" s="73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73"/>
      <c r="U810" s="73"/>
      <c r="V810" s="73"/>
      <c r="W810" s="73"/>
      <c r="X810" s="73"/>
      <c r="Y810" s="73"/>
      <c r="Z810" s="73"/>
    </row>
    <row r="811">
      <c r="A811" s="73"/>
      <c r="B811" s="73"/>
      <c r="C811" s="73"/>
      <c r="D811" s="73"/>
      <c r="E811" s="73"/>
      <c r="F811" s="73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73"/>
      <c r="U811" s="73"/>
      <c r="V811" s="73"/>
      <c r="W811" s="73"/>
      <c r="X811" s="73"/>
      <c r="Y811" s="73"/>
      <c r="Z811" s="73"/>
    </row>
    <row r="812">
      <c r="A812" s="73"/>
      <c r="B812" s="73"/>
      <c r="C812" s="73"/>
      <c r="D812" s="73"/>
      <c r="E812" s="73"/>
      <c r="F812" s="73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73"/>
      <c r="U812" s="73"/>
      <c r="V812" s="73"/>
      <c r="W812" s="73"/>
      <c r="X812" s="73"/>
      <c r="Y812" s="73"/>
      <c r="Z812" s="73"/>
    </row>
    <row r="813">
      <c r="A813" s="73"/>
      <c r="B813" s="73"/>
      <c r="C813" s="73"/>
      <c r="D813" s="73"/>
      <c r="E813" s="73"/>
      <c r="F813" s="73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73"/>
      <c r="U813" s="73"/>
      <c r="V813" s="73"/>
      <c r="W813" s="73"/>
      <c r="X813" s="73"/>
      <c r="Y813" s="73"/>
      <c r="Z813" s="73"/>
    </row>
    <row r="814">
      <c r="A814" s="73"/>
      <c r="B814" s="73"/>
      <c r="C814" s="73"/>
      <c r="D814" s="73"/>
      <c r="E814" s="73"/>
      <c r="F814" s="73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73"/>
      <c r="U814" s="73"/>
      <c r="V814" s="73"/>
      <c r="W814" s="73"/>
      <c r="X814" s="73"/>
      <c r="Y814" s="73"/>
      <c r="Z814" s="73"/>
    </row>
    <row r="815">
      <c r="A815" s="73"/>
      <c r="B815" s="73"/>
      <c r="C815" s="73"/>
      <c r="D815" s="73"/>
      <c r="E815" s="73"/>
      <c r="F815" s="73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73"/>
      <c r="U815" s="73"/>
      <c r="V815" s="73"/>
      <c r="W815" s="73"/>
      <c r="X815" s="73"/>
      <c r="Y815" s="73"/>
      <c r="Z815" s="73"/>
    </row>
    <row r="816">
      <c r="A816" s="73"/>
      <c r="B816" s="73"/>
      <c r="C816" s="73"/>
      <c r="D816" s="73"/>
      <c r="E816" s="73"/>
      <c r="F816" s="73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73"/>
      <c r="U816" s="73"/>
      <c r="V816" s="73"/>
      <c r="W816" s="73"/>
      <c r="X816" s="73"/>
      <c r="Y816" s="73"/>
      <c r="Z816" s="73"/>
    </row>
    <row r="817">
      <c r="A817" s="73"/>
      <c r="B817" s="73"/>
      <c r="C817" s="73"/>
      <c r="D817" s="73"/>
      <c r="E817" s="73"/>
      <c r="F817" s="73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73"/>
      <c r="U817" s="73"/>
      <c r="V817" s="73"/>
      <c r="W817" s="73"/>
      <c r="X817" s="73"/>
      <c r="Y817" s="73"/>
      <c r="Z817" s="73"/>
    </row>
    <row r="818">
      <c r="A818" s="73"/>
      <c r="B818" s="73"/>
      <c r="C818" s="73"/>
      <c r="D818" s="73"/>
      <c r="E818" s="73"/>
      <c r="F818" s="73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73"/>
      <c r="U818" s="73"/>
      <c r="V818" s="73"/>
      <c r="W818" s="73"/>
      <c r="X818" s="73"/>
      <c r="Y818" s="73"/>
      <c r="Z818" s="73"/>
    </row>
    <row r="819">
      <c r="A819" s="73"/>
      <c r="B819" s="73"/>
      <c r="C819" s="73"/>
      <c r="D819" s="73"/>
      <c r="E819" s="73"/>
      <c r="F819" s="73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73"/>
      <c r="U819" s="73"/>
      <c r="V819" s="73"/>
      <c r="W819" s="73"/>
      <c r="X819" s="73"/>
      <c r="Y819" s="73"/>
      <c r="Z819" s="73"/>
    </row>
    <row r="820">
      <c r="A820" s="73"/>
      <c r="B820" s="73"/>
      <c r="C820" s="73"/>
      <c r="D820" s="73"/>
      <c r="E820" s="73"/>
      <c r="F820" s="73"/>
      <c r="G820" s="73"/>
      <c r="H820" s="73"/>
      <c r="I820" s="73"/>
      <c r="J820" s="73"/>
      <c r="K820" s="73"/>
      <c r="L820" s="73"/>
      <c r="M820" s="73"/>
      <c r="N820" s="73"/>
      <c r="O820" s="73"/>
      <c r="P820" s="73"/>
      <c r="Q820" s="73"/>
      <c r="R820" s="73"/>
      <c r="S820" s="73"/>
      <c r="T820" s="73"/>
      <c r="U820" s="73"/>
      <c r="V820" s="73"/>
      <c r="W820" s="73"/>
      <c r="X820" s="73"/>
      <c r="Y820" s="73"/>
      <c r="Z820" s="73"/>
    </row>
    <row r="821">
      <c r="A821" s="73"/>
      <c r="B821" s="73"/>
      <c r="C821" s="73"/>
      <c r="D821" s="73"/>
      <c r="E821" s="73"/>
      <c r="F821" s="73"/>
      <c r="G821" s="73"/>
      <c r="H821" s="73"/>
      <c r="I821" s="73"/>
      <c r="J821" s="73"/>
      <c r="K821" s="73"/>
      <c r="L821" s="73"/>
      <c r="M821" s="73"/>
      <c r="N821" s="73"/>
      <c r="O821" s="73"/>
      <c r="P821" s="73"/>
      <c r="Q821" s="73"/>
      <c r="R821" s="73"/>
      <c r="S821" s="73"/>
      <c r="T821" s="73"/>
      <c r="U821" s="73"/>
      <c r="V821" s="73"/>
      <c r="W821" s="73"/>
      <c r="X821" s="73"/>
      <c r="Y821" s="73"/>
      <c r="Z821" s="73"/>
    </row>
    <row r="822">
      <c r="A822" s="73"/>
      <c r="B822" s="73"/>
      <c r="C822" s="73"/>
      <c r="D822" s="73"/>
      <c r="E822" s="73"/>
      <c r="F822" s="73"/>
      <c r="G822" s="73"/>
      <c r="H822" s="73"/>
      <c r="I822" s="73"/>
      <c r="J822" s="73"/>
      <c r="K822" s="73"/>
      <c r="L822" s="73"/>
      <c r="M822" s="73"/>
      <c r="N822" s="73"/>
      <c r="O822" s="73"/>
      <c r="P822" s="73"/>
      <c r="Q822" s="73"/>
      <c r="R822" s="73"/>
      <c r="S822" s="73"/>
      <c r="T822" s="73"/>
      <c r="U822" s="73"/>
      <c r="V822" s="73"/>
      <c r="W822" s="73"/>
      <c r="X822" s="73"/>
      <c r="Y822" s="73"/>
      <c r="Z822" s="73"/>
    </row>
    <row r="823">
      <c r="A823" s="73"/>
      <c r="B823" s="73"/>
      <c r="C823" s="73"/>
      <c r="D823" s="73"/>
      <c r="E823" s="73"/>
      <c r="F823" s="73"/>
      <c r="G823" s="73"/>
      <c r="H823" s="73"/>
      <c r="I823" s="73"/>
      <c r="J823" s="73"/>
      <c r="K823" s="73"/>
      <c r="L823" s="73"/>
      <c r="M823" s="73"/>
      <c r="N823" s="73"/>
      <c r="O823" s="73"/>
      <c r="P823" s="73"/>
      <c r="Q823" s="73"/>
      <c r="R823" s="73"/>
      <c r="S823" s="73"/>
      <c r="T823" s="73"/>
      <c r="U823" s="73"/>
      <c r="V823" s="73"/>
      <c r="W823" s="73"/>
      <c r="X823" s="73"/>
      <c r="Y823" s="73"/>
      <c r="Z823" s="73"/>
    </row>
    <row r="824">
      <c r="A824" s="73"/>
      <c r="B824" s="73"/>
      <c r="C824" s="73"/>
      <c r="D824" s="73"/>
      <c r="E824" s="73"/>
      <c r="F824" s="73"/>
      <c r="G824" s="73"/>
      <c r="H824" s="73"/>
      <c r="I824" s="73"/>
      <c r="J824" s="73"/>
      <c r="K824" s="73"/>
      <c r="L824" s="73"/>
      <c r="M824" s="73"/>
      <c r="N824" s="73"/>
      <c r="O824" s="73"/>
      <c r="P824" s="73"/>
      <c r="Q824" s="73"/>
      <c r="R824" s="73"/>
      <c r="S824" s="73"/>
      <c r="T824" s="73"/>
      <c r="U824" s="73"/>
      <c r="V824" s="73"/>
      <c r="W824" s="73"/>
      <c r="X824" s="73"/>
      <c r="Y824" s="73"/>
      <c r="Z824" s="73"/>
    </row>
    <row r="825">
      <c r="A825" s="73"/>
      <c r="B825" s="73"/>
      <c r="C825" s="73"/>
      <c r="D825" s="73"/>
      <c r="E825" s="73"/>
      <c r="F825" s="73"/>
      <c r="G825" s="73"/>
      <c r="H825" s="73"/>
      <c r="I825" s="73"/>
      <c r="J825" s="73"/>
      <c r="K825" s="73"/>
      <c r="L825" s="73"/>
      <c r="M825" s="73"/>
      <c r="N825" s="73"/>
      <c r="O825" s="73"/>
      <c r="P825" s="73"/>
      <c r="Q825" s="73"/>
      <c r="R825" s="73"/>
      <c r="S825" s="73"/>
      <c r="T825" s="73"/>
      <c r="U825" s="73"/>
      <c r="V825" s="73"/>
      <c r="W825" s="73"/>
      <c r="X825" s="73"/>
      <c r="Y825" s="73"/>
      <c r="Z825" s="73"/>
    </row>
    <row r="826">
      <c r="A826" s="73"/>
      <c r="B826" s="73"/>
      <c r="C826" s="73"/>
      <c r="D826" s="73"/>
      <c r="E826" s="73"/>
      <c r="F826" s="73"/>
      <c r="G826" s="73"/>
      <c r="H826" s="73"/>
      <c r="I826" s="73"/>
      <c r="J826" s="73"/>
      <c r="K826" s="73"/>
      <c r="L826" s="73"/>
      <c r="M826" s="73"/>
      <c r="N826" s="73"/>
      <c r="O826" s="73"/>
      <c r="P826" s="73"/>
      <c r="Q826" s="73"/>
      <c r="R826" s="73"/>
      <c r="S826" s="73"/>
      <c r="T826" s="73"/>
      <c r="U826" s="73"/>
      <c r="V826" s="73"/>
      <c r="W826" s="73"/>
      <c r="X826" s="73"/>
      <c r="Y826" s="73"/>
      <c r="Z826" s="73"/>
    </row>
    <row r="827">
      <c r="A827" s="73"/>
      <c r="B827" s="73"/>
      <c r="C827" s="73"/>
      <c r="D827" s="73"/>
      <c r="E827" s="73"/>
      <c r="F827" s="73"/>
      <c r="G827" s="73"/>
      <c r="H827" s="73"/>
      <c r="I827" s="73"/>
      <c r="J827" s="73"/>
      <c r="K827" s="73"/>
      <c r="L827" s="73"/>
      <c r="M827" s="73"/>
      <c r="N827" s="73"/>
      <c r="O827" s="73"/>
      <c r="P827" s="73"/>
      <c r="Q827" s="73"/>
      <c r="R827" s="73"/>
      <c r="S827" s="73"/>
      <c r="T827" s="73"/>
      <c r="U827" s="73"/>
      <c r="V827" s="73"/>
      <c r="W827" s="73"/>
      <c r="X827" s="73"/>
      <c r="Y827" s="73"/>
      <c r="Z827" s="73"/>
    </row>
    <row r="828">
      <c r="A828" s="73"/>
      <c r="B828" s="73"/>
      <c r="C828" s="73"/>
      <c r="D828" s="73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  <c r="Z828" s="73"/>
    </row>
    <row r="829">
      <c r="A829" s="73"/>
      <c r="B829" s="73"/>
      <c r="C829" s="73"/>
      <c r="D829" s="73"/>
      <c r="E829" s="73"/>
      <c r="F829" s="73"/>
      <c r="G829" s="73"/>
      <c r="H829" s="73"/>
      <c r="I829" s="73"/>
      <c r="J829" s="73"/>
      <c r="K829" s="73"/>
      <c r="L829" s="73"/>
      <c r="M829" s="73"/>
      <c r="N829" s="73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3"/>
      <c r="Z829" s="73"/>
    </row>
    <row r="830">
      <c r="A830" s="73"/>
      <c r="B830" s="73"/>
      <c r="C830" s="73"/>
      <c r="D830" s="73"/>
      <c r="E830" s="73"/>
      <c r="F830" s="73"/>
      <c r="G830" s="73"/>
      <c r="H830" s="73"/>
      <c r="I830" s="73"/>
      <c r="J830" s="73"/>
      <c r="K830" s="73"/>
      <c r="L830" s="73"/>
      <c r="M830" s="73"/>
      <c r="N830" s="73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3"/>
      <c r="Z830" s="73"/>
    </row>
    <row r="831">
      <c r="A831" s="73"/>
      <c r="B831" s="73"/>
      <c r="C831" s="73"/>
      <c r="D831" s="73"/>
      <c r="E831" s="73"/>
      <c r="F831" s="73"/>
      <c r="G831" s="73"/>
      <c r="H831" s="73"/>
      <c r="I831" s="73"/>
      <c r="J831" s="73"/>
      <c r="K831" s="73"/>
      <c r="L831" s="73"/>
      <c r="M831" s="73"/>
      <c r="N831" s="73"/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3"/>
      <c r="Z831" s="73"/>
    </row>
    <row r="832">
      <c r="A832" s="73"/>
      <c r="B832" s="73"/>
      <c r="C832" s="73"/>
      <c r="D832" s="73"/>
      <c r="E832" s="73"/>
      <c r="F832" s="73"/>
      <c r="G832" s="73"/>
      <c r="H832" s="73"/>
      <c r="I832" s="73"/>
      <c r="J832" s="73"/>
      <c r="K832" s="73"/>
      <c r="L832" s="73"/>
      <c r="M832" s="73"/>
      <c r="N832" s="73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3"/>
      <c r="Z832" s="73"/>
    </row>
    <row r="833">
      <c r="A833" s="73"/>
      <c r="B833" s="73"/>
      <c r="C833" s="73"/>
      <c r="D833" s="73"/>
      <c r="E833" s="73"/>
      <c r="F833" s="73"/>
      <c r="G833" s="73"/>
      <c r="H833" s="73"/>
      <c r="I833" s="73"/>
      <c r="J833" s="73"/>
      <c r="K833" s="73"/>
      <c r="L833" s="73"/>
      <c r="M833" s="73"/>
      <c r="N833" s="73"/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3"/>
      <c r="Z833" s="73"/>
    </row>
    <row r="834">
      <c r="A834" s="73"/>
      <c r="B834" s="73"/>
      <c r="C834" s="73"/>
      <c r="D834" s="73"/>
      <c r="E834" s="73"/>
      <c r="F834" s="73"/>
      <c r="G834" s="73"/>
      <c r="H834" s="73"/>
      <c r="I834" s="73"/>
      <c r="J834" s="73"/>
      <c r="K834" s="73"/>
      <c r="L834" s="73"/>
      <c r="M834" s="73"/>
      <c r="N834" s="73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3"/>
      <c r="Z834" s="73"/>
    </row>
    <row r="835">
      <c r="A835" s="73"/>
      <c r="B835" s="73"/>
      <c r="C835" s="73"/>
      <c r="D835" s="73"/>
      <c r="E835" s="73"/>
      <c r="F835" s="73"/>
      <c r="G835" s="73"/>
      <c r="H835" s="73"/>
      <c r="I835" s="73"/>
      <c r="J835" s="73"/>
      <c r="K835" s="73"/>
      <c r="L835" s="73"/>
      <c r="M835" s="73"/>
      <c r="N835" s="73"/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3"/>
      <c r="Z835" s="73"/>
    </row>
    <row r="836">
      <c r="A836" s="73"/>
      <c r="B836" s="73"/>
      <c r="C836" s="73"/>
      <c r="D836" s="73"/>
      <c r="E836" s="73"/>
      <c r="F836" s="73"/>
      <c r="G836" s="73"/>
      <c r="H836" s="73"/>
      <c r="I836" s="73"/>
      <c r="J836" s="73"/>
      <c r="K836" s="73"/>
      <c r="L836" s="73"/>
      <c r="M836" s="73"/>
      <c r="N836" s="73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3"/>
      <c r="Z836" s="73"/>
    </row>
    <row r="837">
      <c r="A837" s="73"/>
      <c r="B837" s="73"/>
      <c r="C837" s="73"/>
      <c r="D837" s="73"/>
      <c r="E837" s="73"/>
      <c r="F837" s="73"/>
      <c r="G837" s="73"/>
      <c r="H837" s="73"/>
      <c r="I837" s="73"/>
      <c r="J837" s="73"/>
      <c r="K837" s="73"/>
      <c r="L837" s="73"/>
      <c r="M837" s="73"/>
      <c r="N837" s="73"/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3"/>
      <c r="Z837" s="73"/>
    </row>
    <row r="838">
      <c r="A838" s="73"/>
      <c r="B838" s="73"/>
      <c r="C838" s="73"/>
      <c r="D838" s="73"/>
      <c r="E838" s="73"/>
      <c r="F838" s="73"/>
      <c r="G838" s="73"/>
      <c r="H838" s="73"/>
      <c r="I838" s="73"/>
      <c r="J838" s="73"/>
      <c r="K838" s="73"/>
      <c r="L838" s="73"/>
      <c r="M838" s="73"/>
      <c r="N838" s="73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3"/>
      <c r="Z838" s="73"/>
    </row>
    <row r="839">
      <c r="A839" s="73"/>
      <c r="B839" s="73"/>
      <c r="C839" s="73"/>
      <c r="D839" s="73"/>
      <c r="E839" s="73"/>
      <c r="F839" s="73"/>
      <c r="G839" s="73"/>
      <c r="H839" s="73"/>
      <c r="I839" s="73"/>
      <c r="J839" s="73"/>
      <c r="K839" s="73"/>
      <c r="L839" s="73"/>
      <c r="M839" s="73"/>
      <c r="N839" s="73"/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3"/>
      <c r="Z839" s="73"/>
    </row>
    <row r="840">
      <c r="A840" s="73"/>
      <c r="B840" s="73"/>
      <c r="C840" s="73"/>
      <c r="D840" s="73"/>
      <c r="E840" s="73"/>
      <c r="F840" s="73"/>
      <c r="G840" s="73"/>
      <c r="H840" s="73"/>
      <c r="I840" s="73"/>
      <c r="J840" s="73"/>
      <c r="K840" s="73"/>
      <c r="L840" s="73"/>
      <c r="M840" s="73"/>
      <c r="N840" s="73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3"/>
      <c r="Z840" s="73"/>
    </row>
    <row r="841">
      <c r="A841" s="73"/>
      <c r="B841" s="73"/>
      <c r="C841" s="73"/>
      <c r="D841" s="73"/>
      <c r="E841" s="73"/>
      <c r="F841" s="73"/>
      <c r="G841" s="73"/>
      <c r="H841" s="73"/>
      <c r="I841" s="73"/>
      <c r="J841" s="73"/>
      <c r="K841" s="73"/>
      <c r="L841" s="73"/>
      <c r="M841" s="73"/>
      <c r="N841" s="73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3"/>
      <c r="Z841" s="73"/>
    </row>
    <row r="842">
      <c r="A842" s="73"/>
      <c r="B842" s="73"/>
      <c r="C842" s="73"/>
      <c r="D842" s="73"/>
      <c r="E842" s="73"/>
      <c r="F842" s="73"/>
      <c r="G842" s="73"/>
      <c r="H842" s="73"/>
      <c r="I842" s="73"/>
      <c r="J842" s="73"/>
      <c r="K842" s="73"/>
      <c r="L842" s="73"/>
      <c r="M842" s="73"/>
      <c r="N842" s="73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3"/>
      <c r="Z842" s="73"/>
    </row>
    <row r="843">
      <c r="A843" s="73"/>
      <c r="B843" s="73"/>
      <c r="C843" s="73"/>
      <c r="D843" s="73"/>
      <c r="E843" s="73"/>
      <c r="F843" s="73"/>
      <c r="G843" s="73"/>
      <c r="H843" s="73"/>
      <c r="I843" s="73"/>
      <c r="J843" s="73"/>
      <c r="K843" s="73"/>
      <c r="L843" s="73"/>
      <c r="M843" s="73"/>
      <c r="N843" s="7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3"/>
      <c r="Z843" s="73"/>
    </row>
    <row r="844">
      <c r="A844" s="73"/>
      <c r="B844" s="73"/>
      <c r="C844" s="73"/>
      <c r="D844" s="73"/>
      <c r="E844" s="73"/>
      <c r="F844" s="73"/>
      <c r="G844" s="73"/>
      <c r="H844" s="73"/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</row>
    <row r="845">
      <c r="A845" s="73"/>
      <c r="B845" s="73"/>
      <c r="C845" s="73"/>
      <c r="D845" s="73"/>
      <c r="E845" s="73"/>
      <c r="F845" s="73"/>
      <c r="G845" s="73"/>
      <c r="H845" s="73"/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</row>
    <row r="846">
      <c r="A846" s="73"/>
      <c r="B846" s="73"/>
      <c r="C846" s="73"/>
      <c r="D846" s="73"/>
      <c r="E846" s="73"/>
      <c r="F846" s="73"/>
      <c r="G846" s="73"/>
      <c r="H846" s="73"/>
      <c r="I846" s="73"/>
      <c r="J846" s="73"/>
      <c r="K846" s="73"/>
      <c r="L846" s="73"/>
      <c r="M846" s="73"/>
      <c r="N846" s="73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3"/>
      <c r="Z846" s="73"/>
    </row>
    <row r="847">
      <c r="A847" s="73"/>
      <c r="B847" s="73"/>
      <c r="C847" s="73"/>
      <c r="D847" s="73"/>
      <c r="E847" s="73"/>
      <c r="F847" s="73"/>
      <c r="G847" s="73"/>
      <c r="H847" s="73"/>
      <c r="I847" s="73"/>
      <c r="J847" s="73"/>
      <c r="K847" s="73"/>
      <c r="L847" s="73"/>
      <c r="M847" s="73"/>
      <c r="N847" s="73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3"/>
      <c r="Z847" s="73"/>
    </row>
    <row r="848">
      <c r="A848" s="73"/>
      <c r="B848" s="73"/>
      <c r="C848" s="73"/>
      <c r="D848" s="73"/>
      <c r="E848" s="73"/>
      <c r="F848" s="73"/>
      <c r="G848" s="73"/>
      <c r="H848" s="73"/>
      <c r="I848" s="73"/>
      <c r="J848" s="73"/>
      <c r="K848" s="73"/>
      <c r="L848" s="73"/>
      <c r="M848" s="73"/>
      <c r="N848" s="73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3"/>
      <c r="Z848" s="73"/>
    </row>
    <row r="849">
      <c r="A849" s="73"/>
      <c r="B849" s="73"/>
      <c r="C849" s="73"/>
      <c r="D849" s="73"/>
      <c r="E849" s="73"/>
      <c r="F849" s="73"/>
      <c r="G849" s="73"/>
      <c r="H849" s="73"/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</row>
    <row r="850">
      <c r="A850" s="73"/>
      <c r="B850" s="73"/>
      <c r="C850" s="73"/>
      <c r="D850" s="73"/>
      <c r="E850" s="73"/>
      <c r="F850" s="73"/>
      <c r="G850" s="73"/>
      <c r="H850" s="73"/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</row>
    <row r="851">
      <c r="A851" s="73"/>
      <c r="B851" s="73"/>
      <c r="C851" s="73"/>
      <c r="D851" s="73"/>
      <c r="E851" s="73"/>
      <c r="F851" s="73"/>
      <c r="G851" s="73"/>
      <c r="H851" s="73"/>
      <c r="I851" s="73"/>
      <c r="J851" s="73"/>
      <c r="K851" s="73"/>
      <c r="L851" s="73"/>
      <c r="M851" s="73"/>
      <c r="N851" s="73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3"/>
      <c r="Z851" s="73"/>
    </row>
    <row r="852">
      <c r="A852" s="73"/>
      <c r="B852" s="73"/>
      <c r="C852" s="73"/>
      <c r="D852" s="73"/>
      <c r="E852" s="73"/>
      <c r="F852" s="73"/>
      <c r="G852" s="73"/>
      <c r="H852" s="73"/>
      <c r="I852" s="73"/>
      <c r="J852" s="73"/>
      <c r="K852" s="73"/>
      <c r="L852" s="73"/>
      <c r="M852" s="73"/>
      <c r="N852" s="73"/>
      <c r="O852" s="73"/>
      <c r="P852" s="73"/>
      <c r="Q852" s="73"/>
      <c r="R852" s="73"/>
      <c r="S852" s="73"/>
      <c r="T852" s="73"/>
      <c r="U852" s="73"/>
      <c r="V852" s="73"/>
      <c r="W852" s="73"/>
      <c r="X852" s="73"/>
      <c r="Y852" s="73"/>
      <c r="Z852" s="73"/>
    </row>
    <row r="853">
      <c r="A853" s="73"/>
      <c r="B853" s="73"/>
      <c r="C853" s="73"/>
      <c r="D853" s="73"/>
      <c r="E853" s="73"/>
      <c r="F853" s="73"/>
      <c r="G853" s="73"/>
      <c r="H853" s="73"/>
      <c r="I853" s="73"/>
      <c r="J853" s="73"/>
      <c r="K853" s="73"/>
      <c r="L853" s="73"/>
      <c r="M853" s="73"/>
      <c r="N853" s="73"/>
      <c r="O853" s="73"/>
      <c r="P853" s="73"/>
      <c r="Q853" s="73"/>
      <c r="R853" s="73"/>
      <c r="S853" s="73"/>
      <c r="T853" s="73"/>
      <c r="U853" s="73"/>
      <c r="V853" s="73"/>
      <c r="W853" s="73"/>
      <c r="X853" s="73"/>
      <c r="Y853" s="73"/>
      <c r="Z853" s="73"/>
    </row>
    <row r="854">
      <c r="A854" s="73"/>
      <c r="B854" s="73"/>
      <c r="C854" s="73"/>
      <c r="D854" s="73"/>
      <c r="E854" s="73"/>
      <c r="F854" s="73"/>
      <c r="G854" s="73"/>
      <c r="H854" s="73"/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3"/>
      <c r="Z854" s="73"/>
    </row>
    <row r="855">
      <c r="A855" s="73"/>
      <c r="B855" s="73"/>
      <c r="C855" s="73"/>
      <c r="D855" s="73"/>
      <c r="E855" s="73"/>
      <c r="F855" s="73"/>
      <c r="G855" s="73"/>
      <c r="H855" s="73"/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3"/>
      <c r="Z855" s="73"/>
    </row>
    <row r="856">
      <c r="A856" s="73"/>
      <c r="B856" s="73"/>
      <c r="C856" s="73"/>
      <c r="D856" s="73"/>
      <c r="E856" s="73"/>
      <c r="F856" s="73"/>
      <c r="G856" s="73"/>
      <c r="H856" s="73"/>
      <c r="I856" s="73"/>
      <c r="J856" s="73"/>
      <c r="K856" s="73"/>
      <c r="L856" s="73"/>
      <c r="M856" s="73"/>
      <c r="N856" s="73"/>
      <c r="O856" s="73"/>
      <c r="P856" s="73"/>
      <c r="Q856" s="73"/>
      <c r="R856" s="73"/>
      <c r="S856" s="73"/>
      <c r="T856" s="73"/>
      <c r="U856" s="73"/>
      <c r="V856" s="73"/>
      <c r="W856" s="73"/>
      <c r="X856" s="73"/>
      <c r="Y856" s="73"/>
      <c r="Z856" s="73"/>
    </row>
    <row r="857">
      <c r="A857" s="73"/>
      <c r="B857" s="73"/>
      <c r="C857" s="73"/>
      <c r="D857" s="73"/>
      <c r="E857" s="73"/>
      <c r="F857" s="73"/>
      <c r="G857" s="73"/>
      <c r="H857" s="73"/>
      <c r="I857" s="73"/>
      <c r="J857" s="73"/>
      <c r="K857" s="73"/>
      <c r="L857" s="73"/>
      <c r="M857" s="73"/>
      <c r="N857" s="73"/>
      <c r="O857" s="73"/>
      <c r="P857" s="73"/>
      <c r="Q857" s="73"/>
      <c r="R857" s="73"/>
      <c r="S857" s="73"/>
      <c r="T857" s="73"/>
      <c r="U857" s="73"/>
      <c r="V857" s="73"/>
      <c r="W857" s="73"/>
      <c r="X857" s="73"/>
      <c r="Y857" s="73"/>
      <c r="Z857" s="73"/>
    </row>
    <row r="858">
      <c r="A858" s="73"/>
      <c r="B858" s="73"/>
      <c r="C858" s="73"/>
      <c r="D858" s="73"/>
      <c r="E858" s="73"/>
      <c r="F858" s="73"/>
      <c r="G858" s="73"/>
      <c r="H858" s="73"/>
      <c r="I858" s="73"/>
      <c r="J858" s="73"/>
      <c r="K858" s="73"/>
      <c r="L858" s="73"/>
      <c r="M858" s="73"/>
      <c r="N858" s="73"/>
      <c r="O858" s="73"/>
      <c r="P858" s="73"/>
      <c r="Q858" s="73"/>
      <c r="R858" s="73"/>
      <c r="S858" s="73"/>
      <c r="T858" s="73"/>
      <c r="U858" s="73"/>
      <c r="V858" s="73"/>
      <c r="W858" s="73"/>
      <c r="X858" s="73"/>
      <c r="Y858" s="73"/>
      <c r="Z858" s="73"/>
    </row>
    <row r="859">
      <c r="A859" s="73"/>
      <c r="B859" s="73"/>
      <c r="C859" s="73"/>
      <c r="D859" s="73"/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3"/>
      <c r="Z859" s="73"/>
    </row>
    <row r="860">
      <c r="A860" s="73"/>
      <c r="B860" s="73"/>
      <c r="C860" s="73"/>
      <c r="D860" s="73"/>
      <c r="E860" s="73"/>
      <c r="F860" s="73"/>
      <c r="G860" s="73"/>
      <c r="H860" s="73"/>
      <c r="I860" s="73"/>
      <c r="J860" s="73"/>
      <c r="K860" s="73"/>
      <c r="L860" s="73"/>
      <c r="M860" s="73"/>
      <c r="N860" s="73"/>
      <c r="O860" s="73"/>
      <c r="P860" s="73"/>
      <c r="Q860" s="73"/>
      <c r="R860" s="73"/>
      <c r="S860" s="73"/>
      <c r="T860" s="73"/>
      <c r="U860" s="73"/>
      <c r="V860" s="73"/>
      <c r="W860" s="73"/>
      <c r="X860" s="73"/>
      <c r="Y860" s="73"/>
      <c r="Z860" s="73"/>
    </row>
    <row r="861">
      <c r="A861" s="73"/>
      <c r="B861" s="73"/>
      <c r="C861" s="73"/>
      <c r="D861" s="73"/>
      <c r="E861" s="73"/>
      <c r="F861" s="73"/>
      <c r="G861" s="73"/>
      <c r="H861" s="73"/>
      <c r="I861" s="73"/>
      <c r="J861" s="73"/>
      <c r="K861" s="73"/>
      <c r="L861" s="73"/>
      <c r="M861" s="73"/>
      <c r="N861" s="73"/>
      <c r="O861" s="73"/>
      <c r="P861" s="73"/>
      <c r="Q861" s="73"/>
      <c r="R861" s="73"/>
      <c r="S861" s="73"/>
      <c r="T861" s="73"/>
      <c r="U861" s="73"/>
      <c r="V861" s="73"/>
      <c r="W861" s="73"/>
      <c r="X861" s="73"/>
      <c r="Y861" s="73"/>
      <c r="Z861" s="73"/>
    </row>
    <row r="862">
      <c r="A862" s="73"/>
      <c r="B862" s="73"/>
      <c r="C862" s="73"/>
      <c r="D862" s="73"/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3"/>
      <c r="Z862" s="73"/>
    </row>
    <row r="863">
      <c r="A863" s="73"/>
      <c r="B863" s="73"/>
      <c r="C863" s="73"/>
      <c r="D863" s="73"/>
      <c r="E863" s="73"/>
      <c r="F863" s="73"/>
      <c r="G863" s="73"/>
      <c r="H863" s="73"/>
      <c r="I863" s="73"/>
      <c r="J863" s="73"/>
      <c r="K863" s="73"/>
      <c r="L863" s="73"/>
      <c r="M863" s="73"/>
      <c r="N863" s="73"/>
      <c r="O863" s="73"/>
      <c r="P863" s="73"/>
      <c r="Q863" s="73"/>
      <c r="R863" s="73"/>
      <c r="S863" s="73"/>
      <c r="T863" s="73"/>
      <c r="U863" s="73"/>
      <c r="V863" s="73"/>
      <c r="W863" s="73"/>
      <c r="X863" s="73"/>
      <c r="Y863" s="73"/>
      <c r="Z863" s="73"/>
    </row>
    <row r="864">
      <c r="A864" s="73"/>
      <c r="B864" s="73"/>
      <c r="C864" s="73"/>
      <c r="D864" s="73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  <c r="Z864" s="73"/>
    </row>
    <row r="865">
      <c r="A865" s="73"/>
      <c r="B865" s="73"/>
      <c r="C865" s="73"/>
      <c r="D865" s="73"/>
      <c r="E865" s="73"/>
      <c r="F865" s="73"/>
      <c r="G865" s="73"/>
      <c r="H865" s="73"/>
      <c r="I865" s="73"/>
      <c r="J865" s="73"/>
      <c r="K865" s="73"/>
      <c r="L865" s="73"/>
      <c r="M865" s="73"/>
      <c r="N865" s="73"/>
      <c r="O865" s="73"/>
      <c r="P865" s="73"/>
      <c r="Q865" s="73"/>
      <c r="R865" s="73"/>
      <c r="S865" s="73"/>
      <c r="T865" s="73"/>
      <c r="U865" s="73"/>
      <c r="V865" s="73"/>
      <c r="W865" s="73"/>
      <c r="X865" s="73"/>
      <c r="Y865" s="73"/>
      <c r="Z865" s="73"/>
    </row>
    <row r="866">
      <c r="A866" s="73"/>
      <c r="B866" s="73"/>
      <c r="C866" s="73"/>
      <c r="D866" s="73"/>
      <c r="E866" s="73"/>
      <c r="F866" s="73"/>
      <c r="G866" s="73"/>
      <c r="H866" s="73"/>
      <c r="I866" s="73"/>
      <c r="J866" s="73"/>
      <c r="K866" s="73"/>
      <c r="L866" s="73"/>
      <c r="M866" s="73"/>
      <c r="N866" s="73"/>
      <c r="O866" s="73"/>
      <c r="P866" s="73"/>
      <c r="Q866" s="73"/>
      <c r="R866" s="73"/>
      <c r="S866" s="73"/>
      <c r="T866" s="73"/>
      <c r="U866" s="73"/>
      <c r="V866" s="73"/>
      <c r="W866" s="73"/>
      <c r="X866" s="73"/>
      <c r="Y866" s="73"/>
      <c r="Z866" s="73"/>
    </row>
    <row r="867">
      <c r="A867" s="73"/>
      <c r="B867" s="73"/>
      <c r="C867" s="73"/>
      <c r="D867" s="73"/>
      <c r="E867" s="73"/>
      <c r="F867" s="73"/>
      <c r="G867" s="73"/>
      <c r="H867" s="73"/>
      <c r="I867" s="73"/>
      <c r="J867" s="73"/>
      <c r="K867" s="73"/>
      <c r="L867" s="73"/>
      <c r="M867" s="73"/>
      <c r="N867" s="73"/>
      <c r="O867" s="73"/>
      <c r="P867" s="73"/>
      <c r="Q867" s="73"/>
      <c r="R867" s="73"/>
      <c r="S867" s="73"/>
      <c r="T867" s="73"/>
      <c r="U867" s="73"/>
      <c r="V867" s="73"/>
      <c r="W867" s="73"/>
      <c r="X867" s="73"/>
      <c r="Y867" s="73"/>
      <c r="Z867" s="73"/>
    </row>
    <row r="868">
      <c r="A868" s="73"/>
      <c r="B868" s="73"/>
      <c r="C868" s="73"/>
      <c r="D868" s="73"/>
      <c r="E868" s="73"/>
      <c r="F868" s="73"/>
      <c r="G868" s="73"/>
      <c r="H868" s="73"/>
      <c r="I868" s="73"/>
      <c r="J868" s="73"/>
      <c r="K868" s="73"/>
      <c r="L868" s="73"/>
      <c r="M868" s="73"/>
      <c r="N868" s="73"/>
      <c r="O868" s="73"/>
      <c r="P868" s="73"/>
      <c r="Q868" s="73"/>
      <c r="R868" s="73"/>
      <c r="S868" s="73"/>
      <c r="T868" s="73"/>
      <c r="U868" s="73"/>
      <c r="V868" s="73"/>
      <c r="W868" s="73"/>
      <c r="X868" s="73"/>
      <c r="Y868" s="73"/>
      <c r="Z868" s="73"/>
    </row>
    <row r="869">
      <c r="A869" s="73"/>
      <c r="B869" s="73"/>
      <c r="C869" s="73"/>
      <c r="D869" s="73"/>
      <c r="E869" s="73"/>
      <c r="F869" s="73"/>
      <c r="G869" s="73"/>
      <c r="H869" s="73"/>
      <c r="I869" s="73"/>
      <c r="J869" s="73"/>
      <c r="K869" s="73"/>
      <c r="L869" s="73"/>
      <c r="M869" s="73"/>
      <c r="N869" s="73"/>
      <c r="O869" s="73"/>
      <c r="P869" s="73"/>
      <c r="Q869" s="73"/>
      <c r="R869" s="73"/>
      <c r="S869" s="73"/>
      <c r="T869" s="73"/>
      <c r="U869" s="73"/>
      <c r="V869" s="73"/>
      <c r="W869" s="73"/>
      <c r="X869" s="73"/>
      <c r="Y869" s="73"/>
      <c r="Z869" s="73"/>
    </row>
    <row r="870">
      <c r="A870" s="73"/>
      <c r="B870" s="73"/>
      <c r="C870" s="73"/>
      <c r="D870" s="73"/>
      <c r="E870" s="73"/>
      <c r="F870" s="73"/>
      <c r="G870" s="73"/>
      <c r="H870" s="73"/>
      <c r="I870" s="73"/>
      <c r="J870" s="73"/>
      <c r="K870" s="73"/>
      <c r="L870" s="73"/>
      <c r="M870" s="73"/>
      <c r="N870" s="73"/>
      <c r="O870" s="73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</row>
    <row r="871">
      <c r="A871" s="73"/>
      <c r="B871" s="73"/>
      <c r="C871" s="73"/>
      <c r="D871" s="73"/>
      <c r="E871" s="73"/>
      <c r="F871" s="73"/>
      <c r="G871" s="73"/>
      <c r="H871" s="73"/>
      <c r="I871" s="73"/>
      <c r="J871" s="73"/>
      <c r="K871" s="73"/>
      <c r="L871" s="73"/>
      <c r="M871" s="73"/>
      <c r="N871" s="73"/>
      <c r="O871" s="73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</row>
    <row r="872">
      <c r="A872" s="73"/>
      <c r="B872" s="73"/>
      <c r="C872" s="73"/>
      <c r="D872" s="73"/>
      <c r="E872" s="73"/>
      <c r="F872" s="73"/>
      <c r="G872" s="73"/>
      <c r="H872" s="73"/>
      <c r="I872" s="73"/>
      <c r="J872" s="73"/>
      <c r="K872" s="73"/>
      <c r="L872" s="73"/>
      <c r="M872" s="73"/>
      <c r="N872" s="73"/>
      <c r="O872" s="73"/>
      <c r="P872" s="73"/>
      <c r="Q872" s="73"/>
      <c r="R872" s="73"/>
      <c r="S872" s="73"/>
      <c r="T872" s="73"/>
      <c r="U872" s="73"/>
      <c r="V872" s="73"/>
      <c r="W872" s="73"/>
      <c r="X872" s="73"/>
      <c r="Y872" s="73"/>
      <c r="Z872" s="73"/>
    </row>
    <row r="873">
      <c r="A873" s="73"/>
      <c r="B873" s="73"/>
      <c r="C873" s="73"/>
      <c r="D873" s="73"/>
      <c r="E873" s="73"/>
      <c r="F873" s="73"/>
      <c r="G873" s="73"/>
      <c r="H873" s="73"/>
      <c r="I873" s="73"/>
      <c r="J873" s="73"/>
      <c r="K873" s="73"/>
      <c r="L873" s="73"/>
      <c r="M873" s="73"/>
      <c r="N873" s="73"/>
      <c r="O873" s="73"/>
      <c r="P873" s="73"/>
      <c r="Q873" s="73"/>
      <c r="R873" s="73"/>
      <c r="S873" s="73"/>
      <c r="T873" s="73"/>
      <c r="U873" s="73"/>
      <c r="V873" s="73"/>
      <c r="W873" s="73"/>
      <c r="X873" s="73"/>
      <c r="Y873" s="73"/>
      <c r="Z873" s="73"/>
    </row>
    <row r="874">
      <c r="A874" s="73"/>
      <c r="B874" s="73"/>
      <c r="C874" s="73"/>
      <c r="D874" s="73"/>
      <c r="E874" s="73"/>
      <c r="F874" s="73"/>
      <c r="G874" s="73"/>
      <c r="H874" s="73"/>
      <c r="I874" s="73"/>
      <c r="J874" s="73"/>
      <c r="K874" s="73"/>
      <c r="L874" s="73"/>
      <c r="M874" s="73"/>
      <c r="N874" s="73"/>
      <c r="O874" s="73"/>
      <c r="P874" s="73"/>
      <c r="Q874" s="73"/>
      <c r="R874" s="73"/>
      <c r="S874" s="73"/>
      <c r="T874" s="73"/>
      <c r="U874" s="73"/>
      <c r="V874" s="73"/>
      <c r="W874" s="73"/>
      <c r="X874" s="73"/>
      <c r="Y874" s="73"/>
      <c r="Z874" s="73"/>
    </row>
    <row r="875">
      <c r="A875" s="73"/>
      <c r="B875" s="73"/>
      <c r="C875" s="73"/>
      <c r="D875" s="73"/>
      <c r="E875" s="73"/>
      <c r="F875" s="73"/>
      <c r="G875" s="73"/>
      <c r="H875" s="73"/>
      <c r="I875" s="73"/>
      <c r="J875" s="73"/>
      <c r="K875" s="73"/>
      <c r="L875" s="73"/>
      <c r="M875" s="73"/>
      <c r="N875" s="73"/>
      <c r="O875" s="73"/>
      <c r="P875" s="73"/>
      <c r="Q875" s="73"/>
      <c r="R875" s="73"/>
      <c r="S875" s="73"/>
      <c r="T875" s="73"/>
      <c r="U875" s="73"/>
      <c r="V875" s="73"/>
      <c r="W875" s="73"/>
      <c r="X875" s="73"/>
      <c r="Y875" s="73"/>
      <c r="Z875" s="73"/>
    </row>
    <row r="876">
      <c r="A876" s="73"/>
      <c r="B876" s="73"/>
      <c r="C876" s="73"/>
      <c r="D876" s="73"/>
      <c r="E876" s="73"/>
      <c r="F876" s="73"/>
      <c r="G876" s="73"/>
      <c r="H876" s="73"/>
      <c r="I876" s="73"/>
      <c r="J876" s="73"/>
      <c r="K876" s="73"/>
      <c r="L876" s="73"/>
      <c r="M876" s="73"/>
      <c r="N876" s="73"/>
      <c r="O876" s="73"/>
      <c r="P876" s="73"/>
      <c r="Q876" s="73"/>
      <c r="R876" s="73"/>
      <c r="S876" s="73"/>
      <c r="T876" s="73"/>
      <c r="U876" s="73"/>
      <c r="V876" s="73"/>
      <c r="W876" s="73"/>
      <c r="X876" s="73"/>
      <c r="Y876" s="73"/>
      <c r="Z876" s="73"/>
    </row>
    <row r="877">
      <c r="A877" s="73"/>
      <c r="B877" s="73"/>
      <c r="C877" s="73"/>
      <c r="D877" s="73"/>
      <c r="E877" s="73"/>
      <c r="F877" s="73"/>
      <c r="G877" s="73"/>
      <c r="H877" s="73"/>
      <c r="I877" s="73"/>
      <c r="J877" s="73"/>
      <c r="K877" s="73"/>
      <c r="L877" s="73"/>
      <c r="M877" s="73"/>
      <c r="N877" s="73"/>
      <c r="O877" s="73"/>
      <c r="P877" s="73"/>
      <c r="Q877" s="73"/>
      <c r="R877" s="73"/>
      <c r="S877" s="73"/>
      <c r="T877" s="73"/>
      <c r="U877" s="73"/>
      <c r="V877" s="73"/>
      <c r="W877" s="73"/>
      <c r="X877" s="73"/>
      <c r="Y877" s="73"/>
      <c r="Z877" s="73"/>
    </row>
    <row r="878">
      <c r="A878" s="73"/>
      <c r="B878" s="73"/>
      <c r="C878" s="73"/>
      <c r="D878" s="73"/>
      <c r="E878" s="73"/>
      <c r="F878" s="73"/>
      <c r="G878" s="73"/>
      <c r="H878" s="73"/>
      <c r="I878" s="73"/>
      <c r="J878" s="73"/>
      <c r="K878" s="73"/>
      <c r="L878" s="73"/>
      <c r="M878" s="73"/>
      <c r="N878" s="73"/>
      <c r="O878" s="73"/>
      <c r="P878" s="73"/>
      <c r="Q878" s="73"/>
      <c r="R878" s="73"/>
      <c r="S878" s="73"/>
      <c r="T878" s="73"/>
      <c r="U878" s="73"/>
      <c r="V878" s="73"/>
      <c r="W878" s="73"/>
      <c r="X878" s="73"/>
      <c r="Y878" s="73"/>
      <c r="Z878" s="73"/>
    </row>
    <row r="879">
      <c r="A879" s="73"/>
      <c r="B879" s="73"/>
      <c r="C879" s="73"/>
      <c r="D879" s="73"/>
      <c r="E879" s="73"/>
      <c r="F879" s="73"/>
      <c r="G879" s="73"/>
      <c r="H879" s="73"/>
      <c r="I879" s="73"/>
      <c r="J879" s="73"/>
      <c r="K879" s="73"/>
      <c r="L879" s="73"/>
      <c r="M879" s="73"/>
      <c r="N879" s="73"/>
      <c r="O879" s="73"/>
      <c r="P879" s="73"/>
      <c r="Q879" s="73"/>
      <c r="R879" s="73"/>
      <c r="S879" s="73"/>
      <c r="T879" s="73"/>
      <c r="U879" s="73"/>
      <c r="V879" s="73"/>
      <c r="W879" s="73"/>
      <c r="X879" s="73"/>
      <c r="Y879" s="73"/>
      <c r="Z879" s="73"/>
    </row>
    <row r="880">
      <c r="A880" s="73"/>
      <c r="B880" s="73"/>
      <c r="C880" s="73"/>
      <c r="D880" s="73"/>
      <c r="E880" s="73"/>
      <c r="F880" s="73"/>
      <c r="G880" s="73"/>
      <c r="H880" s="73"/>
      <c r="I880" s="73"/>
      <c r="J880" s="73"/>
      <c r="K880" s="73"/>
      <c r="L880" s="73"/>
      <c r="M880" s="73"/>
      <c r="N880" s="73"/>
      <c r="O880" s="73"/>
      <c r="P880" s="73"/>
      <c r="Q880" s="73"/>
      <c r="R880" s="73"/>
      <c r="S880" s="73"/>
      <c r="T880" s="73"/>
      <c r="U880" s="73"/>
      <c r="V880" s="73"/>
      <c r="W880" s="73"/>
      <c r="X880" s="73"/>
      <c r="Y880" s="73"/>
      <c r="Z880" s="73"/>
    </row>
    <row r="881">
      <c r="A881" s="73"/>
      <c r="B881" s="73"/>
      <c r="C881" s="73"/>
      <c r="D881" s="73"/>
      <c r="E881" s="73"/>
      <c r="F881" s="73"/>
      <c r="G881" s="73"/>
      <c r="H881" s="73"/>
      <c r="I881" s="73"/>
      <c r="J881" s="73"/>
      <c r="K881" s="73"/>
      <c r="L881" s="73"/>
      <c r="M881" s="73"/>
      <c r="N881" s="73"/>
      <c r="O881" s="73"/>
      <c r="P881" s="73"/>
      <c r="Q881" s="73"/>
      <c r="R881" s="73"/>
      <c r="S881" s="73"/>
      <c r="T881" s="73"/>
      <c r="U881" s="73"/>
      <c r="V881" s="73"/>
      <c r="W881" s="73"/>
      <c r="X881" s="73"/>
      <c r="Y881" s="73"/>
      <c r="Z881" s="73"/>
    </row>
    <row r="882">
      <c r="A882" s="73"/>
      <c r="B882" s="73"/>
      <c r="C882" s="73"/>
      <c r="D882" s="73"/>
      <c r="E882" s="73"/>
      <c r="F882" s="73"/>
      <c r="G882" s="73"/>
      <c r="H882" s="73"/>
      <c r="I882" s="73"/>
      <c r="J882" s="73"/>
      <c r="K882" s="73"/>
      <c r="L882" s="73"/>
      <c r="M882" s="73"/>
      <c r="N882" s="73"/>
      <c r="O882" s="73"/>
      <c r="P882" s="73"/>
      <c r="Q882" s="73"/>
      <c r="R882" s="73"/>
      <c r="S882" s="73"/>
      <c r="T882" s="73"/>
      <c r="U882" s="73"/>
      <c r="V882" s="73"/>
      <c r="W882" s="73"/>
      <c r="X882" s="73"/>
      <c r="Y882" s="73"/>
      <c r="Z882" s="73"/>
    </row>
    <row r="883">
      <c r="A883" s="73"/>
      <c r="B883" s="73"/>
      <c r="C883" s="73"/>
      <c r="D883" s="73"/>
      <c r="E883" s="73"/>
      <c r="F883" s="73"/>
      <c r="G883" s="73"/>
      <c r="H883" s="73"/>
      <c r="I883" s="73"/>
      <c r="J883" s="73"/>
      <c r="K883" s="73"/>
      <c r="L883" s="73"/>
      <c r="M883" s="73"/>
      <c r="N883" s="73"/>
      <c r="O883" s="73"/>
      <c r="P883" s="73"/>
      <c r="Q883" s="73"/>
      <c r="R883" s="73"/>
      <c r="S883" s="73"/>
      <c r="T883" s="73"/>
      <c r="U883" s="73"/>
      <c r="V883" s="73"/>
      <c r="W883" s="73"/>
      <c r="X883" s="73"/>
      <c r="Y883" s="73"/>
      <c r="Z883" s="73"/>
    </row>
    <row r="884">
      <c r="A884" s="73"/>
      <c r="B884" s="73"/>
      <c r="C884" s="73"/>
      <c r="D884" s="73"/>
      <c r="E884" s="73"/>
      <c r="F884" s="73"/>
      <c r="G884" s="73"/>
      <c r="H884" s="73"/>
      <c r="I884" s="73"/>
      <c r="J884" s="73"/>
      <c r="K884" s="73"/>
      <c r="L884" s="73"/>
      <c r="M884" s="73"/>
      <c r="N884" s="73"/>
      <c r="O884" s="73"/>
      <c r="P884" s="73"/>
      <c r="Q884" s="73"/>
      <c r="R884" s="73"/>
      <c r="S884" s="73"/>
      <c r="T884" s="73"/>
      <c r="U884" s="73"/>
      <c r="V884" s="73"/>
      <c r="W884" s="73"/>
      <c r="X884" s="73"/>
      <c r="Y884" s="73"/>
      <c r="Z884" s="73"/>
    </row>
    <row r="885">
      <c r="A885" s="73"/>
      <c r="B885" s="73"/>
      <c r="C885" s="73"/>
      <c r="D885" s="73"/>
      <c r="E885" s="73"/>
      <c r="F885" s="73"/>
      <c r="G885" s="73"/>
      <c r="H885" s="73"/>
      <c r="I885" s="73"/>
      <c r="J885" s="73"/>
      <c r="K885" s="73"/>
      <c r="L885" s="73"/>
      <c r="M885" s="73"/>
      <c r="N885" s="73"/>
      <c r="O885" s="73"/>
      <c r="P885" s="73"/>
      <c r="Q885" s="73"/>
      <c r="R885" s="73"/>
      <c r="S885" s="73"/>
      <c r="T885" s="73"/>
      <c r="U885" s="73"/>
      <c r="V885" s="73"/>
      <c r="W885" s="73"/>
      <c r="X885" s="73"/>
      <c r="Y885" s="73"/>
      <c r="Z885" s="73"/>
    </row>
    <row r="886">
      <c r="A886" s="73"/>
      <c r="B886" s="73"/>
      <c r="C886" s="73"/>
      <c r="D886" s="73"/>
      <c r="E886" s="73"/>
      <c r="F886" s="73"/>
      <c r="G886" s="73"/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73"/>
      <c r="U886" s="73"/>
      <c r="V886" s="73"/>
      <c r="W886" s="73"/>
      <c r="X886" s="73"/>
      <c r="Y886" s="73"/>
      <c r="Z886" s="73"/>
    </row>
    <row r="887">
      <c r="A887" s="73"/>
      <c r="B887" s="73"/>
      <c r="C887" s="73"/>
      <c r="D887" s="73"/>
      <c r="E887" s="73"/>
      <c r="F887" s="73"/>
      <c r="G887" s="73"/>
      <c r="H887" s="73"/>
      <c r="I887" s="73"/>
      <c r="J887" s="73"/>
      <c r="K887" s="73"/>
      <c r="L887" s="73"/>
      <c r="M887" s="73"/>
      <c r="N887" s="73"/>
      <c r="O887" s="73"/>
      <c r="P887" s="73"/>
      <c r="Q887" s="73"/>
      <c r="R887" s="73"/>
      <c r="S887" s="73"/>
      <c r="T887" s="73"/>
      <c r="U887" s="73"/>
      <c r="V887" s="73"/>
      <c r="W887" s="73"/>
      <c r="X887" s="73"/>
      <c r="Y887" s="73"/>
      <c r="Z887" s="73"/>
    </row>
    <row r="888">
      <c r="A888" s="73"/>
      <c r="B888" s="73"/>
      <c r="C888" s="73"/>
      <c r="D888" s="73"/>
      <c r="E888" s="73"/>
      <c r="F888" s="73"/>
      <c r="G888" s="73"/>
      <c r="H888" s="73"/>
      <c r="I888" s="73"/>
      <c r="J888" s="73"/>
      <c r="K888" s="73"/>
      <c r="L888" s="73"/>
      <c r="M888" s="73"/>
      <c r="N888" s="73"/>
      <c r="O888" s="73"/>
      <c r="P888" s="73"/>
      <c r="Q888" s="73"/>
      <c r="R888" s="73"/>
      <c r="S888" s="73"/>
      <c r="T888" s="73"/>
      <c r="U888" s="73"/>
      <c r="V888" s="73"/>
      <c r="W888" s="73"/>
      <c r="X888" s="73"/>
      <c r="Y888" s="73"/>
      <c r="Z888" s="73"/>
    </row>
    <row r="889">
      <c r="A889" s="73"/>
      <c r="B889" s="73"/>
      <c r="C889" s="73"/>
      <c r="D889" s="73"/>
      <c r="E889" s="73"/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3"/>
      <c r="Z889" s="73"/>
    </row>
    <row r="890">
      <c r="A890" s="73"/>
      <c r="B890" s="73"/>
      <c r="C890" s="73"/>
      <c r="D890" s="73"/>
      <c r="E890" s="73"/>
      <c r="F890" s="73"/>
      <c r="G890" s="73"/>
      <c r="H890" s="73"/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</row>
    <row r="891">
      <c r="A891" s="73"/>
      <c r="B891" s="73"/>
      <c r="C891" s="73"/>
      <c r="D891" s="73"/>
      <c r="E891" s="73"/>
      <c r="F891" s="73"/>
      <c r="G891" s="73"/>
      <c r="H891" s="73"/>
      <c r="I891" s="73"/>
      <c r="J891" s="73"/>
      <c r="K891" s="73"/>
      <c r="L891" s="73"/>
      <c r="M891" s="73"/>
      <c r="N891" s="73"/>
      <c r="O891" s="73"/>
      <c r="P891" s="73"/>
      <c r="Q891" s="73"/>
      <c r="R891" s="73"/>
      <c r="S891" s="73"/>
      <c r="T891" s="73"/>
      <c r="U891" s="73"/>
      <c r="V891" s="73"/>
      <c r="W891" s="73"/>
      <c r="X891" s="73"/>
      <c r="Y891" s="73"/>
      <c r="Z891" s="73"/>
    </row>
    <row r="892">
      <c r="A892" s="73"/>
      <c r="B892" s="73"/>
      <c r="C892" s="73"/>
      <c r="D892" s="73"/>
      <c r="E892" s="73"/>
      <c r="F892" s="73"/>
      <c r="G892" s="73"/>
      <c r="H892" s="73"/>
      <c r="I892" s="73"/>
      <c r="J892" s="73"/>
      <c r="K892" s="73"/>
      <c r="L892" s="73"/>
      <c r="M892" s="73"/>
      <c r="N892" s="73"/>
      <c r="O892" s="73"/>
      <c r="P892" s="73"/>
      <c r="Q892" s="73"/>
      <c r="R892" s="73"/>
      <c r="S892" s="73"/>
      <c r="T892" s="73"/>
      <c r="U892" s="73"/>
      <c r="V892" s="73"/>
      <c r="W892" s="73"/>
      <c r="X892" s="73"/>
      <c r="Y892" s="73"/>
      <c r="Z892" s="73"/>
    </row>
    <row r="893">
      <c r="A893" s="73"/>
      <c r="B893" s="73"/>
      <c r="C893" s="73"/>
      <c r="D893" s="73"/>
      <c r="E893" s="73"/>
      <c r="F893" s="73"/>
      <c r="G893" s="73"/>
      <c r="H893" s="73"/>
      <c r="I893" s="73"/>
      <c r="J893" s="73"/>
      <c r="K893" s="73"/>
      <c r="L893" s="73"/>
      <c r="M893" s="73"/>
      <c r="N893" s="73"/>
      <c r="O893" s="73"/>
      <c r="P893" s="73"/>
      <c r="Q893" s="73"/>
      <c r="R893" s="73"/>
      <c r="S893" s="73"/>
      <c r="T893" s="73"/>
      <c r="U893" s="73"/>
      <c r="V893" s="73"/>
      <c r="W893" s="73"/>
      <c r="X893" s="73"/>
      <c r="Y893" s="73"/>
      <c r="Z893" s="73"/>
    </row>
    <row r="894">
      <c r="A894" s="73"/>
      <c r="B894" s="73"/>
      <c r="C894" s="73"/>
      <c r="D894" s="73"/>
      <c r="E894" s="73"/>
      <c r="F894" s="73"/>
      <c r="G894" s="73"/>
      <c r="H894" s="73"/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3"/>
      <c r="Z894" s="73"/>
    </row>
    <row r="895">
      <c r="A895" s="73"/>
      <c r="B895" s="73"/>
      <c r="C895" s="73"/>
      <c r="D895" s="73"/>
      <c r="E895" s="73"/>
      <c r="F895" s="73"/>
      <c r="G895" s="73"/>
      <c r="H895" s="73"/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3"/>
      <c r="Z895" s="73"/>
    </row>
    <row r="896">
      <c r="A896" s="73"/>
      <c r="B896" s="73"/>
      <c r="C896" s="73"/>
      <c r="D896" s="73"/>
      <c r="E896" s="73"/>
      <c r="F896" s="73"/>
      <c r="G896" s="73"/>
      <c r="H896" s="73"/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3"/>
      <c r="Z896" s="73"/>
    </row>
    <row r="897">
      <c r="A897" s="73"/>
      <c r="B897" s="73"/>
      <c r="C897" s="73"/>
      <c r="D897" s="73"/>
      <c r="E897" s="73"/>
      <c r="F897" s="73"/>
      <c r="G897" s="73"/>
      <c r="H897" s="73"/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3"/>
      <c r="Z897" s="73"/>
    </row>
    <row r="898">
      <c r="A898" s="73"/>
      <c r="B898" s="73"/>
      <c r="C898" s="73"/>
      <c r="D898" s="73"/>
      <c r="E898" s="73"/>
      <c r="F898" s="73"/>
      <c r="G898" s="73"/>
      <c r="H898" s="73"/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3"/>
      <c r="Z898" s="73"/>
    </row>
    <row r="899">
      <c r="A899" s="73"/>
      <c r="B899" s="73"/>
      <c r="C899" s="73"/>
      <c r="D899" s="73"/>
      <c r="E899" s="73"/>
      <c r="F899" s="73"/>
      <c r="G899" s="73"/>
      <c r="H899" s="73"/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3"/>
      <c r="Z899" s="73"/>
    </row>
    <row r="900">
      <c r="A900" s="73"/>
      <c r="B900" s="73"/>
      <c r="C900" s="73"/>
      <c r="D900" s="73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  <c r="Z900" s="73"/>
    </row>
    <row r="901">
      <c r="A901" s="73"/>
      <c r="B901" s="73"/>
      <c r="C901" s="73"/>
      <c r="D901" s="73"/>
      <c r="E901" s="73"/>
      <c r="F901" s="73"/>
      <c r="G901" s="73"/>
      <c r="H901" s="73"/>
      <c r="I901" s="73"/>
      <c r="J901" s="73"/>
      <c r="K901" s="73"/>
      <c r="L901" s="73"/>
      <c r="M901" s="73"/>
      <c r="N901" s="73"/>
      <c r="O901" s="73"/>
      <c r="P901" s="73"/>
      <c r="Q901" s="73"/>
      <c r="R901" s="73"/>
      <c r="S901" s="73"/>
      <c r="T901" s="73"/>
      <c r="U901" s="73"/>
      <c r="V901" s="73"/>
      <c r="W901" s="73"/>
      <c r="X901" s="73"/>
      <c r="Y901" s="73"/>
      <c r="Z901" s="73"/>
    </row>
    <row r="902">
      <c r="A902" s="73"/>
      <c r="B902" s="73"/>
      <c r="C902" s="73"/>
      <c r="D902" s="73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3"/>
      <c r="Z902" s="73"/>
    </row>
    <row r="903">
      <c r="A903" s="73"/>
      <c r="B903" s="73"/>
      <c r="C903" s="73"/>
      <c r="D903" s="73"/>
      <c r="E903" s="73"/>
      <c r="F903" s="73"/>
      <c r="G903" s="73"/>
      <c r="H903" s="73"/>
      <c r="I903" s="73"/>
      <c r="J903" s="73"/>
      <c r="K903" s="73"/>
      <c r="L903" s="73"/>
      <c r="M903" s="73"/>
      <c r="N903" s="73"/>
      <c r="O903" s="73"/>
      <c r="P903" s="73"/>
      <c r="Q903" s="73"/>
      <c r="R903" s="73"/>
      <c r="S903" s="73"/>
      <c r="T903" s="73"/>
      <c r="U903" s="73"/>
      <c r="V903" s="73"/>
      <c r="W903" s="73"/>
      <c r="X903" s="73"/>
      <c r="Y903" s="73"/>
      <c r="Z903" s="73"/>
    </row>
    <row r="904">
      <c r="A904" s="73"/>
      <c r="B904" s="73"/>
      <c r="C904" s="73"/>
      <c r="D904" s="73"/>
      <c r="E904" s="73"/>
      <c r="F904" s="73"/>
      <c r="G904" s="73"/>
      <c r="H904" s="73"/>
      <c r="I904" s="73"/>
      <c r="J904" s="73"/>
      <c r="K904" s="73"/>
      <c r="L904" s="73"/>
      <c r="M904" s="73"/>
      <c r="N904" s="73"/>
      <c r="O904" s="73"/>
      <c r="P904" s="73"/>
      <c r="Q904" s="73"/>
      <c r="R904" s="73"/>
      <c r="S904" s="73"/>
      <c r="T904" s="73"/>
      <c r="U904" s="73"/>
      <c r="V904" s="73"/>
      <c r="W904" s="73"/>
      <c r="X904" s="73"/>
      <c r="Y904" s="73"/>
      <c r="Z904" s="73"/>
    </row>
    <row r="905">
      <c r="A905" s="73"/>
      <c r="B905" s="73"/>
      <c r="C905" s="73"/>
      <c r="D905" s="73"/>
      <c r="E905" s="73"/>
      <c r="F905" s="73"/>
      <c r="G905" s="73"/>
      <c r="H905" s="73"/>
      <c r="I905" s="73"/>
      <c r="J905" s="73"/>
      <c r="K905" s="73"/>
      <c r="L905" s="73"/>
      <c r="M905" s="73"/>
      <c r="N905" s="73"/>
      <c r="O905" s="73"/>
      <c r="P905" s="73"/>
      <c r="Q905" s="73"/>
      <c r="R905" s="73"/>
      <c r="S905" s="73"/>
      <c r="T905" s="73"/>
      <c r="U905" s="73"/>
      <c r="V905" s="73"/>
      <c r="W905" s="73"/>
      <c r="X905" s="73"/>
      <c r="Y905" s="73"/>
      <c r="Z905" s="73"/>
    </row>
    <row r="906">
      <c r="A906" s="73"/>
      <c r="B906" s="73"/>
      <c r="C906" s="73"/>
      <c r="D906" s="73"/>
      <c r="E906" s="73"/>
      <c r="F906" s="73"/>
      <c r="G906" s="73"/>
      <c r="H906" s="73"/>
      <c r="I906" s="73"/>
      <c r="J906" s="73"/>
      <c r="K906" s="73"/>
      <c r="L906" s="73"/>
      <c r="M906" s="73"/>
      <c r="N906" s="73"/>
      <c r="O906" s="73"/>
      <c r="P906" s="73"/>
      <c r="Q906" s="73"/>
      <c r="R906" s="73"/>
      <c r="S906" s="73"/>
      <c r="T906" s="73"/>
      <c r="U906" s="73"/>
      <c r="V906" s="73"/>
      <c r="W906" s="73"/>
      <c r="X906" s="73"/>
      <c r="Y906" s="73"/>
      <c r="Z906" s="73"/>
    </row>
    <row r="907">
      <c r="A907" s="73"/>
      <c r="B907" s="73"/>
      <c r="C907" s="73"/>
      <c r="D907" s="73"/>
      <c r="E907" s="73"/>
      <c r="F907" s="73"/>
      <c r="G907" s="73"/>
      <c r="H907" s="73"/>
      <c r="I907" s="73"/>
      <c r="J907" s="73"/>
      <c r="K907" s="73"/>
      <c r="L907" s="73"/>
      <c r="M907" s="73"/>
      <c r="N907" s="73"/>
      <c r="O907" s="73"/>
      <c r="P907" s="73"/>
      <c r="Q907" s="73"/>
      <c r="R907" s="73"/>
      <c r="S907" s="73"/>
      <c r="T907" s="73"/>
      <c r="U907" s="73"/>
      <c r="V907" s="73"/>
      <c r="W907" s="73"/>
      <c r="X907" s="73"/>
      <c r="Y907" s="73"/>
      <c r="Z907" s="73"/>
    </row>
    <row r="908">
      <c r="A908" s="73"/>
      <c r="B908" s="73"/>
      <c r="C908" s="73"/>
      <c r="D908" s="73"/>
      <c r="E908" s="73"/>
      <c r="F908" s="73"/>
      <c r="G908" s="73"/>
      <c r="H908" s="73"/>
      <c r="I908" s="73"/>
      <c r="J908" s="73"/>
      <c r="K908" s="73"/>
      <c r="L908" s="73"/>
      <c r="M908" s="73"/>
      <c r="N908" s="73"/>
      <c r="O908" s="73"/>
      <c r="P908" s="73"/>
      <c r="Q908" s="73"/>
      <c r="R908" s="73"/>
      <c r="S908" s="73"/>
      <c r="T908" s="73"/>
      <c r="U908" s="73"/>
      <c r="V908" s="73"/>
      <c r="W908" s="73"/>
      <c r="X908" s="73"/>
      <c r="Y908" s="73"/>
      <c r="Z908" s="73"/>
    </row>
    <row r="909">
      <c r="A909" s="73"/>
      <c r="B909" s="73"/>
      <c r="C909" s="73"/>
      <c r="D909" s="73"/>
      <c r="E909" s="73"/>
      <c r="F909" s="73"/>
      <c r="G909" s="73"/>
      <c r="H909" s="73"/>
      <c r="I909" s="73"/>
      <c r="J909" s="73"/>
      <c r="K909" s="73"/>
      <c r="L909" s="73"/>
      <c r="M909" s="73"/>
      <c r="N909" s="73"/>
      <c r="O909" s="73"/>
      <c r="P909" s="73"/>
      <c r="Q909" s="73"/>
      <c r="R909" s="73"/>
      <c r="S909" s="73"/>
      <c r="T909" s="73"/>
      <c r="U909" s="73"/>
      <c r="V909" s="73"/>
      <c r="W909" s="73"/>
      <c r="X909" s="73"/>
      <c r="Y909" s="73"/>
      <c r="Z909" s="73"/>
    </row>
    <row r="910">
      <c r="A910" s="73"/>
      <c r="B910" s="73"/>
      <c r="C910" s="73"/>
      <c r="D910" s="73"/>
      <c r="E910" s="73"/>
      <c r="F910" s="73"/>
      <c r="G910" s="73"/>
      <c r="H910" s="73"/>
      <c r="I910" s="73"/>
      <c r="J910" s="73"/>
      <c r="K910" s="73"/>
      <c r="L910" s="73"/>
      <c r="M910" s="73"/>
      <c r="N910" s="73"/>
      <c r="O910" s="73"/>
      <c r="P910" s="73"/>
      <c r="Q910" s="73"/>
      <c r="R910" s="73"/>
      <c r="S910" s="73"/>
      <c r="T910" s="73"/>
      <c r="U910" s="73"/>
      <c r="V910" s="73"/>
      <c r="W910" s="73"/>
      <c r="X910" s="73"/>
      <c r="Y910" s="73"/>
      <c r="Z910" s="73"/>
    </row>
    <row r="911">
      <c r="A911" s="73"/>
      <c r="B911" s="73"/>
      <c r="C911" s="73"/>
      <c r="D911" s="73"/>
      <c r="E911" s="73"/>
      <c r="F911" s="73"/>
      <c r="G911" s="73"/>
      <c r="H911" s="73"/>
      <c r="I911" s="73"/>
      <c r="J911" s="73"/>
      <c r="K911" s="73"/>
      <c r="L911" s="73"/>
      <c r="M911" s="73"/>
      <c r="N911" s="73"/>
      <c r="O911" s="73"/>
      <c r="P911" s="73"/>
      <c r="Q911" s="73"/>
      <c r="R911" s="73"/>
      <c r="S911" s="73"/>
      <c r="T911" s="73"/>
      <c r="U911" s="73"/>
      <c r="V911" s="73"/>
      <c r="W911" s="73"/>
      <c r="X911" s="73"/>
      <c r="Y911" s="73"/>
      <c r="Z911" s="73"/>
    </row>
    <row r="912">
      <c r="A912" s="73"/>
      <c r="B912" s="73"/>
      <c r="C912" s="73"/>
      <c r="D912" s="73"/>
      <c r="E912" s="73"/>
      <c r="F912" s="73"/>
      <c r="G912" s="73"/>
      <c r="H912" s="73"/>
      <c r="I912" s="73"/>
      <c r="J912" s="73"/>
      <c r="K912" s="73"/>
      <c r="L912" s="73"/>
      <c r="M912" s="73"/>
      <c r="N912" s="73"/>
      <c r="O912" s="73"/>
      <c r="P912" s="73"/>
      <c r="Q912" s="73"/>
      <c r="R912" s="73"/>
      <c r="S912" s="73"/>
      <c r="T912" s="73"/>
      <c r="U912" s="73"/>
      <c r="V912" s="73"/>
      <c r="W912" s="73"/>
      <c r="X912" s="73"/>
      <c r="Y912" s="73"/>
      <c r="Z912" s="73"/>
    </row>
    <row r="913">
      <c r="A913" s="73"/>
      <c r="B913" s="73"/>
      <c r="C913" s="73"/>
      <c r="D913" s="73"/>
      <c r="E913" s="73"/>
      <c r="F913" s="73"/>
      <c r="G913" s="73"/>
      <c r="H913" s="73"/>
      <c r="I913" s="73"/>
      <c r="J913" s="73"/>
      <c r="K913" s="73"/>
      <c r="L913" s="73"/>
      <c r="M913" s="73"/>
      <c r="N913" s="73"/>
      <c r="O913" s="73"/>
      <c r="P913" s="73"/>
      <c r="Q913" s="73"/>
      <c r="R913" s="73"/>
      <c r="S913" s="73"/>
      <c r="T913" s="73"/>
      <c r="U913" s="73"/>
      <c r="V913" s="73"/>
      <c r="W913" s="73"/>
      <c r="X913" s="73"/>
      <c r="Y913" s="73"/>
      <c r="Z913" s="73"/>
    </row>
    <row r="914">
      <c r="A914" s="73"/>
      <c r="B914" s="73"/>
      <c r="C914" s="73"/>
      <c r="D914" s="73"/>
      <c r="E914" s="73"/>
      <c r="F914" s="73"/>
      <c r="G914" s="73"/>
      <c r="H914" s="73"/>
      <c r="I914" s="73"/>
      <c r="J914" s="73"/>
      <c r="K914" s="73"/>
      <c r="L914" s="73"/>
      <c r="M914" s="73"/>
      <c r="N914" s="73"/>
      <c r="O914" s="73"/>
      <c r="P914" s="73"/>
      <c r="Q914" s="73"/>
      <c r="R914" s="73"/>
      <c r="S914" s="73"/>
      <c r="T914" s="73"/>
      <c r="U914" s="73"/>
      <c r="V914" s="73"/>
      <c r="W914" s="73"/>
      <c r="X914" s="73"/>
      <c r="Y914" s="73"/>
      <c r="Z914" s="73"/>
    </row>
    <row r="915">
      <c r="A915" s="73"/>
      <c r="B915" s="73"/>
      <c r="C915" s="73"/>
      <c r="D915" s="73"/>
      <c r="E915" s="73"/>
      <c r="F915" s="73"/>
      <c r="G915" s="73"/>
      <c r="H915" s="73"/>
      <c r="I915" s="73"/>
      <c r="J915" s="73"/>
      <c r="K915" s="73"/>
      <c r="L915" s="73"/>
      <c r="M915" s="73"/>
      <c r="N915" s="73"/>
      <c r="O915" s="73"/>
      <c r="P915" s="73"/>
      <c r="Q915" s="73"/>
      <c r="R915" s="73"/>
      <c r="S915" s="73"/>
      <c r="T915" s="73"/>
      <c r="U915" s="73"/>
      <c r="V915" s="73"/>
      <c r="W915" s="73"/>
      <c r="X915" s="73"/>
      <c r="Y915" s="73"/>
      <c r="Z915" s="73"/>
    </row>
    <row r="916">
      <c r="A916" s="73"/>
      <c r="B916" s="73"/>
      <c r="C916" s="73"/>
      <c r="D916" s="73"/>
      <c r="E916" s="73"/>
      <c r="F916" s="73"/>
      <c r="G916" s="73"/>
      <c r="H916" s="73"/>
      <c r="I916" s="73"/>
      <c r="J916" s="73"/>
      <c r="K916" s="73"/>
      <c r="L916" s="73"/>
      <c r="M916" s="73"/>
      <c r="N916" s="73"/>
      <c r="O916" s="73"/>
      <c r="P916" s="73"/>
      <c r="Q916" s="73"/>
      <c r="R916" s="73"/>
      <c r="S916" s="73"/>
      <c r="T916" s="73"/>
      <c r="U916" s="73"/>
      <c r="V916" s="73"/>
      <c r="W916" s="73"/>
      <c r="X916" s="73"/>
      <c r="Y916" s="73"/>
      <c r="Z916" s="73"/>
    </row>
    <row r="917">
      <c r="A917" s="73"/>
      <c r="B917" s="73"/>
      <c r="C917" s="73"/>
      <c r="D917" s="73"/>
      <c r="E917" s="73"/>
      <c r="F917" s="73"/>
      <c r="G917" s="73"/>
      <c r="H917" s="73"/>
      <c r="I917" s="73"/>
      <c r="J917" s="73"/>
      <c r="K917" s="73"/>
      <c r="L917" s="73"/>
      <c r="M917" s="73"/>
      <c r="N917" s="73"/>
      <c r="O917" s="73"/>
      <c r="P917" s="73"/>
      <c r="Q917" s="73"/>
      <c r="R917" s="73"/>
      <c r="S917" s="73"/>
      <c r="T917" s="73"/>
      <c r="U917" s="73"/>
      <c r="V917" s="73"/>
      <c r="W917" s="73"/>
      <c r="X917" s="73"/>
      <c r="Y917" s="73"/>
      <c r="Z917" s="73"/>
    </row>
    <row r="918">
      <c r="A918" s="73"/>
      <c r="B918" s="73"/>
      <c r="C918" s="73"/>
      <c r="D918" s="73"/>
      <c r="E918" s="73"/>
      <c r="F918" s="73"/>
      <c r="G918" s="73"/>
      <c r="H918" s="73"/>
      <c r="I918" s="73"/>
      <c r="J918" s="73"/>
      <c r="K918" s="73"/>
      <c r="L918" s="73"/>
      <c r="M918" s="73"/>
      <c r="N918" s="73"/>
      <c r="O918" s="73"/>
      <c r="P918" s="73"/>
      <c r="Q918" s="73"/>
      <c r="R918" s="73"/>
      <c r="S918" s="73"/>
      <c r="T918" s="73"/>
      <c r="U918" s="73"/>
      <c r="V918" s="73"/>
      <c r="W918" s="73"/>
      <c r="X918" s="73"/>
      <c r="Y918" s="73"/>
      <c r="Z918" s="73"/>
    </row>
    <row r="919">
      <c r="A919" s="73"/>
      <c r="B919" s="73"/>
      <c r="C919" s="73"/>
      <c r="D919" s="73"/>
      <c r="E919" s="73"/>
      <c r="F919" s="73"/>
      <c r="G919" s="73"/>
      <c r="H919" s="73"/>
      <c r="I919" s="73"/>
      <c r="J919" s="73"/>
      <c r="K919" s="73"/>
      <c r="L919" s="73"/>
      <c r="M919" s="73"/>
      <c r="N919" s="73"/>
      <c r="O919" s="73"/>
      <c r="P919" s="73"/>
      <c r="Q919" s="73"/>
      <c r="R919" s="73"/>
      <c r="S919" s="73"/>
      <c r="T919" s="73"/>
      <c r="U919" s="73"/>
      <c r="V919" s="73"/>
      <c r="W919" s="73"/>
      <c r="X919" s="73"/>
      <c r="Y919" s="73"/>
      <c r="Z919" s="73"/>
    </row>
    <row r="920">
      <c r="A920" s="73"/>
      <c r="B920" s="73"/>
      <c r="C920" s="73"/>
      <c r="D920" s="73"/>
      <c r="E920" s="73"/>
      <c r="F920" s="73"/>
      <c r="G920" s="73"/>
      <c r="H920" s="73"/>
      <c r="I920" s="73"/>
      <c r="J920" s="73"/>
      <c r="K920" s="73"/>
      <c r="L920" s="73"/>
      <c r="M920" s="73"/>
      <c r="N920" s="73"/>
      <c r="O920" s="73"/>
      <c r="P920" s="73"/>
      <c r="Q920" s="73"/>
      <c r="R920" s="73"/>
      <c r="S920" s="73"/>
      <c r="T920" s="73"/>
      <c r="U920" s="73"/>
      <c r="V920" s="73"/>
      <c r="W920" s="73"/>
      <c r="X920" s="73"/>
      <c r="Y920" s="73"/>
      <c r="Z920" s="73"/>
    </row>
    <row r="921">
      <c r="A921" s="73"/>
      <c r="B921" s="73"/>
      <c r="C921" s="73"/>
      <c r="D921" s="73"/>
      <c r="E921" s="73"/>
      <c r="F921" s="73"/>
      <c r="G921" s="73"/>
      <c r="H921" s="73"/>
      <c r="I921" s="73"/>
      <c r="J921" s="73"/>
      <c r="K921" s="73"/>
      <c r="L921" s="73"/>
      <c r="M921" s="73"/>
      <c r="N921" s="73"/>
      <c r="O921" s="73"/>
      <c r="P921" s="73"/>
      <c r="Q921" s="73"/>
      <c r="R921" s="73"/>
      <c r="S921" s="73"/>
      <c r="T921" s="73"/>
      <c r="U921" s="73"/>
      <c r="V921" s="73"/>
      <c r="W921" s="73"/>
      <c r="X921" s="73"/>
      <c r="Y921" s="73"/>
      <c r="Z921" s="73"/>
    </row>
    <row r="922">
      <c r="A922" s="73"/>
      <c r="B922" s="73"/>
      <c r="C922" s="73"/>
      <c r="D922" s="73"/>
      <c r="E922" s="73"/>
      <c r="F922" s="73"/>
      <c r="G922" s="73"/>
      <c r="H922" s="73"/>
      <c r="I922" s="73"/>
      <c r="J922" s="73"/>
      <c r="K922" s="73"/>
      <c r="L922" s="73"/>
      <c r="M922" s="73"/>
      <c r="N922" s="73"/>
      <c r="O922" s="73"/>
      <c r="P922" s="73"/>
      <c r="Q922" s="73"/>
      <c r="R922" s="73"/>
      <c r="S922" s="73"/>
      <c r="T922" s="73"/>
      <c r="U922" s="73"/>
      <c r="V922" s="73"/>
      <c r="W922" s="73"/>
      <c r="X922" s="73"/>
      <c r="Y922" s="73"/>
      <c r="Z922" s="73"/>
    </row>
    <row r="923">
      <c r="A923" s="73"/>
      <c r="B923" s="73"/>
      <c r="C923" s="73"/>
      <c r="D923" s="73"/>
      <c r="E923" s="73"/>
      <c r="F923" s="73"/>
      <c r="G923" s="73"/>
      <c r="H923" s="73"/>
      <c r="I923" s="73"/>
      <c r="J923" s="73"/>
      <c r="K923" s="73"/>
      <c r="L923" s="73"/>
      <c r="M923" s="73"/>
      <c r="N923" s="73"/>
      <c r="O923" s="73"/>
      <c r="P923" s="73"/>
      <c r="Q923" s="73"/>
      <c r="R923" s="73"/>
      <c r="S923" s="73"/>
      <c r="T923" s="73"/>
      <c r="U923" s="73"/>
      <c r="V923" s="73"/>
      <c r="W923" s="73"/>
      <c r="X923" s="73"/>
      <c r="Y923" s="73"/>
      <c r="Z923" s="73"/>
    </row>
    <row r="924">
      <c r="A924" s="73"/>
      <c r="B924" s="73"/>
      <c r="C924" s="73"/>
      <c r="D924" s="73"/>
      <c r="E924" s="73"/>
      <c r="F924" s="73"/>
      <c r="G924" s="73"/>
      <c r="H924" s="73"/>
      <c r="I924" s="73"/>
      <c r="J924" s="73"/>
      <c r="K924" s="73"/>
      <c r="L924" s="73"/>
      <c r="M924" s="73"/>
      <c r="N924" s="73"/>
      <c r="O924" s="73"/>
      <c r="P924" s="73"/>
      <c r="Q924" s="73"/>
      <c r="R924" s="73"/>
      <c r="S924" s="73"/>
      <c r="T924" s="73"/>
      <c r="U924" s="73"/>
      <c r="V924" s="73"/>
      <c r="W924" s="73"/>
      <c r="X924" s="73"/>
      <c r="Y924" s="73"/>
      <c r="Z924" s="73"/>
    </row>
    <row r="925">
      <c r="A925" s="73"/>
      <c r="B925" s="73"/>
      <c r="C925" s="73"/>
      <c r="D925" s="73"/>
      <c r="E925" s="73"/>
      <c r="F925" s="73"/>
      <c r="G925" s="73"/>
      <c r="H925" s="73"/>
      <c r="I925" s="73"/>
      <c r="J925" s="73"/>
      <c r="K925" s="73"/>
      <c r="L925" s="73"/>
      <c r="M925" s="73"/>
      <c r="N925" s="73"/>
      <c r="O925" s="73"/>
      <c r="P925" s="73"/>
      <c r="Q925" s="73"/>
      <c r="R925" s="73"/>
      <c r="S925" s="73"/>
      <c r="T925" s="73"/>
      <c r="U925" s="73"/>
      <c r="V925" s="73"/>
      <c r="W925" s="73"/>
      <c r="X925" s="73"/>
      <c r="Y925" s="73"/>
      <c r="Z925" s="73"/>
    </row>
    <row r="926">
      <c r="A926" s="73"/>
      <c r="B926" s="73"/>
      <c r="C926" s="73"/>
      <c r="D926" s="73"/>
      <c r="E926" s="73"/>
      <c r="F926" s="73"/>
      <c r="G926" s="73"/>
      <c r="H926" s="73"/>
      <c r="I926" s="73"/>
      <c r="J926" s="73"/>
      <c r="K926" s="73"/>
      <c r="L926" s="73"/>
      <c r="M926" s="73"/>
      <c r="N926" s="73"/>
      <c r="O926" s="73"/>
      <c r="P926" s="73"/>
      <c r="Q926" s="73"/>
      <c r="R926" s="73"/>
      <c r="S926" s="73"/>
      <c r="T926" s="73"/>
      <c r="U926" s="73"/>
      <c r="V926" s="73"/>
      <c r="W926" s="73"/>
      <c r="X926" s="73"/>
      <c r="Y926" s="73"/>
      <c r="Z926" s="73"/>
    </row>
    <row r="927">
      <c r="A927" s="73"/>
      <c r="B927" s="73"/>
      <c r="C927" s="73"/>
      <c r="D927" s="73"/>
      <c r="E927" s="73"/>
      <c r="F927" s="73"/>
      <c r="G927" s="73"/>
      <c r="H927" s="73"/>
      <c r="I927" s="73"/>
      <c r="J927" s="73"/>
      <c r="K927" s="73"/>
      <c r="L927" s="73"/>
      <c r="M927" s="73"/>
      <c r="N927" s="73"/>
      <c r="O927" s="73"/>
      <c r="P927" s="73"/>
      <c r="Q927" s="73"/>
      <c r="R927" s="73"/>
      <c r="S927" s="73"/>
      <c r="T927" s="73"/>
      <c r="U927" s="73"/>
      <c r="V927" s="73"/>
      <c r="W927" s="73"/>
      <c r="X927" s="73"/>
      <c r="Y927" s="73"/>
      <c r="Z927" s="73"/>
    </row>
    <row r="928">
      <c r="A928" s="73"/>
      <c r="B928" s="73"/>
      <c r="C928" s="73"/>
      <c r="D928" s="73"/>
      <c r="E928" s="73"/>
      <c r="F928" s="73"/>
      <c r="G928" s="73"/>
      <c r="H928" s="73"/>
      <c r="I928" s="73"/>
      <c r="J928" s="73"/>
      <c r="K928" s="73"/>
      <c r="L928" s="73"/>
      <c r="M928" s="73"/>
      <c r="N928" s="73"/>
      <c r="O928" s="73"/>
      <c r="P928" s="73"/>
      <c r="Q928" s="73"/>
      <c r="R928" s="73"/>
      <c r="S928" s="73"/>
      <c r="T928" s="73"/>
      <c r="U928" s="73"/>
      <c r="V928" s="73"/>
      <c r="W928" s="73"/>
      <c r="X928" s="73"/>
      <c r="Y928" s="73"/>
      <c r="Z928" s="73"/>
    </row>
    <row r="929">
      <c r="A929" s="73"/>
      <c r="B929" s="73"/>
      <c r="C929" s="73"/>
      <c r="D929" s="73"/>
      <c r="E929" s="73"/>
      <c r="F929" s="73"/>
      <c r="G929" s="73"/>
      <c r="H929" s="73"/>
      <c r="I929" s="73"/>
      <c r="J929" s="73"/>
      <c r="K929" s="73"/>
      <c r="L929" s="73"/>
      <c r="M929" s="73"/>
      <c r="N929" s="73"/>
      <c r="O929" s="73"/>
      <c r="P929" s="73"/>
      <c r="Q929" s="73"/>
      <c r="R929" s="73"/>
      <c r="S929" s="73"/>
      <c r="T929" s="73"/>
      <c r="U929" s="73"/>
      <c r="V929" s="73"/>
      <c r="W929" s="73"/>
      <c r="X929" s="73"/>
      <c r="Y929" s="73"/>
      <c r="Z929" s="73"/>
    </row>
    <row r="930">
      <c r="A930" s="73"/>
      <c r="B930" s="73"/>
      <c r="C930" s="73"/>
      <c r="D930" s="73"/>
      <c r="E930" s="73"/>
      <c r="F930" s="73"/>
      <c r="G930" s="73"/>
      <c r="H930" s="73"/>
      <c r="I930" s="73"/>
      <c r="J930" s="73"/>
      <c r="K930" s="73"/>
      <c r="L930" s="73"/>
      <c r="M930" s="73"/>
      <c r="N930" s="73"/>
      <c r="O930" s="73"/>
      <c r="P930" s="73"/>
      <c r="Q930" s="73"/>
      <c r="R930" s="73"/>
      <c r="S930" s="73"/>
      <c r="T930" s="73"/>
      <c r="U930" s="73"/>
      <c r="V930" s="73"/>
      <c r="W930" s="73"/>
      <c r="X930" s="73"/>
      <c r="Y930" s="73"/>
      <c r="Z930" s="73"/>
    </row>
    <row r="931">
      <c r="A931" s="73"/>
      <c r="B931" s="73"/>
      <c r="C931" s="73"/>
      <c r="D931" s="73"/>
      <c r="E931" s="73"/>
      <c r="F931" s="73"/>
      <c r="G931" s="73"/>
      <c r="H931" s="73"/>
      <c r="I931" s="73"/>
      <c r="J931" s="73"/>
      <c r="K931" s="73"/>
      <c r="L931" s="73"/>
      <c r="M931" s="73"/>
      <c r="N931" s="73"/>
      <c r="O931" s="73"/>
      <c r="P931" s="73"/>
      <c r="Q931" s="73"/>
      <c r="R931" s="73"/>
      <c r="S931" s="73"/>
      <c r="T931" s="73"/>
      <c r="U931" s="73"/>
      <c r="V931" s="73"/>
      <c r="W931" s="73"/>
      <c r="X931" s="73"/>
      <c r="Y931" s="73"/>
      <c r="Z931" s="73"/>
    </row>
    <row r="932">
      <c r="A932" s="73"/>
      <c r="B932" s="73"/>
      <c r="C932" s="73"/>
      <c r="D932" s="73"/>
      <c r="E932" s="73"/>
      <c r="F932" s="73"/>
      <c r="G932" s="73"/>
      <c r="H932" s="73"/>
      <c r="I932" s="73"/>
      <c r="J932" s="73"/>
      <c r="K932" s="73"/>
      <c r="L932" s="73"/>
      <c r="M932" s="73"/>
      <c r="N932" s="73"/>
      <c r="O932" s="73"/>
      <c r="P932" s="73"/>
      <c r="Q932" s="73"/>
      <c r="R932" s="73"/>
      <c r="S932" s="73"/>
      <c r="T932" s="73"/>
      <c r="U932" s="73"/>
      <c r="V932" s="73"/>
      <c r="W932" s="73"/>
      <c r="X932" s="73"/>
      <c r="Y932" s="73"/>
      <c r="Z932" s="73"/>
    </row>
    <row r="933">
      <c r="A933" s="73"/>
      <c r="B933" s="73"/>
      <c r="C933" s="73"/>
      <c r="D933" s="73"/>
      <c r="E933" s="73"/>
      <c r="F933" s="73"/>
      <c r="G933" s="73"/>
      <c r="H933" s="73"/>
      <c r="I933" s="73"/>
      <c r="J933" s="73"/>
      <c r="K933" s="73"/>
      <c r="L933" s="73"/>
      <c r="M933" s="73"/>
      <c r="N933" s="73"/>
      <c r="O933" s="73"/>
      <c r="P933" s="73"/>
      <c r="Q933" s="73"/>
      <c r="R933" s="73"/>
      <c r="S933" s="73"/>
      <c r="T933" s="73"/>
      <c r="U933" s="73"/>
      <c r="V933" s="73"/>
      <c r="W933" s="73"/>
      <c r="X933" s="73"/>
      <c r="Y933" s="73"/>
      <c r="Z933" s="73"/>
    </row>
    <row r="934">
      <c r="A934" s="73"/>
      <c r="B934" s="73"/>
      <c r="C934" s="73"/>
      <c r="D934" s="73"/>
      <c r="E934" s="73"/>
      <c r="F934" s="73"/>
      <c r="G934" s="73"/>
      <c r="H934" s="73"/>
      <c r="I934" s="73"/>
      <c r="J934" s="73"/>
      <c r="K934" s="73"/>
      <c r="L934" s="73"/>
      <c r="M934" s="73"/>
      <c r="N934" s="73"/>
      <c r="O934" s="73"/>
      <c r="P934" s="73"/>
      <c r="Q934" s="73"/>
      <c r="R934" s="73"/>
      <c r="S934" s="73"/>
      <c r="T934" s="73"/>
      <c r="U934" s="73"/>
      <c r="V934" s="73"/>
      <c r="W934" s="73"/>
      <c r="X934" s="73"/>
      <c r="Y934" s="73"/>
      <c r="Z934" s="73"/>
    </row>
    <row r="935">
      <c r="A935" s="73"/>
      <c r="B935" s="73"/>
      <c r="C935" s="73"/>
      <c r="D935" s="73"/>
      <c r="E935" s="73"/>
      <c r="F935" s="73"/>
      <c r="G935" s="73"/>
      <c r="H935" s="73"/>
      <c r="I935" s="73"/>
      <c r="J935" s="73"/>
      <c r="K935" s="73"/>
      <c r="L935" s="73"/>
      <c r="M935" s="73"/>
      <c r="N935" s="73"/>
      <c r="O935" s="73"/>
      <c r="P935" s="73"/>
      <c r="Q935" s="73"/>
      <c r="R935" s="73"/>
      <c r="S935" s="73"/>
      <c r="T935" s="73"/>
      <c r="U935" s="73"/>
      <c r="V935" s="73"/>
      <c r="W935" s="73"/>
      <c r="X935" s="73"/>
      <c r="Y935" s="73"/>
      <c r="Z935" s="73"/>
    </row>
    <row r="936">
      <c r="A936" s="73"/>
      <c r="B936" s="73"/>
      <c r="C936" s="73"/>
      <c r="D936" s="73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  <c r="Z936" s="73"/>
    </row>
    <row r="937">
      <c r="A937" s="73"/>
      <c r="B937" s="73"/>
      <c r="C937" s="73"/>
      <c r="D937" s="73"/>
      <c r="E937" s="73"/>
      <c r="F937" s="73"/>
      <c r="G937" s="73"/>
      <c r="H937" s="73"/>
      <c r="I937" s="73"/>
      <c r="J937" s="73"/>
      <c r="K937" s="73"/>
      <c r="L937" s="73"/>
      <c r="M937" s="73"/>
      <c r="N937" s="73"/>
      <c r="O937" s="73"/>
      <c r="P937" s="73"/>
      <c r="Q937" s="73"/>
      <c r="R937" s="73"/>
      <c r="S937" s="73"/>
      <c r="T937" s="73"/>
      <c r="U937" s="73"/>
      <c r="V937" s="73"/>
      <c r="W937" s="73"/>
      <c r="X937" s="73"/>
      <c r="Y937" s="73"/>
      <c r="Z937" s="73"/>
    </row>
    <row r="938">
      <c r="A938" s="73"/>
      <c r="B938" s="73"/>
      <c r="C938" s="73"/>
      <c r="D938" s="73"/>
      <c r="E938" s="73"/>
      <c r="F938" s="73"/>
      <c r="G938" s="73"/>
      <c r="H938" s="73"/>
      <c r="I938" s="73"/>
      <c r="J938" s="73"/>
      <c r="K938" s="73"/>
      <c r="L938" s="73"/>
      <c r="M938" s="73"/>
      <c r="N938" s="73"/>
      <c r="O938" s="73"/>
      <c r="P938" s="73"/>
      <c r="Q938" s="73"/>
      <c r="R938" s="73"/>
      <c r="S938" s="73"/>
      <c r="T938" s="73"/>
      <c r="U938" s="73"/>
      <c r="V938" s="73"/>
      <c r="W938" s="73"/>
      <c r="X938" s="73"/>
      <c r="Y938" s="73"/>
      <c r="Z938" s="73"/>
    </row>
    <row r="939">
      <c r="A939" s="73"/>
      <c r="B939" s="73"/>
      <c r="C939" s="73"/>
      <c r="D939" s="73"/>
      <c r="E939" s="73"/>
      <c r="F939" s="73"/>
      <c r="G939" s="73"/>
      <c r="H939" s="73"/>
      <c r="I939" s="73"/>
      <c r="J939" s="73"/>
      <c r="K939" s="73"/>
      <c r="L939" s="73"/>
      <c r="M939" s="73"/>
      <c r="N939" s="73"/>
      <c r="O939" s="73"/>
      <c r="P939" s="73"/>
      <c r="Q939" s="73"/>
      <c r="R939" s="73"/>
      <c r="S939" s="73"/>
      <c r="T939" s="73"/>
      <c r="U939" s="73"/>
      <c r="V939" s="73"/>
      <c r="W939" s="73"/>
      <c r="X939" s="73"/>
      <c r="Y939" s="73"/>
      <c r="Z939" s="73"/>
    </row>
    <row r="940">
      <c r="A940" s="73"/>
      <c r="B940" s="73"/>
      <c r="C940" s="73"/>
      <c r="D940" s="73"/>
      <c r="E940" s="73"/>
      <c r="F940" s="73"/>
      <c r="G940" s="73"/>
      <c r="H940" s="73"/>
      <c r="I940" s="73"/>
      <c r="J940" s="73"/>
      <c r="K940" s="73"/>
      <c r="L940" s="73"/>
      <c r="M940" s="73"/>
      <c r="N940" s="73"/>
      <c r="O940" s="73"/>
      <c r="P940" s="73"/>
      <c r="Q940" s="73"/>
      <c r="R940" s="73"/>
      <c r="S940" s="73"/>
      <c r="T940" s="73"/>
      <c r="U940" s="73"/>
      <c r="V940" s="73"/>
      <c r="W940" s="73"/>
      <c r="X940" s="73"/>
      <c r="Y940" s="73"/>
      <c r="Z940" s="73"/>
    </row>
    <row r="941">
      <c r="A941" s="73"/>
      <c r="B941" s="73"/>
      <c r="C941" s="73"/>
      <c r="D941" s="73"/>
      <c r="E941" s="73"/>
      <c r="F941" s="73"/>
      <c r="G941" s="73"/>
      <c r="H941" s="73"/>
      <c r="I941" s="73"/>
      <c r="J941" s="73"/>
      <c r="K941" s="73"/>
      <c r="L941" s="73"/>
      <c r="M941" s="73"/>
      <c r="N941" s="73"/>
      <c r="O941" s="73"/>
      <c r="P941" s="73"/>
      <c r="Q941" s="73"/>
      <c r="R941" s="73"/>
      <c r="S941" s="73"/>
      <c r="T941" s="73"/>
      <c r="U941" s="73"/>
      <c r="V941" s="73"/>
      <c r="W941" s="73"/>
      <c r="X941" s="73"/>
      <c r="Y941" s="73"/>
      <c r="Z941" s="73"/>
    </row>
    <row r="942">
      <c r="A942" s="73"/>
      <c r="B942" s="73"/>
      <c r="C942" s="73"/>
      <c r="D942" s="73"/>
      <c r="E942" s="73"/>
      <c r="F942" s="73"/>
      <c r="G942" s="73"/>
      <c r="H942" s="73"/>
      <c r="I942" s="73"/>
      <c r="J942" s="73"/>
      <c r="K942" s="73"/>
      <c r="L942" s="73"/>
      <c r="M942" s="73"/>
      <c r="N942" s="73"/>
      <c r="O942" s="73"/>
      <c r="P942" s="73"/>
      <c r="Q942" s="73"/>
      <c r="R942" s="73"/>
      <c r="S942" s="73"/>
      <c r="T942" s="73"/>
      <c r="U942" s="73"/>
      <c r="V942" s="73"/>
      <c r="W942" s="73"/>
      <c r="X942" s="73"/>
      <c r="Y942" s="73"/>
      <c r="Z942" s="73"/>
    </row>
    <row r="943">
      <c r="A943" s="73"/>
      <c r="B943" s="73"/>
      <c r="C943" s="73"/>
      <c r="D943" s="73"/>
      <c r="E943" s="73"/>
      <c r="F943" s="73"/>
      <c r="G943" s="73"/>
      <c r="H943" s="73"/>
      <c r="I943" s="73"/>
      <c r="J943" s="73"/>
      <c r="K943" s="73"/>
      <c r="L943" s="73"/>
      <c r="M943" s="73"/>
      <c r="N943" s="73"/>
      <c r="O943" s="73"/>
      <c r="P943" s="73"/>
      <c r="Q943" s="73"/>
      <c r="R943" s="73"/>
      <c r="S943" s="73"/>
      <c r="T943" s="73"/>
      <c r="U943" s="73"/>
      <c r="V943" s="73"/>
      <c r="W943" s="73"/>
      <c r="X943" s="73"/>
      <c r="Y943" s="73"/>
      <c r="Z943" s="73"/>
    </row>
    <row r="944">
      <c r="A944" s="73"/>
      <c r="B944" s="73"/>
      <c r="C944" s="73"/>
      <c r="D944" s="73"/>
      <c r="E944" s="73"/>
      <c r="F944" s="73"/>
      <c r="G944" s="73"/>
      <c r="H944" s="73"/>
      <c r="I944" s="73"/>
      <c r="J944" s="73"/>
      <c r="K944" s="73"/>
      <c r="L944" s="73"/>
      <c r="M944" s="73"/>
      <c r="N944" s="73"/>
      <c r="O944" s="73"/>
      <c r="P944" s="73"/>
      <c r="Q944" s="73"/>
      <c r="R944" s="73"/>
      <c r="S944" s="73"/>
      <c r="T944" s="73"/>
      <c r="U944" s="73"/>
      <c r="V944" s="73"/>
      <c r="W944" s="73"/>
      <c r="X944" s="73"/>
      <c r="Y944" s="73"/>
      <c r="Z944" s="73"/>
    </row>
    <row r="945">
      <c r="A945" s="73"/>
      <c r="B945" s="73"/>
      <c r="C945" s="73"/>
      <c r="D945" s="73"/>
      <c r="E945" s="73"/>
      <c r="F945" s="73"/>
      <c r="G945" s="73"/>
      <c r="H945" s="73"/>
      <c r="I945" s="73"/>
      <c r="J945" s="73"/>
      <c r="K945" s="73"/>
      <c r="L945" s="73"/>
      <c r="M945" s="73"/>
      <c r="N945" s="73"/>
      <c r="O945" s="73"/>
      <c r="P945" s="73"/>
      <c r="Q945" s="73"/>
      <c r="R945" s="73"/>
      <c r="S945" s="73"/>
      <c r="T945" s="73"/>
      <c r="U945" s="73"/>
      <c r="V945" s="73"/>
      <c r="W945" s="73"/>
      <c r="X945" s="73"/>
      <c r="Y945" s="73"/>
      <c r="Z945" s="73"/>
    </row>
    <row r="946">
      <c r="A946" s="73"/>
      <c r="B946" s="73"/>
      <c r="C946" s="73"/>
      <c r="D946" s="73"/>
      <c r="E946" s="73"/>
      <c r="F946" s="73"/>
      <c r="G946" s="73"/>
      <c r="H946" s="73"/>
      <c r="I946" s="73"/>
      <c r="J946" s="73"/>
      <c r="K946" s="73"/>
      <c r="L946" s="73"/>
      <c r="M946" s="73"/>
      <c r="N946" s="73"/>
      <c r="O946" s="73"/>
      <c r="P946" s="73"/>
      <c r="Q946" s="73"/>
      <c r="R946" s="73"/>
      <c r="S946" s="73"/>
      <c r="T946" s="73"/>
      <c r="U946" s="73"/>
      <c r="V946" s="73"/>
      <c r="W946" s="73"/>
      <c r="X946" s="73"/>
      <c r="Y946" s="73"/>
      <c r="Z946" s="73"/>
    </row>
    <row r="947">
      <c r="A947" s="73"/>
      <c r="B947" s="73"/>
      <c r="C947" s="73"/>
      <c r="D947" s="73"/>
      <c r="E947" s="73"/>
      <c r="F947" s="73"/>
      <c r="G947" s="73"/>
      <c r="H947" s="73"/>
      <c r="I947" s="73"/>
      <c r="J947" s="73"/>
      <c r="K947" s="73"/>
      <c r="L947" s="73"/>
      <c r="M947" s="73"/>
      <c r="N947" s="73"/>
      <c r="O947" s="73"/>
      <c r="P947" s="73"/>
      <c r="Q947" s="73"/>
      <c r="R947" s="73"/>
      <c r="S947" s="73"/>
      <c r="T947" s="73"/>
      <c r="U947" s="73"/>
      <c r="V947" s="73"/>
      <c r="W947" s="73"/>
      <c r="X947" s="73"/>
      <c r="Y947" s="73"/>
      <c r="Z947" s="73"/>
    </row>
    <row r="948">
      <c r="A948" s="73"/>
      <c r="B948" s="73"/>
      <c r="C948" s="73"/>
      <c r="D948" s="73"/>
      <c r="E948" s="73"/>
      <c r="F948" s="73"/>
      <c r="G948" s="73"/>
      <c r="H948" s="73"/>
      <c r="I948" s="73"/>
      <c r="J948" s="73"/>
      <c r="K948" s="73"/>
      <c r="L948" s="73"/>
      <c r="M948" s="73"/>
      <c r="N948" s="73"/>
      <c r="O948" s="73"/>
      <c r="P948" s="73"/>
      <c r="Q948" s="73"/>
      <c r="R948" s="73"/>
      <c r="S948" s="73"/>
      <c r="T948" s="73"/>
      <c r="U948" s="73"/>
      <c r="V948" s="73"/>
      <c r="W948" s="73"/>
      <c r="X948" s="73"/>
      <c r="Y948" s="73"/>
      <c r="Z948" s="73"/>
    </row>
    <row r="949">
      <c r="A949" s="73"/>
      <c r="B949" s="73"/>
      <c r="C949" s="73"/>
      <c r="D949" s="73"/>
      <c r="E949" s="73"/>
      <c r="F949" s="73"/>
      <c r="G949" s="73"/>
      <c r="H949" s="73"/>
      <c r="I949" s="73"/>
      <c r="J949" s="73"/>
      <c r="K949" s="73"/>
      <c r="L949" s="73"/>
      <c r="M949" s="73"/>
      <c r="N949" s="73"/>
      <c r="O949" s="73"/>
      <c r="P949" s="73"/>
      <c r="Q949" s="73"/>
      <c r="R949" s="73"/>
      <c r="S949" s="73"/>
      <c r="T949" s="73"/>
      <c r="U949" s="73"/>
      <c r="V949" s="73"/>
      <c r="W949" s="73"/>
      <c r="X949" s="73"/>
      <c r="Y949" s="73"/>
      <c r="Z949" s="73"/>
    </row>
    <row r="950">
      <c r="A950" s="73"/>
      <c r="B950" s="73"/>
      <c r="C950" s="73"/>
      <c r="D950" s="73"/>
      <c r="E950" s="73"/>
      <c r="F950" s="73"/>
      <c r="G950" s="73"/>
      <c r="H950" s="73"/>
      <c r="I950" s="73"/>
      <c r="J950" s="73"/>
      <c r="K950" s="73"/>
      <c r="L950" s="73"/>
      <c r="M950" s="73"/>
      <c r="N950" s="73"/>
      <c r="O950" s="73"/>
      <c r="P950" s="73"/>
      <c r="Q950" s="73"/>
      <c r="R950" s="73"/>
      <c r="S950" s="73"/>
      <c r="T950" s="73"/>
      <c r="U950" s="73"/>
      <c r="V950" s="73"/>
      <c r="W950" s="73"/>
      <c r="X950" s="73"/>
      <c r="Y950" s="73"/>
      <c r="Z950" s="73"/>
    </row>
    <row r="951">
      <c r="A951" s="73"/>
      <c r="B951" s="73"/>
      <c r="C951" s="73"/>
      <c r="D951" s="73"/>
      <c r="E951" s="73"/>
      <c r="F951" s="73"/>
      <c r="G951" s="73"/>
      <c r="H951" s="73"/>
      <c r="I951" s="73"/>
      <c r="J951" s="73"/>
      <c r="K951" s="73"/>
      <c r="L951" s="73"/>
      <c r="M951" s="73"/>
      <c r="N951" s="73"/>
      <c r="O951" s="73"/>
      <c r="P951" s="73"/>
      <c r="Q951" s="73"/>
      <c r="R951" s="73"/>
      <c r="S951" s="73"/>
      <c r="T951" s="73"/>
      <c r="U951" s="73"/>
      <c r="V951" s="73"/>
      <c r="W951" s="73"/>
      <c r="X951" s="73"/>
      <c r="Y951" s="73"/>
      <c r="Z951" s="73"/>
    </row>
    <row r="952">
      <c r="A952" s="73"/>
      <c r="B952" s="73"/>
      <c r="C952" s="73"/>
      <c r="D952" s="73"/>
      <c r="E952" s="73"/>
      <c r="F952" s="73"/>
      <c r="G952" s="73"/>
      <c r="H952" s="73"/>
      <c r="I952" s="73"/>
      <c r="J952" s="73"/>
      <c r="K952" s="73"/>
      <c r="L952" s="73"/>
      <c r="M952" s="73"/>
      <c r="N952" s="73"/>
      <c r="O952" s="73"/>
      <c r="P952" s="73"/>
      <c r="Q952" s="73"/>
      <c r="R952" s="73"/>
      <c r="S952" s="73"/>
      <c r="T952" s="73"/>
      <c r="U952" s="73"/>
      <c r="V952" s="73"/>
      <c r="W952" s="73"/>
      <c r="X952" s="73"/>
      <c r="Y952" s="73"/>
      <c r="Z952" s="73"/>
    </row>
    <row r="953">
      <c r="A953" s="73"/>
      <c r="B953" s="73"/>
      <c r="C953" s="73"/>
      <c r="D953" s="73"/>
      <c r="E953" s="73"/>
      <c r="F953" s="73"/>
      <c r="G953" s="73"/>
      <c r="H953" s="73"/>
      <c r="I953" s="73"/>
      <c r="J953" s="73"/>
      <c r="K953" s="73"/>
      <c r="L953" s="73"/>
      <c r="M953" s="73"/>
      <c r="N953" s="73"/>
      <c r="O953" s="73"/>
      <c r="P953" s="73"/>
      <c r="Q953" s="73"/>
      <c r="R953" s="73"/>
      <c r="S953" s="73"/>
      <c r="T953" s="73"/>
      <c r="U953" s="73"/>
      <c r="V953" s="73"/>
      <c r="W953" s="73"/>
      <c r="X953" s="73"/>
      <c r="Y953" s="73"/>
      <c r="Z953" s="73"/>
    </row>
    <row r="954">
      <c r="A954" s="73"/>
      <c r="B954" s="73"/>
      <c r="C954" s="73"/>
      <c r="D954" s="73"/>
      <c r="E954" s="73"/>
      <c r="F954" s="73"/>
      <c r="G954" s="73"/>
      <c r="H954" s="73"/>
      <c r="I954" s="73"/>
      <c r="J954" s="73"/>
      <c r="K954" s="73"/>
      <c r="L954" s="73"/>
      <c r="M954" s="73"/>
      <c r="N954" s="73"/>
      <c r="O954" s="73"/>
      <c r="P954" s="73"/>
      <c r="Q954" s="73"/>
      <c r="R954" s="73"/>
      <c r="S954" s="73"/>
      <c r="T954" s="73"/>
      <c r="U954" s="73"/>
      <c r="V954" s="73"/>
      <c r="W954" s="73"/>
      <c r="X954" s="73"/>
      <c r="Y954" s="73"/>
      <c r="Z954" s="73"/>
    </row>
    <row r="955">
      <c r="A955" s="73"/>
      <c r="B955" s="73"/>
      <c r="C955" s="73"/>
      <c r="D955" s="73"/>
      <c r="E955" s="73"/>
      <c r="F955" s="73"/>
      <c r="G955" s="73"/>
      <c r="H955" s="73"/>
      <c r="I955" s="73"/>
      <c r="J955" s="73"/>
      <c r="K955" s="73"/>
      <c r="L955" s="73"/>
      <c r="M955" s="73"/>
      <c r="N955" s="73"/>
      <c r="O955" s="73"/>
      <c r="P955" s="73"/>
      <c r="Q955" s="73"/>
      <c r="R955" s="73"/>
      <c r="S955" s="73"/>
      <c r="T955" s="73"/>
      <c r="U955" s="73"/>
      <c r="V955" s="73"/>
      <c r="W955" s="73"/>
      <c r="X955" s="73"/>
      <c r="Y955" s="73"/>
      <c r="Z955" s="73"/>
    </row>
    <row r="956">
      <c r="A956" s="73"/>
      <c r="B956" s="73"/>
      <c r="C956" s="73"/>
      <c r="D956" s="73"/>
      <c r="E956" s="73"/>
      <c r="F956" s="73"/>
      <c r="G956" s="73"/>
      <c r="H956" s="73"/>
      <c r="I956" s="73"/>
      <c r="J956" s="73"/>
      <c r="K956" s="73"/>
      <c r="L956" s="73"/>
      <c r="M956" s="73"/>
      <c r="N956" s="73"/>
      <c r="O956" s="73"/>
      <c r="P956" s="73"/>
      <c r="Q956" s="73"/>
      <c r="R956" s="73"/>
      <c r="S956" s="73"/>
      <c r="T956" s="73"/>
      <c r="U956" s="73"/>
      <c r="V956" s="73"/>
      <c r="W956" s="73"/>
      <c r="X956" s="73"/>
      <c r="Y956" s="73"/>
      <c r="Z956" s="73"/>
    </row>
    <row r="957">
      <c r="A957" s="73"/>
      <c r="B957" s="73"/>
      <c r="C957" s="73"/>
      <c r="D957" s="73"/>
      <c r="E957" s="73"/>
      <c r="F957" s="73"/>
      <c r="G957" s="73"/>
      <c r="H957" s="73"/>
      <c r="I957" s="73"/>
      <c r="J957" s="73"/>
      <c r="K957" s="73"/>
      <c r="L957" s="73"/>
      <c r="M957" s="73"/>
      <c r="N957" s="73"/>
      <c r="O957" s="73"/>
      <c r="P957" s="73"/>
      <c r="Q957" s="73"/>
      <c r="R957" s="73"/>
      <c r="S957" s="73"/>
      <c r="T957" s="73"/>
      <c r="U957" s="73"/>
      <c r="V957" s="73"/>
      <c r="W957" s="73"/>
      <c r="X957" s="73"/>
      <c r="Y957" s="73"/>
      <c r="Z957" s="73"/>
    </row>
    <row r="958">
      <c r="A958" s="73"/>
      <c r="B958" s="73"/>
      <c r="C958" s="73"/>
      <c r="D958" s="73"/>
      <c r="E958" s="73"/>
      <c r="F958" s="73"/>
      <c r="G958" s="73"/>
      <c r="H958" s="73"/>
      <c r="I958" s="73"/>
      <c r="J958" s="73"/>
      <c r="K958" s="73"/>
      <c r="L958" s="73"/>
      <c r="M958" s="73"/>
      <c r="N958" s="73"/>
      <c r="O958" s="73"/>
      <c r="P958" s="73"/>
      <c r="Q958" s="73"/>
      <c r="R958" s="73"/>
      <c r="S958" s="73"/>
      <c r="T958" s="73"/>
      <c r="U958" s="73"/>
      <c r="V958" s="73"/>
      <c r="W958" s="73"/>
      <c r="X958" s="73"/>
      <c r="Y958" s="73"/>
      <c r="Z958" s="73"/>
    </row>
    <row r="959">
      <c r="A959" s="73"/>
      <c r="B959" s="73"/>
      <c r="C959" s="73"/>
      <c r="D959" s="73"/>
      <c r="E959" s="73"/>
      <c r="F959" s="73"/>
      <c r="G959" s="73"/>
      <c r="H959" s="73"/>
      <c r="I959" s="73"/>
      <c r="J959" s="73"/>
      <c r="K959" s="73"/>
      <c r="L959" s="73"/>
      <c r="M959" s="73"/>
      <c r="N959" s="73"/>
      <c r="O959" s="73"/>
      <c r="P959" s="73"/>
      <c r="Q959" s="73"/>
      <c r="R959" s="73"/>
      <c r="S959" s="73"/>
      <c r="T959" s="73"/>
      <c r="U959" s="73"/>
      <c r="V959" s="73"/>
      <c r="W959" s="73"/>
      <c r="X959" s="73"/>
      <c r="Y959" s="73"/>
      <c r="Z959" s="73"/>
    </row>
    <row r="960">
      <c r="A960" s="73"/>
      <c r="B960" s="73"/>
      <c r="C960" s="73"/>
      <c r="D960" s="73"/>
      <c r="E960" s="73"/>
      <c r="F960" s="73"/>
      <c r="G960" s="73"/>
      <c r="H960" s="73"/>
      <c r="I960" s="73"/>
      <c r="J960" s="73"/>
      <c r="K960" s="73"/>
      <c r="L960" s="73"/>
      <c r="M960" s="73"/>
      <c r="N960" s="73"/>
      <c r="O960" s="73"/>
      <c r="P960" s="73"/>
      <c r="Q960" s="73"/>
      <c r="R960" s="73"/>
      <c r="S960" s="73"/>
      <c r="T960" s="73"/>
      <c r="U960" s="73"/>
      <c r="V960" s="73"/>
      <c r="W960" s="73"/>
      <c r="X960" s="73"/>
      <c r="Y960" s="73"/>
      <c r="Z960" s="73"/>
    </row>
    <row r="961">
      <c r="A961" s="73"/>
      <c r="B961" s="73"/>
      <c r="C961" s="73"/>
      <c r="D961" s="73"/>
      <c r="E961" s="73"/>
      <c r="F961" s="73"/>
      <c r="G961" s="73"/>
      <c r="H961" s="73"/>
      <c r="I961" s="73"/>
      <c r="J961" s="73"/>
      <c r="K961" s="73"/>
      <c r="L961" s="73"/>
      <c r="M961" s="73"/>
      <c r="N961" s="73"/>
      <c r="O961" s="73"/>
      <c r="P961" s="73"/>
      <c r="Q961" s="73"/>
      <c r="R961" s="73"/>
      <c r="S961" s="73"/>
      <c r="T961" s="73"/>
      <c r="U961" s="73"/>
      <c r="V961" s="73"/>
      <c r="W961" s="73"/>
      <c r="X961" s="73"/>
      <c r="Y961" s="73"/>
      <c r="Z961" s="73"/>
    </row>
    <row r="962">
      <c r="A962" s="73"/>
      <c r="B962" s="73"/>
      <c r="C962" s="73"/>
      <c r="D962" s="73"/>
      <c r="E962" s="73"/>
      <c r="F962" s="73"/>
      <c r="G962" s="73"/>
      <c r="H962" s="73"/>
      <c r="I962" s="73"/>
      <c r="J962" s="73"/>
      <c r="K962" s="73"/>
      <c r="L962" s="73"/>
      <c r="M962" s="73"/>
      <c r="N962" s="73"/>
      <c r="O962" s="73"/>
      <c r="P962" s="73"/>
      <c r="Q962" s="73"/>
      <c r="R962" s="73"/>
      <c r="S962" s="73"/>
      <c r="T962" s="73"/>
      <c r="U962" s="73"/>
      <c r="V962" s="73"/>
      <c r="W962" s="73"/>
      <c r="X962" s="73"/>
      <c r="Y962" s="73"/>
      <c r="Z962" s="73"/>
    </row>
    <row r="963">
      <c r="A963" s="73"/>
      <c r="B963" s="73"/>
      <c r="C963" s="73"/>
      <c r="D963" s="73"/>
      <c r="E963" s="73"/>
      <c r="F963" s="73"/>
      <c r="G963" s="73"/>
      <c r="H963" s="73"/>
      <c r="I963" s="73"/>
      <c r="J963" s="73"/>
      <c r="K963" s="73"/>
      <c r="L963" s="73"/>
      <c r="M963" s="73"/>
      <c r="N963" s="73"/>
      <c r="O963" s="73"/>
      <c r="P963" s="73"/>
      <c r="Q963" s="73"/>
      <c r="R963" s="73"/>
      <c r="S963" s="73"/>
      <c r="T963" s="73"/>
      <c r="U963" s="73"/>
      <c r="V963" s="73"/>
      <c r="W963" s="73"/>
      <c r="X963" s="73"/>
      <c r="Y963" s="73"/>
      <c r="Z963" s="73"/>
    </row>
    <row r="964">
      <c r="A964" s="73"/>
      <c r="B964" s="73"/>
      <c r="C964" s="73"/>
      <c r="D964" s="73"/>
      <c r="E964" s="73"/>
      <c r="F964" s="73"/>
      <c r="G964" s="73"/>
      <c r="H964" s="73"/>
      <c r="I964" s="73"/>
      <c r="J964" s="73"/>
      <c r="K964" s="73"/>
      <c r="L964" s="73"/>
      <c r="M964" s="73"/>
      <c r="N964" s="73"/>
      <c r="O964" s="73"/>
      <c r="P964" s="73"/>
      <c r="Q964" s="73"/>
      <c r="R964" s="73"/>
      <c r="S964" s="73"/>
      <c r="T964" s="73"/>
      <c r="U964" s="73"/>
      <c r="V964" s="73"/>
      <c r="W964" s="73"/>
      <c r="X964" s="73"/>
      <c r="Y964" s="73"/>
      <c r="Z964" s="73"/>
    </row>
    <row r="965">
      <c r="A965" s="73"/>
      <c r="B965" s="73"/>
      <c r="C965" s="73"/>
      <c r="D965" s="73"/>
      <c r="E965" s="73"/>
      <c r="F965" s="73"/>
      <c r="G965" s="73"/>
      <c r="H965" s="73"/>
      <c r="I965" s="73"/>
      <c r="J965" s="73"/>
      <c r="K965" s="73"/>
      <c r="L965" s="73"/>
      <c r="M965" s="73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73"/>
      <c r="Y965" s="73"/>
      <c r="Z965" s="73"/>
    </row>
    <row r="966">
      <c r="A966" s="73"/>
      <c r="B966" s="73"/>
      <c r="C966" s="73"/>
      <c r="D966" s="73"/>
      <c r="E966" s="73"/>
      <c r="F966" s="73"/>
      <c r="G966" s="73"/>
      <c r="H966" s="73"/>
      <c r="I966" s="73"/>
      <c r="J966" s="73"/>
      <c r="K966" s="73"/>
      <c r="L966" s="73"/>
      <c r="M966" s="73"/>
      <c r="N966" s="73"/>
      <c r="O966" s="73"/>
      <c r="P966" s="73"/>
      <c r="Q966" s="73"/>
      <c r="R966" s="73"/>
      <c r="S966" s="73"/>
      <c r="T966" s="73"/>
      <c r="U966" s="73"/>
      <c r="V966" s="73"/>
      <c r="W966" s="73"/>
      <c r="X966" s="73"/>
      <c r="Y966" s="73"/>
      <c r="Z966" s="73"/>
    </row>
    <row r="967">
      <c r="A967" s="73"/>
      <c r="B967" s="73"/>
      <c r="C967" s="73"/>
      <c r="D967" s="73"/>
      <c r="E967" s="73"/>
      <c r="F967" s="73"/>
      <c r="G967" s="73"/>
      <c r="H967" s="73"/>
      <c r="I967" s="73"/>
      <c r="J967" s="73"/>
      <c r="K967" s="73"/>
      <c r="L967" s="73"/>
      <c r="M967" s="73"/>
      <c r="N967" s="73"/>
      <c r="O967" s="73"/>
      <c r="P967" s="73"/>
      <c r="Q967" s="73"/>
      <c r="R967" s="73"/>
      <c r="S967" s="73"/>
      <c r="T967" s="73"/>
      <c r="U967" s="73"/>
      <c r="V967" s="73"/>
      <c r="W967" s="73"/>
      <c r="X967" s="73"/>
      <c r="Y967" s="73"/>
      <c r="Z967" s="73"/>
    </row>
    <row r="968">
      <c r="A968" s="73"/>
      <c r="B968" s="73"/>
      <c r="C968" s="73"/>
      <c r="D968" s="73"/>
      <c r="E968" s="73"/>
      <c r="F968" s="73"/>
      <c r="G968" s="73"/>
      <c r="H968" s="73"/>
      <c r="I968" s="73"/>
      <c r="J968" s="73"/>
      <c r="K968" s="73"/>
      <c r="L968" s="73"/>
      <c r="M968" s="73"/>
      <c r="N968" s="73"/>
      <c r="O968" s="73"/>
      <c r="P968" s="73"/>
      <c r="Q968" s="73"/>
      <c r="R968" s="73"/>
      <c r="S968" s="73"/>
      <c r="T968" s="73"/>
      <c r="U968" s="73"/>
      <c r="V968" s="73"/>
      <c r="W968" s="73"/>
      <c r="X968" s="73"/>
      <c r="Y968" s="73"/>
      <c r="Z968" s="73"/>
    </row>
    <row r="969">
      <c r="A969" s="73"/>
      <c r="B969" s="73"/>
      <c r="C969" s="73"/>
      <c r="D969" s="73"/>
      <c r="E969" s="73"/>
      <c r="F969" s="73"/>
      <c r="G969" s="73"/>
      <c r="H969" s="73"/>
      <c r="I969" s="73"/>
      <c r="J969" s="73"/>
      <c r="K969" s="73"/>
      <c r="L969" s="73"/>
      <c r="M969" s="73"/>
      <c r="N969" s="73"/>
      <c r="O969" s="73"/>
      <c r="P969" s="73"/>
      <c r="Q969" s="73"/>
      <c r="R969" s="73"/>
      <c r="S969" s="73"/>
      <c r="T969" s="73"/>
      <c r="U969" s="73"/>
      <c r="V969" s="73"/>
      <c r="W969" s="73"/>
      <c r="X969" s="73"/>
      <c r="Y969" s="73"/>
      <c r="Z969" s="73"/>
    </row>
    <row r="970">
      <c r="A970" s="73"/>
      <c r="B970" s="73"/>
      <c r="C970" s="73"/>
      <c r="D970" s="73"/>
      <c r="E970" s="73"/>
      <c r="F970" s="73"/>
      <c r="G970" s="73"/>
      <c r="H970" s="73"/>
      <c r="I970" s="73"/>
      <c r="J970" s="73"/>
      <c r="K970" s="73"/>
      <c r="L970" s="73"/>
      <c r="M970" s="73"/>
      <c r="N970" s="73"/>
      <c r="O970" s="73"/>
      <c r="P970" s="73"/>
      <c r="Q970" s="73"/>
      <c r="R970" s="73"/>
      <c r="S970" s="73"/>
      <c r="T970" s="73"/>
      <c r="U970" s="73"/>
      <c r="V970" s="73"/>
      <c r="W970" s="73"/>
      <c r="X970" s="73"/>
      <c r="Y970" s="73"/>
      <c r="Z970" s="73"/>
    </row>
    <row r="971">
      <c r="A971" s="73"/>
      <c r="B971" s="73"/>
      <c r="C971" s="73"/>
      <c r="D971" s="73"/>
      <c r="E971" s="73"/>
      <c r="F971" s="73"/>
      <c r="G971" s="73"/>
      <c r="H971" s="73"/>
      <c r="I971" s="73"/>
      <c r="J971" s="73"/>
      <c r="K971" s="73"/>
      <c r="L971" s="73"/>
      <c r="M971" s="73"/>
      <c r="N971" s="73"/>
      <c r="O971" s="73"/>
      <c r="P971" s="73"/>
      <c r="Q971" s="73"/>
      <c r="R971" s="73"/>
      <c r="S971" s="73"/>
      <c r="T971" s="73"/>
      <c r="U971" s="73"/>
      <c r="V971" s="73"/>
      <c r="W971" s="73"/>
      <c r="X971" s="73"/>
      <c r="Y971" s="73"/>
      <c r="Z971" s="73"/>
    </row>
    <row r="972">
      <c r="A972" s="73"/>
      <c r="B972" s="73"/>
      <c r="C972" s="73"/>
      <c r="D972" s="73"/>
      <c r="E972" s="73"/>
      <c r="F972" s="73"/>
      <c r="G972" s="73"/>
      <c r="H972" s="73"/>
      <c r="I972" s="73"/>
      <c r="J972" s="73"/>
      <c r="K972" s="73"/>
      <c r="L972" s="73"/>
      <c r="M972" s="73"/>
      <c r="N972" s="73"/>
      <c r="O972" s="73"/>
      <c r="P972" s="73"/>
      <c r="Q972" s="73"/>
      <c r="R972" s="73"/>
      <c r="S972" s="73"/>
      <c r="T972" s="73"/>
      <c r="U972" s="73"/>
      <c r="V972" s="73"/>
      <c r="W972" s="73"/>
      <c r="X972" s="73"/>
      <c r="Y972" s="73"/>
      <c r="Z972" s="73"/>
    </row>
    <row r="973">
      <c r="A973" s="73"/>
      <c r="B973" s="73"/>
      <c r="C973" s="73"/>
      <c r="D973" s="73"/>
      <c r="E973" s="73"/>
      <c r="F973" s="73"/>
      <c r="G973" s="73"/>
      <c r="H973" s="73"/>
      <c r="I973" s="73"/>
      <c r="J973" s="73"/>
      <c r="K973" s="73"/>
      <c r="L973" s="73"/>
      <c r="M973" s="73"/>
      <c r="N973" s="73"/>
      <c r="O973" s="73"/>
      <c r="P973" s="73"/>
      <c r="Q973" s="73"/>
      <c r="R973" s="73"/>
      <c r="S973" s="73"/>
      <c r="T973" s="73"/>
      <c r="U973" s="73"/>
      <c r="V973" s="73"/>
      <c r="W973" s="73"/>
      <c r="X973" s="73"/>
      <c r="Y973" s="73"/>
      <c r="Z973" s="73"/>
    </row>
    <row r="974">
      <c r="A974" s="73"/>
      <c r="B974" s="73"/>
      <c r="C974" s="73"/>
      <c r="D974" s="73"/>
      <c r="E974" s="73"/>
      <c r="F974" s="73"/>
      <c r="G974" s="73"/>
      <c r="H974" s="73"/>
      <c r="I974" s="73"/>
      <c r="J974" s="73"/>
      <c r="K974" s="73"/>
      <c r="L974" s="73"/>
      <c r="M974" s="73"/>
      <c r="N974" s="73"/>
      <c r="O974" s="73"/>
      <c r="P974" s="73"/>
      <c r="Q974" s="73"/>
      <c r="R974" s="73"/>
      <c r="S974" s="73"/>
      <c r="T974" s="73"/>
      <c r="U974" s="73"/>
      <c r="V974" s="73"/>
      <c r="W974" s="73"/>
      <c r="X974" s="73"/>
      <c r="Y974" s="73"/>
      <c r="Z974" s="73"/>
    </row>
    <row r="975">
      <c r="A975" s="73"/>
      <c r="B975" s="73"/>
      <c r="C975" s="73"/>
      <c r="D975" s="73"/>
      <c r="E975" s="73"/>
      <c r="F975" s="73"/>
      <c r="G975" s="73"/>
      <c r="H975" s="73"/>
      <c r="I975" s="73"/>
      <c r="J975" s="73"/>
      <c r="K975" s="73"/>
      <c r="L975" s="73"/>
      <c r="M975" s="73"/>
      <c r="N975" s="73"/>
      <c r="O975" s="73"/>
      <c r="P975" s="73"/>
      <c r="Q975" s="73"/>
      <c r="R975" s="73"/>
      <c r="S975" s="73"/>
      <c r="T975" s="73"/>
      <c r="U975" s="73"/>
      <c r="V975" s="73"/>
      <c r="W975" s="73"/>
      <c r="X975" s="73"/>
      <c r="Y975" s="73"/>
      <c r="Z975" s="73"/>
    </row>
    <row r="976">
      <c r="A976" s="73"/>
      <c r="B976" s="73"/>
      <c r="C976" s="73"/>
      <c r="D976" s="73"/>
      <c r="E976" s="73"/>
      <c r="F976" s="73"/>
      <c r="G976" s="73"/>
      <c r="H976" s="73"/>
      <c r="I976" s="73"/>
      <c r="J976" s="73"/>
      <c r="K976" s="73"/>
      <c r="L976" s="73"/>
      <c r="M976" s="73"/>
      <c r="N976" s="73"/>
      <c r="O976" s="73"/>
      <c r="P976" s="73"/>
      <c r="Q976" s="73"/>
      <c r="R976" s="73"/>
      <c r="S976" s="73"/>
      <c r="T976" s="73"/>
      <c r="U976" s="73"/>
      <c r="V976" s="73"/>
      <c r="W976" s="73"/>
      <c r="X976" s="73"/>
      <c r="Y976" s="73"/>
      <c r="Z976" s="73"/>
    </row>
    <row r="977">
      <c r="A977" s="73"/>
      <c r="B977" s="73"/>
      <c r="C977" s="73"/>
      <c r="D977" s="73"/>
      <c r="E977" s="73"/>
      <c r="F977" s="73"/>
      <c r="G977" s="73"/>
      <c r="H977" s="73"/>
      <c r="I977" s="73"/>
      <c r="J977" s="73"/>
      <c r="K977" s="73"/>
      <c r="L977" s="73"/>
      <c r="M977" s="73"/>
      <c r="N977" s="73"/>
      <c r="O977" s="73"/>
      <c r="P977" s="73"/>
      <c r="Q977" s="73"/>
      <c r="R977" s="73"/>
      <c r="S977" s="73"/>
      <c r="T977" s="73"/>
      <c r="U977" s="73"/>
      <c r="V977" s="73"/>
      <c r="W977" s="73"/>
      <c r="X977" s="73"/>
      <c r="Y977" s="73"/>
      <c r="Z977" s="73"/>
    </row>
    <row r="978">
      <c r="A978" s="73"/>
      <c r="B978" s="73"/>
      <c r="C978" s="73"/>
      <c r="D978" s="73"/>
      <c r="E978" s="73"/>
      <c r="F978" s="73"/>
      <c r="G978" s="73"/>
      <c r="H978" s="73"/>
      <c r="I978" s="73"/>
      <c r="J978" s="73"/>
      <c r="K978" s="73"/>
      <c r="L978" s="73"/>
      <c r="M978" s="73"/>
      <c r="N978" s="73"/>
      <c r="O978" s="73"/>
      <c r="P978" s="73"/>
      <c r="Q978" s="73"/>
      <c r="R978" s="73"/>
      <c r="S978" s="73"/>
      <c r="T978" s="73"/>
      <c r="U978" s="73"/>
      <c r="V978" s="73"/>
      <c r="W978" s="73"/>
      <c r="X978" s="73"/>
      <c r="Y978" s="73"/>
      <c r="Z978" s="73"/>
    </row>
    <row r="979">
      <c r="A979" s="73"/>
      <c r="B979" s="73"/>
      <c r="C979" s="73"/>
      <c r="D979" s="73"/>
      <c r="E979" s="73"/>
      <c r="F979" s="73"/>
      <c r="G979" s="73"/>
      <c r="H979" s="73"/>
      <c r="I979" s="73"/>
      <c r="J979" s="73"/>
      <c r="K979" s="73"/>
      <c r="L979" s="73"/>
      <c r="M979" s="73"/>
      <c r="N979" s="73"/>
      <c r="O979" s="73"/>
      <c r="P979" s="73"/>
      <c r="Q979" s="73"/>
      <c r="R979" s="73"/>
      <c r="S979" s="73"/>
      <c r="T979" s="73"/>
      <c r="U979" s="73"/>
      <c r="V979" s="73"/>
      <c r="W979" s="73"/>
      <c r="X979" s="73"/>
      <c r="Y979" s="73"/>
      <c r="Z979" s="73"/>
    </row>
    <row r="980">
      <c r="A980" s="73"/>
      <c r="B980" s="73"/>
      <c r="C980" s="73"/>
      <c r="D980" s="73"/>
      <c r="E980" s="73"/>
      <c r="F980" s="73"/>
      <c r="G980" s="73"/>
      <c r="H980" s="73"/>
      <c r="I980" s="73"/>
      <c r="J980" s="73"/>
      <c r="K980" s="73"/>
      <c r="L980" s="73"/>
      <c r="M980" s="73"/>
      <c r="N980" s="73"/>
      <c r="O980" s="73"/>
      <c r="P980" s="73"/>
      <c r="Q980" s="73"/>
      <c r="R980" s="73"/>
      <c r="S980" s="73"/>
      <c r="T980" s="73"/>
      <c r="U980" s="73"/>
      <c r="V980" s="73"/>
      <c r="W980" s="73"/>
      <c r="X980" s="73"/>
      <c r="Y980" s="73"/>
      <c r="Z980" s="73"/>
    </row>
    <row r="981">
      <c r="A981" s="73"/>
      <c r="B981" s="73"/>
      <c r="C981" s="73"/>
      <c r="D981" s="73"/>
      <c r="E981" s="73"/>
      <c r="F981" s="73"/>
      <c r="G981" s="73"/>
      <c r="H981" s="73"/>
      <c r="I981" s="73"/>
      <c r="J981" s="73"/>
      <c r="K981" s="73"/>
      <c r="L981" s="73"/>
      <c r="M981" s="73"/>
      <c r="N981" s="73"/>
      <c r="O981" s="73"/>
      <c r="P981" s="73"/>
      <c r="Q981" s="73"/>
      <c r="R981" s="73"/>
      <c r="S981" s="73"/>
      <c r="T981" s="73"/>
      <c r="U981" s="73"/>
      <c r="V981" s="73"/>
      <c r="W981" s="73"/>
      <c r="X981" s="73"/>
      <c r="Y981" s="73"/>
      <c r="Z981" s="73"/>
    </row>
    <row r="982">
      <c r="A982" s="73"/>
      <c r="B982" s="73"/>
      <c r="C982" s="73"/>
      <c r="D982" s="73"/>
      <c r="E982" s="73"/>
      <c r="F982" s="73"/>
      <c r="G982" s="73"/>
      <c r="H982" s="73"/>
      <c r="I982" s="73"/>
      <c r="J982" s="73"/>
      <c r="K982" s="73"/>
      <c r="L982" s="73"/>
      <c r="M982" s="73"/>
      <c r="N982" s="73"/>
      <c r="O982" s="73"/>
      <c r="P982" s="73"/>
      <c r="Q982" s="73"/>
      <c r="R982" s="73"/>
      <c r="S982" s="73"/>
      <c r="T982" s="73"/>
      <c r="U982" s="73"/>
      <c r="V982" s="73"/>
      <c r="W982" s="73"/>
      <c r="X982" s="73"/>
      <c r="Y982" s="73"/>
      <c r="Z982" s="73"/>
    </row>
    <row r="983">
      <c r="A983" s="73"/>
      <c r="B983" s="73"/>
      <c r="C983" s="73"/>
      <c r="D983" s="73"/>
      <c r="E983" s="73"/>
      <c r="F983" s="73"/>
      <c r="G983" s="73"/>
      <c r="H983" s="73"/>
      <c r="I983" s="73"/>
      <c r="J983" s="73"/>
      <c r="K983" s="73"/>
      <c r="L983" s="73"/>
      <c r="M983" s="73"/>
      <c r="N983" s="73"/>
      <c r="O983" s="73"/>
      <c r="P983" s="73"/>
      <c r="Q983" s="73"/>
      <c r="R983" s="73"/>
      <c r="S983" s="73"/>
      <c r="T983" s="73"/>
      <c r="U983" s="73"/>
      <c r="V983" s="73"/>
      <c r="W983" s="73"/>
      <c r="X983" s="73"/>
      <c r="Y983" s="73"/>
      <c r="Z983" s="73"/>
    </row>
    <row r="984">
      <c r="A984" s="73"/>
      <c r="B984" s="73"/>
      <c r="C984" s="73"/>
      <c r="D984" s="73"/>
      <c r="E984" s="73"/>
      <c r="F984" s="73"/>
      <c r="G984" s="73"/>
      <c r="H984" s="73"/>
      <c r="I984" s="73"/>
      <c r="J984" s="73"/>
      <c r="K984" s="73"/>
      <c r="L984" s="73"/>
      <c r="M984" s="73"/>
      <c r="N984" s="73"/>
      <c r="O984" s="73"/>
      <c r="P984" s="73"/>
      <c r="Q984" s="73"/>
      <c r="R984" s="73"/>
      <c r="S984" s="73"/>
      <c r="T984" s="73"/>
      <c r="U984" s="73"/>
      <c r="V984" s="73"/>
      <c r="W984" s="73"/>
      <c r="X984" s="73"/>
      <c r="Y984" s="73"/>
      <c r="Z984" s="73"/>
    </row>
    <row r="985">
      <c r="A985" s="73"/>
      <c r="B985" s="73"/>
      <c r="C985" s="73"/>
      <c r="D985" s="73"/>
      <c r="E985" s="73"/>
      <c r="F985" s="73"/>
      <c r="G985" s="73"/>
      <c r="H985" s="73"/>
      <c r="I985" s="73"/>
      <c r="J985" s="73"/>
      <c r="K985" s="73"/>
      <c r="L985" s="73"/>
      <c r="M985" s="73"/>
      <c r="N985" s="73"/>
      <c r="O985" s="73"/>
      <c r="P985" s="73"/>
      <c r="Q985" s="73"/>
      <c r="R985" s="73"/>
      <c r="S985" s="73"/>
      <c r="T985" s="73"/>
      <c r="U985" s="73"/>
      <c r="V985" s="73"/>
      <c r="W985" s="73"/>
      <c r="X985" s="73"/>
      <c r="Y985" s="73"/>
      <c r="Z985" s="73"/>
    </row>
    <row r="986">
      <c r="A986" s="73"/>
      <c r="B986" s="73"/>
      <c r="C986" s="73"/>
      <c r="D986" s="73"/>
      <c r="E986" s="73"/>
      <c r="F986" s="73"/>
      <c r="G986" s="73"/>
      <c r="H986" s="73"/>
      <c r="I986" s="73"/>
      <c r="J986" s="73"/>
      <c r="K986" s="73"/>
      <c r="L986" s="73"/>
      <c r="M986" s="73"/>
      <c r="N986" s="73"/>
      <c r="O986" s="73"/>
      <c r="P986" s="73"/>
      <c r="Q986" s="73"/>
      <c r="R986" s="73"/>
      <c r="S986" s="73"/>
      <c r="T986" s="73"/>
      <c r="U986" s="73"/>
      <c r="V986" s="73"/>
      <c r="W986" s="73"/>
      <c r="X986" s="73"/>
      <c r="Y986" s="73"/>
      <c r="Z986" s="73"/>
    </row>
    <row r="987">
      <c r="A987" s="73"/>
      <c r="B987" s="73"/>
      <c r="C987" s="73"/>
      <c r="D987" s="73"/>
      <c r="E987" s="73"/>
      <c r="F987" s="73"/>
      <c r="G987" s="73"/>
      <c r="H987" s="73"/>
      <c r="I987" s="73"/>
      <c r="J987" s="73"/>
      <c r="K987" s="73"/>
      <c r="L987" s="73"/>
      <c r="M987" s="73"/>
      <c r="N987" s="73"/>
      <c r="O987" s="73"/>
      <c r="P987" s="73"/>
      <c r="Q987" s="73"/>
      <c r="R987" s="73"/>
      <c r="S987" s="73"/>
      <c r="T987" s="73"/>
      <c r="U987" s="73"/>
      <c r="V987" s="73"/>
      <c r="W987" s="73"/>
      <c r="X987" s="73"/>
      <c r="Y987" s="73"/>
      <c r="Z987" s="73"/>
    </row>
    <row r="988">
      <c r="A988" s="73"/>
      <c r="B988" s="73"/>
      <c r="C988" s="73"/>
      <c r="D988" s="73"/>
      <c r="E988" s="73"/>
      <c r="F988" s="73"/>
      <c r="G988" s="73"/>
      <c r="H988" s="73"/>
      <c r="I988" s="73"/>
      <c r="J988" s="73"/>
      <c r="K988" s="73"/>
      <c r="L988" s="73"/>
      <c r="M988" s="73"/>
      <c r="N988" s="73"/>
      <c r="O988" s="73"/>
      <c r="P988" s="73"/>
      <c r="Q988" s="73"/>
      <c r="R988" s="73"/>
      <c r="S988" s="73"/>
      <c r="T988" s="73"/>
      <c r="U988" s="73"/>
      <c r="V988" s="73"/>
      <c r="W988" s="73"/>
      <c r="X988" s="73"/>
      <c r="Y988" s="73"/>
      <c r="Z988" s="73"/>
    </row>
    <row r="989">
      <c r="A989" s="73"/>
      <c r="B989" s="73"/>
      <c r="C989" s="73"/>
      <c r="D989" s="73"/>
      <c r="E989" s="73"/>
      <c r="F989" s="73"/>
      <c r="G989" s="73"/>
      <c r="H989" s="73"/>
      <c r="I989" s="73"/>
      <c r="J989" s="73"/>
      <c r="K989" s="73"/>
      <c r="L989" s="73"/>
      <c r="M989" s="73"/>
      <c r="N989" s="73"/>
      <c r="O989" s="73"/>
      <c r="P989" s="73"/>
      <c r="Q989" s="73"/>
      <c r="R989" s="73"/>
      <c r="S989" s="73"/>
      <c r="T989" s="73"/>
      <c r="U989" s="73"/>
      <c r="V989" s="73"/>
      <c r="W989" s="73"/>
      <c r="X989" s="73"/>
      <c r="Y989" s="73"/>
      <c r="Z989" s="73"/>
    </row>
    <row r="990">
      <c r="A990" s="73"/>
      <c r="B990" s="73"/>
      <c r="C990" s="73"/>
      <c r="D990" s="73"/>
      <c r="E990" s="73"/>
      <c r="F990" s="73"/>
      <c r="G990" s="73"/>
      <c r="H990" s="73"/>
      <c r="I990" s="73"/>
      <c r="J990" s="73"/>
      <c r="K990" s="73"/>
      <c r="L990" s="73"/>
      <c r="M990" s="73"/>
      <c r="N990" s="73"/>
      <c r="O990" s="73"/>
      <c r="P990" s="73"/>
      <c r="Q990" s="73"/>
      <c r="R990" s="73"/>
      <c r="S990" s="73"/>
      <c r="T990" s="73"/>
      <c r="U990" s="73"/>
      <c r="V990" s="73"/>
      <c r="W990" s="73"/>
      <c r="X990" s="73"/>
      <c r="Y990" s="73"/>
      <c r="Z990" s="73"/>
    </row>
    <row r="991">
      <c r="A991" s="73"/>
      <c r="B991" s="73"/>
      <c r="C991" s="73"/>
      <c r="D991" s="73"/>
      <c r="E991" s="73"/>
      <c r="F991" s="73"/>
      <c r="G991" s="73"/>
      <c r="H991" s="73"/>
      <c r="I991" s="73"/>
      <c r="J991" s="73"/>
      <c r="K991" s="73"/>
      <c r="L991" s="73"/>
      <c r="M991" s="73"/>
      <c r="N991" s="73"/>
      <c r="O991" s="73"/>
      <c r="P991" s="73"/>
      <c r="Q991" s="73"/>
      <c r="R991" s="73"/>
      <c r="S991" s="73"/>
      <c r="T991" s="73"/>
      <c r="U991" s="73"/>
      <c r="V991" s="73"/>
      <c r="W991" s="73"/>
      <c r="X991" s="73"/>
      <c r="Y991" s="73"/>
      <c r="Z991" s="73"/>
    </row>
    <row r="992">
      <c r="A992" s="73"/>
      <c r="B992" s="73"/>
      <c r="C992" s="73"/>
      <c r="D992" s="73"/>
      <c r="E992" s="73"/>
      <c r="F992" s="73"/>
      <c r="G992" s="73"/>
      <c r="H992" s="73"/>
      <c r="I992" s="73"/>
      <c r="J992" s="73"/>
      <c r="K992" s="73"/>
      <c r="L992" s="73"/>
      <c r="M992" s="73"/>
      <c r="N992" s="73"/>
      <c r="O992" s="73"/>
      <c r="P992" s="73"/>
      <c r="Q992" s="73"/>
      <c r="R992" s="73"/>
      <c r="S992" s="73"/>
      <c r="T992" s="73"/>
      <c r="U992" s="73"/>
      <c r="V992" s="73"/>
      <c r="W992" s="73"/>
      <c r="X992" s="73"/>
      <c r="Y992" s="73"/>
      <c r="Z992" s="73"/>
    </row>
    <row r="993">
      <c r="A993" s="73"/>
      <c r="B993" s="73"/>
      <c r="C993" s="73"/>
      <c r="D993" s="73"/>
      <c r="E993" s="73"/>
      <c r="F993" s="73"/>
      <c r="G993" s="73"/>
      <c r="H993" s="73"/>
      <c r="I993" s="73"/>
      <c r="J993" s="73"/>
      <c r="K993" s="73"/>
      <c r="L993" s="73"/>
      <c r="M993" s="73"/>
      <c r="N993" s="73"/>
      <c r="O993" s="73"/>
      <c r="P993" s="73"/>
      <c r="Q993" s="73"/>
      <c r="R993" s="73"/>
      <c r="S993" s="73"/>
      <c r="T993" s="73"/>
      <c r="U993" s="73"/>
      <c r="V993" s="73"/>
      <c r="W993" s="73"/>
      <c r="X993" s="73"/>
      <c r="Y993" s="73"/>
      <c r="Z993" s="73"/>
    </row>
    <row r="994">
      <c r="A994" s="73"/>
      <c r="B994" s="73"/>
      <c r="C994" s="73"/>
      <c r="D994" s="73"/>
      <c r="E994" s="73"/>
      <c r="F994" s="73"/>
      <c r="G994" s="73"/>
      <c r="H994" s="73"/>
      <c r="I994" s="73"/>
      <c r="J994" s="73"/>
      <c r="K994" s="73"/>
      <c r="L994" s="73"/>
      <c r="M994" s="73"/>
      <c r="N994" s="73"/>
      <c r="O994" s="73"/>
      <c r="P994" s="73"/>
      <c r="Q994" s="73"/>
      <c r="R994" s="73"/>
      <c r="S994" s="73"/>
      <c r="T994" s="73"/>
      <c r="U994" s="73"/>
      <c r="V994" s="73"/>
      <c r="W994" s="73"/>
      <c r="X994" s="73"/>
      <c r="Y994" s="73"/>
      <c r="Z994" s="73"/>
    </row>
    <row r="995">
      <c r="A995" s="73"/>
      <c r="B995" s="73"/>
      <c r="C995" s="73"/>
      <c r="D995" s="73"/>
      <c r="E995" s="73"/>
      <c r="F995" s="73"/>
      <c r="G995" s="73"/>
      <c r="H995" s="73"/>
      <c r="I995" s="73"/>
      <c r="J995" s="73"/>
      <c r="K995" s="73"/>
      <c r="L995" s="73"/>
      <c r="M995" s="73"/>
      <c r="N995" s="73"/>
      <c r="O995" s="73"/>
      <c r="P995" s="73"/>
      <c r="Q995" s="73"/>
      <c r="R995" s="73"/>
      <c r="S995" s="73"/>
      <c r="T995" s="73"/>
      <c r="U995" s="73"/>
      <c r="V995" s="73"/>
      <c r="W995" s="73"/>
      <c r="X995" s="73"/>
      <c r="Y995" s="73"/>
      <c r="Z995" s="73"/>
    </row>
    <row r="996">
      <c r="A996" s="73"/>
      <c r="B996" s="73"/>
      <c r="C996" s="73"/>
      <c r="D996" s="73"/>
      <c r="E996" s="73"/>
      <c r="F996" s="73"/>
      <c r="G996" s="73"/>
      <c r="H996" s="73"/>
      <c r="I996" s="73"/>
      <c r="J996" s="73"/>
      <c r="K996" s="73"/>
      <c r="L996" s="73"/>
      <c r="M996" s="73"/>
      <c r="N996" s="73"/>
      <c r="O996" s="73"/>
      <c r="P996" s="73"/>
      <c r="Q996" s="73"/>
      <c r="R996" s="73"/>
      <c r="S996" s="73"/>
      <c r="T996" s="73"/>
      <c r="U996" s="73"/>
      <c r="V996" s="73"/>
      <c r="W996" s="73"/>
      <c r="X996" s="73"/>
      <c r="Y996" s="73"/>
      <c r="Z996" s="73"/>
    </row>
    <row r="997">
      <c r="A997" s="73"/>
      <c r="B997" s="73"/>
      <c r="C997" s="73"/>
      <c r="D997" s="73"/>
      <c r="E997" s="73"/>
      <c r="F997" s="73"/>
      <c r="G997" s="73"/>
      <c r="H997" s="73"/>
      <c r="I997" s="73"/>
      <c r="J997" s="73"/>
      <c r="K997" s="73"/>
      <c r="L997" s="73"/>
      <c r="M997" s="73"/>
      <c r="N997" s="73"/>
      <c r="O997" s="73"/>
      <c r="P997" s="73"/>
      <c r="Q997" s="73"/>
      <c r="R997" s="73"/>
      <c r="S997" s="73"/>
      <c r="T997" s="73"/>
      <c r="U997" s="73"/>
      <c r="V997" s="73"/>
      <c r="W997" s="73"/>
      <c r="X997" s="73"/>
      <c r="Y997" s="73"/>
      <c r="Z997" s="73"/>
    </row>
    <row r="998">
      <c r="A998" s="73"/>
      <c r="B998" s="73"/>
      <c r="C998" s="73"/>
      <c r="D998" s="73"/>
      <c r="E998" s="73"/>
      <c r="F998" s="73"/>
      <c r="G998" s="73"/>
      <c r="H998" s="73"/>
      <c r="I998" s="73"/>
      <c r="J998" s="73"/>
      <c r="K998" s="73"/>
      <c r="L998" s="73"/>
      <c r="M998" s="73"/>
      <c r="N998" s="73"/>
      <c r="O998" s="73"/>
      <c r="P998" s="73"/>
      <c r="Q998" s="73"/>
      <c r="R998" s="73"/>
      <c r="S998" s="73"/>
      <c r="T998" s="73"/>
      <c r="U998" s="73"/>
      <c r="V998" s="73"/>
      <c r="W998" s="73"/>
      <c r="X998" s="73"/>
      <c r="Y998" s="73"/>
      <c r="Z998" s="73"/>
    </row>
    <row r="999">
      <c r="A999" s="73"/>
      <c r="B999" s="73"/>
      <c r="C999" s="73"/>
      <c r="D999" s="73"/>
      <c r="E999" s="73"/>
      <c r="F999" s="73"/>
      <c r="G999" s="73"/>
      <c r="H999" s="73"/>
      <c r="I999" s="73"/>
      <c r="J999" s="73"/>
      <c r="K999" s="73"/>
      <c r="L999" s="73"/>
      <c r="M999" s="73"/>
      <c r="N999" s="73"/>
      <c r="O999" s="73"/>
      <c r="P999" s="73"/>
      <c r="Q999" s="73"/>
      <c r="R999" s="73"/>
      <c r="S999" s="73"/>
      <c r="T999" s="73"/>
      <c r="U999" s="73"/>
      <c r="V999" s="73"/>
      <c r="W999" s="73"/>
      <c r="X999" s="73"/>
      <c r="Y999" s="73"/>
      <c r="Z999" s="73"/>
    </row>
    <row r="1000">
      <c r="A1000" s="73"/>
      <c r="B1000" s="73"/>
      <c r="C1000" s="73"/>
      <c r="D1000" s="73"/>
      <c r="F1000" s="73"/>
      <c r="G1000" s="73"/>
      <c r="H1000" s="73"/>
      <c r="I1000" s="73"/>
      <c r="J1000" s="73"/>
      <c r="K1000" s="73"/>
      <c r="L1000" s="73"/>
      <c r="M1000" s="73"/>
      <c r="N1000" s="73"/>
      <c r="O1000" s="73"/>
      <c r="P1000" s="73"/>
      <c r="Q1000" s="73"/>
      <c r="R1000" s="73"/>
      <c r="S1000" s="73"/>
      <c r="T1000" s="73"/>
      <c r="U1000" s="73"/>
      <c r="V1000" s="73"/>
      <c r="W1000" s="73"/>
      <c r="X1000" s="73"/>
      <c r="Y1000" s="73"/>
      <c r="Z1000" s="73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3"/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</row>
    <row r="2">
      <c r="A2" s="73"/>
      <c r="B2" s="73"/>
      <c r="C2" s="75" t="s">
        <v>2765</v>
      </c>
      <c r="D2" s="375">
        <v>0.3119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>
      <c r="A3" s="73"/>
      <c r="B3" s="374" t="s">
        <v>2766</v>
      </c>
      <c r="C3" s="376">
        <v>18.27</v>
      </c>
      <c r="D3" s="81">
        <f t="shared" ref="D3:D10" si="1">C3/$C$11</f>
        <v>0.40381045</v>
      </c>
      <c r="E3" s="93">
        <f t="shared" ref="E3:E10" si="2">D3*$D$2</f>
        <v>0.1259484794</v>
      </c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</row>
    <row r="4">
      <c r="A4" s="73"/>
      <c r="B4" s="374" t="s">
        <v>641</v>
      </c>
      <c r="C4" s="376">
        <v>8.165</v>
      </c>
      <c r="D4" s="81">
        <f t="shared" si="1"/>
        <v>0.1804659181</v>
      </c>
      <c r="E4" s="93">
        <f t="shared" si="2"/>
        <v>0.05628731987</v>
      </c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</row>
    <row r="5">
      <c r="A5" s="73"/>
      <c r="B5" s="374" t="s">
        <v>211</v>
      </c>
      <c r="C5" s="376">
        <v>4.88</v>
      </c>
      <c r="D5" s="81">
        <f t="shared" si="1"/>
        <v>0.1078596057</v>
      </c>
      <c r="E5" s="93">
        <f t="shared" si="2"/>
        <v>0.03364141102</v>
      </c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</row>
    <row r="6">
      <c r="A6" s="73"/>
      <c r="B6" s="374" t="s">
        <v>2767</v>
      </c>
      <c r="C6" s="376">
        <v>4.28</v>
      </c>
      <c r="D6" s="81">
        <f t="shared" si="1"/>
        <v>0.09459817876</v>
      </c>
      <c r="E6" s="93">
        <f t="shared" si="2"/>
        <v>0.02950517196</v>
      </c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</row>
    <row r="7">
      <c r="A7" s="73"/>
      <c r="B7" s="374" t="s">
        <v>346</v>
      </c>
      <c r="C7" s="376">
        <v>1.735</v>
      </c>
      <c r="D7" s="81">
        <f t="shared" si="1"/>
        <v>0.0383476262</v>
      </c>
      <c r="E7" s="93">
        <f t="shared" si="2"/>
        <v>0.01196062461</v>
      </c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</row>
    <row r="8">
      <c r="A8" s="73"/>
      <c r="B8" s="374" t="s">
        <v>1805</v>
      </c>
      <c r="C8" s="376">
        <v>4.52</v>
      </c>
      <c r="D8" s="81">
        <f t="shared" si="1"/>
        <v>0.09990274954</v>
      </c>
      <c r="E8" s="93">
        <f t="shared" si="2"/>
        <v>0.03115966758</v>
      </c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</row>
    <row r="9">
      <c r="A9" s="73"/>
      <c r="B9" s="80" t="s">
        <v>305</v>
      </c>
      <c r="C9" s="80">
        <v>1.224</v>
      </c>
      <c r="D9" s="81">
        <f t="shared" si="1"/>
        <v>0.02705331094</v>
      </c>
      <c r="E9" s="93">
        <f t="shared" si="2"/>
        <v>0.008437927681</v>
      </c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</row>
    <row r="10">
      <c r="A10" s="73"/>
      <c r="B10" s="80" t="s">
        <v>2768</v>
      </c>
      <c r="C10" s="80">
        <v>2.17</v>
      </c>
      <c r="D10" s="81">
        <f t="shared" si="1"/>
        <v>0.04796216073</v>
      </c>
      <c r="E10" s="93">
        <f t="shared" si="2"/>
        <v>0.01495939793</v>
      </c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</row>
    <row r="11">
      <c r="A11" s="73"/>
      <c r="B11" s="73"/>
      <c r="C11" s="96">
        <f>SUM(C3:C10)</f>
        <v>45.244</v>
      </c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</row>
    <row r="12">
      <c r="A12" s="73"/>
      <c r="B12" s="73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</row>
    <row r="13">
      <c r="A13" s="73"/>
      <c r="B13" s="73"/>
      <c r="C13" s="73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</row>
    <row r="14">
      <c r="A14" s="73"/>
      <c r="B14" s="73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</row>
    <row r="15">
      <c r="A15" s="73"/>
      <c r="B15" s="73"/>
      <c r="C15" s="73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</row>
    <row r="16">
      <c r="A16" s="73"/>
      <c r="B16" s="73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</row>
    <row r="17">
      <c r="A17" s="73"/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</row>
    <row r="18">
      <c r="A18" s="73"/>
      <c r="B18" s="73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</row>
    <row r="19">
      <c r="A19" s="73"/>
      <c r="B19" s="73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</row>
    <row r="20">
      <c r="A20" s="73"/>
      <c r="B20" s="73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</row>
    <row r="21">
      <c r="A21" s="73"/>
      <c r="B21" s="73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</row>
    <row r="22">
      <c r="A22" s="73"/>
      <c r="B22" s="73"/>
      <c r="C22" s="73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</row>
    <row r="23">
      <c r="A23" s="73"/>
      <c r="B23" s="73"/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</row>
    <row r="24">
      <c r="A24" s="73"/>
      <c r="B24" s="73"/>
      <c r="C24" s="73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</row>
    <row r="25">
      <c r="A25" s="73"/>
      <c r="B25" s="73"/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</row>
    <row r="26">
      <c r="A26" s="73"/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</row>
    <row r="27">
      <c r="A27" s="73"/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</row>
    <row r="28">
      <c r="A28" s="73"/>
      <c r="B28" s="73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</row>
    <row r="29">
      <c r="A29" s="73"/>
      <c r="B29" s="73"/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</row>
    <row r="30">
      <c r="A30" s="73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</row>
    <row r="31">
      <c r="A31" s="73"/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</row>
    <row r="32">
      <c r="A32" s="73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</row>
    <row r="33">
      <c r="A33" s="73"/>
      <c r="B33" s="73"/>
      <c r="C33" s="73"/>
      <c r="D33" s="73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</row>
    <row r="34">
      <c r="A34" s="73"/>
      <c r="B34" s="73"/>
      <c r="C34" s="73"/>
      <c r="D34" s="73"/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</row>
    <row r="35">
      <c r="A35" s="73"/>
      <c r="B35" s="73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</row>
    <row r="36">
      <c r="A36" s="73"/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</row>
    <row r="37">
      <c r="A37" s="73"/>
      <c r="B37" s="73"/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</row>
    <row r="38">
      <c r="A38" s="73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</row>
    <row r="39">
      <c r="A39" s="73"/>
      <c r="B39" s="73"/>
      <c r="C39" s="73"/>
      <c r="D39" s="7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</row>
    <row r="40">
      <c r="A40" s="73"/>
      <c r="B40" s="73"/>
      <c r="C40" s="73"/>
      <c r="D40" s="73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</row>
    <row r="41">
      <c r="A41" s="73"/>
      <c r="B41" s="73"/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</row>
    <row r="42">
      <c r="A42" s="73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</row>
    <row r="43">
      <c r="A43" s="73"/>
      <c r="B43" s="73"/>
      <c r="C43" s="73"/>
      <c r="D43" s="73"/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</row>
    <row r="44">
      <c r="A44" s="73"/>
      <c r="B44" s="73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</row>
    <row r="45">
      <c r="A45" s="73"/>
      <c r="B45" s="73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</row>
    <row r="46">
      <c r="A46" s="73"/>
      <c r="B46" s="73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</row>
    <row r="47">
      <c r="A47" s="73"/>
      <c r="B47" s="73"/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</row>
    <row r="48">
      <c r="A48" s="73"/>
      <c r="B48" s="73"/>
      <c r="C48" s="73"/>
      <c r="D48" s="73"/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</row>
    <row r="49">
      <c r="A49" s="73"/>
      <c r="B49" s="73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</row>
    <row r="50">
      <c r="A50" s="73"/>
      <c r="B50" s="73"/>
      <c r="C50" s="73"/>
      <c r="D50" s="7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</row>
    <row r="51">
      <c r="A51" s="73"/>
      <c r="B51" s="73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</row>
    <row r="52">
      <c r="A52" s="73"/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</row>
    <row r="53">
      <c r="A53" s="73"/>
      <c r="B53" s="73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</row>
    <row r="54">
      <c r="A54" s="73"/>
      <c r="B54" s="73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</row>
    <row r="55">
      <c r="A55" s="73"/>
      <c r="B55" s="73"/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</row>
    <row r="56">
      <c r="A56" s="73"/>
      <c r="B56" s="73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</row>
    <row r="57">
      <c r="A57" s="73"/>
      <c r="B57" s="73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</row>
    <row r="58">
      <c r="A58" s="73"/>
      <c r="B58" s="73"/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</row>
    <row r="59">
      <c r="A59" s="73"/>
      <c r="B59" s="73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</row>
    <row r="60">
      <c r="A60" s="73"/>
      <c r="B60" s="73"/>
      <c r="C60" s="73"/>
      <c r="D60" s="73"/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</row>
    <row r="61">
      <c r="A61" s="73"/>
      <c r="B61" s="73"/>
      <c r="C61" s="73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</row>
    <row r="62">
      <c r="A62" s="73"/>
      <c r="B62" s="73"/>
      <c r="C62" s="73"/>
      <c r="D62" s="73"/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</row>
    <row r="63">
      <c r="A63" s="73"/>
      <c r="B63" s="73"/>
      <c r="C63" s="73"/>
      <c r="D63" s="73"/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</row>
    <row r="64">
      <c r="A64" s="73"/>
      <c r="B64" s="73"/>
      <c r="C64" s="73"/>
      <c r="D64" s="73"/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</row>
    <row r="65">
      <c r="A65" s="73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</row>
    <row r="66">
      <c r="A66" s="73"/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</row>
    <row r="67">
      <c r="A67" s="73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</row>
    <row r="68">
      <c r="A68" s="73"/>
      <c r="B68" s="73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</row>
    <row r="69">
      <c r="A69" s="73"/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</row>
    <row r="70">
      <c r="A70" s="73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</row>
    <row r="71">
      <c r="A71" s="73"/>
      <c r="B71" s="73"/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</row>
    <row r="72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</row>
    <row r="73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</row>
    <row r="74">
      <c r="A74" s="73"/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</row>
    <row r="75">
      <c r="A75" s="73"/>
      <c r="B75" s="73"/>
      <c r="C75" s="73"/>
      <c r="D75" s="73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</row>
    <row r="76">
      <c r="A76" s="73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</row>
    <row r="77">
      <c r="A77" s="73"/>
      <c r="B77" s="73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</row>
    <row r="78">
      <c r="A78" s="73"/>
      <c r="B78" s="73"/>
      <c r="C78" s="73"/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</row>
    <row r="79">
      <c r="A79" s="73"/>
      <c r="B79" s="73"/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</row>
    <row r="80">
      <c r="A80" s="73"/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</row>
    <row r="81">
      <c r="A81" s="73"/>
      <c r="B81" s="73"/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</row>
    <row r="82">
      <c r="A82" s="73"/>
      <c r="B82" s="73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</row>
    <row r="83">
      <c r="A83" s="73"/>
      <c r="B83" s="73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</row>
    <row r="84">
      <c r="A84" s="73"/>
      <c r="B84" s="73"/>
      <c r="C84" s="73"/>
      <c r="D84" s="73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</row>
    <row r="85">
      <c r="A85" s="73"/>
      <c r="B85" s="73"/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</row>
    <row r="86">
      <c r="A86" s="73"/>
      <c r="B86" s="73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</row>
    <row r="87">
      <c r="A87" s="73"/>
      <c r="B87" s="73"/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</row>
    <row r="88">
      <c r="A88" s="73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</row>
    <row r="89">
      <c r="A89" s="73"/>
      <c r="B89" s="73"/>
      <c r="C89" s="73"/>
      <c r="D89" s="73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</row>
    <row r="90">
      <c r="A90" s="73"/>
      <c r="B90" s="73"/>
      <c r="C90" s="73"/>
      <c r="D90" s="73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</row>
    <row r="91">
      <c r="A91" s="73"/>
      <c r="B91" s="73"/>
      <c r="C91" s="73"/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</row>
    <row r="92">
      <c r="A92" s="73"/>
      <c r="B92" s="73"/>
      <c r="C92" s="73"/>
      <c r="D92" s="73"/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</row>
    <row r="93">
      <c r="A93" s="73"/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</row>
    <row r="94">
      <c r="A94" s="73"/>
      <c r="B94" s="73"/>
      <c r="C94" s="73"/>
      <c r="D94" s="73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</row>
    <row r="95">
      <c r="A95" s="73"/>
      <c r="B95" s="73"/>
      <c r="C95" s="73"/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</row>
    <row r="96">
      <c r="A96" s="73"/>
      <c r="B96" s="73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</row>
    <row r="97">
      <c r="A97" s="73"/>
      <c r="B97" s="73"/>
      <c r="C97" s="73"/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</row>
    <row r="98">
      <c r="A98" s="73"/>
      <c r="B98" s="73"/>
      <c r="C98" s="73"/>
      <c r="D98" s="73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</row>
    <row r="99">
      <c r="A99" s="73"/>
      <c r="B99" s="73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</row>
    <row r="100">
      <c r="A100" s="73"/>
      <c r="B100" s="73"/>
      <c r="C100" s="73"/>
      <c r="D100" s="73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</row>
    <row r="101">
      <c r="A101" s="73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</row>
    <row r="102">
      <c r="A102" s="73"/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</row>
    <row r="103">
      <c r="A103" s="73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</row>
    <row r="104">
      <c r="A104" s="73"/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</row>
    <row r="105">
      <c r="A105" s="73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</row>
    <row r="106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</row>
    <row r="107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</row>
    <row r="108">
      <c r="A108" s="73"/>
      <c r="B108" s="73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</row>
    <row r="109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</row>
    <row r="110">
      <c r="A110" s="73"/>
      <c r="B110" s="73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</row>
    <row r="111">
      <c r="A111" s="73"/>
      <c r="B111" s="73"/>
      <c r="C111" s="73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3"/>
      <c r="Y111" s="73"/>
      <c r="Z111" s="73"/>
    </row>
    <row r="112">
      <c r="A112" s="73"/>
      <c r="B112" s="73"/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</row>
    <row r="113">
      <c r="A113" s="73"/>
      <c r="B113" s="73"/>
      <c r="C113" s="73"/>
      <c r="D113" s="73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</row>
    <row r="114">
      <c r="A114" s="73"/>
      <c r="B114" s="73"/>
      <c r="C114" s="73"/>
      <c r="D114" s="73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</row>
    <row r="115">
      <c r="A115" s="73"/>
      <c r="B115" s="73"/>
      <c r="C115" s="73"/>
      <c r="D115" s="73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3"/>
      <c r="Y115" s="73"/>
      <c r="Z115" s="73"/>
    </row>
    <row r="116">
      <c r="A116" s="73"/>
      <c r="B116" s="73"/>
      <c r="C116" s="73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/>
    </row>
    <row r="117">
      <c r="A117" s="73"/>
      <c r="B117" s="73"/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3"/>
      <c r="Y117" s="73"/>
      <c r="Z117" s="73"/>
    </row>
    <row r="118">
      <c r="A118" s="73"/>
      <c r="B118" s="73"/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</row>
    <row r="119">
      <c r="A119" s="73"/>
      <c r="B119" s="73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X119" s="73"/>
      <c r="Y119" s="73"/>
      <c r="Z119" s="73"/>
    </row>
    <row r="120">
      <c r="A120" s="73"/>
      <c r="B120" s="73"/>
      <c r="C120" s="73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</row>
    <row r="121">
      <c r="A121" s="73"/>
      <c r="B121" s="73"/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</row>
    <row r="122">
      <c r="A122" s="73"/>
      <c r="B122" s="73"/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3"/>
      <c r="Y122" s="73"/>
      <c r="Z122" s="73"/>
    </row>
    <row r="123">
      <c r="A123" s="73"/>
      <c r="B123" s="73"/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</row>
    <row r="124">
      <c r="A124" s="73"/>
      <c r="B124" s="73"/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</row>
    <row r="125">
      <c r="A125" s="73"/>
      <c r="B125" s="73"/>
      <c r="C125" s="73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</row>
    <row r="126">
      <c r="A126" s="73"/>
      <c r="B126" s="73"/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</row>
    <row r="127">
      <c r="A127" s="73"/>
      <c r="B127" s="73"/>
      <c r="C127" s="73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</row>
    <row r="128">
      <c r="A128" s="73"/>
      <c r="B128" s="73"/>
      <c r="C128" s="73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</row>
    <row r="129">
      <c r="A129" s="73"/>
      <c r="B129" s="73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</row>
    <row r="130">
      <c r="A130" s="73"/>
      <c r="B130" s="73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73"/>
      <c r="Y130" s="73"/>
      <c r="Z130" s="73"/>
    </row>
    <row r="131">
      <c r="A131" s="73"/>
      <c r="B131" s="73"/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</row>
    <row r="132">
      <c r="A132" s="73"/>
      <c r="B132" s="73"/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</row>
    <row r="133">
      <c r="A133" s="73"/>
      <c r="B133" s="73"/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</row>
    <row r="134">
      <c r="A134" s="73"/>
      <c r="B134" s="73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X134" s="73"/>
      <c r="Y134" s="73"/>
      <c r="Z134" s="73"/>
    </row>
    <row r="135">
      <c r="A135" s="73"/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</row>
    <row r="136">
      <c r="A136" s="73"/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</row>
    <row r="137">
      <c r="A137" s="73"/>
      <c r="B137" s="73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</row>
    <row r="138">
      <c r="A138" s="73"/>
      <c r="B138" s="73"/>
      <c r="C138" s="73"/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</row>
    <row r="139">
      <c r="A139" s="73"/>
      <c r="B139" s="73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</row>
    <row r="140">
      <c r="A140" s="73"/>
      <c r="B140" s="73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</row>
    <row r="141">
      <c r="A141" s="73"/>
      <c r="B141" s="73"/>
      <c r="C141" s="73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</row>
    <row r="142">
      <c r="A142" s="73"/>
      <c r="B142" s="73"/>
      <c r="C142" s="73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</row>
    <row r="143">
      <c r="A143" s="73"/>
      <c r="B143" s="73"/>
      <c r="C143" s="73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</row>
    <row r="144">
      <c r="A144" s="73"/>
      <c r="B144" s="73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</row>
    <row r="145">
      <c r="A145" s="73"/>
      <c r="B145" s="73"/>
      <c r="C145" s="73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</row>
    <row r="146">
      <c r="A146" s="73"/>
      <c r="B146" s="73"/>
      <c r="C146" s="73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</row>
    <row r="147">
      <c r="A147" s="73"/>
      <c r="B147" s="73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/>
      <c r="Z147" s="73"/>
    </row>
    <row r="148">
      <c r="A148" s="73"/>
      <c r="B148" s="73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</row>
    <row r="149">
      <c r="A149" s="73"/>
      <c r="B149" s="73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</row>
    <row r="150">
      <c r="A150" s="73"/>
      <c r="B150" s="73"/>
      <c r="C150" s="73"/>
      <c r="D150" s="73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73"/>
      <c r="X150" s="73"/>
      <c r="Y150" s="73"/>
      <c r="Z150" s="73"/>
    </row>
    <row r="151">
      <c r="A151" s="73"/>
      <c r="B151" s="73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</row>
    <row r="152">
      <c r="A152" s="73"/>
      <c r="B152" s="73"/>
      <c r="C152" s="73"/>
      <c r="D152" s="73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</row>
    <row r="153">
      <c r="A153" s="73"/>
      <c r="B153" s="73"/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</row>
    <row r="154">
      <c r="A154" s="73"/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</row>
    <row r="155">
      <c r="A155" s="73"/>
      <c r="B155" s="73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</row>
    <row r="156">
      <c r="A156" s="73"/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</row>
    <row r="157">
      <c r="A157" s="73"/>
      <c r="B157" s="73"/>
      <c r="C157" s="73"/>
      <c r="D157" s="73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</row>
    <row r="158">
      <c r="A158" s="73"/>
      <c r="B158" s="73"/>
      <c r="C158" s="73"/>
      <c r="D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</row>
    <row r="159">
      <c r="A159" s="73"/>
      <c r="B159" s="73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</row>
    <row r="160">
      <c r="A160" s="73"/>
      <c r="B160" s="73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</row>
    <row r="161">
      <c r="A161" s="73"/>
      <c r="B161" s="73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</row>
    <row r="162">
      <c r="A162" s="73"/>
      <c r="B162" s="73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</row>
    <row r="163">
      <c r="A163" s="73"/>
      <c r="B163" s="73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</row>
    <row r="164">
      <c r="A164" s="73"/>
      <c r="B164" s="73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</row>
    <row r="165">
      <c r="A165" s="73"/>
      <c r="B165" s="73"/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</row>
    <row r="166">
      <c r="A166" s="73"/>
      <c r="B166" s="73"/>
      <c r="C166" s="73"/>
      <c r="D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</row>
    <row r="167">
      <c r="A167" s="73"/>
      <c r="B167" s="73"/>
      <c r="C167" s="73"/>
      <c r="D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</row>
    <row r="168">
      <c r="A168" s="73"/>
      <c r="B168" s="73"/>
      <c r="C168" s="73"/>
      <c r="D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</row>
    <row r="169">
      <c r="A169" s="73"/>
      <c r="B169" s="73"/>
      <c r="C169" s="73"/>
      <c r="D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</row>
    <row r="170">
      <c r="A170" s="73"/>
      <c r="B170" s="73"/>
      <c r="C170" s="73"/>
      <c r="D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</row>
    <row r="171">
      <c r="A171" s="73"/>
      <c r="B171" s="73"/>
      <c r="C171" s="73"/>
      <c r="D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</row>
    <row r="172">
      <c r="A172" s="73"/>
      <c r="B172" s="73"/>
      <c r="C172" s="73"/>
      <c r="D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</row>
    <row r="173">
      <c r="A173" s="73"/>
      <c r="B173" s="73"/>
      <c r="C173" s="73"/>
      <c r="D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</row>
    <row r="174">
      <c r="A174" s="73"/>
      <c r="B174" s="73"/>
      <c r="C174" s="73"/>
      <c r="D174" s="73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</row>
    <row r="175">
      <c r="A175" s="73"/>
      <c r="B175" s="73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</row>
    <row r="176">
      <c r="A176" s="73"/>
      <c r="B176" s="73"/>
      <c r="C176" s="73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</row>
    <row r="177">
      <c r="A177" s="73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</row>
    <row r="178">
      <c r="A178" s="73"/>
      <c r="B178" s="73"/>
      <c r="C178" s="73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</row>
    <row r="179">
      <c r="A179" s="73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</row>
    <row r="180">
      <c r="A180" s="73"/>
      <c r="B180" s="73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</row>
    <row r="181">
      <c r="A181" s="73"/>
      <c r="B181" s="73"/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</row>
    <row r="182">
      <c r="A182" s="73"/>
      <c r="B182" s="73"/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</row>
    <row r="183">
      <c r="A183" s="73"/>
      <c r="B183" s="73"/>
      <c r="C183" s="73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</row>
    <row r="184">
      <c r="A184" s="73"/>
      <c r="B184" s="73"/>
      <c r="C184" s="73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</row>
    <row r="185">
      <c r="A185" s="73"/>
      <c r="B185" s="73"/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</row>
    <row r="186">
      <c r="A186" s="73"/>
      <c r="B186" s="73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</row>
    <row r="187">
      <c r="A187" s="73"/>
      <c r="B187" s="73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</row>
    <row r="188">
      <c r="A188" s="73"/>
      <c r="B188" s="73"/>
      <c r="C188" s="73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</row>
    <row r="189">
      <c r="A189" s="73"/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</row>
    <row r="190">
      <c r="A190" s="73"/>
      <c r="B190" s="73"/>
      <c r="C190" s="73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</row>
    <row r="191">
      <c r="A191" s="73"/>
      <c r="B191" s="73"/>
      <c r="C191" s="73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</row>
    <row r="192">
      <c r="A192" s="73"/>
      <c r="B192" s="73"/>
      <c r="C192" s="73"/>
      <c r="D192" s="73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</row>
    <row r="193">
      <c r="A193" s="73"/>
      <c r="B193" s="73"/>
      <c r="C193" s="73"/>
      <c r="D193" s="73"/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</row>
    <row r="194">
      <c r="A194" s="73"/>
      <c r="B194" s="73"/>
      <c r="C194" s="73"/>
      <c r="D194" s="73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</row>
    <row r="195">
      <c r="A195" s="73"/>
      <c r="B195" s="73"/>
      <c r="C195" s="73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</row>
    <row r="196">
      <c r="A196" s="73"/>
      <c r="B196" s="73"/>
      <c r="C196" s="73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</row>
    <row r="197">
      <c r="A197" s="73"/>
      <c r="B197" s="73"/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73"/>
      <c r="X197" s="73"/>
      <c r="Y197" s="73"/>
      <c r="Z197" s="73"/>
    </row>
    <row r="198">
      <c r="A198" s="73"/>
      <c r="B198" s="73"/>
      <c r="C198" s="73"/>
      <c r="D198" s="73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</row>
    <row r="199">
      <c r="A199" s="73"/>
      <c r="B199" s="73"/>
      <c r="C199" s="73"/>
      <c r="D199" s="73"/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73"/>
      <c r="X199" s="73"/>
      <c r="Y199" s="73"/>
      <c r="Z199" s="73"/>
    </row>
    <row r="200">
      <c r="A200" s="73"/>
      <c r="B200" s="73"/>
      <c r="C200" s="73"/>
      <c r="D200" s="73"/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</row>
    <row r="201">
      <c r="A201" s="73"/>
      <c r="B201" s="73"/>
      <c r="C201" s="73"/>
      <c r="D201" s="73"/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</row>
    <row r="202">
      <c r="A202" s="73"/>
      <c r="B202" s="73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</row>
    <row r="203">
      <c r="A203" s="73"/>
      <c r="B203" s="73"/>
      <c r="C203" s="73"/>
      <c r="D203" s="73"/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</row>
    <row r="204">
      <c r="A204" s="73"/>
      <c r="B204" s="73"/>
      <c r="C204" s="73"/>
      <c r="D204" s="73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</row>
    <row r="205">
      <c r="A205" s="73"/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</row>
    <row r="206">
      <c r="A206" s="73"/>
      <c r="B206" s="73"/>
      <c r="C206" s="73"/>
      <c r="D206" s="73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</row>
    <row r="207">
      <c r="A207" s="73"/>
      <c r="B207" s="73"/>
      <c r="C207" s="73"/>
      <c r="D207" s="73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</row>
    <row r="208">
      <c r="A208" s="73"/>
      <c r="B208" s="73"/>
      <c r="C208" s="73"/>
      <c r="D208" s="73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</row>
    <row r="209">
      <c r="A209" s="73"/>
      <c r="B209" s="73"/>
      <c r="C209" s="73"/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</row>
    <row r="210">
      <c r="A210" s="73"/>
      <c r="B210" s="73"/>
      <c r="C210" s="73"/>
      <c r="D210" s="73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</row>
    <row r="211">
      <c r="A211" s="73"/>
      <c r="B211" s="73"/>
      <c r="C211" s="73"/>
      <c r="D211" s="73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</row>
    <row r="212">
      <c r="A212" s="73"/>
      <c r="B212" s="73"/>
      <c r="C212" s="73"/>
      <c r="D212" s="73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</row>
    <row r="213">
      <c r="A213" s="73"/>
      <c r="B213" s="73"/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</row>
    <row r="214">
      <c r="A214" s="73"/>
      <c r="B214" s="73"/>
      <c r="C214" s="73"/>
      <c r="D214" s="73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</row>
    <row r="215">
      <c r="A215" s="73"/>
      <c r="B215" s="73"/>
      <c r="C215" s="73"/>
      <c r="D215" s="73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</row>
    <row r="216">
      <c r="A216" s="73"/>
      <c r="B216" s="73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</row>
    <row r="217">
      <c r="A217" s="73"/>
      <c r="B217" s="73"/>
      <c r="C217" s="73"/>
      <c r="D217" s="73"/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73"/>
      <c r="X217" s="73"/>
      <c r="Y217" s="73"/>
      <c r="Z217" s="73"/>
    </row>
    <row r="218">
      <c r="A218" s="73"/>
      <c r="B218" s="73"/>
      <c r="C218" s="73"/>
      <c r="D218" s="73"/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73"/>
      <c r="X218" s="73"/>
      <c r="Y218" s="73"/>
      <c r="Z218" s="73"/>
    </row>
    <row r="219">
      <c r="A219" s="73"/>
      <c r="B219" s="73"/>
      <c r="C219" s="73"/>
      <c r="D219" s="73"/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</row>
    <row r="220">
      <c r="A220" s="73"/>
      <c r="B220" s="73"/>
      <c r="C220" s="73"/>
      <c r="D220" s="73"/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73"/>
      <c r="X220" s="73"/>
      <c r="Y220" s="73"/>
      <c r="Z220" s="73"/>
    </row>
    <row r="221">
      <c r="A221" s="73"/>
      <c r="B221" s="73"/>
      <c r="C221" s="73"/>
      <c r="D221" s="73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</row>
    <row r="222">
      <c r="A222" s="73"/>
      <c r="B222" s="73"/>
      <c r="C222" s="73"/>
      <c r="D222" s="73"/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73"/>
      <c r="X222" s="73"/>
      <c r="Y222" s="73"/>
      <c r="Z222" s="73"/>
    </row>
    <row r="223">
      <c r="A223" s="73"/>
      <c r="B223" s="73"/>
      <c r="C223" s="73"/>
      <c r="D223" s="73"/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  <c r="V223" s="73"/>
      <c r="W223" s="73"/>
      <c r="X223" s="73"/>
      <c r="Y223" s="73"/>
      <c r="Z223" s="73"/>
    </row>
    <row r="224">
      <c r="A224" s="73"/>
      <c r="B224" s="73"/>
      <c r="C224" s="73"/>
      <c r="D224" s="73"/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73"/>
      <c r="X224" s="73"/>
      <c r="Y224" s="73"/>
      <c r="Z224" s="73"/>
    </row>
    <row r="225">
      <c r="A225" s="73"/>
      <c r="B225" s="73"/>
      <c r="C225" s="73"/>
      <c r="D225" s="73"/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73"/>
      <c r="W225" s="73"/>
      <c r="X225" s="73"/>
      <c r="Y225" s="73"/>
      <c r="Z225" s="73"/>
    </row>
    <row r="226">
      <c r="A226" s="73"/>
      <c r="B226" s="73"/>
      <c r="C226" s="73"/>
      <c r="D226" s="73"/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73"/>
      <c r="X226" s="73"/>
      <c r="Y226" s="73"/>
      <c r="Z226" s="73"/>
    </row>
    <row r="227">
      <c r="A227" s="73"/>
      <c r="B227" s="73"/>
      <c r="C227" s="73"/>
      <c r="D227" s="73"/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73"/>
      <c r="X227" s="73"/>
      <c r="Y227" s="73"/>
      <c r="Z227" s="73"/>
    </row>
    <row r="228">
      <c r="A228" s="73"/>
      <c r="B228" s="73"/>
      <c r="C228" s="73"/>
      <c r="D228" s="73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</row>
    <row r="229">
      <c r="A229" s="73"/>
      <c r="B229" s="73"/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73"/>
      <c r="X229" s="73"/>
      <c r="Y229" s="73"/>
      <c r="Z229" s="73"/>
    </row>
    <row r="230">
      <c r="A230" s="73"/>
      <c r="B230" s="73"/>
      <c r="C230" s="73"/>
      <c r="D230" s="73"/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</row>
    <row r="231">
      <c r="A231" s="73"/>
      <c r="B231" s="73"/>
      <c r="C231" s="73"/>
      <c r="D231" s="73"/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</row>
    <row r="232">
      <c r="A232" s="73"/>
      <c r="B232" s="73"/>
      <c r="C232" s="73"/>
      <c r="D232" s="73"/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</row>
    <row r="233">
      <c r="A233" s="73"/>
      <c r="B233" s="73"/>
      <c r="C233" s="73"/>
      <c r="D233" s="73"/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73"/>
      <c r="X233" s="73"/>
      <c r="Y233" s="73"/>
      <c r="Z233" s="73"/>
    </row>
    <row r="234">
      <c r="A234" s="73"/>
      <c r="B234" s="73"/>
      <c r="C234" s="73"/>
      <c r="D234" s="73"/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</row>
    <row r="235">
      <c r="A235" s="73"/>
      <c r="B235" s="73"/>
      <c r="C235" s="73"/>
      <c r="D235" s="73"/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</row>
    <row r="236">
      <c r="A236" s="73"/>
      <c r="B236" s="73"/>
      <c r="C236" s="73"/>
      <c r="D236" s="73"/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</row>
    <row r="237">
      <c r="A237" s="73"/>
      <c r="B237" s="73"/>
      <c r="C237" s="73"/>
      <c r="D237" s="73"/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73"/>
      <c r="X237" s="73"/>
      <c r="Y237" s="73"/>
      <c r="Z237" s="73"/>
    </row>
    <row r="238">
      <c r="A238" s="73"/>
      <c r="B238" s="73"/>
      <c r="C238" s="73"/>
      <c r="D238" s="73"/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</row>
    <row r="239">
      <c r="A239" s="73"/>
      <c r="B239" s="73"/>
      <c r="C239" s="73"/>
      <c r="D239" s="73"/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</row>
    <row r="240">
      <c r="A240" s="73"/>
      <c r="B240" s="73"/>
      <c r="C240" s="73"/>
      <c r="D240" s="73"/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</row>
    <row r="241">
      <c r="A241" s="73"/>
      <c r="B241" s="73"/>
      <c r="C241" s="73"/>
      <c r="D241" s="73"/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</row>
    <row r="242">
      <c r="A242" s="73"/>
      <c r="B242" s="73"/>
      <c r="C242" s="73"/>
      <c r="D242" s="73"/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</row>
    <row r="243">
      <c r="A243" s="73"/>
      <c r="B243" s="73"/>
      <c r="C243" s="73"/>
      <c r="D243" s="73"/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</row>
    <row r="244">
      <c r="A244" s="73"/>
      <c r="B244" s="73"/>
      <c r="C244" s="73"/>
      <c r="D244" s="73"/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</row>
    <row r="245">
      <c r="A245" s="73"/>
      <c r="B245" s="73"/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</row>
    <row r="246">
      <c r="A246" s="73"/>
      <c r="B246" s="73"/>
      <c r="C246" s="73"/>
      <c r="D246" s="73"/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</row>
    <row r="247">
      <c r="A247" s="73"/>
      <c r="B247" s="73"/>
      <c r="C247" s="73"/>
      <c r="D247" s="73"/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</row>
    <row r="248">
      <c r="A248" s="73"/>
      <c r="B248" s="73"/>
      <c r="C248" s="73"/>
      <c r="D248" s="73"/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73"/>
      <c r="X248" s="73"/>
      <c r="Y248" s="73"/>
      <c r="Z248" s="73"/>
    </row>
    <row r="249">
      <c r="A249" s="73"/>
      <c r="B249" s="73"/>
      <c r="C249" s="73"/>
      <c r="D249" s="73"/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</row>
    <row r="250">
      <c r="A250" s="73"/>
      <c r="B250" s="73"/>
      <c r="C250" s="73"/>
      <c r="D250" s="73"/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</row>
    <row r="251">
      <c r="A251" s="73"/>
      <c r="B251" s="73"/>
      <c r="C251" s="73"/>
      <c r="D251" s="73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</row>
    <row r="252">
      <c r="A252" s="73"/>
      <c r="B252" s="73"/>
      <c r="C252" s="73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  <c r="Z252" s="73"/>
    </row>
    <row r="253">
      <c r="A253" s="73"/>
      <c r="B253" s="73"/>
      <c r="C253" s="73"/>
      <c r="D253" s="73"/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73"/>
      <c r="X253" s="73"/>
      <c r="Y253" s="73"/>
      <c r="Z253" s="73"/>
    </row>
    <row r="254">
      <c r="A254" s="73"/>
      <c r="B254" s="73"/>
      <c r="C254" s="73"/>
      <c r="D254" s="73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</row>
    <row r="255">
      <c r="A255" s="73"/>
      <c r="B255" s="73"/>
      <c r="C255" s="73"/>
      <c r="D255" s="73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</row>
    <row r="256">
      <c r="A256" s="73"/>
      <c r="B256" s="73"/>
      <c r="C256" s="73"/>
      <c r="D256" s="73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</row>
    <row r="257">
      <c r="A257" s="73"/>
      <c r="B257" s="73"/>
      <c r="C257" s="73"/>
      <c r="D257" s="73"/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</row>
    <row r="258">
      <c r="A258" s="73"/>
      <c r="B258" s="73"/>
      <c r="C258" s="73"/>
      <c r="D258" s="73"/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</row>
    <row r="259">
      <c r="A259" s="73"/>
      <c r="B259" s="73"/>
      <c r="C259" s="73"/>
      <c r="D259" s="73"/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</row>
    <row r="260">
      <c r="A260" s="73"/>
      <c r="B260" s="73"/>
      <c r="C260" s="73"/>
      <c r="D260" s="73"/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</row>
    <row r="261">
      <c r="A261" s="73"/>
      <c r="B261" s="73"/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</row>
    <row r="262">
      <c r="A262" s="73"/>
      <c r="B262" s="73"/>
      <c r="C262" s="73"/>
      <c r="D262" s="73"/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</row>
    <row r="263">
      <c r="A263" s="73"/>
      <c r="B263" s="73"/>
      <c r="C263" s="73"/>
      <c r="D263" s="73"/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</row>
    <row r="264">
      <c r="A264" s="73"/>
      <c r="B264" s="73"/>
      <c r="C264" s="73"/>
      <c r="D264" s="73"/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</row>
    <row r="265">
      <c r="A265" s="73"/>
      <c r="B265" s="73"/>
      <c r="C265" s="73"/>
      <c r="D265" s="73"/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</row>
    <row r="266">
      <c r="A266" s="73"/>
      <c r="B266" s="73"/>
      <c r="C266" s="73"/>
      <c r="D266" s="73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</row>
    <row r="267">
      <c r="A267" s="73"/>
      <c r="B267" s="73"/>
      <c r="C267" s="73"/>
      <c r="D267" s="73"/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</row>
    <row r="268">
      <c r="A268" s="73"/>
      <c r="B268" s="73"/>
      <c r="C268" s="73"/>
      <c r="D268" s="73"/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</row>
    <row r="269">
      <c r="A269" s="73"/>
      <c r="B269" s="73"/>
      <c r="C269" s="73"/>
      <c r="D269" s="73"/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</row>
    <row r="270">
      <c r="A270" s="73"/>
      <c r="B270" s="73"/>
      <c r="C270" s="73"/>
      <c r="D270" s="73"/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</row>
    <row r="271">
      <c r="A271" s="73"/>
      <c r="B271" s="73"/>
      <c r="C271" s="73"/>
      <c r="D271" s="73"/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</row>
    <row r="272">
      <c r="A272" s="73"/>
      <c r="B272" s="73"/>
      <c r="C272" s="73"/>
      <c r="D272" s="73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</row>
    <row r="273">
      <c r="A273" s="73"/>
      <c r="B273" s="73"/>
      <c r="C273" s="73"/>
      <c r="D273" s="73"/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</row>
    <row r="274">
      <c r="A274" s="73"/>
      <c r="B274" s="73"/>
      <c r="C274" s="73"/>
      <c r="D274" s="73"/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</row>
    <row r="275">
      <c r="A275" s="73"/>
      <c r="B275" s="73"/>
      <c r="C275" s="73"/>
      <c r="D275" s="73"/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</row>
    <row r="276">
      <c r="A276" s="73"/>
      <c r="B276" s="73"/>
      <c r="C276" s="73"/>
      <c r="D276" s="73"/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</row>
    <row r="277">
      <c r="A277" s="73"/>
      <c r="B277" s="73"/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</row>
    <row r="278">
      <c r="A278" s="73"/>
      <c r="B278" s="73"/>
      <c r="C278" s="73"/>
      <c r="D278" s="73"/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</row>
    <row r="279">
      <c r="A279" s="73"/>
      <c r="B279" s="73"/>
      <c r="C279" s="73"/>
      <c r="D279" s="73"/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</row>
    <row r="280">
      <c r="A280" s="73"/>
      <c r="B280" s="73"/>
      <c r="C280" s="73"/>
      <c r="D280" s="73"/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</row>
    <row r="281">
      <c r="A281" s="73"/>
      <c r="B281" s="73"/>
      <c r="C281" s="73"/>
      <c r="D281" s="73"/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</row>
    <row r="282">
      <c r="A282" s="73"/>
      <c r="B282" s="73"/>
      <c r="C282" s="73"/>
      <c r="D282" s="73"/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</row>
    <row r="283">
      <c r="A283" s="73"/>
      <c r="B283" s="73"/>
      <c r="C283" s="73"/>
      <c r="D283" s="73"/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</row>
    <row r="284">
      <c r="A284" s="73"/>
      <c r="B284" s="73"/>
      <c r="C284" s="73"/>
      <c r="D284" s="73"/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</row>
    <row r="285">
      <c r="A285" s="73"/>
      <c r="B285" s="73"/>
      <c r="C285" s="73"/>
      <c r="D285" s="73"/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</row>
    <row r="286">
      <c r="A286" s="73"/>
      <c r="B286" s="73"/>
      <c r="C286" s="73"/>
      <c r="D286" s="73"/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</row>
    <row r="287">
      <c r="A287" s="73"/>
      <c r="B287" s="73"/>
      <c r="C287" s="73"/>
      <c r="D287" s="73"/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</row>
    <row r="288">
      <c r="A288" s="73"/>
      <c r="B288" s="73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</row>
    <row r="289">
      <c r="A289" s="73"/>
      <c r="B289" s="73"/>
      <c r="C289" s="73"/>
      <c r="D289" s="73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</row>
    <row r="290">
      <c r="A290" s="73"/>
      <c r="B290" s="73"/>
      <c r="C290" s="73"/>
      <c r="D290" s="73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</row>
    <row r="291">
      <c r="A291" s="73"/>
      <c r="B291" s="73"/>
      <c r="C291" s="73"/>
      <c r="D291" s="73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</row>
    <row r="292">
      <c r="A292" s="73"/>
      <c r="B292" s="73"/>
      <c r="C292" s="73"/>
      <c r="D292" s="73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</row>
    <row r="293">
      <c r="A293" s="73"/>
      <c r="B293" s="73"/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</row>
    <row r="294">
      <c r="A294" s="73"/>
      <c r="B294" s="73"/>
      <c r="C294" s="73"/>
      <c r="D294" s="73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</row>
    <row r="295">
      <c r="A295" s="73"/>
      <c r="B295" s="73"/>
      <c r="C295" s="73"/>
      <c r="D295" s="73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</row>
    <row r="296">
      <c r="A296" s="73"/>
      <c r="B296" s="73"/>
      <c r="C296" s="73"/>
      <c r="D296" s="73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</row>
    <row r="297">
      <c r="A297" s="73"/>
      <c r="B297" s="73"/>
      <c r="C297" s="73"/>
      <c r="D297" s="73"/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</row>
    <row r="298">
      <c r="A298" s="73"/>
      <c r="B298" s="73"/>
      <c r="C298" s="73"/>
      <c r="D298" s="73"/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</row>
    <row r="299">
      <c r="A299" s="73"/>
      <c r="B299" s="73"/>
      <c r="C299" s="73"/>
      <c r="D299" s="73"/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</row>
    <row r="300">
      <c r="A300" s="73"/>
      <c r="B300" s="73"/>
      <c r="C300" s="73"/>
      <c r="D300" s="73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</row>
    <row r="301">
      <c r="A301" s="73"/>
      <c r="B301" s="73"/>
      <c r="C301" s="73"/>
      <c r="D301" s="73"/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</row>
    <row r="302">
      <c r="A302" s="73"/>
      <c r="B302" s="73"/>
      <c r="C302" s="73"/>
      <c r="D302" s="73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</row>
    <row r="303">
      <c r="A303" s="73"/>
      <c r="B303" s="73"/>
      <c r="C303" s="73"/>
      <c r="D303" s="73"/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</row>
    <row r="304">
      <c r="A304" s="73"/>
      <c r="B304" s="73"/>
      <c r="C304" s="73"/>
      <c r="D304" s="73"/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</row>
    <row r="305">
      <c r="A305" s="73"/>
      <c r="B305" s="73"/>
      <c r="C305" s="73"/>
      <c r="D305" s="73"/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</row>
    <row r="306">
      <c r="A306" s="73"/>
      <c r="B306" s="73"/>
      <c r="C306" s="73"/>
      <c r="D306" s="73"/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</row>
    <row r="307">
      <c r="A307" s="73"/>
      <c r="B307" s="73"/>
      <c r="C307" s="73"/>
      <c r="D307" s="73"/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</row>
    <row r="308">
      <c r="A308" s="73"/>
      <c r="B308" s="73"/>
      <c r="C308" s="73"/>
      <c r="D308" s="73"/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</row>
    <row r="309">
      <c r="A309" s="73"/>
      <c r="B309" s="73"/>
      <c r="C309" s="73"/>
      <c r="D309" s="73"/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</row>
    <row r="310">
      <c r="A310" s="73"/>
      <c r="B310" s="73"/>
      <c r="C310" s="73"/>
      <c r="D310" s="73"/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</row>
    <row r="311">
      <c r="A311" s="73"/>
      <c r="B311" s="73"/>
      <c r="C311" s="73"/>
      <c r="D311" s="73"/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</row>
    <row r="312">
      <c r="A312" s="73"/>
      <c r="B312" s="73"/>
      <c r="C312" s="73"/>
      <c r="D312" s="73"/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</row>
    <row r="313">
      <c r="A313" s="73"/>
      <c r="B313" s="73"/>
      <c r="C313" s="73"/>
      <c r="D313" s="73"/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</row>
    <row r="314">
      <c r="A314" s="73"/>
      <c r="B314" s="73"/>
      <c r="C314" s="73"/>
      <c r="D314" s="73"/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</row>
    <row r="315">
      <c r="A315" s="73"/>
      <c r="B315" s="73"/>
      <c r="C315" s="73"/>
      <c r="D315" s="73"/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</row>
    <row r="316">
      <c r="A316" s="73"/>
      <c r="B316" s="73"/>
      <c r="C316" s="73"/>
      <c r="D316" s="73"/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</row>
    <row r="317">
      <c r="A317" s="73"/>
      <c r="B317" s="73"/>
      <c r="C317" s="73"/>
      <c r="D317" s="73"/>
      <c r="E317" s="73"/>
      <c r="F317" s="73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</row>
    <row r="318">
      <c r="A318" s="73"/>
      <c r="B318" s="73"/>
      <c r="C318" s="73"/>
      <c r="D318" s="73"/>
      <c r="E318" s="73"/>
      <c r="F318" s="73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</row>
    <row r="319">
      <c r="A319" s="73"/>
      <c r="B319" s="73"/>
      <c r="C319" s="73"/>
      <c r="D319" s="73"/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</row>
    <row r="320">
      <c r="A320" s="73"/>
      <c r="B320" s="73"/>
      <c r="C320" s="73"/>
      <c r="D320" s="73"/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</row>
    <row r="321">
      <c r="A321" s="73"/>
      <c r="B321" s="73"/>
      <c r="C321" s="73"/>
      <c r="D321" s="73"/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</row>
    <row r="322">
      <c r="A322" s="73"/>
      <c r="B322" s="73"/>
      <c r="C322" s="73"/>
      <c r="D322" s="73"/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</row>
    <row r="323">
      <c r="A323" s="73"/>
      <c r="B323" s="73"/>
      <c r="C323" s="73"/>
      <c r="D323" s="73"/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</row>
    <row r="324">
      <c r="A324" s="73"/>
      <c r="B324" s="73"/>
      <c r="C324" s="73"/>
      <c r="D324" s="73"/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</row>
    <row r="325">
      <c r="A325" s="73"/>
      <c r="B325" s="73"/>
      <c r="C325" s="73"/>
      <c r="D325" s="73"/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</row>
    <row r="326">
      <c r="A326" s="73"/>
      <c r="B326" s="73"/>
      <c r="C326" s="73"/>
      <c r="D326" s="73"/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</row>
    <row r="327">
      <c r="A327" s="73"/>
      <c r="B327" s="73"/>
      <c r="C327" s="73"/>
      <c r="D327" s="73"/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</row>
    <row r="328">
      <c r="A328" s="73"/>
      <c r="B328" s="73"/>
      <c r="C328" s="73"/>
      <c r="D328" s="73"/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</row>
    <row r="329">
      <c r="A329" s="73"/>
      <c r="B329" s="73"/>
      <c r="C329" s="73"/>
      <c r="D329" s="73"/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</row>
    <row r="330">
      <c r="A330" s="73"/>
      <c r="B330" s="73"/>
      <c r="C330" s="73"/>
      <c r="D330" s="73"/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</row>
    <row r="331">
      <c r="A331" s="73"/>
      <c r="B331" s="73"/>
      <c r="C331" s="73"/>
      <c r="D331" s="73"/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</row>
    <row r="332">
      <c r="A332" s="73"/>
      <c r="B332" s="73"/>
      <c r="C332" s="73"/>
      <c r="D332" s="73"/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</row>
    <row r="333">
      <c r="A333" s="73"/>
      <c r="B333" s="73"/>
      <c r="C333" s="73"/>
      <c r="D333" s="73"/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</row>
    <row r="334">
      <c r="A334" s="73"/>
      <c r="B334" s="73"/>
      <c r="C334" s="73"/>
      <c r="D334" s="73"/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</row>
    <row r="335">
      <c r="A335" s="73"/>
      <c r="B335" s="73"/>
      <c r="C335" s="73"/>
      <c r="D335" s="73"/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</row>
    <row r="336">
      <c r="A336" s="73"/>
      <c r="B336" s="73"/>
      <c r="C336" s="73"/>
      <c r="D336" s="73"/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</row>
    <row r="337">
      <c r="A337" s="73"/>
      <c r="B337" s="73"/>
      <c r="C337" s="73"/>
      <c r="D337" s="73"/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</row>
    <row r="338">
      <c r="A338" s="73"/>
      <c r="B338" s="73"/>
      <c r="C338" s="73"/>
      <c r="D338" s="73"/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</row>
    <row r="339">
      <c r="A339" s="73"/>
      <c r="B339" s="73"/>
      <c r="C339" s="73"/>
      <c r="D339" s="73"/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</row>
    <row r="340">
      <c r="A340" s="73"/>
      <c r="B340" s="73"/>
      <c r="C340" s="73"/>
      <c r="D340" s="73"/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</row>
    <row r="341">
      <c r="A341" s="73"/>
      <c r="B341" s="73"/>
      <c r="C341" s="73"/>
      <c r="D341" s="73"/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</row>
    <row r="342">
      <c r="A342" s="73"/>
      <c r="B342" s="73"/>
      <c r="C342" s="73"/>
      <c r="D342" s="73"/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</row>
    <row r="343">
      <c r="A343" s="73"/>
      <c r="B343" s="73"/>
      <c r="C343" s="73"/>
      <c r="D343" s="73"/>
      <c r="E343" s="73"/>
      <c r="F343" s="73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</row>
    <row r="344">
      <c r="A344" s="73"/>
      <c r="B344" s="73"/>
      <c r="C344" s="73"/>
      <c r="D344" s="73"/>
      <c r="E344" s="73"/>
      <c r="F344" s="73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</row>
    <row r="345">
      <c r="A345" s="73"/>
      <c r="B345" s="73"/>
      <c r="C345" s="73"/>
      <c r="D345" s="73"/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</row>
    <row r="346">
      <c r="A346" s="73"/>
      <c r="B346" s="73"/>
      <c r="C346" s="73"/>
      <c r="D346" s="73"/>
      <c r="E346" s="73"/>
      <c r="F346" s="73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</row>
    <row r="347">
      <c r="A347" s="73"/>
      <c r="B347" s="73"/>
      <c r="C347" s="73"/>
      <c r="D347" s="73"/>
      <c r="E347" s="73"/>
      <c r="F347" s="73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</row>
    <row r="348">
      <c r="A348" s="73"/>
      <c r="B348" s="73"/>
      <c r="C348" s="73"/>
      <c r="D348" s="73"/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</row>
    <row r="349">
      <c r="A349" s="73"/>
      <c r="B349" s="73"/>
      <c r="C349" s="73"/>
      <c r="D349" s="73"/>
      <c r="E349" s="73"/>
      <c r="F349" s="73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</row>
    <row r="350">
      <c r="A350" s="73"/>
      <c r="B350" s="73"/>
      <c r="C350" s="73"/>
      <c r="D350" s="73"/>
      <c r="E350" s="73"/>
      <c r="F350" s="73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</row>
    <row r="351">
      <c r="A351" s="73"/>
      <c r="B351" s="73"/>
      <c r="C351" s="73"/>
      <c r="D351" s="73"/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</row>
    <row r="352">
      <c r="A352" s="73"/>
      <c r="B352" s="73"/>
      <c r="C352" s="73"/>
      <c r="D352" s="73"/>
      <c r="E352" s="73"/>
      <c r="F352" s="73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</row>
    <row r="353">
      <c r="A353" s="73"/>
      <c r="B353" s="73"/>
      <c r="C353" s="73"/>
      <c r="D353" s="73"/>
      <c r="E353" s="73"/>
      <c r="F353" s="73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</row>
    <row r="354">
      <c r="A354" s="73"/>
      <c r="B354" s="73"/>
      <c r="C354" s="73"/>
      <c r="D354" s="73"/>
      <c r="E354" s="73"/>
      <c r="F354" s="73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</row>
    <row r="355">
      <c r="A355" s="73"/>
      <c r="B355" s="73"/>
      <c r="C355" s="73"/>
      <c r="D355" s="73"/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</row>
    <row r="356">
      <c r="A356" s="73"/>
      <c r="B356" s="73"/>
      <c r="C356" s="73"/>
      <c r="D356" s="73"/>
      <c r="E356" s="73"/>
      <c r="F356" s="73"/>
      <c r="G356" s="73"/>
      <c r="H356" s="73"/>
      <c r="I356" s="73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</row>
    <row r="357">
      <c r="A357" s="73"/>
      <c r="B357" s="73"/>
      <c r="C357" s="73"/>
      <c r="D357" s="73"/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</row>
    <row r="358">
      <c r="A358" s="73"/>
      <c r="B358" s="73"/>
      <c r="C358" s="73"/>
      <c r="D358" s="73"/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</row>
    <row r="359">
      <c r="A359" s="73"/>
      <c r="B359" s="73"/>
      <c r="C359" s="73"/>
      <c r="D359" s="73"/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</row>
    <row r="360">
      <c r="A360" s="73"/>
      <c r="B360" s="73"/>
      <c r="C360" s="73"/>
      <c r="D360" s="73"/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</row>
    <row r="361">
      <c r="A361" s="73"/>
      <c r="B361" s="73"/>
      <c r="C361" s="73"/>
      <c r="D361" s="73"/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</row>
    <row r="362">
      <c r="A362" s="73"/>
      <c r="B362" s="73"/>
      <c r="C362" s="73"/>
      <c r="D362" s="73"/>
      <c r="E362" s="73"/>
      <c r="F362" s="73"/>
      <c r="G362" s="73"/>
      <c r="H362" s="73"/>
      <c r="I362" s="73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</row>
    <row r="363">
      <c r="A363" s="73"/>
      <c r="B363" s="73"/>
      <c r="C363" s="73"/>
      <c r="D363" s="73"/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</row>
    <row r="364">
      <c r="A364" s="73"/>
      <c r="B364" s="73"/>
      <c r="C364" s="73"/>
      <c r="D364" s="73"/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</row>
    <row r="365">
      <c r="A365" s="73"/>
      <c r="B365" s="73"/>
      <c r="C365" s="73"/>
      <c r="D365" s="73"/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</row>
    <row r="366">
      <c r="A366" s="73"/>
      <c r="B366" s="73"/>
      <c r="C366" s="73"/>
      <c r="D366" s="73"/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</row>
    <row r="367">
      <c r="A367" s="73"/>
      <c r="B367" s="73"/>
      <c r="C367" s="73"/>
      <c r="D367" s="73"/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</row>
    <row r="368">
      <c r="A368" s="73"/>
      <c r="B368" s="73"/>
      <c r="C368" s="73"/>
      <c r="D368" s="73"/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</row>
    <row r="369">
      <c r="A369" s="73"/>
      <c r="B369" s="73"/>
      <c r="C369" s="73"/>
      <c r="D369" s="73"/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</row>
    <row r="370">
      <c r="A370" s="73"/>
      <c r="B370" s="73"/>
      <c r="C370" s="73"/>
      <c r="D370" s="73"/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</row>
    <row r="371">
      <c r="A371" s="73"/>
      <c r="B371" s="73"/>
      <c r="C371" s="73"/>
      <c r="D371" s="73"/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</row>
    <row r="372">
      <c r="A372" s="73"/>
      <c r="B372" s="73"/>
      <c r="C372" s="73"/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</row>
    <row r="373">
      <c r="A373" s="73"/>
      <c r="B373" s="73"/>
      <c r="C373" s="73"/>
      <c r="D373" s="73"/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</row>
    <row r="374">
      <c r="A374" s="73"/>
      <c r="B374" s="73"/>
      <c r="C374" s="73"/>
      <c r="D374" s="73"/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</row>
    <row r="375">
      <c r="A375" s="73"/>
      <c r="B375" s="73"/>
      <c r="C375" s="73"/>
      <c r="D375" s="73"/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</row>
    <row r="376">
      <c r="A376" s="73"/>
      <c r="B376" s="73"/>
      <c r="C376" s="73"/>
      <c r="D376" s="73"/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</row>
    <row r="377">
      <c r="A377" s="73"/>
      <c r="B377" s="73"/>
      <c r="C377" s="73"/>
      <c r="D377" s="73"/>
      <c r="E377" s="73"/>
      <c r="F377" s="73"/>
      <c r="G377" s="73"/>
      <c r="H377" s="73"/>
      <c r="I377" s="73"/>
      <c r="J377" s="73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73"/>
    </row>
    <row r="378">
      <c r="A378" s="73"/>
      <c r="B378" s="73"/>
      <c r="C378" s="73"/>
      <c r="D378" s="73"/>
      <c r="E378" s="73"/>
      <c r="F378" s="73"/>
      <c r="G378" s="73"/>
      <c r="H378" s="73"/>
      <c r="I378" s="73"/>
      <c r="J378" s="73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73"/>
    </row>
    <row r="379">
      <c r="A379" s="73"/>
      <c r="B379" s="73"/>
      <c r="C379" s="73"/>
      <c r="D379" s="73"/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</row>
    <row r="380">
      <c r="A380" s="73"/>
      <c r="B380" s="73"/>
      <c r="C380" s="73"/>
      <c r="D380" s="73"/>
      <c r="E380" s="73"/>
      <c r="F380" s="73"/>
      <c r="G380" s="73"/>
      <c r="H380" s="73"/>
      <c r="I380" s="73"/>
      <c r="J380" s="73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73"/>
    </row>
    <row r="381">
      <c r="A381" s="73"/>
      <c r="B381" s="73"/>
      <c r="C381" s="73"/>
      <c r="D381" s="73"/>
      <c r="E381" s="73"/>
      <c r="F381" s="73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</row>
    <row r="382">
      <c r="A382" s="73"/>
      <c r="B382" s="73"/>
      <c r="C382" s="73"/>
      <c r="D382" s="73"/>
      <c r="E382" s="73"/>
      <c r="F382" s="73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</row>
    <row r="383">
      <c r="A383" s="73"/>
      <c r="B383" s="73"/>
      <c r="C383" s="73"/>
      <c r="D383" s="73"/>
      <c r="E383" s="73"/>
      <c r="F383" s="73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</row>
    <row r="384">
      <c r="A384" s="73"/>
      <c r="B384" s="73"/>
      <c r="C384" s="73"/>
      <c r="D384" s="73"/>
      <c r="E384" s="73"/>
      <c r="F384" s="73"/>
      <c r="G384" s="73"/>
      <c r="H384" s="73"/>
      <c r="I384" s="73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73"/>
    </row>
    <row r="385">
      <c r="A385" s="73"/>
      <c r="B385" s="73"/>
      <c r="C385" s="73"/>
      <c r="D385" s="73"/>
      <c r="E385" s="73"/>
      <c r="F385" s="73"/>
      <c r="G385" s="73"/>
      <c r="H385" s="73"/>
      <c r="I385" s="73"/>
      <c r="J385" s="73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73"/>
    </row>
    <row r="386">
      <c r="A386" s="73"/>
      <c r="B386" s="73"/>
      <c r="C386" s="73"/>
      <c r="D386" s="73"/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</row>
    <row r="387">
      <c r="A387" s="73"/>
      <c r="B387" s="73"/>
      <c r="C387" s="73"/>
      <c r="D387" s="73"/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</row>
    <row r="388">
      <c r="A388" s="73"/>
      <c r="B388" s="73"/>
      <c r="C388" s="73"/>
      <c r="D388" s="73"/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</row>
    <row r="389">
      <c r="A389" s="73"/>
      <c r="B389" s="73"/>
      <c r="C389" s="73"/>
      <c r="D389" s="73"/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</row>
    <row r="390">
      <c r="A390" s="73"/>
      <c r="B390" s="73"/>
      <c r="C390" s="73"/>
      <c r="D390" s="73"/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</row>
    <row r="391">
      <c r="A391" s="73"/>
      <c r="B391" s="73"/>
      <c r="C391" s="73"/>
      <c r="D391" s="73"/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</row>
    <row r="392">
      <c r="A392" s="73"/>
      <c r="B392" s="73"/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</row>
    <row r="393">
      <c r="A393" s="73"/>
      <c r="B393" s="73"/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</row>
    <row r="394">
      <c r="A394" s="73"/>
      <c r="B394" s="73"/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</row>
    <row r="395">
      <c r="A395" s="73"/>
      <c r="B395" s="73"/>
      <c r="C395" s="73"/>
      <c r="D395" s="73"/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</row>
    <row r="396">
      <c r="A396" s="73"/>
      <c r="B396" s="73"/>
      <c r="C396" s="73"/>
      <c r="D396" s="73"/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</row>
    <row r="397">
      <c r="A397" s="73"/>
      <c r="B397" s="73"/>
      <c r="C397" s="73"/>
      <c r="D397" s="73"/>
      <c r="E397" s="73"/>
      <c r="F397" s="73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73"/>
    </row>
    <row r="398">
      <c r="A398" s="73"/>
      <c r="B398" s="73"/>
      <c r="C398" s="73"/>
      <c r="D398" s="73"/>
      <c r="E398" s="73"/>
      <c r="F398" s="73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73"/>
    </row>
    <row r="399">
      <c r="A399" s="73"/>
      <c r="B399" s="73"/>
      <c r="C399" s="73"/>
      <c r="D399" s="73"/>
      <c r="E399" s="73"/>
      <c r="F399" s="73"/>
      <c r="G399" s="73"/>
      <c r="H399" s="73"/>
      <c r="I399" s="73"/>
      <c r="J399" s="73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  <c r="V399" s="73"/>
      <c r="W399" s="73"/>
      <c r="X399" s="73"/>
      <c r="Y399" s="73"/>
      <c r="Z399" s="73"/>
    </row>
    <row r="400">
      <c r="A400" s="73"/>
      <c r="B400" s="73"/>
      <c r="C400" s="73"/>
      <c r="D400" s="73"/>
      <c r="E400" s="73"/>
      <c r="F400" s="73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</row>
    <row r="401">
      <c r="A401" s="73"/>
      <c r="B401" s="73"/>
      <c r="C401" s="73"/>
      <c r="D401" s="73"/>
      <c r="E401" s="73"/>
      <c r="F401" s="73"/>
      <c r="G401" s="73"/>
      <c r="H401" s="73"/>
      <c r="I401" s="73"/>
      <c r="J401" s="73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</row>
    <row r="402">
      <c r="A402" s="73"/>
      <c r="B402" s="73"/>
      <c r="C402" s="73"/>
      <c r="D402" s="73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73"/>
    </row>
    <row r="403">
      <c r="A403" s="73"/>
      <c r="B403" s="73"/>
      <c r="C403" s="73"/>
      <c r="D403" s="73"/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</row>
    <row r="404">
      <c r="A404" s="73"/>
      <c r="B404" s="73"/>
      <c r="C404" s="73"/>
      <c r="D404" s="73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</row>
    <row r="405">
      <c r="A405" s="73"/>
      <c r="B405" s="73"/>
      <c r="C405" s="73"/>
      <c r="D405" s="73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</row>
    <row r="406">
      <c r="A406" s="73"/>
      <c r="B406" s="73"/>
      <c r="C406" s="73"/>
      <c r="D406" s="73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</row>
    <row r="407">
      <c r="A407" s="73"/>
      <c r="B407" s="73"/>
      <c r="C407" s="73"/>
      <c r="D407" s="73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</row>
    <row r="408">
      <c r="A408" s="73"/>
      <c r="B408" s="73"/>
      <c r="C408" s="73"/>
      <c r="D408" s="73"/>
      <c r="E408" s="73"/>
      <c r="F408" s="73"/>
      <c r="G408" s="73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73"/>
      <c r="V408" s="73"/>
      <c r="W408" s="73"/>
      <c r="X408" s="73"/>
      <c r="Y408" s="73"/>
      <c r="Z408" s="73"/>
    </row>
    <row r="409">
      <c r="A409" s="73"/>
      <c r="B409" s="73"/>
      <c r="C409" s="73"/>
      <c r="D409" s="73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73"/>
    </row>
    <row r="410">
      <c r="A410" s="73"/>
      <c r="B410" s="73"/>
      <c r="C410" s="73"/>
      <c r="D410" s="73"/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</row>
    <row r="411">
      <c r="A411" s="73"/>
      <c r="B411" s="73"/>
      <c r="C411" s="73"/>
      <c r="D411" s="73"/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</row>
    <row r="412">
      <c r="A412" s="73"/>
      <c r="B412" s="73"/>
      <c r="C412" s="73"/>
      <c r="D412" s="73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</row>
    <row r="413">
      <c r="A413" s="73"/>
      <c r="B413" s="73"/>
      <c r="C413" s="73"/>
      <c r="D413" s="73"/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</row>
    <row r="414">
      <c r="A414" s="73"/>
      <c r="B414" s="73"/>
      <c r="C414" s="73"/>
      <c r="D414" s="73"/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</row>
    <row r="415">
      <c r="A415" s="73"/>
      <c r="B415" s="73"/>
      <c r="C415" s="73"/>
      <c r="D415" s="73"/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</row>
    <row r="416">
      <c r="A416" s="73"/>
      <c r="B416" s="73"/>
      <c r="C416" s="73"/>
      <c r="D416" s="73"/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</row>
    <row r="417">
      <c r="A417" s="73"/>
      <c r="B417" s="73"/>
      <c r="C417" s="73"/>
      <c r="D417" s="73"/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</row>
    <row r="418">
      <c r="A418" s="73"/>
      <c r="B418" s="73"/>
      <c r="C418" s="73"/>
      <c r="D418" s="73"/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3"/>
      <c r="Z418" s="73"/>
    </row>
    <row r="419">
      <c r="A419" s="73"/>
      <c r="B419" s="73"/>
      <c r="C419" s="73"/>
      <c r="D419" s="73"/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3"/>
      <c r="Z419" s="73"/>
    </row>
    <row r="420">
      <c r="A420" s="73"/>
      <c r="B420" s="73"/>
      <c r="C420" s="73"/>
      <c r="D420" s="73"/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</row>
    <row r="421">
      <c r="A421" s="73"/>
      <c r="B421" s="73"/>
      <c r="C421" s="73"/>
      <c r="D421" s="73"/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</row>
    <row r="422">
      <c r="A422" s="73"/>
      <c r="B422" s="73"/>
      <c r="C422" s="73"/>
      <c r="D422" s="73"/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</row>
    <row r="423">
      <c r="A423" s="73"/>
      <c r="B423" s="73"/>
      <c r="C423" s="73"/>
      <c r="D423" s="73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  <c r="V423" s="73"/>
      <c r="W423" s="73"/>
      <c r="X423" s="73"/>
      <c r="Y423" s="73"/>
      <c r="Z423" s="73"/>
    </row>
    <row r="424">
      <c r="A424" s="73"/>
      <c r="B424" s="73"/>
      <c r="C424" s="73"/>
      <c r="D424" s="73"/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</row>
    <row r="425">
      <c r="A425" s="73"/>
      <c r="B425" s="73"/>
      <c r="C425" s="73"/>
      <c r="D425" s="73"/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</row>
    <row r="426">
      <c r="A426" s="73"/>
      <c r="B426" s="73"/>
      <c r="C426" s="73"/>
      <c r="D426" s="73"/>
      <c r="E426" s="73"/>
      <c r="F426" s="73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  <c r="V426" s="73"/>
      <c r="W426" s="73"/>
      <c r="X426" s="73"/>
      <c r="Y426" s="73"/>
      <c r="Z426" s="73"/>
    </row>
    <row r="427">
      <c r="A427" s="73"/>
      <c r="B427" s="73"/>
      <c r="C427" s="73"/>
      <c r="D427" s="73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</row>
    <row r="428">
      <c r="A428" s="73"/>
      <c r="B428" s="73"/>
      <c r="C428" s="73"/>
      <c r="D428" s="73"/>
      <c r="E428" s="73"/>
      <c r="F428" s="73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73"/>
      <c r="V428" s="73"/>
      <c r="W428" s="73"/>
      <c r="X428" s="73"/>
      <c r="Y428" s="73"/>
      <c r="Z428" s="73"/>
    </row>
    <row r="429">
      <c r="A429" s="73"/>
      <c r="B429" s="73"/>
      <c r="C429" s="73"/>
      <c r="D429" s="73"/>
      <c r="E429" s="73"/>
      <c r="F429" s="73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73"/>
      <c r="V429" s="73"/>
      <c r="W429" s="73"/>
      <c r="X429" s="73"/>
      <c r="Y429" s="73"/>
      <c r="Z429" s="73"/>
    </row>
    <row r="430">
      <c r="A430" s="73"/>
      <c r="B430" s="73"/>
      <c r="C430" s="73"/>
      <c r="D430" s="73"/>
      <c r="E430" s="73"/>
      <c r="F430" s="73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73"/>
      <c r="V430" s="73"/>
      <c r="W430" s="73"/>
      <c r="X430" s="73"/>
      <c r="Y430" s="73"/>
      <c r="Z430" s="73"/>
    </row>
    <row r="431">
      <c r="A431" s="73"/>
      <c r="B431" s="73"/>
      <c r="C431" s="73"/>
      <c r="D431" s="73"/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</row>
    <row r="432">
      <c r="A432" s="73"/>
      <c r="B432" s="73"/>
      <c r="C432" s="73"/>
      <c r="D432" s="73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</row>
    <row r="433">
      <c r="A433" s="73"/>
      <c r="B433" s="73"/>
      <c r="C433" s="73"/>
      <c r="D433" s="73"/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</row>
    <row r="434">
      <c r="A434" s="73"/>
      <c r="B434" s="73"/>
      <c r="C434" s="73"/>
      <c r="D434" s="73"/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</row>
    <row r="435">
      <c r="A435" s="73"/>
      <c r="B435" s="73"/>
      <c r="C435" s="73"/>
      <c r="D435" s="73"/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</row>
    <row r="436">
      <c r="A436" s="73"/>
      <c r="B436" s="73"/>
      <c r="C436" s="73"/>
      <c r="D436" s="73"/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</row>
    <row r="437">
      <c r="A437" s="73"/>
      <c r="B437" s="73"/>
      <c r="C437" s="73"/>
      <c r="D437" s="73"/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</row>
    <row r="438">
      <c r="A438" s="73"/>
      <c r="B438" s="73"/>
      <c r="C438" s="73"/>
      <c r="D438" s="73"/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</row>
    <row r="439">
      <c r="A439" s="73"/>
      <c r="B439" s="73"/>
      <c r="C439" s="73"/>
      <c r="D439" s="73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</row>
    <row r="440">
      <c r="A440" s="73"/>
      <c r="B440" s="73"/>
      <c r="C440" s="73"/>
      <c r="D440" s="73"/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</row>
    <row r="441">
      <c r="A441" s="73"/>
      <c r="B441" s="73"/>
      <c r="C441" s="73"/>
      <c r="D441" s="73"/>
      <c r="E441" s="73"/>
      <c r="F441" s="73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  <c r="V441" s="73"/>
      <c r="W441" s="73"/>
      <c r="X441" s="73"/>
      <c r="Y441" s="73"/>
      <c r="Z441" s="73"/>
    </row>
    <row r="442">
      <c r="A442" s="73"/>
      <c r="B442" s="73"/>
      <c r="C442" s="73"/>
      <c r="D442" s="73"/>
      <c r="E442" s="73"/>
      <c r="F442" s="73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  <c r="V442" s="73"/>
      <c r="W442" s="73"/>
      <c r="X442" s="73"/>
      <c r="Y442" s="73"/>
      <c r="Z442" s="73"/>
    </row>
    <row r="443">
      <c r="A443" s="73"/>
      <c r="B443" s="73"/>
      <c r="C443" s="73"/>
      <c r="D443" s="73"/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</row>
    <row r="444">
      <c r="A444" s="73"/>
      <c r="B444" s="73"/>
      <c r="C444" s="73"/>
      <c r="D444" s="73"/>
      <c r="E444" s="73"/>
      <c r="F444" s="73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  <c r="V444" s="73"/>
      <c r="W444" s="73"/>
      <c r="X444" s="73"/>
      <c r="Y444" s="73"/>
      <c r="Z444" s="73"/>
    </row>
    <row r="445">
      <c r="A445" s="73"/>
      <c r="B445" s="73"/>
      <c r="C445" s="73"/>
      <c r="D445" s="73"/>
      <c r="E445" s="73"/>
      <c r="F445" s="73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  <c r="V445" s="73"/>
      <c r="W445" s="73"/>
      <c r="X445" s="73"/>
      <c r="Y445" s="73"/>
      <c r="Z445" s="73"/>
    </row>
    <row r="446">
      <c r="A446" s="73"/>
      <c r="B446" s="73"/>
      <c r="C446" s="73"/>
      <c r="D446" s="73"/>
      <c r="E446" s="73"/>
      <c r="F446" s="73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  <c r="V446" s="73"/>
      <c r="W446" s="73"/>
      <c r="X446" s="73"/>
      <c r="Y446" s="73"/>
      <c r="Z446" s="73"/>
    </row>
    <row r="447">
      <c r="A447" s="73"/>
      <c r="B447" s="73"/>
      <c r="C447" s="73"/>
      <c r="D447" s="73"/>
      <c r="E447" s="73"/>
      <c r="F447" s="73"/>
      <c r="G447" s="73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73"/>
      <c r="V447" s="73"/>
      <c r="W447" s="73"/>
      <c r="X447" s="73"/>
      <c r="Y447" s="73"/>
      <c r="Z447" s="73"/>
    </row>
    <row r="448">
      <c r="A448" s="73"/>
      <c r="B448" s="73"/>
      <c r="C448" s="73"/>
      <c r="D448" s="73"/>
      <c r="E448" s="73"/>
      <c r="F448" s="73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  <c r="V448" s="73"/>
      <c r="W448" s="73"/>
      <c r="X448" s="73"/>
      <c r="Y448" s="73"/>
      <c r="Z448" s="73"/>
    </row>
    <row r="449">
      <c r="A449" s="73"/>
      <c r="B449" s="73"/>
      <c r="C449" s="73"/>
      <c r="D449" s="73"/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</row>
    <row r="450">
      <c r="A450" s="73"/>
      <c r="B450" s="73"/>
      <c r="C450" s="73"/>
      <c r="D450" s="73"/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</row>
    <row r="451">
      <c r="A451" s="73"/>
      <c r="B451" s="73"/>
      <c r="C451" s="73"/>
      <c r="D451" s="73"/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</row>
    <row r="452">
      <c r="A452" s="73"/>
      <c r="B452" s="73"/>
      <c r="C452" s="73"/>
      <c r="D452" s="73"/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</row>
    <row r="453">
      <c r="A453" s="73"/>
      <c r="B453" s="73"/>
      <c r="C453" s="73"/>
      <c r="D453" s="73"/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</row>
    <row r="454">
      <c r="A454" s="73"/>
      <c r="B454" s="73"/>
      <c r="C454" s="73"/>
      <c r="D454" s="73"/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</row>
    <row r="455">
      <c r="A455" s="73"/>
      <c r="B455" s="73"/>
      <c r="C455" s="73"/>
      <c r="D455" s="73"/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</row>
    <row r="456">
      <c r="A456" s="73"/>
      <c r="B456" s="73"/>
      <c r="C456" s="73"/>
      <c r="D456" s="73"/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</row>
    <row r="457">
      <c r="A457" s="73"/>
      <c r="B457" s="73"/>
      <c r="C457" s="73"/>
      <c r="D457" s="73"/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</row>
    <row r="458">
      <c r="A458" s="73"/>
      <c r="B458" s="73"/>
      <c r="C458" s="73"/>
      <c r="D458" s="73"/>
      <c r="E458" s="73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73"/>
      <c r="V458" s="73"/>
      <c r="W458" s="73"/>
      <c r="X458" s="73"/>
      <c r="Y458" s="73"/>
      <c r="Z458" s="73"/>
    </row>
    <row r="459">
      <c r="A459" s="73"/>
      <c r="B459" s="73"/>
      <c r="C459" s="73"/>
      <c r="D459" s="73"/>
      <c r="E459" s="73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73"/>
      <c r="V459" s="73"/>
      <c r="W459" s="73"/>
      <c r="X459" s="73"/>
      <c r="Y459" s="73"/>
      <c r="Z459" s="73"/>
    </row>
    <row r="460">
      <c r="A460" s="73"/>
      <c r="B460" s="73"/>
      <c r="C460" s="73"/>
      <c r="D460" s="73"/>
      <c r="E460" s="73"/>
      <c r="F460" s="73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73"/>
      <c r="V460" s="73"/>
      <c r="W460" s="73"/>
      <c r="X460" s="73"/>
      <c r="Y460" s="73"/>
      <c r="Z460" s="73"/>
    </row>
    <row r="461">
      <c r="A461" s="73"/>
      <c r="B461" s="73"/>
      <c r="C461" s="73"/>
      <c r="D461" s="73"/>
      <c r="E461" s="73"/>
      <c r="F461" s="73"/>
      <c r="G461" s="73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73"/>
      <c r="V461" s="73"/>
      <c r="W461" s="73"/>
      <c r="X461" s="73"/>
      <c r="Y461" s="73"/>
      <c r="Z461" s="73"/>
    </row>
    <row r="462">
      <c r="A462" s="73"/>
      <c r="B462" s="73"/>
      <c r="C462" s="73"/>
      <c r="D462" s="73"/>
      <c r="E462" s="73"/>
      <c r="F462" s="73"/>
      <c r="G462" s="73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73"/>
      <c r="V462" s="73"/>
      <c r="W462" s="73"/>
      <c r="X462" s="73"/>
      <c r="Y462" s="73"/>
      <c r="Z462" s="73"/>
    </row>
    <row r="463">
      <c r="A463" s="73"/>
      <c r="B463" s="73"/>
      <c r="C463" s="73"/>
      <c r="D463" s="73"/>
      <c r="E463" s="73"/>
      <c r="F463" s="73"/>
      <c r="G463" s="73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73"/>
      <c r="V463" s="73"/>
      <c r="W463" s="73"/>
      <c r="X463" s="73"/>
      <c r="Y463" s="73"/>
      <c r="Z463" s="73"/>
    </row>
    <row r="464">
      <c r="A464" s="73"/>
      <c r="B464" s="73"/>
      <c r="C464" s="73"/>
      <c r="D464" s="73"/>
      <c r="E464" s="73"/>
      <c r="F464" s="73"/>
      <c r="G464" s="73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73"/>
      <c r="V464" s="73"/>
      <c r="W464" s="73"/>
      <c r="X464" s="73"/>
      <c r="Y464" s="73"/>
      <c r="Z464" s="73"/>
    </row>
    <row r="465">
      <c r="A465" s="73"/>
      <c r="B465" s="73"/>
      <c r="C465" s="73"/>
      <c r="D465" s="73"/>
      <c r="E465" s="73"/>
      <c r="F465" s="73"/>
      <c r="G465" s="73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73"/>
      <c r="V465" s="73"/>
      <c r="W465" s="73"/>
      <c r="X465" s="73"/>
      <c r="Y465" s="73"/>
      <c r="Z465" s="73"/>
    </row>
    <row r="466">
      <c r="A466" s="73"/>
      <c r="B466" s="73"/>
      <c r="C466" s="73"/>
      <c r="D466" s="73"/>
      <c r="E466" s="73"/>
      <c r="F466" s="73"/>
      <c r="G466" s="73"/>
      <c r="H466" s="73"/>
      <c r="I466" s="73"/>
      <c r="J466" s="73"/>
      <c r="K466" s="73"/>
      <c r="L466" s="73"/>
      <c r="M466" s="73"/>
      <c r="N466" s="73"/>
      <c r="O466" s="73"/>
      <c r="P466" s="73"/>
      <c r="Q466" s="73"/>
      <c r="R466" s="73"/>
      <c r="S466" s="73"/>
      <c r="T466" s="73"/>
      <c r="U466" s="73"/>
      <c r="V466" s="73"/>
      <c r="W466" s="73"/>
      <c r="X466" s="73"/>
      <c r="Y466" s="73"/>
      <c r="Z466" s="73"/>
    </row>
    <row r="467">
      <c r="A467" s="73"/>
      <c r="B467" s="73"/>
      <c r="C467" s="73"/>
      <c r="D467" s="73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</row>
    <row r="468">
      <c r="A468" s="73"/>
      <c r="B468" s="73"/>
      <c r="C468" s="73"/>
      <c r="D468" s="73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  <c r="V468" s="73"/>
      <c r="W468" s="73"/>
      <c r="X468" s="73"/>
      <c r="Y468" s="73"/>
      <c r="Z468" s="73"/>
    </row>
    <row r="469">
      <c r="A469" s="73"/>
      <c r="B469" s="73"/>
      <c r="C469" s="73"/>
      <c r="D469" s="73"/>
      <c r="E469" s="73"/>
      <c r="F469" s="73"/>
      <c r="G469" s="73"/>
      <c r="H469" s="73"/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73"/>
      <c r="V469" s="73"/>
      <c r="W469" s="73"/>
      <c r="X469" s="73"/>
      <c r="Y469" s="73"/>
      <c r="Z469" s="73"/>
    </row>
    <row r="470">
      <c r="A470" s="73"/>
      <c r="B470" s="73"/>
      <c r="C470" s="73"/>
      <c r="D470" s="73"/>
      <c r="E470" s="73"/>
      <c r="F470" s="73"/>
      <c r="G470" s="73"/>
      <c r="H470" s="73"/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73"/>
      <c r="V470" s="73"/>
      <c r="W470" s="73"/>
      <c r="X470" s="73"/>
      <c r="Y470" s="73"/>
      <c r="Z470" s="73"/>
    </row>
    <row r="471">
      <c r="A471" s="73"/>
      <c r="B471" s="73"/>
      <c r="C471" s="73"/>
      <c r="D471" s="73"/>
      <c r="E471" s="73"/>
      <c r="F471" s="73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73"/>
      <c r="V471" s="73"/>
      <c r="W471" s="73"/>
      <c r="X471" s="73"/>
      <c r="Y471" s="73"/>
      <c r="Z471" s="73"/>
    </row>
    <row r="472">
      <c r="A472" s="73"/>
      <c r="B472" s="73"/>
      <c r="C472" s="73"/>
      <c r="D472" s="73"/>
      <c r="E472" s="73"/>
      <c r="F472" s="73"/>
      <c r="G472" s="73"/>
      <c r="H472" s="73"/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73"/>
      <c r="V472" s="73"/>
      <c r="W472" s="73"/>
      <c r="X472" s="73"/>
      <c r="Y472" s="73"/>
      <c r="Z472" s="73"/>
    </row>
    <row r="473">
      <c r="A473" s="73"/>
      <c r="B473" s="73"/>
      <c r="C473" s="73"/>
      <c r="D473" s="73"/>
      <c r="E473" s="73"/>
      <c r="F473" s="73"/>
      <c r="G473" s="73"/>
      <c r="H473" s="73"/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73"/>
      <c r="V473" s="73"/>
      <c r="W473" s="73"/>
      <c r="X473" s="73"/>
      <c r="Y473" s="73"/>
      <c r="Z473" s="73"/>
    </row>
    <row r="474">
      <c r="A474" s="73"/>
      <c r="B474" s="73"/>
      <c r="C474" s="73"/>
      <c r="D474" s="73"/>
      <c r="E474" s="73"/>
      <c r="F474" s="73"/>
      <c r="G474" s="73"/>
      <c r="H474" s="73"/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73"/>
      <c r="V474" s="73"/>
      <c r="W474" s="73"/>
      <c r="X474" s="73"/>
      <c r="Y474" s="73"/>
      <c r="Z474" s="73"/>
    </row>
    <row r="475">
      <c r="A475" s="73"/>
      <c r="B475" s="73"/>
      <c r="C475" s="73"/>
      <c r="D475" s="73"/>
      <c r="E475" s="73"/>
      <c r="F475" s="73"/>
      <c r="G475" s="73"/>
      <c r="H475" s="73"/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73"/>
      <c r="V475" s="73"/>
      <c r="W475" s="73"/>
      <c r="X475" s="73"/>
      <c r="Y475" s="73"/>
      <c r="Z475" s="73"/>
    </row>
    <row r="476">
      <c r="A476" s="73"/>
      <c r="B476" s="73"/>
      <c r="C476" s="73"/>
      <c r="D476" s="73"/>
      <c r="E476" s="73"/>
      <c r="F476" s="73"/>
      <c r="G476" s="73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73"/>
      <c r="V476" s="73"/>
      <c r="W476" s="73"/>
      <c r="X476" s="73"/>
      <c r="Y476" s="73"/>
      <c r="Z476" s="73"/>
    </row>
    <row r="477">
      <c r="A477" s="73"/>
      <c r="B477" s="73"/>
      <c r="C477" s="73"/>
      <c r="D477" s="73"/>
      <c r="E477" s="73"/>
      <c r="F477" s="73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  <c r="V477" s="73"/>
      <c r="W477" s="73"/>
      <c r="X477" s="73"/>
      <c r="Y477" s="73"/>
      <c r="Z477" s="73"/>
    </row>
    <row r="478">
      <c r="A478" s="73"/>
      <c r="B478" s="73"/>
      <c r="C478" s="73"/>
      <c r="D478" s="73"/>
      <c r="E478" s="73"/>
      <c r="F478" s="73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73"/>
      <c r="X478" s="73"/>
      <c r="Y478" s="73"/>
      <c r="Z478" s="73"/>
    </row>
    <row r="479">
      <c r="A479" s="73"/>
      <c r="B479" s="73"/>
      <c r="C479" s="73"/>
      <c r="D479" s="73"/>
      <c r="E479" s="73"/>
      <c r="F479" s="73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  <c r="V479" s="73"/>
      <c r="W479" s="73"/>
      <c r="X479" s="73"/>
      <c r="Y479" s="73"/>
      <c r="Z479" s="73"/>
    </row>
    <row r="480">
      <c r="A480" s="73"/>
      <c r="B480" s="73"/>
      <c r="C480" s="73"/>
      <c r="D480" s="73"/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</row>
    <row r="481">
      <c r="A481" s="73"/>
      <c r="B481" s="73"/>
      <c r="C481" s="73"/>
      <c r="D481" s="73"/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</row>
    <row r="482">
      <c r="A482" s="73"/>
      <c r="B482" s="73"/>
      <c r="C482" s="73"/>
      <c r="D482" s="73"/>
      <c r="E482" s="73"/>
      <c r="F482" s="73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  <c r="V482" s="73"/>
      <c r="W482" s="73"/>
      <c r="X482" s="73"/>
      <c r="Y482" s="73"/>
      <c r="Z482" s="73"/>
    </row>
    <row r="483">
      <c r="A483" s="73"/>
      <c r="B483" s="73"/>
      <c r="C483" s="73"/>
      <c r="D483" s="73"/>
      <c r="E483" s="73"/>
      <c r="F483" s="73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  <c r="V483" s="73"/>
      <c r="W483" s="73"/>
      <c r="X483" s="73"/>
      <c r="Y483" s="73"/>
      <c r="Z483" s="73"/>
    </row>
    <row r="484">
      <c r="A484" s="73"/>
      <c r="B484" s="73"/>
      <c r="C484" s="73"/>
      <c r="D484" s="73"/>
      <c r="E484" s="73"/>
      <c r="F484" s="73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  <c r="V484" s="73"/>
      <c r="W484" s="73"/>
      <c r="X484" s="73"/>
      <c r="Y484" s="73"/>
      <c r="Z484" s="73"/>
    </row>
    <row r="485">
      <c r="A485" s="73"/>
      <c r="B485" s="73"/>
      <c r="C485" s="73"/>
      <c r="D485" s="73"/>
      <c r="E485" s="73"/>
      <c r="F485" s="73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  <c r="V485" s="73"/>
      <c r="W485" s="73"/>
      <c r="X485" s="73"/>
      <c r="Y485" s="73"/>
      <c r="Z485" s="73"/>
    </row>
    <row r="486">
      <c r="A486" s="73"/>
      <c r="B486" s="73"/>
      <c r="C486" s="73"/>
      <c r="D486" s="73"/>
      <c r="E486" s="73"/>
      <c r="F486" s="73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  <c r="V486" s="73"/>
      <c r="W486" s="73"/>
      <c r="X486" s="73"/>
      <c r="Y486" s="73"/>
      <c r="Z486" s="73"/>
    </row>
    <row r="487">
      <c r="A487" s="73"/>
      <c r="B487" s="73"/>
      <c r="C487" s="73"/>
      <c r="D487" s="73"/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</row>
    <row r="488">
      <c r="A488" s="73"/>
      <c r="B488" s="73"/>
      <c r="C488" s="73"/>
      <c r="D488" s="73"/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</row>
    <row r="489">
      <c r="A489" s="73"/>
      <c r="B489" s="73"/>
      <c r="C489" s="73"/>
      <c r="D489" s="73"/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</row>
    <row r="490">
      <c r="A490" s="73"/>
      <c r="B490" s="73"/>
      <c r="C490" s="73"/>
      <c r="D490" s="73"/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</row>
    <row r="491">
      <c r="A491" s="73"/>
      <c r="B491" s="73"/>
      <c r="C491" s="73"/>
      <c r="D491" s="73"/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</row>
    <row r="492">
      <c r="A492" s="73"/>
      <c r="B492" s="73"/>
      <c r="C492" s="73"/>
      <c r="D492" s="73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</row>
    <row r="493">
      <c r="A493" s="73"/>
      <c r="B493" s="73"/>
      <c r="C493" s="73"/>
      <c r="D493" s="73"/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</row>
    <row r="494">
      <c r="A494" s="73"/>
      <c r="B494" s="73"/>
      <c r="C494" s="73"/>
      <c r="D494" s="73"/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</row>
    <row r="495">
      <c r="A495" s="73"/>
      <c r="B495" s="73"/>
      <c r="C495" s="73"/>
      <c r="D495" s="73"/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</row>
    <row r="496">
      <c r="A496" s="73"/>
      <c r="B496" s="73"/>
      <c r="C496" s="73"/>
      <c r="D496" s="73"/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</row>
    <row r="497">
      <c r="A497" s="73"/>
      <c r="B497" s="73"/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  <c r="V497" s="73"/>
      <c r="W497" s="73"/>
      <c r="X497" s="73"/>
      <c r="Y497" s="73"/>
      <c r="Z497" s="73"/>
    </row>
    <row r="498">
      <c r="A498" s="73"/>
      <c r="B498" s="73"/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</row>
    <row r="499">
      <c r="A499" s="73"/>
      <c r="B499" s="73"/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</row>
    <row r="500">
      <c r="A500" s="73"/>
      <c r="B500" s="73"/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</row>
    <row r="501">
      <c r="A501" s="73"/>
      <c r="B501" s="73"/>
      <c r="C501" s="73"/>
      <c r="D501" s="73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</row>
    <row r="502">
      <c r="A502" s="73"/>
      <c r="B502" s="73"/>
      <c r="C502" s="73"/>
      <c r="D502" s="73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</row>
    <row r="503">
      <c r="A503" s="73"/>
      <c r="B503" s="73"/>
      <c r="C503" s="73"/>
      <c r="D503" s="73"/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</row>
    <row r="504">
      <c r="A504" s="73"/>
      <c r="B504" s="73"/>
      <c r="C504" s="73"/>
      <c r="D504" s="73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</row>
    <row r="505">
      <c r="A505" s="73"/>
      <c r="B505" s="73"/>
      <c r="C505" s="73"/>
      <c r="D505" s="73"/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</row>
    <row r="506">
      <c r="A506" s="73"/>
      <c r="B506" s="73"/>
      <c r="C506" s="73"/>
      <c r="D506" s="73"/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</row>
    <row r="507">
      <c r="A507" s="73"/>
      <c r="B507" s="73"/>
      <c r="C507" s="73"/>
      <c r="D507" s="73"/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</row>
    <row r="508">
      <c r="A508" s="73"/>
      <c r="B508" s="73"/>
      <c r="C508" s="73"/>
      <c r="D508" s="73"/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</row>
    <row r="509">
      <c r="A509" s="73"/>
      <c r="B509" s="73"/>
      <c r="C509" s="73"/>
      <c r="D509" s="73"/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</row>
    <row r="510">
      <c r="A510" s="73"/>
      <c r="B510" s="73"/>
      <c r="C510" s="73"/>
      <c r="D510" s="73"/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</row>
    <row r="511">
      <c r="A511" s="73"/>
      <c r="B511" s="73"/>
      <c r="C511" s="73"/>
      <c r="D511" s="73"/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</row>
    <row r="512">
      <c r="A512" s="73"/>
      <c r="B512" s="73"/>
      <c r="C512" s="73"/>
      <c r="D512" s="73"/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</row>
    <row r="513">
      <c r="A513" s="73"/>
      <c r="B513" s="73"/>
      <c r="C513" s="73"/>
      <c r="D513" s="73"/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</row>
    <row r="514">
      <c r="A514" s="73"/>
      <c r="B514" s="73"/>
      <c r="C514" s="73"/>
      <c r="D514" s="73"/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</row>
    <row r="515">
      <c r="A515" s="73"/>
      <c r="B515" s="73"/>
      <c r="C515" s="73"/>
      <c r="D515" s="73"/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</row>
    <row r="516">
      <c r="A516" s="73"/>
      <c r="B516" s="73"/>
      <c r="C516" s="73"/>
      <c r="D516" s="73"/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</row>
    <row r="517">
      <c r="A517" s="73"/>
      <c r="B517" s="73"/>
      <c r="C517" s="73"/>
      <c r="D517" s="73"/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</row>
    <row r="518">
      <c r="A518" s="73"/>
      <c r="B518" s="73"/>
      <c r="C518" s="73"/>
      <c r="D518" s="73"/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73"/>
      <c r="V518" s="73"/>
      <c r="W518" s="73"/>
      <c r="X518" s="73"/>
      <c r="Y518" s="73"/>
      <c r="Z518" s="73"/>
    </row>
    <row r="519">
      <c r="A519" s="73"/>
      <c r="B519" s="73"/>
      <c r="C519" s="73"/>
      <c r="D519" s="73"/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73"/>
      <c r="V519" s="73"/>
      <c r="W519" s="73"/>
      <c r="X519" s="73"/>
      <c r="Y519" s="73"/>
      <c r="Z519" s="73"/>
    </row>
    <row r="520">
      <c r="A520" s="73"/>
      <c r="B520" s="73"/>
      <c r="C520" s="73"/>
      <c r="D520" s="73"/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73"/>
      <c r="V520" s="73"/>
      <c r="W520" s="73"/>
      <c r="X520" s="73"/>
      <c r="Y520" s="73"/>
      <c r="Z520" s="73"/>
    </row>
    <row r="521">
      <c r="A521" s="73"/>
      <c r="B521" s="73"/>
      <c r="C521" s="73"/>
      <c r="D521" s="73"/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  <c r="V521" s="73"/>
      <c r="W521" s="73"/>
      <c r="X521" s="73"/>
      <c r="Y521" s="73"/>
      <c r="Z521" s="73"/>
    </row>
    <row r="522">
      <c r="A522" s="73"/>
      <c r="B522" s="73"/>
      <c r="C522" s="73"/>
      <c r="D522" s="73"/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</row>
    <row r="523">
      <c r="A523" s="73"/>
      <c r="B523" s="73"/>
      <c r="C523" s="73"/>
      <c r="D523" s="73"/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</row>
    <row r="524">
      <c r="A524" s="73"/>
      <c r="B524" s="73"/>
      <c r="C524" s="73"/>
      <c r="D524" s="73"/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</row>
    <row r="525">
      <c r="A525" s="73"/>
      <c r="B525" s="73"/>
      <c r="C525" s="73"/>
      <c r="D525" s="73"/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</row>
    <row r="526">
      <c r="A526" s="73"/>
      <c r="B526" s="73"/>
      <c r="C526" s="73"/>
      <c r="D526" s="73"/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</row>
    <row r="527">
      <c r="A527" s="73"/>
      <c r="B527" s="73"/>
      <c r="C527" s="73"/>
      <c r="D527" s="73"/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</row>
    <row r="528">
      <c r="A528" s="73"/>
      <c r="B528" s="73"/>
      <c r="C528" s="73"/>
      <c r="D528" s="73"/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</row>
    <row r="529">
      <c r="A529" s="73"/>
      <c r="B529" s="73"/>
      <c r="C529" s="73"/>
      <c r="D529" s="73"/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</row>
    <row r="530">
      <c r="A530" s="73"/>
      <c r="B530" s="73"/>
      <c r="C530" s="73"/>
      <c r="D530" s="73"/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</row>
    <row r="531">
      <c r="A531" s="73"/>
      <c r="B531" s="73"/>
      <c r="C531" s="73"/>
      <c r="D531" s="73"/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</row>
    <row r="532">
      <c r="A532" s="73"/>
      <c r="B532" s="73"/>
      <c r="C532" s="73"/>
      <c r="D532" s="73"/>
      <c r="E532" s="73"/>
      <c r="F532" s="73"/>
      <c r="G532" s="73"/>
      <c r="H532" s="73"/>
      <c r="I532" s="73"/>
      <c r="J532" s="73"/>
      <c r="K532" s="73"/>
      <c r="L532" s="73"/>
      <c r="M532" s="73"/>
      <c r="N532" s="73"/>
      <c r="O532" s="73"/>
      <c r="P532" s="73"/>
      <c r="Q532" s="73"/>
      <c r="R532" s="73"/>
      <c r="S532" s="73"/>
      <c r="T532" s="73"/>
      <c r="U532" s="73"/>
      <c r="V532" s="73"/>
      <c r="W532" s="73"/>
      <c r="X532" s="73"/>
      <c r="Y532" s="73"/>
      <c r="Z532" s="73"/>
    </row>
    <row r="533">
      <c r="A533" s="73"/>
      <c r="B533" s="73"/>
      <c r="C533" s="73"/>
      <c r="D533" s="73"/>
      <c r="E533" s="73"/>
      <c r="F533" s="73"/>
      <c r="G533" s="73"/>
      <c r="H533" s="73"/>
      <c r="I533" s="73"/>
      <c r="J533" s="73"/>
      <c r="K533" s="73"/>
      <c r="L533" s="73"/>
      <c r="M533" s="73"/>
      <c r="N533" s="73"/>
      <c r="O533" s="73"/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</row>
    <row r="534">
      <c r="A534" s="73"/>
      <c r="B534" s="73"/>
      <c r="C534" s="73"/>
      <c r="D534" s="73"/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</row>
    <row r="535">
      <c r="A535" s="73"/>
      <c r="B535" s="73"/>
      <c r="C535" s="73"/>
      <c r="D535" s="73"/>
      <c r="E535" s="73"/>
      <c r="F535" s="73"/>
      <c r="G535" s="73"/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/>
      <c r="S535" s="73"/>
      <c r="T535" s="73"/>
      <c r="U535" s="73"/>
      <c r="V535" s="73"/>
      <c r="W535" s="73"/>
      <c r="X535" s="73"/>
      <c r="Y535" s="73"/>
      <c r="Z535" s="73"/>
    </row>
    <row r="536">
      <c r="A536" s="73"/>
      <c r="B536" s="73"/>
      <c r="C536" s="73"/>
      <c r="D536" s="73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  <c r="S536" s="73"/>
      <c r="T536" s="73"/>
      <c r="U536" s="73"/>
      <c r="V536" s="73"/>
      <c r="W536" s="73"/>
      <c r="X536" s="73"/>
      <c r="Y536" s="73"/>
      <c r="Z536" s="73"/>
    </row>
    <row r="537">
      <c r="A537" s="73"/>
      <c r="B537" s="73"/>
      <c r="C537" s="73"/>
      <c r="D537" s="73"/>
      <c r="E537" s="73"/>
      <c r="F537" s="73"/>
      <c r="G537" s="73"/>
      <c r="H537" s="73"/>
      <c r="I537" s="73"/>
      <c r="J537" s="73"/>
      <c r="K537" s="73"/>
      <c r="L537" s="73"/>
      <c r="M537" s="73"/>
      <c r="N537" s="73"/>
      <c r="O537" s="73"/>
      <c r="P537" s="73"/>
      <c r="Q537" s="73"/>
      <c r="R537" s="73"/>
      <c r="S537" s="73"/>
      <c r="T537" s="73"/>
      <c r="U537" s="73"/>
      <c r="V537" s="73"/>
      <c r="W537" s="73"/>
      <c r="X537" s="73"/>
      <c r="Y537" s="73"/>
      <c r="Z537" s="73"/>
    </row>
    <row r="538">
      <c r="A538" s="73"/>
      <c r="B538" s="73"/>
      <c r="C538" s="73"/>
      <c r="D538" s="73"/>
      <c r="E538" s="73"/>
      <c r="F538" s="73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73"/>
      <c r="V538" s="73"/>
      <c r="W538" s="73"/>
      <c r="X538" s="73"/>
      <c r="Y538" s="73"/>
      <c r="Z538" s="73"/>
    </row>
    <row r="539">
      <c r="A539" s="73"/>
      <c r="B539" s="73"/>
      <c r="C539" s="73"/>
      <c r="D539" s="73"/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</row>
    <row r="540">
      <c r="A540" s="73"/>
      <c r="B540" s="73"/>
      <c r="C540" s="73"/>
      <c r="D540" s="73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</row>
    <row r="541">
      <c r="A541" s="73"/>
      <c r="B541" s="73"/>
      <c r="C541" s="73"/>
      <c r="D541" s="73"/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</row>
    <row r="542">
      <c r="A542" s="73"/>
      <c r="B542" s="73"/>
      <c r="C542" s="73"/>
      <c r="D542" s="73"/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</row>
    <row r="543">
      <c r="A543" s="73"/>
      <c r="B543" s="73"/>
      <c r="C543" s="73"/>
      <c r="D543" s="73"/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</row>
    <row r="544">
      <c r="A544" s="73"/>
      <c r="B544" s="73"/>
      <c r="C544" s="73"/>
      <c r="D544" s="73"/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</row>
    <row r="545">
      <c r="A545" s="73"/>
      <c r="B545" s="73"/>
      <c r="C545" s="73"/>
      <c r="D545" s="73"/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</row>
    <row r="546">
      <c r="A546" s="73"/>
      <c r="B546" s="73"/>
      <c r="C546" s="73"/>
      <c r="D546" s="73"/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</row>
    <row r="547">
      <c r="A547" s="73"/>
      <c r="B547" s="73"/>
      <c r="C547" s="73"/>
      <c r="D547" s="73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</row>
    <row r="548">
      <c r="A548" s="73"/>
      <c r="B548" s="73"/>
      <c r="C548" s="73"/>
      <c r="D548" s="73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</row>
    <row r="549">
      <c r="A549" s="73"/>
      <c r="B549" s="73"/>
      <c r="C549" s="73"/>
      <c r="D549" s="73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</row>
    <row r="550">
      <c r="A550" s="73"/>
      <c r="B550" s="73"/>
      <c r="C550" s="73"/>
      <c r="D550" s="73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</row>
    <row r="551">
      <c r="A551" s="73"/>
      <c r="B551" s="73"/>
      <c r="C551" s="73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</row>
    <row r="552">
      <c r="A552" s="73"/>
      <c r="B552" s="73"/>
      <c r="C552" s="73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</row>
    <row r="553">
      <c r="A553" s="73"/>
      <c r="B553" s="73"/>
      <c r="C553" s="73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</row>
    <row r="554">
      <c r="A554" s="73"/>
      <c r="B554" s="73"/>
      <c r="C554" s="73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</row>
    <row r="555">
      <c r="A555" s="73"/>
      <c r="B555" s="73"/>
      <c r="C555" s="73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</row>
    <row r="556">
      <c r="A556" s="73"/>
      <c r="B556" s="73"/>
      <c r="C556" s="73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  <c r="Z556" s="73"/>
    </row>
    <row r="557">
      <c r="A557" s="73"/>
      <c r="B557" s="73"/>
      <c r="C557" s="73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  <c r="Z557" s="73"/>
    </row>
    <row r="558">
      <c r="A558" s="73"/>
      <c r="B558" s="73"/>
      <c r="C558" s="73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</row>
    <row r="559">
      <c r="A559" s="73"/>
      <c r="B559" s="73"/>
      <c r="C559" s="73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  <c r="Z559" s="73"/>
    </row>
    <row r="560">
      <c r="A560" s="73"/>
      <c r="B560" s="73"/>
      <c r="C560" s="73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  <c r="Z560" s="73"/>
    </row>
    <row r="561">
      <c r="A561" s="73"/>
      <c r="B561" s="73"/>
      <c r="C561" s="73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  <c r="Z561" s="73"/>
    </row>
    <row r="562">
      <c r="A562" s="73"/>
      <c r="B562" s="73"/>
      <c r="C562" s="73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  <c r="Z562" s="73"/>
    </row>
    <row r="563">
      <c r="A563" s="73"/>
      <c r="B563" s="73"/>
      <c r="C563" s="73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  <c r="Z563" s="73"/>
    </row>
    <row r="564">
      <c r="A564" s="73"/>
      <c r="B564" s="73"/>
      <c r="C564" s="73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</row>
    <row r="565">
      <c r="A565" s="73"/>
      <c r="B565" s="73"/>
      <c r="C565" s="73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</row>
    <row r="566">
      <c r="A566" s="73"/>
      <c r="B566" s="73"/>
      <c r="C566" s="73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</row>
    <row r="567">
      <c r="A567" s="73"/>
      <c r="B567" s="73"/>
      <c r="C567" s="73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</row>
    <row r="568">
      <c r="A568" s="73"/>
      <c r="B568" s="73"/>
      <c r="C568" s="73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</row>
    <row r="569">
      <c r="A569" s="73"/>
      <c r="B569" s="73"/>
      <c r="C569" s="73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</row>
    <row r="570">
      <c r="A570" s="73"/>
      <c r="B570" s="73"/>
      <c r="C570" s="73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</row>
    <row r="571">
      <c r="A571" s="73"/>
      <c r="B571" s="73"/>
      <c r="C571" s="73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</row>
    <row r="572">
      <c r="A572" s="73"/>
      <c r="B572" s="73"/>
      <c r="C572" s="73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</row>
    <row r="573">
      <c r="A573" s="73"/>
      <c r="B573" s="73"/>
      <c r="C573" s="73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  <c r="Z573" s="73"/>
    </row>
    <row r="574">
      <c r="A574" s="73"/>
      <c r="B574" s="73"/>
      <c r="C574" s="73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  <c r="Z574" s="73"/>
    </row>
    <row r="575">
      <c r="A575" s="73"/>
      <c r="B575" s="73"/>
      <c r="C575" s="73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  <c r="Z575" s="73"/>
    </row>
    <row r="576">
      <c r="A576" s="73"/>
      <c r="B576" s="73"/>
      <c r="C576" s="73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  <c r="Z576" s="73"/>
    </row>
    <row r="577">
      <c r="A577" s="73"/>
      <c r="B577" s="73"/>
      <c r="C577" s="73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  <c r="Z577" s="73"/>
    </row>
    <row r="578">
      <c r="A578" s="73"/>
      <c r="B578" s="73"/>
      <c r="C578" s="73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  <c r="Z578" s="73"/>
    </row>
    <row r="579">
      <c r="A579" s="73"/>
      <c r="B579" s="73"/>
      <c r="C579" s="73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  <c r="Z579" s="73"/>
    </row>
    <row r="580">
      <c r="A580" s="73"/>
      <c r="B580" s="73"/>
      <c r="C580" s="73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  <c r="Z580" s="73"/>
    </row>
    <row r="581">
      <c r="A581" s="73"/>
      <c r="B581" s="73"/>
      <c r="C581" s="73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  <c r="Z581" s="73"/>
    </row>
    <row r="582">
      <c r="A582" s="73"/>
      <c r="B582" s="73"/>
      <c r="C582" s="73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  <c r="Z582" s="73"/>
    </row>
    <row r="583">
      <c r="A583" s="73"/>
      <c r="B583" s="73"/>
      <c r="C583" s="73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  <c r="Z583" s="73"/>
    </row>
    <row r="584">
      <c r="A584" s="73"/>
      <c r="B584" s="73"/>
      <c r="C584" s="73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  <c r="Z584" s="73"/>
    </row>
    <row r="585">
      <c r="A585" s="73"/>
      <c r="B585" s="73"/>
      <c r="C585" s="73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  <c r="Z585" s="73"/>
    </row>
    <row r="586">
      <c r="A586" s="73"/>
      <c r="B586" s="73"/>
      <c r="C586" s="73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  <c r="Z586" s="73"/>
    </row>
    <row r="587">
      <c r="A587" s="73"/>
      <c r="B587" s="73"/>
      <c r="C587" s="73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  <c r="Z587" s="73"/>
    </row>
    <row r="588">
      <c r="A588" s="73"/>
      <c r="B588" s="73"/>
      <c r="C588" s="73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  <c r="Z588" s="73"/>
    </row>
    <row r="589">
      <c r="A589" s="73"/>
      <c r="B589" s="73"/>
      <c r="C589" s="73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  <c r="Z589" s="73"/>
    </row>
    <row r="590">
      <c r="A590" s="73"/>
      <c r="B590" s="73"/>
      <c r="C590" s="73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  <c r="Z590" s="73"/>
    </row>
    <row r="591">
      <c r="A591" s="73"/>
      <c r="B591" s="73"/>
      <c r="C591" s="73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  <c r="Z591" s="73"/>
    </row>
    <row r="592">
      <c r="A592" s="73"/>
      <c r="B592" s="73"/>
      <c r="C592" s="73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  <c r="Z592" s="73"/>
    </row>
    <row r="593">
      <c r="A593" s="73"/>
      <c r="B593" s="73"/>
      <c r="C593" s="73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  <c r="Z593" s="73"/>
    </row>
    <row r="594">
      <c r="A594" s="73"/>
      <c r="B594" s="73"/>
      <c r="C594" s="73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  <c r="Z594" s="73"/>
    </row>
    <row r="595">
      <c r="A595" s="73"/>
      <c r="B595" s="73"/>
      <c r="C595" s="73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  <c r="Z595" s="73"/>
    </row>
    <row r="596">
      <c r="A596" s="73"/>
      <c r="B596" s="73"/>
      <c r="C596" s="73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  <c r="Z596" s="73"/>
    </row>
    <row r="597">
      <c r="A597" s="73"/>
      <c r="B597" s="73"/>
      <c r="C597" s="73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  <c r="Z597" s="73"/>
    </row>
    <row r="598">
      <c r="A598" s="73"/>
      <c r="B598" s="73"/>
      <c r="C598" s="73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  <c r="Z598" s="73"/>
    </row>
    <row r="599">
      <c r="A599" s="73"/>
      <c r="B599" s="73"/>
      <c r="C599" s="73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  <c r="Z599" s="73"/>
    </row>
    <row r="600">
      <c r="A600" s="73"/>
      <c r="B600" s="73"/>
      <c r="C600" s="73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  <c r="Z600" s="73"/>
    </row>
    <row r="601">
      <c r="A601" s="73"/>
      <c r="B601" s="73"/>
      <c r="C601" s="73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  <c r="Z601" s="73"/>
    </row>
    <row r="602">
      <c r="A602" s="73"/>
      <c r="B602" s="73"/>
      <c r="C602" s="73"/>
      <c r="D602" s="73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  <c r="Z602" s="73"/>
    </row>
    <row r="603">
      <c r="A603" s="73"/>
      <c r="B603" s="73"/>
      <c r="C603" s="73"/>
      <c r="D603" s="73"/>
      <c r="E603" s="73"/>
      <c r="F603" s="73"/>
      <c r="G603" s="73"/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/>
      <c r="S603" s="73"/>
      <c r="T603" s="73"/>
      <c r="U603" s="73"/>
      <c r="V603" s="73"/>
      <c r="W603" s="73"/>
      <c r="X603" s="73"/>
      <c r="Y603" s="73"/>
      <c r="Z603" s="73"/>
    </row>
    <row r="604">
      <c r="A604" s="73"/>
      <c r="B604" s="73"/>
      <c r="C604" s="73"/>
      <c r="D604" s="73"/>
      <c r="E604" s="73"/>
      <c r="F604" s="73"/>
      <c r="G604" s="73"/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/>
      <c r="S604" s="73"/>
      <c r="T604" s="73"/>
      <c r="U604" s="73"/>
      <c r="V604" s="73"/>
      <c r="W604" s="73"/>
      <c r="X604" s="73"/>
      <c r="Y604" s="73"/>
      <c r="Z604" s="73"/>
    </row>
    <row r="605">
      <c r="A605" s="73"/>
      <c r="B605" s="73"/>
      <c r="C605" s="73"/>
      <c r="D605" s="73"/>
      <c r="E605" s="73"/>
      <c r="F605" s="73"/>
      <c r="G605" s="73"/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/>
      <c r="S605" s="73"/>
      <c r="T605" s="73"/>
      <c r="U605" s="73"/>
      <c r="V605" s="73"/>
      <c r="W605" s="73"/>
      <c r="X605" s="73"/>
      <c r="Y605" s="73"/>
      <c r="Z605" s="73"/>
    </row>
    <row r="606">
      <c r="A606" s="73"/>
      <c r="B606" s="73"/>
      <c r="C606" s="73"/>
      <c r="D606" s="73"/>
      <c r="E606" s="73"/>
      <c r="F606" s="73"/>
      <c r="G606" s="73"/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/>
      <c r="S606" s="73"/>
      <c r="T606" s="73"/>
      <c r="U606" s="73"/>
      <c r="V606" s="73"/>
      <c r="W606" s="73"/>
      <c r="X606" s="73"/>
      <c r="Y606" s="73"/>
      <c r="Z606" s="73"/>
    </row>
    <row r="607">
      <c r="A607" s="73"/>
      <c r="B607" s="73"/>
      <c r="C607" s="73"/>
      <c r="D607" s="73"/>
      <c r="E607" s="73"/>
      <c r="F607" s="73"/>
      <c r="G607" s="73"/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/>
      <c r="S607" s="73"/>
      <c r="T607" s="73"/>
      <c r="U607" s="73"/>
      <c r="V607" s="73"/>
      <c r="W607" s="73"/>
      <c r="X607" s="73"/>
      <c r="Y607" s="73"/>
      <c r="Z607" s="73"/>
    </row>
    <row r="608">
      <c r="A608" s="73"/>
      <c r="B608" s="73"/>
      <c r="C608" s="73"/>
      <c r="D608" s="73"/>
      <c r="E608" s="73"/>
      <c r="F608" s="73"/>
      <c r="G608" s="73"/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/>
      <c r="S608" s="73"/>
      <c r="T608" s="73"/>
      <c r="U608" s="73"/>
      <c r="V608" s="73"/>
      <c r="W608" s="73"/>
      <c r="X608" s="73"/>
      <c r="Y608" s="73"/>
      <c r="Z608" s="73"/>
    </row>
    <row r="609">
      <c r="A609" s="73"/>
      <c r="B609" s="73"/>
      <c r="C609" s="73"/>
      <c r="D609" s="73"/>
      <c r="E609" s="73"/>
      <c r="F609" s="73"/>
      <c r="G609" s="73"/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/>
      <c r="S609" s="73"/>
      <c r="T609" s="73"/>
      <c r="U609" s="73"/>
      <c r="V609" s="73"/>
      <c r="W609" s="73"/>
      <c r="X609" s="73"/>
      <c r="Y609" s="73"/>
      <c r="Z609" s="73"/>
    </row>
    <row r="610">
      <c r="A610" s="73"/>
      <c r="B610" s="73"/>
      <c r="C610" s="73"/>
      <c r="D610" s="73"/>
      <c r="E610" s="73"/>
      <c r="F610" s="73"/>
      <c r="G610" s="73"/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/>
      <c r="S610" s="73"/>
      <c r="T610" s="73"/>
      <c r="U610" s="73"/>
      <c r="V610" s="73"/>
      <c r="W610" s="73"/>
      <c r="X610" s="73"/>
      <c r="Y610" s="73"/>
      <c r="Z610" s="73"/>
    </row>
    <row r="611">
      <c r="A611" s="73"/>
      <c r="B611" s="73"/>
      <c r="C611" s="73"/>
      <c r="D611" s="73"/>
      <c r="E611" s="73"/>
      <c r="F611" s="73"/>
      <c r="G611" s="73"/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/>
      <c r="S611" s="73"/>
      <c r="T611" s="73"/>
      <c r="U611" s="73"/>
      <c r="V611" s="73"/>
      <c r="W611" s="73"/>
      <c r="X611" s="73"/>
      <c r="Y611" s="73"/>
      <c r="Z611" s="73"/>
    </row>
    <row r="612">
      <c r="A612" s="73"/>
      <c r="B612" s="73"/>
      <c r="C612" s="73"/>
      <c r="D612" s="73"/>
      <c r="E612" s="73"/>
      <c r="F612" s="73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73"/>
      <c r="V612" s="73"/>
      <c r="W612" s="73"/>
      <c r="X612" s="73"/>
      <c r="Y612" s="73"/>
      <c r="Z612" s="73"/>
    </row>
    <row r="613">
      <c r="A613" s="73"/>
      <c r="B613" s="73"/>
      <c r="C613" s="73"/>
      <c r="D613" s="73"/>
      <c r="E613" s="73"/>
      <c r="F613" s="73"/>
      <c r="G613" s="73"/>
      <c r="H613" s="73"/>
      <c r="I613" s="73"/>
      <c r="J613" s="73"/>
      <c r="K613" s="73"/>
      <c r="L613" s="73"/>
      <c r="M613" s="73"/>
      <c r="N613" s="73"/>
      <c r="O613" s="73"/>
      <c r="P613" s="73"/>
      <c r="Q613" s="73"/>
      <c r="R613" s="73"/>
      <c r="S613" s="73"/>
      <c r="T613" s="73"/>
      <c r="U613" s="73"/>
      <c r="V613" s="73"/>
      <c r="W613" s="73"/>
      <c r="X613" s="73"/>
      <c r="Y613" s="73"/>
      <c r="Z613" s="73"/>
    </row>
    <row r="614">
      <c r="A614" s="73"/>
      <c r="B614" s="73"/>
      <c r="C614" s="73"/>
      <c r="D614" s="73"/>
      <c r="E614" s="73"/>
      <c r="F614" s="73"/>
      <c r="G614" s="73"/>
      <c r="H614" s="73"/>
      <c r="I614" s="73"/>
      <c r="J614" s="73"/>
      <c r="K614" s="73"/>
      <c r="L614" s="73"/>
      <c r="M614" s="73"/>
      <c r="N614" s="73"/>
      <c r="O614" s="73"/>
      <c r="P614" s="73"/>
      <c r="Q614" s="73"/>
      <c r="R614" s="73"/>
      <c r="S614" s="73"/>
      <c r="T614" s="73"/>
      <c r="U614" s="73"/>
      <c r="V614" s="73"/>
      <c r="W614" s="73"/>
      <c r="X614" s="73"/>
      <c r="Y614" s="73"/>
      <c r="Z614" s="73"/>
    </row>
    <row r="615">
      <c r="A615" s="73"/>
      <c r="B615" s="73"/>
      <c r="C615" s="73"/>
      <c r="D615" s="73"/>
      <c r="E615" s="73"/>
      <c r="F615" s="73"/>
      <c r="G615" s="73"/>
      <c r="H615" s="73"/>
      <c r="I615" s="73"/>
      <c r="J615" s="73"/>
      <c r="K615" s="73"/>
      <c r="L615" s="73"/>
      <c r="M615" s="73"/>
      <c r="N615" s="73"/>
      <c r="O615" s="73"/>
      <c r="P615" s="73"/>
      <c r="Q615" s="73"/>
      <c r="R615" s="73"/>
      <c r="S615" s="73"/>
      <c r="T615" s="73"/>
      <c r="U615" s="73"/>
      <c r="V615" s="73"/>
      <c r="W615" s="73"/>
      <c r="X615" s="73"/>
      <c r="Y615" s="73"/>
      <c r="Z615" s="73"/>
    </row>
    <row r="616">
      <c r="A616" s="73"/>
      <c r="B616" s="73"/>
      <c r="C616" s="73"/>
      <c r="D616" s="73"/>
      <c r="E616" s="73"/>
      <c r="F616" s="73"/>
      <c r="G616" s="73"/>
      <c r="H616" s="73"/>
      <c r="I616" s="73"/>
      <c r="J616" s="73"/>
      <c r="K616" s="73"/>
      <c r="L616" s="73"/>
      <c r="M616" s="73"/>
      <c r="N616" s="73"/>
      <c r="O616" s="73"/>
      <c r="P616" s="73"/>
      <c r="Q616" s="73"/>
      <c r="R616" s="73"/>
      <c r="S616" s="73"/>
      <c r="T616" s="73"/>
      <c r="U616" s="73"/>
      <c r="V616" s="73"/>
      <c r="W616" s="73"/>
      <c r="X616" s="73"/>
      <c r="Y616" s="73"/>
      <c r="Z616" s="73"/>
    </row>
    <row r="617">
      <c r="A617" s="73"/>
      <c r="B617" s="73"/>
      <c r="C617" s="73"/>
      <c r="D617" s="73"/>
      <c r="E617" s="73"/>
      <c r="F617" s="73"/>
      <c r="G617" s="73"/>
      <c r="H617" s="73"/>
      <c r="I617" s="73"/>
      <c r="J617" s="73"/>
      <c r="K617" s="73"/>
      <c r="L617" s="73"/>
      <c r="M617" s="73"/>
      <c r="N617" s="73"/>
      <c r="O617" s="73"/>
      <c r="P617" s="73"/>
      <c r="Q617" s="73"/>
      <c r="R617" s="73"/>
      <c r="S617" s="73"/>
      <c r="T617" s="73"/>
      <c r="U617" s="73"/>
      <c r="V617" s="73"/>
      <c r="W617" s="73"/>
      <c r="X617" s="73"/>
      <c r="Y617" s="73"/>
      <c r="Z617" s="73"/>
    </row>
    <row r="618">
      <c r="A618" s="73"/>
      <c r="B618" s="73"/>
      <c r="C618" s="73"/>
      <c r="D618" s="73"/>
      <c r="E618" s="73"/>
      <c r="F618" s="73"/>
      <c r="G618" s="73"/>
      <c r="H618" s="73"/>
      <c r="I618" s="73"/>
      <c r="J618" s="73"/>
      <c r="K618" s="73"/>
      <c r="L618" s="73"/>
      <c r="M618" s="73"/>
      <c r="N618" s="73"/>
      <c r="O618" s="73"/>
      <c r="P618" s="73"/>
      <c r="Q618" s="73"/>
      <c r="R618" s="73"/>
      <c r="S618" s="73"/>
      <c r="T618" s="73"/>
      <c r="U618" s="73"/>
      <c r="V618" s="73"/>
      <c r="W618" s="73"/>
      <c r="X618" s="73"/>
      <c r="Y618" s="73"/>
      <c r="Z618" s="73"/>
    </row>
    <row r="619">
      <c r="A619" s="73"/>
      <c r="B619" s="73"/>
      <c r="C619" s="73"/>
      <c r="D619" s="73"/>
      <c r="E619" s="73"/>
      <c r="F619" s="73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73"/>
      <c r="V619" s="73"/>
      <c r="W619" s="73"/>
      <c r="X619" s="73"/>
      <c r="Y619" s="73"/>
      <c r="Z619" s="73"/>
    </row>
    <row r="620">
      <c r="A620" s="73"/>
      <c r="B620" s="73"/>
      <c r="C620" s="73"/>
      <c r="D620" s="73"/>
      <c r="E620" s="73"/>
      <c r="F620" s="73"/>
      <c r="G620" s="73"/>
      <c r="H620" s="73"/>
      <c r="I620" s="73"/>
      <c r="J620" s="73"/>
      <c r="K620" s="73"/>
      <c r="L620" s="73"/>
      <c r="M620" s="73"/>
      <c r="N620" s="73"/>
      <c r="O620" s="73"/>
      <c r="P620" s="73"/>
      <c r="Q620" s="73"/>
      <c r="R620" s="73"/>
      <c r="S620" s="73"/>
      <c r="T620" s="73"/>
      <c r="U620" s="73"/>
      <c r="V620" s="73"/>
      <c r="W620" s="73"/>
      <c r="X620" s="73"/>
      <c r="Y620" s="73"/>
      <c r="Z620" s="73"/>
    </row>
    <row r="621">
      <c r="A621" s="73"/>
      <c r="B621" s="73"/>
      <c r="C621" s="73"/>
      <c r="D621" s="73"/>
      <c r="E621" s="73"/>
      <c r="F621" s="73"/>
      <c r="G621" s="73"/>
      <c r="H621" s="73"/>
      <c r="I621" s="73"/>
      <c r="J621" s="73"/>
      <c r="K621" s="73"/>
      <c r="L621" s="73"/>
      <c r="M621" s="73"/>
      <c r="N621" s="73"/>
      <c r="O621" s="73"/>
      <c r="P621" s="73"/>
      <c r="Q621" s="73"/>
      <c r="R621" s="73"/>
      <c r="S621" s="73"/>
      <c r="T621" s="73"/>
      <c r="U621" s="73"/>
      <c r="V621" s="73"/>
      <c r="W621" s="73"/>
      <c r="X621" s="73"/>
      <c r="Y621" s="73"/>
      <c r="Z621" s="73"/>
    </row>
    <row r="622">
      <c r="A622" s="73"/>
      <c r="B622" s="73"/>
      <c r="C622" s="73"/>
      <c r="D622" s="73"/>
      <c r="E622" s="73"/>
      <c r="F622" s="73"/>
      <c r="G622" s="73"/>
      <c r="H622" s="73"/>
      <c r="I622" s="73"/>
      <c r="J622" s="73"/>
      <c r="K622" s="73"/>
      <c r="L622" s="73"/>
      <c r="M622" s="73"/>
      <c r="N622" s="73"/>
      <c r="O622" s="73"/>
      <c r="P622" s="73"/>
      <c r="Q622" s="73"/>
      <c r="R622" s="73"/>
      <c r="S622" s="73"/>
      <c r="T622" s="73"/>
      <c r="U622" s="73"/>
      <c r="V622" s="73"/>
      <c r="W622" s="73"/>
      <c r="X622" s="73"/>
      <c r="Y622" s="73"/>
      <c r="Z622" s="73"/>
    </row>
    <row r="623">
      <c r="A623" s="73"/>
      <c r="B623" s="73"/>
      <c r="C623" s="73"/>
      <c r="D623" s="73"/>
      <c r="E623" s="73"/>
      <c r="F623" s="73"/>
      <c r="G623" s="73"/>
      <c r="H623" s="73"/>
      <c r="I623" s="73"/>
      <c r="J623" s="73"/>
      <c r="K623" s="73"/>
      <c r="L623" s="73"/>
      <c r="M623" s="73"/>
      <c r="N623" s="73"/>
      <c r="O623" s="73"/>
      <c r="P623" s="73"/>
      <c r="Q623" s="73"/>
      <c r="R623" s="73"/>
      <c r="S623" s="73"/>
      <c r="T623" s="73"/>
      <c r="U623" s="73"/>
      <c r="V623" s="73"/>
      <c r="W623" s="73"/>
      <c r="X623" s="73"/>
      <c r="Y623" s="73"/>
      <c r="Z623" s="73"/>
    </row>
    <row r="624">
      <c r="A624" s="73"/>
      <c r="B624" s="73"/>
      <c r="C624" s="73"/>
      <c r="D624" s="73"/>
      <c r="E624" s="73"/>
      <c r="F624" s="73"/>
      <c r="G624" s="73"/>
      <c r="H624" s="73"/>
      <c r="I624" s="73"/>
      <c r="J624" s="73"/>
      <c r="K624" s="73"/>
      <c r="L624" s="73"/>
      <c r="M624" s="73"/>
      <c r="N624" s="73"/>
      <c r="O624" s="73"/>
      <c r="P624" s="73"/>
      <c r="Q624" s="73"/>
      <c r="R624" s="73"/>
      <c r="S624" s="73"/>
      <c r="T624" s="73"/>
      <c r="U624" s="73"/>
      <c r="V624" s="73"/>
      <c r="W624" s="73"/>
      <c r="X624" s="73"/>
      <c r="Y624" s="73"/>
      <c r="Z624" s="73"/>
    </row>
    <row r="625">
      <c r="A625" s="73"/>
      <c r="B625" s="73"/>
      <c r="C625" s="73"/>
      <c r="D625" s="73"/>
      <c r="E625" s="73"/>
      <c r="F625" s="73"/>
      <c r="G625" s="73"/>
      <c r="H625" s="73"/>
      <c r="I625" s="73"/>
      <c r="J625" s="73"/>
      <c r="K625" s="73"/>
      <c r="L625" s="73"/>
      <c r="M625" s="73"/>
      <c r="N625" s="73"/>
      <c r="O625" s="73"/>
      <c r="P625" s="73"/>
      <c r="Q625" s="73"/>
      <c r="R625" s="73"/>
      <c r="S625" s="73"/>
      <c r="T625" s="73"/>
      <c r="U625" s="73"/>
      <c r="V625" s="73"/>
      <c r="W625" s="73"/>
      <c r="X625" s="73"/>
      <c r="Y625" s="73"/>
      <c r="Z625" s="73"/>
    </row>
    <row r="626">
      <c r="A626" s="73"/>
      <c r="B626" s="73"/>
      <c r="C626" s="73"/>
      <c r="D626" s="73"/>
      <c r="E626" s="73"/>
      <c r="F626" s="73"/>
      <c r="G626" s="73"/>
      <c r="H626" s="73"/>
      <c r="I626" s="73"/>
      <c r="J626" s="73"/>
      <c r="K626" s="73"/>
      <c r="L626" s="73"/>
      <c r="M626" s="73"/>
      <c r="N626" s="73"/>
      <c r="O626" s="73"/>
      <c r="P626" s="73"/>
      <c r="Q626" s="73"/>
      <c r="R626" s="73"/>
      <c r="S626" s="73"/>
      <c r="T626" s="73"/>
      <c r="U626" s="73"/>
      <c r="V626" s="73"/>
      <c r="W626" s="73"/>
      <c r="X626" s="73"/>
      <c r="Y626" s="73"/>
      <c r="Z626" s="73"/>
    </row>
    <row r="627">
      <c r="A627" s="73"/>
      <c r="B627" s="73"/>
      <c r="C627" s="73"/>
      <c r="D627" s="73"/>
      <c r="E627" s="73"/>
      <c r="F627" s="73"/>
      <c r="G627" s="73"/>
      <c r="H627" s="73"/>
      <c r="I627" s="73"/>
      <c r="J627" s="73"/>
      <c r="K627" s="73"/>
      <c r="L627" s="73"/>
      <c r="M627" s="73"/>
      <c r="N627" s="73"/>
      <c r="O627" s="73"/>
      <c r="P627" s="73"/>
      <c r="Q627" s="73"/>
      <c r="R627" s="73"/>
      <c r="S627" s="73"/>
      <c r="T627" s="73"/>
      <c r="U627" s="73"/>
      <c r="V627" s="73"/>
      <c r="W627" s="73"/>
      <c r="X627" s="73"/>
      <c r="Y627" s="73"/>
      <c r="Z627" s="73"/>
    </row>
    <row r="628">
      <c r="A628" s="73"/>
      <c r="B628" s="73"/>
      <c r="C628" s="73"/>
      <c r="D628" s="73"/>
      <c r="E628" s="73"/>
      <c r="F628" s="73"/>
      <c r="G628" s="73"/>
      <c r="H628" s="73"/>
      <c r="I628" s="73"/>
      <c r="J628" s="73"/>
      <c r="K628" s="73"/>
      <c r="L628" s="73"/>
      <c r="M628" s="73"/>
      <c r="N628" s="73"/>
      <c r="O628" s="73"/>
      <c r="P628" s="73"/>
      <c r="Q628" s="73"/>
      <c r="R628" s="73"/>
      <c r="S628" s="73"/>
      <c r="T628" s="73"/>
      <c r="U628" s="73"/>
      <c r="V628" s="73"/>
      <c r="W628" s="73"/>
      <c r="X628" s="73"/>
      <c r="Y628" s="73"/>
      <c r="Z628" s="73"/>
    </row>
    <row r="629">
      <c r="A629" s="73"/>
      <c r="B629" s="73"/>
      <c r="C629" s="73"/>
      <c r="D629" s="73"/>
      <c r="E629" s="73"/>
      <c r="F629" s="73"/>
      <c r="G629" s="73"/>
      <c r="H629" s="73"/>
      <c r="I629" s="73"/>
      <c r="J629" s="73"/>
      <c r="K629" s="73"/>
      <c r="L629" s="73"/>
      <c r="M629" s="73"/>
      <c r="N629" s="73"/>
      <c r="O629" s="73"/>
      <c r="P629" s="73"/>
      <c r="Q629" s="73"/>
      <c r="R629" s="73"/>
      <c r="S629" s="73"/>
      <c r="T629" s="73"/>
      <c r="U629" s="73"/>
      <c r="V629" s="73"/>
      <c r="W629" s="73"/>
      <c r="X629" s="73"/>
      <c r="Y629" s="73"/>
      <c r="Z629" s="73"/>
    </row>
    <row r="630">
      <c r="A630" s="73"/>
      <c r="B630" s="73"/>
      <c r="C630" s="73"/>
      <c r="D630" s="73"/>
      <c r="E630" s="73"/>
      <c r="F630" s="73"/>
      <c r="G630" s="73"/>
      <c r="H630" s="73"/>
      <c r="I630" s="73"/>
      <c r="J630" s="73"/>
      <c r="K630" s="73"/>
      <c r="L630" s="73"/>
      <c r="M630" s="73"/>
      <c r="N630" s="73"/>
      <c r="O630" s="73"/>
      <c r="P630" s="73"/>
      <c r="Q630" s="73"/>
      <c r="R630" s="73"/>
      <c r="S630" s="73"/>
      <c r="T630" s="73"/>
      <c r="U630" s="73"/>
      <c r="V630" s="73"/>
      <c r="W630" s="73"/>
      <c r="X630" s="73"/>
      <c r="Y630" s="73"/>
      <c r="Z630" s="73"/>
    </row>
    <row r="631">
      <c r="A631" s="73"/>
      <c r="B631" s="73"/>
      <c r="C631" s="73"/>
      <c r="D631" s="73"/>
      <c r="E631" s="73"/>
      <c r="F631" s="73"/>
      <c r="G631" s="73"/>
      <c r="H631" s="73"/>
      <c r="I631" s="73"/>
      <c r="J631" s="73"/>
      <c r="K631" s="73"/>
      <c r="L631" s="73"/>
      <c r="M631" s="73"/>
      <c r="N631" s="73"/>
      <c r="O631" s="73"/>
      <c r="P631" s="73"/>
      <c r="Q631" s="73"/>
      <c r="R631" s="73"/>
      <c r="S631" s="73"/>
      <c r="T631" s="73"/>
      <c r="U631" s="73"/>
      <c r="V631" s="73"/>
      <c r="W631" s="73"/>
      <c r="X631" s="73"/>
      <c r="Y631" s="73"/>
      <c r="Z631" s="73"/>
    </row>
    <row r="632">
      <c r="A632" s="73"/>
      <c r="B632" s="73"/>
      <c r="C632" s="73"/>
      <c r="D632" s="73"/>
      <c r="E632" s="73"/>
      <c r="F632" s="73"/>
      <c r="G632" s="73"/>
      <c r="H632" s="73"/>
      <c r="I632" s="73"/>
      <c r="J632" s="73"/>
      <c r="K632" s="73"/>
      <c r="L632" s="73"/>
      <c r="M632" s="73"/>
      <c r="N632" s="73"/>
      <c r="O632" s="73"/>
      <c r="P632" s="73"/>
      <c r="Q632" s="73"/>
      <c r="R632" s="73"/>
      <c r="S632" s="73"/>
      <c r="T632" s="73"/>
      <c r="U632" s="73"/>
      <c r="V632" s="73"/>
      <c r="W632" s="73"/>
      <c r="X632" s="73"/>
      <c r="Y632" s="73"/>
      <c r="Z632" s="73"/>
    </row>
    <row r="633">
      <c r="A633" s="73"/>
      <c r="B633" s="73"/>
      <c r="C633" s="73"/>
      <c r="D633" s="73"/>
      <c r="E633" s="73"/>
      <c r="F633" s="73"/>
      <c r="G633" s="73"/>
      <c r="H633" s="73"/>
      <c r="I633" s="73"/>
      <c r="J633" s="73"/>
      <c r="K633" s="73"/>
      <c r="L633" s="73"/>
      <c r="M633" s="73"/>
      <c r="N633" s="73"/>
      <c r="O633" s="73"/>
      <c r="P633" s="73"/>
      <c r="Q633" s="73"/>
      <c r="R633" s="73"/>
      <c r="S633" s="73"/>
      <c r="T633" s="73"/>
      <c r="U633" s="73"/>
      <c r="V633" s="73"/>
      <c r="W633" s="73"/>
      <c r="X633" s="73"/>
      <c r="Y633" s="73"/>
      <c r="Z633" s="73"/>
    </row>
    <row r="634">
      <c r="A634" s="73"/>
      <c r="B634" s="73"/>
      <c r="C634" s="73"/>
      <c r="D634" s="73"/>
      <c r="E634" s="73"/>
      <c r="F634" s="73"/>
      <c r="G634" s="73"/>
      <c r="H634" s="73"/>
      <c r="I634" s="73"/>
      <c r="J634" s="73"/>
      <c r="K634" s="73"/>
      <c r="L634" s="73"/>
      <c r="M634" s="73"/>
      <c r="N634" s="73"/>
      <c r="O634" s="73"/>
      <c r="P634" s="73"/>
      <c r="Q634" s="73"/>
      <c r="R634" s="73"/>
      <c r="S634" s="73"/>
      <c r="T634" s="73"/>
      <c r="U634" s="73"/>
      <c r="V634" s="73"/>
      <c r="W634" s="73"/>
      <c r="X634" s="73"/>
      <c r="Y634" s="73"/>
      <c r="Z634" s="73"/>
    </row>
    <row r="635">
      <c r="A635" s="73"/>
      <c r="B635" s="73"/>
      <c r="C635" s="73"/>
      <c r="D635" s="73"/>
      <c r="E635" s="73"/>
      <c r="F635" s="73"/>
      <c r="G635" s="73"/>
      <c r="H635" s="73"/>
      <c r="I635" s="73"/>
      <c r="J635" s="73"/>
      <c r="K635" s="73"/>
      <c r="L635" s="73"/>
      <c r="M635" s="73"/>
      <c r="N635" s="73"/>
      <c r="O635" s="73"/>
      <c r="P635" s="73"/>
      <c r="Q635" s="73"/>
      <c r="R635" s="73"/>
      <c r="S635" s="73"/>
      <c r="T635" s="73"/>
      <c r="U635" s="73"/>
      <c r="V635" s="73"/>
      <c r="W635" s="73"/>
      <c r="X635" s="73"/>
      <c r="Y635" s="73"/>
      <c r="Z635" s="73"/>
    </row>
    <row r="636">
      <c r="A636" s="73"/>
      <c r="B636" s="73"/>
      <c r="C636" s="73"/>
      <c r="D636" s="73"/>
      <c r="E636" s="73"/>
      <c r="F636" s="73"/>
      <c r="G636" s="73"/>
      <c r="H636" s="73"/>
      <c r="I636" s="73"/>
      <c r="J636" s="73"/>
      <c r="K636" s="73"/>
      <c r="L636" s="73"/>
      <c r="M636" s="73"/>
      <c r="N636" s="73"/>
      <c r="O636" s="73"/>
      <c r="P636" s="73"/>
      <c r="Q636" s="73"/>
      <c r="R636" s="73"/>
      <c r="S636" s="73"/>
      <c r="T636" s="73"/>
      <c r="U636" s="73"/>
      <c r="V636" s="73"/>
      <c r="W636" s="73"/>
      <c r="X636" s="73"/>
      <c r="Y636" s="73"/>
      <c r="Z636" s="73"/>
    </row>
    <row r="637">
      <c r="A637" s="73"/>
      <c r="B637" s="73"/>
      <c r="C637" s="73"/>
      <c r="D637" s="73"/>
      <c r="E637" s="73"/>
      <c r="F637" s="73"/>
      <c r="G637" s="73"/>
      <c r="H637" s="73"/>
      <c r="I637" s="73"/>
      <c r="J637" s="73"/>
      <c r="K637" s="73"/>
      <c r="L637" s="73"/>
      <c r="M637" s="73"/>
      <c r="N637" s="73"/>
      <c r="O637" s="73"/>
      <c r="P637" s="73"/>
      <c r="Q637" s="73"/>
      <c r="R637" s="73"/>
      <c r="S637" s="73"/>
      <c r="T637" s="73"/>
      <c r="U637" s="73"/>
      <c r="V637" s="73"/>
      <c r="W637" s="73"/>
      <c r="X637" s="73"/>
      <c r="Y637" s="73"/>
      <c r="Z637" s="73"/>
    </row>
    <row r="638">
      <c r="A638" s="73"/>
      <c r="B638" s="73"/>
      <c r="C638" s="73"/>
      <c r="D638" s="73"/>
      <c r="E638" s="73"/>
      <c r="F638" s="73"/>
      <c r="G638" s="73"/>
      <c r="H638" s="73"/>
      <c r="I638" s="73"/>
      <c r="J638" s="73"/>
      <c r="K638" s="73"/>
      <c r="L638" s="73"/>
      <c r="M638" s="73"/>
      <c r="N638" s="73"/>
      <c r="O638" s="73"/>
      <c r="P638" s="73"/>
      <c r="Q638" s="73"/>
      <c r="R638" s="73"/>
      <c r="S638" s="73"/>
      <c r="T638" s="73"/>
      <c r="U638" s="73"/>
      <c r="V638" s="73"/>
      <c r="W638" s="73"/>
      <c r="X638" s="73"/>
      <c r="Y638" s="73"/>
      <c r="Z638" s="73"/>
    </row>
    <row r="639">
      <c r="A639" s="73"/>
      <c r="B639" s="73"/>
      <c r="C639" s="73"/>
      <c r="D639" s="73"/>
      <c r="E639" s="73"/>
      <c r="F639" s="73"/>
      <c r="G639" s="73"/>
      <c r="H639" s="73"/>
      <c r="I639" s="73"/>
      <c r="J639" s="73"/>
      <c r="K639" s="73"/>
      <c r="L639" s="73"/>
      <c r="M639" s="73"/>
      <c r="N639" s="73"/>
      <c r="O639" s="73"/>
      <c r="P639" s="73"/>
      <c r="Q639" s="73"/>
      <c r="R639" s="73"/>
      <c r="S639" s="73"/>
      <c r="T639" s="73"/>
      <c r="U639" s="73"/>
      <c r="V639" s="73"/>
      <c r="W639" s="73"/>
      <c r="X639" s="73"/>
      <c r="Y639" s="73"/>
      <c r="Z639" s="73"/>
    </row>
    <row r="640">
      <c r="A640" s="73"/>
      <c r="B640" s="73"/>
      <c r="C640" s="73"/>
      <c r="D640" s="73"/>
      <c r="E640" s="73"/>
      <c r="F640" s="73"/>
      <c r="G640" s="73"/>
      <c r="H640" s="73"/>
      <c r="I640" s="73"/>
      <c r="J640" s="73"/>
      <c r="K640" s="73"/>
      <c r="L640" s="73"/>
      <c r="M640" s="73"/>
      <c r="N640" s="73"/>
      <c r="O640" s="73"/>
      <c r="P640" s="73"/>
      <c r="Q640" s="73"/>
      <c r="R640" s="73"/>
      <c r="S640" s="73"/>
      <c r="T640" s="73"/>
      <c r="U640" s="73"/>
      <c r="V640" s="73"/>
      <c r="W640" s="73"/>
      <c r="X640" s="73"/>
      <c r="Y640" s="73"/>
      <c r="Z640" s="73"/>
    </row>
    <row r="641">
      <c r="A641" s="73"/>
      <c r="B641" s="73"/>
      <c r="C641" s="73"/>
      <c r="D641" s="73"/>
      <c r="E641" s="73"/>
      <c r="F641" s="73"/>
      <c r="G641" s="73"/>
      <c r="H641" s="73"/>
      <c r="I641" s="73"/>
      <c r="J641" s="73"/>
      <c r="K641" s="73"/>
      <c r="L641" s="73"/>
      <c r="M641" s="73"/>
      <c r="N641" s="73"/>
      <c r="O641" s="73"/>
      <c r="P641" s="73"/>
      <c r="Q641" s="73"/>
      <c r="R641" s="73"/>
      <c r="S641" s="73"/>
      <c r="T641" s="73"/>
      <c r="U641" s="73"/>
      <c r="V641" s="73"/>
      <c r="W641" s="73"/>
      <c r="X641" s="73"/>
      <c r="Y641" s="73"/>
      <c r="Z641" s="73"/>
    </row>
    <row r="642">
      <c r="A642" s="73"/>
      <c r="B642" s="73"/>
      <c r="C642" s="73"/>
      <c r="D642" s="73"/>
      <c r="E642" s="73"/>
      <c r="F642" s="73"/>
      <c r="G642" s="73"/>
      <c r="H642" s="73"/>
      <c r="I642" s="73"/>
      <c r="J642" s="73"/>
      <c r="K642" s="73"/>
      <c r="L642" s="73"/>
      <c r="M642" s="73"/>
      <c r="N642" s="73"/>
      <c r="O642" s="73"/>
      <c r="P642" s="73"/>
      <c r="Q642" s="73"/>
      <c r="R642" s="73"/>
      <c r="S642" s="73"/>
      <c r="T642" s="73"/>
      <c r="U642" s="73"/>
      <c r="V642" s="73"/>
      <c r="W642" s="73"/>
      <c r="X642" s="73"/>
      <c r="Y642" s="73"/>
      <c r="Z642" s="73"/>
    </row>
    <row r="643">
      <c r="A643" s="73"/>
      <c r="B643" s="73"/>
      <c r="C643" s="73"/>
      <c r="D643" s="73"/>
      <c r="E643" s="73"/>
      <c r="F643" s="73"/>
      <c r="G643" s="73"/>
      <c r="H643" s="73"/>
      <c r="I643" s="73"/>
      <c r="J643" s="73"/>
      <c r="K643" s="73"/>
      <c r="L643" s="73"/>
      <c r="M643" s="73"/>
      <c r="N643" s="73"/>
      <c r="O643" s="73"/>
      <c r="P643" s="73"/>
      <c r="Q643" s="73"/>
      <c r="R643" s="73"/>
      <c r="S643" s="73"/>
      <c r="T643" s="73"/>
      <c r="U643" s="73"/>
      <c r="V643" s="73"/>
      <c r="W643" s="73"/>
      <c r="X643" s="73"/>
      <c r="Y643" s="73"/>
      <c r="Z643" s="73"/>
    </row>
    <row r="644">
      <c r="A644" s="73"/>
      <c r="B644" s="73"/>
      <c r="C644" s="73"/>
      <c r="D644" s="73"/>
      <c r="E644" s="73"/>
      <c r="F644" s="73"/>
      <c r="G644" s="73"/>
      <c r="H644" s="73"/>
      <c r="I644" s="73"/>
      <c r="J644" s="73"/>
      <c r="K644" s="73"/>
      <c r="L644" s="73"/>
      <c r="M644" s="73"/>
      <c r="N644" s="73"/>
      <c r="O644" s="73"/>
      <c r="P644" s="73"/>
      <c r="Q644" s="73"/>
      <c r="R644" s="73"/>
      <c r="S644" s="73"/>
      <c r="T644" s="73"/>
      <c r="U644" s="73"/>
      <c r="V644" s="73"/>
      <c r="W644" s="73"/>
      <c r="X644" s="73"/>
      <c r="Y644" s="73"/>
      <c r="Z644" s="73"/>
    </row>
    <row r="645">
      <c r="A645" s="73"/>
      <c r="B645" s="73"/>
      <c r="C645" s="73"/>
      <c r="D645" s="73"/>
      <c r="E645" s="73"/>
      <c r="F645" s="73"/>
      <c r="G645" s="73"/>
      <c r="H645" s="73"/>
      <c r="I645" s="73"/>
      <c r="J645" s="73"/>
      <c r="K645" s="73"/>
      <c r="L645" s="73"/>
      <c r="M645" s="73"/>
      <c r="N645" s="73"/>
      <c r="O645" s="73"/>
      <c r="P645" s="73"/>
      <c r="Q645" s="73"/>
      <c r="R645" s="73"/>
      <c r="S645" s="73"/>
      <c r="T645" s="73"/>
      <c r="U645" s="73"/>
      <c r="V645" s="73"/>
      <c r="W645" s="73"/>
      <c r="X645" s="73"/>
      <c r="Y645" s="73"/>
      <c r="Z645" s="73"/>
    </row>
    <row r="646">
      <c r="A646" s="73"/>
      <c r="B646" s="73"/>
      <c r="C646" s="73"/>
      <c r="D646" s="73"/>
      <c r="E646" s="73"/>
      <c r="F646" s="73"/>
      <c r="G646" s="73"/>
      <c r="H646" s="73"/>
      <c r="I646" s="73"/>
      <c r="J646" s="73"/>
      <c r="K646" s="73"/>
      <c r="L646" s="73"/>
      <c r="M646" s="73"/>
      <c r="N646" s="73"/>
      <c r="O646" s="73"/>
      <c r="P646" s="73"/>
      <c r="Q646" s="73"/>
      <c r="R646" s="73"/>
      <c r="S646" s="73"/>
      <c r="T646" s="73"/>
      <c r="U646" s="73"/>
      <c r="V646" s="73"/>
      <c r="W646" s="73"/>
      <c r="X646" s="73"/>
      <c r="Y646" s="73"/>
      <c r="Z646" s="73"/>
    </row>
    <row r="647">
      <c r="A647" s="73"/>
      <c r="B647" s="73"/>
      <c r="C647" s="73"/>
      <c r="D647" s="73"/>
      <c r="E647" s="73"/>
      <c r="F647" s="73"/>
      <c r="G647" s="73"/>
      <c r="H647" s="73"/>
      <c r="I647" s="73"/>
      <c r="J647" s="73"/>
      <c r="K647" s="73"/>
      <c r="L647" s="73"/>
      <c r="M647" s="73"/>
      <c r="N647" s="73"/>
      <c r="O647" s="73"/>
      <c r="P647" s="73"/>
      <c r="Q647" s="73"/>
      <c r="R647" s="73"/>
      <c r="S647" s="73"/>
      <c r="T647" s="73"/>
      <c r="U647" s="73"/>
      <c r="V647" s="73"/>
      <c r="W647" s="73"/>
      <c r="X647" s="73"/>
      <c r="Y647" s="73"/>
      <c r="Z647" s="73"/>
    </row>
    <row r="648">
      <c r="A648" s="73"/>
      <c r="B648" s="73"/>
      <c r="C648" s="73"/>
      <c r="D648" s="73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73"/>
      <c r="V648" s="73"/>
      <c r="W648" s="73"/>
      <c r="X648" s="73"/>
      <c r="Y648" s="73"/>
      <c r="Z648" s="73"/>
    </row>
    <row r="649">
      <c r="A649" s="73"/>
      <c r="B649" s="73"/>
      <c r="C649" s="73"/>
      <c r="D649" s="73"/>
      <c r="E649" s="73"/>
      <c r="F649" s="73"/>
      <c r="G649" s="73"/>
      <c r="H649" s="73"/>
      <c r="I649" s="73"/>
      <c r="J649" s="73"/>
      <c r="K649" s="73"/>
      <c r="L649" s="73"/>
      <c r="M649" s="73"/>
      <c r="N649" s="73"/>
      <c r="O649" s="73"/>
      <c r="P649" s="73"/>
      <c r="Q649" s="73"/>
      <c r="R649" s="73"/>
      <c r="S649" s="73"/>
      <c r="T649" s="73"/>
      <c r="U649" s="73"/>
      <c r="V649" s="73"/>
      <c r="W649" s="73"/>
      <c r="X649" s="73"/>
      <c r="Y649" s="73"/>
      <c r="Z649" s="73"/>
    </row>
    <row r="650">
      <c r="A650" s="73"/>
      <c r="B650" s="73"/>
      <c r="C650" s="73"/>
      <c r="D650" s="73"/>
      <c r="E650" s="73"/>
      <c r="F650" s="73"/>
      <c r="G650" s="73"/>
      <c r="H650" s="73"/>
      <c r="I650" s="73"/>
      <c r="J650" s="73"/>
      <c r="K650" s="73"/>
      <c r="L650" s="73"/>
      <c r="M650" s="73"/>
      <c r="N650" s="73"/>
      <c r="O650" s="73"/>
      <c r="P650" s="73"/>
      <c r="Q650" s="73"/>
      <c r="R650" s="73"/>
      <c r="S650" s="73"/>
      <c r="T650" s="73"/>
      <c r="U650" s="73"/>
      <c r="V650" s="73"/>
      <c r="W650" s="73"/>
      <c r="X650" s="73"/>
      <c r="Y650" s="73"/>
      <c r="Z650" s="73"/>
    </row>
    <row r="651">
      <c r="A651" s="73"/>
      <c r="B651" s="73"/>
      <c r="C651" s="73"/>
      <c r="D651" s="73"/>
      <c r="E651" s="73"/>
      <c r="F651" s="73"/>
      <c r="G651" s="73"/>
      <c r="H651" s="73"/>
      <c r="I651" s="73"/>
      <c r="J651" s="73"/>
      <c r="K651" s="73"/>
      <c r="L651" s="73"/>
      <c r="M651" s="73"/>
      <c r="N651" s="73"/>
      <c r="O651" s="73"/>
      <c r="P651" s="73"/>
      <c r="Q651" s="73"/>
      <c r="R651" s="73"/>
      <c r="S651" s="73"/>
      <c r="T651" s="73"/>
      <c r="U651" s="73"/>
      <c r="V651" s="73"/>
      <c r="W651" s="73"/>
      <c r="X651" s="73"/>
      <c r="Y651" s="73"/>
      <c r="Z651" s="73"/>
    </row>
    <row r="652">
      <c r="A652" s="73"/>
      <c r="B652" s="73"/>
      <c r="C652" s="73"/>
      <c r="D652" s="73"/>
      <c r="E652" s="73"/>
      <c r="F652" s="73"/>
      <c r="G652" s="73"/>
      <c r="H652" s="73"/>
      <c r="I652" s="73"/>
      <c r="J652" s="73"/>
      <c r="K652" s="73"/>
      <c r="L652" s="73"/>
      <c r="M652" s="73"/>
      <c r="N652" s="73"/>
      <c r="O652" s="73"/>
      <c r="P652" s="73"/>
      <c r="Q652" s="73"/>
      <c r="R652" s="73"/>
      <c r="S652" s="73"/>
      <c r="T652" s="73"/>
      <c r="U652" s="73"/>
      <c r="V652" s="73"/>
      <c r="W652" s="73"/>
      <c r="X652" s="73"/>
      <c r="Y652" s="73"/>
      <c r="Z652" s="73"/>
    </row>
    <row r="653">
      <c r="A653" s="73"/>
      <c r="B653" s="73"/>
      <c r="C653" s="73"/>
      <c r="D653" s="73"/>
      <c r="E653" s="73"/>
      <c r="F653" s="73"/>
      <c r="G653" s="73"/>
      <c r="H653" s="73"/>
      <c r="I653" s="73"/>
      <c r="J653" s="73"/>
      <c r="K653" s="73"/>
      <c r="L653" s="73"/>
      <c r="M653" s="73"/>
      <c r="N653" s="73"/>
      <c r="O653" s="73"/>
      <c r="P653" s="73"/>
      <c r="Q653" s="73"/>
      <c r="R653" s="73"/>
      <c r="S653" s="73"/>
      <c r="T653" s="73"/>
      <c r="U653" s="73"/>
      <c r="V653" s="73"/>
      <c r="W653" s="73"/>
      <c r="X653" s="73"/>
      <c r="Y653" s="73"/>
      <c r="Z653" s="73"/>
    </row>
    <row r="654">
      <c r="A654" s="73"/>
      <c r="B654" s="73"/>
      <c r="C654" s="73"/>
      <c r="D654" s="73"/>
      <c r="E654" s="73"/>
      <c r="F654" s="73"/>
      <c r="G654" s="73"/>
      <c r="H654" s="73"/>
      <c r="I654" s="73"/>
      <c r="J654" s="73"/>
      <c r="K654" s="73"/>
      <c r="L654" s="73"/>
      <c r="M654" s="73"/>
      <c r="N654" s="73"/>
      <c r="O654" s="73"/>
      <c r="P654" s="73"/>
      <c r="Q654" s="73"/>
      <c r="R654" s="73"/>
      <c r="S654" s="73"/>
      <c r="T654" s="73"/>
      <c r="U654" s="73"/>
      <c r="V654" s="73"/>
      <c r="W654" s="73"/>
      <c r="X654" s="73"/>
      <c r="Y654" s="73"/>
      <c r="Z654" s="73"/>
    </row>
    <row r="655">
      <c r="A655" s="73"/>
      <c r="B655" s="73"/>
      <c r="C655" s="73"/>
      <c r="D655" s="73"/>
      <c r="E655" s="73"/>
      <c r="F655" s="73"/>
      <c r="G655" s="73"/>
      <c r="H655" s="73"/>
      <c r="I655" s="73"/>
      <c r="J655" s="73"/>
      <c r="K655" s="73"/>
      <c r="L655" s="73"/>
      <c r="M655" s="73"/>
      <c r="N655" s="73"/>
      <c r="O655" s="73"/>
      <c r="P655" s="73"/>
      <c r="Q655" s="73"/>
      <c r="R655" s="73"/>
      <c r="S655" s="73"/>
      <c r="T655" s="73"/>
      <c r="U655" s="73"/>
      <c r="V655" s="73"/>
      <c r="W655" s="73"/>
      <c r="X655" s="73"/>
      <c r="Y655" s="73"/>
      <c r="Z655" s="73"/>
    </row>
    <row r="656">
      <c r="A656" s="73"/>
      <c r="B656" s="73"/>
      <c r="C656" s="73"/>
      <c r="D656" s="73"/>
      <c r="E656" s="73"/>
      <c r="F656" s="73"/>
      <c r="G656" s="73"/>
      <c r="H656" s="73"/>
      <c r="I656" s="73"/>
      <c r="J656" s="73"/>
      <c r="K656" s="73"/>
      <c r="L656" s="73"/>
      <c r="M656" s="73"/>
      <c r="N656" s="73"/>
      <c r="O656" s="73"/>
      <c r="P656" s="73"/>
      <c r="Q656" s="73"/>
      <c r="R656" s="73"/>
      <c r="S656" s="73"/>
      <c r="T656" s="73"/>
      <c r="U656" s="73"/>
      <c r="V656" s="73"/>
      <c r="W656" s="73"/>
      <c r="X656" s="73"/>
      <c r="Y656" s="73"/>
      <c r="Z656" s="73"/>
    </row>
    <row r="657">
      <c r="A657" s="73"/>
      <c r="B657" s="73"/>
      <c r="C657" s="73"/>
      <c r="D657" s="73"/>
      <c r="E657" s="73"/>
      <c r="F657" s="73"/>
      <c r="G657" s="73"/>
      <c r="H657" s="73"/>
      <c r="I657" s="73"/>
      <c r="J657" s="73"/>
      <c r="K657" s="73"/>
      <c r="L657" s="73"/>
      <c r="M657" s="73"/>
      <c r="N657" s="73"/>
      <c r="O657" s="73"/>
      <c r="P657" s="73"/>
      <c r="Q657" s="73"/>
      <c r="R657" s="73"/>
      <c r="S657" s="73"/>
      <c r="T657" s="73"/>
      <c r="U657" s="73"/>
      <c r="V657" s="73"/>
      <c r="W657" s="73"/>
      <c r="X657" s="73"/>
      <c r="Y657" s="73"/>
      <c r="Z657" s="73"/>
    </row>
    <row r="658">
      <c r="A658" s="73"/>
      <c r="B658" s="73"/>
      <c r="C658" s="73"/>
      <c r="D658" s="73"/>
      <c r="E658" s="73"/>
      <c r="F658" s="73"/>
      <c r="G658" s="73"/>
      <c r="H658" s="73"/>
      <c r="I658" s="73"/>
      <c r="J658" s="73"/>
      <c r="K658" s="73"/>
      <c r="L658" s="73"/>
      <c r="M658" s="73"/>
      <c r="N658" s="73"/>
      <c r="O658" s="73"/>
      <c r="P658" s="73"/>
      <c r="Q658" s="73"/>
      <c r="R658" s="73"/>
      <c r="S658" s="73"/>
      <c r="T658" s="73"/>
      <c r="U658" s="73"/>
      <c r="V658" s="73"/>
      <c r="W658" s="73"/>
      <c r="X658" s="73"/>
      <c r="Y658" s="73"/>
      <c r="Z658" s="73"/>
    </row>
    <row r="659">
      <c r="A659" s="73"/>
      <c r="B659" s="73"/>
      <c r="C659" s="73"/>
      <c r="D659" s="73"/>
      <c r="E659" s="73"/>
      <c r="F659" s="73"/>
      <c r="G659" s="73"/>
      <c r="H659" s="73"/>
      <c r="I659" s="73"/>
      <c r="J659" s="73"/>
      <c r="K659" s="73"/>
      <c r="L659" s="73"/>
      <c r="M659" s="73"/>
      <c r="N659" s="73"/>
      <c r="O659" s="73"/>
      <c r="P659" s="73"/>
      <c r="Q659" s="73"/>
      <c r="R659" s="73"/>
      <c r="S659" s="73"/>
      <c r="T659" s="73"/>
      <c r="U659" s="73"/>
      <c r="V659" s="73"/>
      <c r="W659" s="73"/>
      <c r="X659" s="73"/>
      <c r="Y659" s="73"/>
      <c r="Z659" s="73"/>
    </row>
    <row r="660">
      <c r="A660" s="73"/>
      <c r="B660" s="73"/>
      <c r="C660" s="73"/>
      <c r="D660" s="73"/>
      <c r="E660" s="73"/>
      <c r="F660" s="73"/>
      <c r="G660" s="73"/>
      <c r="H660" s="73"/>
      <c r="I660" s="73"/>
      <c r="J660" s="73"/>
      <c r="K660" s="73"/>
      <c r="L660" s="73"/>
      <c r="M660" s="73"/>
      <c r="N660" s="73"/>
      <c r="O660" s="73"/>
      <c r="P660" s="73"/>
      <c r="Q660" s="73"/>
      <c r="R660" s="73"/>
      <c r="S660" s="73"/>
      <c r="T660" s="73"/>
      <c r="U660" s="73"/>
      <c r="V660" s="73"/>
      <c r="W660" s="73"/>
      <c r="X660" s="73"/>
      <c r="Y660" s="73"/>
      <c r="Z660" s="73"/>
    </row>
    <row r="661">
      <c r="A661" s="73"/>
      <c r="B661" s="73"/>
      <c r="C661" s="73"/>
      <c r="D661" s="73"/>
      <c r="E661" s="73"/>
      <c r="F661" s="73"/>
      <c r="G661" s="73"/>
      <c r="H661" s="73"/>
      <c r="I661" s="73"/>
      <c r="J661" s="73"/>
      <c r="K661" s="73"/>
      <c r="L661" s="73"/>
      <c r="M661" s="73"/>
      <c r="N661" s="73"/>
      <c r="O661" s="73"/>
      <c r="P661" s="73"/>
      <c r="Q661" s="73"/>
      <c r="R661" s="73"/>
      <c r="S661" s="73"/>
      <c r="T661" s="73"/>
      <c r="U661" s="73"/>
      <c r="V661" s="73"/>
      <c r="W661" s="73"/>
      <c r="X661" s="73"/>
      <c r="Y661" s="73"/>
      <c r="Z661" s="73"/>
    </row>
    <row r="662">
      <c r="A662" s="73"/>
      <c r="B662" s="73"/>
      <c r="C662" s="73"/>
      <c r="D662" s="73"/>
      <c r="E662" s="73"/>
      <c r="F662" s="73"/>
      <c r="G662" s="73"/>
      <c r="H662" s="73"/>
      <c r="I662" s="73"/>
      <c r="J662" s="73"/>
      <c r="K662" s="73"/>
      <c r="L662" s="73"/>
      <c r="M662" s="73"/>
      <c r="N662" s="73"/>
      <c r="O662" s="73"/>
      <c r="P662" s="73"/>
      <c r="Q662" s="73"/>
      <c r="R662" s="73"/>
      <c r="S662" s="73"/>
      <c r="T662" s="73"/>
      <c r="U662" s="73"/>
      <c r="V662" s="73"/>
      <c r="W662" s="73"/>
      <c r="X662" s="73"/>
      <c r="Y662" s="73"/>
      <c r="Z662" s="73"/>
    </row>
    <row r="663">
      <c r="A663" s="73"/>
      <c r="B663" s="73"/>
      <c r="C663" s="73"/>
      <c r="D663" s="73"/>
      <c r="E663" s="73"/>
      <c r="F663" s="73"/>
      <c r="G663" s="73"/>
      <c r="H663" s="73"/>
      <c r="I663" s="73"/>
      <c r="J663" s="73"/>
      <c r="K663" s="73"/>
      <c r="L663" s="73"/>
      <c r="M663" s="73"/>
      <c r="N663" s="73"/>
      <c r="O663" s="73"/>
      <c r="P663" s="73"/>
      <c r="Q663" s="73"/>
      <c r="R663" s="73"/>
      <c r="S663" s="73"/>
      <c r="T663" s="73"/>
      <c r="U663" s="73"/>
      <c r="V663" s="73"/>
      <c r="W663" s="73"/>
      <c r="X663" s="73"/>
      <c r="Y663" s="73"/>
      <c r="Z663" s="73"/>
    </row>
    <row r="664">
      <c r="A664" s="73"/>
      <c r="B664" s="73"/>
      <c r="C664" s="73"/>
      <c r="D664" s="73"/>
      <c r="E664" s="73"/>
      <c r="F664" s="73"/>
      <c r="G664" s="73"/>
      <c r="H664" s="73"/>
      <c r="I664" s="73"/>
      <c r="J664" s="73"/>
      <c r="K664" s="73"/>
      <c r="L664" s="73"/>
      <c r="M664" s="73"/>
      <c r="N664" s="73"/>
      <c r="O664" s="73"/>
      <c r="P664" s="73"/>
      <c r="Q664" s="73"/>
      <c r="R664" s="73"/>
      <c r="S664" s="73"/>
      <c r="T664" s="73"/>
      <c r="U664" s="73"/>
      <c r="V664" s="73"/>
      <c r="W664" s="73"/>
      <c r="X664" s="73"/>
      <c r="Y664" s="73"/>
      <c r="Z664" s="73"/>
    </row>
    <row r="665">
      <c r="A665" s="73"/>
      <c r="B665" s="73"/>
      <c r="C665" s="73"/>
      <c r="D665" s="73"/>
      <c r="E665" s="73"/>
      <c r="F665" s="73"/>
      <c r="G665" s="73"/>
      <c r="H665" s="73"/>
      <c r="I665" s="73"/>
      <c r="J665" s="73"/>
      <c r="K665" s="73"/>
      <c r="L665" s="73"/>
      <c r="M665" s="73"/>
      <c r="N665" s="73"/>
      <c r="O665" s="73"/>
      <c r="P665" s="73"/>
      <c r="Q665" s="73"/>
      <c r="R665" s="73"/>
      <c r="S665" s="73"/>
      <c r="T665" s="73"/>
      <c r="U665" s="73"/>
      <c r="V665" s="73"/>
      <c r="W665" s="73"/>
      <c r="X665" s="73"/>
      <c r="Y665" s="73"/>
      <c r="Z665" s="73"/>
    </row>
    <row r="666">
      <c r="A666" s="73"/>
      <c r="B666" s="73"/>
      <c r="C666" s="73"/>
      <c r="D666" s="73"/>
      <c r="E666" s="73"/>
      <c r="F666" s="73"/>
      <c r="G666" s="73"/>
      <c r="H666" s="73"/>
      <c r="I666" s="73"/>
      <c r="J666" s="73"/>
      <c r="K666" s="73"/>
      <c r="L666" s="73"/>
      <c r="M666" s="73"/>
      <c r="N666" s="73"/>
      <c r="O666" s="73"/>
      <c r="P666" s="73"/>
      <c r="Q666" s="73"/>
      <c r="R666" s="73"/>
      <c r="S666" s="73"/>
      <c r="T666" s="73"/>
      <c r="U666" s="73"/>
      <c r="V666" s="73"/>
      <c r="W666" s="73"/>
      <c r="X666" s="73"/>
      <c r="Y666" s="73"/>
      <c r="Z666" s="73"/>
    </row>
    <row r="667">
      <c r="A667" s="73"/>
      <c r="B667" s="73"/>
      <c r="C667" s="73"/>
      <c r="D667" s="73"/>
      <c r="E667" s="73"/>
      <c r="F667" s="73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73"/>
      <c r="V667" s="73"/>
      <c r="W667" s="73"/>
      <c r="X667" s="73"/>
      <c r="Y667" s="73"/>
      <c r="Z667" s="73"/>
    </row>
    <row r="668">
      <c r="A668" s="73"/>
      <c r="B668" s="73"/>
      <c r="C668" s="73"/>
      <c r="D668" s="73"/>
      <c r="E668" s="73"/>
      <c r="F668" s="73"/>
      <c r="G668" s="73"/>
      <c r="H668" s="73"/>
      <c r="I668" s="73"/>
      <c r="J668" s="73"/>
      <c r="K668" s="73"/>
      <c r="L668" s="73"/>
      <c r="M668" s="73"/>
      <c r="N668" s="73"/>
      <c r="O668" s="73"/>
      <c r="P668" s="73"/>
      <c r="Q668" s="73"/>
      <c r="R668" s="73"/>
      <c r="S668" s="73"/>
      <c r="T668" s="73"/>
      <c r="U668" s="73"/>
      <c r="V668" s="73"/>
      <c r="W668" s="73"/>
      <c r="X668" s="73"/>
      <c r="Y668" s="73"/>
      <c r="Z668" s="73"/>
    </row>
    <row r="669">
      <c r="A669" s="73"/>
      <c r="B669" s="73"/>
      <c r="C669" s="73"/>
      <c r="D669" s="73"/>
      <c r="E669" s="73"/>
      <c r="F669" s="73"/>
      <c r="G669" s="73"/>
      <c r="H669" s="73"/>
      <c r="I669" s="73"/>
      <c r="J669" s="73"/>
      <c r="K669" s="73"/>
      <c r="L669" s="73"/>
      <c r="M669" s="73"/>
      <c r="N669" s="73"/>
      <c r="O669" s="73"/>
      <c r="P669" s="73"/>
      <c r="Q669" s="73"/>
      <c r="R669" s="73"/>
      <c r="S669" s="73"/>
      <c r="T669" s="73"/>
      <c r="U669" s="73"/>
      <c r="V669" s="73"/>
      <c r="W669" s="73"/>
      <c r="X669" s="73"/>
      <c r="Y669" s="73"/>
      <c r="Z669" s="73"/>
    </row>
    <row r="670">
      <c r="A670" s="73"/>
      <c r="B670" s="73"/>
      <c r="C670" s="73"/>
      <c r="D670" s="73"/>
      <c r="E670" s="73"/>
      <c r="F670" s="73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73"/>
      <c r="V670" s="73"/>
      <c r="W670" s="73"/>
      <c r="X670" s="73"/>
      <c r="Y670" s="73"/>
      <c r="Z670" s="73"/>
    </row>
    <row r="671">
      <c r="A671" s="73"/>
      <c r="B671" s="73"/>
      <c r="C671" s="73"/>
      <c r="D671" s="73"/>
      <c r="E671" s="73"/>
      <c r="F671" s="73"/>
      <c r="G671" s="73"/>
      <c r="H671" s="73"/>
      <c r="I671" s="73"/>
      <c r="J671" s="73"/>
      <c r="K671" s="73"/>
      <c r="L671" s="73"/>
      <c r="M671" s="73"/>
      <c r="N671" s="73"/>
      <c r="O671" s="73"/>
      <c r="P671" s="73"/>
      <c r="Q671" s="73"/>
      <c r="R671" s="73"/>
      <c r="S671" s="73"/>
      <c r="T671" s="73"/>
      <c r="U671" s="73"/>
      <c r="V671" s="73"/>
      <c r="W671" s="73"/>
      <c r="X671" s="73"/>
      <c r="Y671" s="73"/>
      <c r="Z671" s="73"/>
    </row>
    <row r="672">
      <c r="A672" s="73"/>
      <c r="B672" s="73"/>
      <c r="C672" s="73"/>
      <c r="D672" s="73"/>
      <c r="E672" s="73"/>
      <c r="F672" s="73"/>
      <c r="G672" s="73"/>
      <c r="H672" s="73"/>
      <c r="I672" s="73"/>
      <c r="J672" s="73"/>
      <c r="K672" s="73"/>
      <c r="L672" s="73"/>
      <c r="M672" s="73"/>
      <c r="N672" s="73"/>
      <c r="O672" s="73"/>
      <c r="P672" s="73"/>
      <c r="Q672" s="73"/>
      <c r="R672" s="73"/>
      <c r="S672" s="73"/>
      <c r="T672" s="73"/>
      <c r="U672" s="73"/>
      <c r="V672" s="73"/>
      <c r="W672" s="73"/>
      <c r="X672" s="73"/>
      <c r="Y672" s="73"/>
      <c r="Z672" s="73"/>
    </row>
    <row r="673">
      <c r="A673" s="73"/>
      <c r="B673" s="73"/>
      <c r="C673" s="73"/>
      <c r="D673" s="73"/>
      <c r="E673" s="73"/>
      <c r="F673" s="73"/>
      <c r="G673" s="73"/>
      <c r="H673" s="73"/>
      <c r="I673" s="73"/>
      <c r="J673" s="73"/>
      <c r="K673" s="73"/>
      <c r="L673" s="73"/>
      <c r="M673" s="73"/>
      <c r="N673" s="73"/>
      <c r="O673" s="73"/>
      <c r="P673" s="73"/>
      <c r="Q673" s="73"/>
      <c r="R673" s="73"/>
      <c r="S673" s="73"/>
      <c r="T673" s="73"/>
      <c r="U673" s="73"/>
      <c r="V673" s="73"/>
      <c r="W673" s="73"/>
      <c r="X673" s="73"/>
      <c r="Y673" s="73"/>
      <c r="Z673" s="73"/>
    </row>
    <row r="674">
      <c r="A674" s="73"/>
      <c r="B674" s="73"/>
      <c r="C674" s="73"/>
      <c r="D674" s="73"/>
      <c r="E674" s="73"/>
      <c r="F674" s="73"/>
      <c r="G674" s="73"/>
      <c r="H674" s="73"/>
      <c r="I674" s="73"/>
      <c r="J674" s="73"/>
      <c r="K674" s="73"/>
      <c r="L674" s="73"/>
      <c r="M674" s="73"/>
      <c r="N674" s="73"/>
      <c r="O674" s="73"/>
      <c r="P674" s="73"/>
      <c r="Q674" s="73"/>
      <c r="R674" s="73"/>
      <c r="S674" s="73"/>
      <c r="T674" s="73"/>
      <c r="U674" s="73"/>
      <c r="V674" s="73"/>
      <c r="W674" s="73"/>
      <c r="X674" s="73"/>
      <c r="Y674" s="73"/>
      <c r="Z674" s="73"/>
    </row>
    <row r="675">
      <c r="A675" s="73"/>
      <c r="B675" s="73"/>
      <c r="C675" s="73"/>
      <c r="D675" s="73"/>
      <c r="E675" s="73"/>
      <c r="F675" s="73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73"/>
      <c r="V675" s="73"/>
      <c r="W675" s="73"/>
      <c r="X675" s="73"/>
      <c r="Y675" s="73"/>
      <c r="Z675" s="73"/>
    </row>
    <row r="676">
      <c r="A676" s="73"/>
      <c r="B676" s="73"/>
      <c r="C676" s="73"/>
      <c r="D676" s="73"/>
      <c r="E676" s="73"/>
      <c r="F676" s="73"/>
      <c r="G676" s="73"/>
      <c r="H676" s="73"/>
      <c r="I676" s="73"/>
      <c r="J676" s="73"/>
      <c r="K676" s="73"/>
      <c r="L676" s="73"/>
      <c r="M676" s="73"/>
      <c r="N676" s="73"/>
      <c r="O676" s="73"/>
      <c r="P676" s="73"/>
      <c r="Q676" s="73"/>
      <c r="R676" s="73"/>
      <c r="S676" s="73"/>
      <c r="T676" s="73"/>
      <c r="U676" s="73"/>
      <c r="V676" s="73"/>
      <c r="W676" s="73"/>
      <c r="X676" s="73"/>
      <c r="Y676" s="73"/>
      <c r="Z676" s="73"/>
    </row>
    <row r="677">
      <c r="A677" s="73"/>
      <c r="B677" s="73"/>
      <c r="C677" s="73"/>
      <c r="D677" s="73"/>
      <c r="E677" s="73"/>
      <c r="F677" s="73"/>
      <c r="G677" s="73"/>
      <c r="H677" s="73"/>
      <c r="I677" s="73"/>
      <c r="J677" s="73"/>
      <c r="K677" s="73"/>
      <c r="L677" s="73"/>
      <c r="M677" s="73"/>
      <c r="N677" s="73"/>
      <c r="O677" s="73"/>
      <c r="P677" s="73"/>
      <c r="Q677" s="73"/>
      <c r="R677" s="73"/>
      <c r="S677" s="73"/>
      <c r="T677" s="73"/>
      <c r="U677" s="73"/>
      <c r="V677" s="73"/>
      <c r="W677" s="73"/>
      <c r="X677" s="73"/>
      <c r="Y677" s="73"/>
      <c r="Z677" s="73"/>
    </row>
    <row r="678">
      <c r="A678" s="73"/>
      <c r="B678" s="73"/>
      <c r="C678" s="73"/>
      <c r="D678" s="73"/>
      <c r="E678" s="73"/>
      <c r="F678" s="73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73"/>
      <c r="V678" s="73"/>
      <c r="W678" s="73"/>
      <c r="X678" s="73"/>
      <c r="Y678" s="73"/>
      <c r="Z678" s="73"/>
    </row>
    <row r="679">
      <c r="A679" s="73"/>
      <c r="B679" s="73"/>
      <c r="C679" s="73"/>
      <c r="D679" s="73"/>
      <c r="E679" s="73"/>
      <c r="F679" s="73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73"/>
      <c r="V679" s="73"/>
      <c r="W679" s="73"/>
      <c r="X679" s="73"/>
      <c r="Y679" s="73"/>
      <c r="Z679" s="73"/>
    </row>
    <row r="680">
      <c r="A680" s="73"/>
      <c r="B680" s="73"/>
      <c r="C680" s="73"/>
      <c r="D680" s="73"/>
      <c r="E680" s="73"/>
      <c r="F680" s="73"/>
      <c r="G680" s="73"/>
      <c r="H680" s="73"/>
      <c r="I680" s="73"/>
      <c r="J680" s="73"/>
      <c r="K680" s="73"/>
      <c r="L680" s="73"/>
      <c r="M680" s="73"/>
      <c r="N680" s="73"/>
      <c r="O680" s="73"/>
      <c r="P680" s="73"/>
      <c r="Q680" s="73"/>
      <c r="R680" s="73"/>
      <c r="S680" s="73"/>
      <c r="T680" s="73"/>
      <c r="U680" s="73"/>
      <c r="V680" s="73"/>
      <c r="W680" s="73"/>
      <c r="X680" s="73"/>
      <c r="Y680" s="73"/>
      <c r="Z680" s="73"/>
    </row>
    <row r="681">
      <c r="A681" s="73"/>
      <c r="B681" s="73"/>
      <c r="C681" s="73"/>
      <c r="D681" s="73"/>
      <c r="E681" s="73"/>
      <c r="F681" s="73"/>
      <c r="G681" s="73"/>
      <c r="H681" s="73"/>
      <c r="I681" s="73"/>
      <c r="J681" s="73"/>
      <c r="K681" s="73"/>
      <c r="L681" s="73"/>
      <c r="M681" s="73"/>
      <c r="N681" s="73"/>
      <c r="O681" s="73"/>
      <c r="P681" s="73"/>
      <c r="Q681" s="73"/>
      <c r="R681" s="73"/>
      <c r="S681" s="73"/>
      <c r="T681" s="73"/>
      <c r="U681" s="73"/>
      <c r="V681" s="73"/>
      <c r="W681" s="73"/>
      <c r="X681" s="73"/>
      <c r="Y681" s="73"/>
      <c r="Z681" s="73"/>
    </row>
    <row r="682">
      <c r="A682" s="73"/>
      <c r="B682" s="73"/>
      <c r="C682" s="73"/>
      <c r="D682" s="73"/>
      <c r="E682" s="73"/>
      <c r="F682" s="73"/>
      <c r="G682" s="73"/>
      <c r="H682" s="73"/>
      <c r="I682" s="73"/>
      <c r="J682" s="73"/>
      <c r="K682" s="73"/>
      <c r="L682" s="73"/>
      <c r="M682" s="73"/>
      <c r="N682" s="73"/>
      <c r="O682" s="73"/>
      <c r="P682" s="73"/>
      <c r="Q682" s="73"/>
      <c r="R682" s="73"/>
      <c r="S682" s="73"/>
      <c r="T682" s="73"/>
      <c r="U682" s="73"/>
      <c r="V682" s="73"/>
      <c r="W682" s="73"/>
      <c r="X682" s="73"/>
      <c r="Y682" s="73"/>
      <c r="Z682" s="73"/>
    </row>
    <row r="683">
      <c r="A683" s="73"/>
      <c r="B683" s="73"/>
      <c r="C683" s="73"/>
      <c r="D683" s="73"/>
      <c r="E683" s="73"/>
      <c r="F683" s="73"/>
      <c r="G683" s="73"/>
      <c r="H683" s="73"/>
      <c r="I683" s="73"/>
      <c r="J683" s="73"/>
      <c r="K683" s="73"/>
      <c r="L683" s="73"/>
      <c r="M683" s="73"/>
      <c r="N683" s="73"/>
      <c r="O683" s="73"/>
      <c r="P683" s="73"/>
      <c r="Q683" s="73"/>
      <c r="R683" s="73"/>
      <c r="S683" s="73"/>
      <c r="T683" s="73"/>
      <c r="U683" s="73"/>
      <c r="V683" s="73"/>
      <c r="W683" s="73"/>
      <c r="X683" s="73"/>
      <c r="Y683" s="73"/>
      <c r="Z683" s="73"/>
    </row>
    <row r="684">
      <c r="A684" s="73"/>
      <c r="B684" s="73"/>
      <c r="C684" s="73"/>
      <c r="D684" s="73"/>
      <c r="E684" s="73"/>
      <c r="F684" s="73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73"/>
      <c r="V684" s="73"/>
      <c r="W684" s="73"/>
      <c r="X684" s="73"/>
      <c r="Y684" s="73"/>
      <c r="Z684" s="73"/>
    </row>
    <row r="685">
      <c r="A685" s="73"/>
      <c r="B685" s="73"/>
      <c r="C685" s="73"/>
      <c r="D685" s="73"/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3"/>
    </row>
    <row r="686">
      <c r="A686" s="73"/>
      <c r="B686" s="73"/>
      <c r="C686" s="73"/>
      <c r="D686" s="73"/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</row>
    <row r="687">
      <c r="A687" s="73"/>
      <c r="B687" s="73"/>
      <c r="C687" s="73"/>
      <c r="D687" s="73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</row>
    <row r="688">
      <c r="A688" s="73"/>
      <c r="B688" s="73"/>
      <c r="C688" s="73"/>
      <c r="D688" s="73"/>
      <c r="E688" s="73"/>
      <c r="F688" s="73"/>
      <c r="G688" s="73"/>
      <c r="H688" s="73"/>
      <c r="I688" s="73"/>
      <c r="J688" s="73"/>
      <c r="K688" s="73"/>
      <c r="L688" s="73"/>
      <c r="M688" s="73"/>
      <c r="N688" s="73"/>
      <c r="O688" s="73"/>
      <c r="P688" s="73"/>
      <c r="Q688" s="73"/>
      <c r="R688" s="73"/>
      <c r="S688" s="73"/>
      <c r="T688" s="73"/>
      <c r="U688" s="73"/>
      <c r="V688" s="73"/>
      <c r="W688" s="73"/>
      <c r="X688" s="73"/>
      <c r="Y688" s="73"/>
      <c r="Z688" s="73"/>
    </row>
    <row r="689">
      <c r="A689" s="73"/>
      <c r="B689" s="73"/>
      <c r="C689" s="73"/>
      <c r="D689" s="73"/>
      <c r="E689" s="73"/>
      <c r="F689" s="73"/>
      <c r="G689" s="73"/>
      <c r="H689" s="73"/>
      <c r="I689" s="73"/>
      <c r="J689" s="73"/>
      <c r="K689" s="73"/>
      <c r="L689" s="73"/>
      <c r="M689" s="73"/>
      <c r="N689" s="73"/>
      <c r="O689" s="73"/>
      <c r="P689" s="73"/>
      <c r="Q689" s="73"/>
      <c r="R689" s="73"/>
      <c r="S689" s="73"/>
      <c r="T689" s="73"/>
      <c r="U689" s="73"/>
      <c r="V689" s="73"/>
      <c r="W689" s="73"/>
      <c r="X689" s="73"/>
      <c r="Y689" s="73"/>
      <c r="Z689" s="73"/>
    </row>
    <row r="690">
      <c r="A690" s="73"/>
      <c r="B690" s="73"/>
      <c r="C690" s="73"/>
      <c r="D690" s="73"/>
      <c r="E690" s="73"/>
      <c r="F690" s="73"/>
      <c r="G690" s="73"/>
      <c r="H690" s="73"/>
      <c r="I690" s="73"/>
      <c r="J690" s="73"/>
      <c r="K690" s="73"/>
      <c r="L690" s="73"/>
      <c r="M690" s="73"/>
      <c r="N690" s="73"/>
      <c r="O690" s="73"/>
      <c r="P690" s="73"/>
      <c r="Q690" s="73"/>
      <c r="R690" s="73"/>
      <c r="S690" s="73"/>
      <c r="T690" s="73"/>
      <c r="U690" s="73"/>
      <c r="V690" s="73"/>
      <c r="W690" s="73"/>
      <c r="X690" s="73"/>
      <c r="Y690" s="73"/>
      <c r="Z690" s="73"/>
    </row>
    <row r="691">
      <c r="A691" s="73"/>
      <c r="B691" s="73"/>
      <c r="C691" s="73"/>
      <c r="D691" s="73"/>
      <c r="E691" s="73"/>
      <c r="F691" s="73"/>
      <c r="G691" s="73"/>
      <c r="H691" s="73"/>
      <c r="I691" s="73"/>
      <c r="J691" s="73"/>
      <c r="K691" s="73"/>
      <c r="L691" s="73"/>
      <c r="M691" s="73"/>
      <c r="N691" s="73"/>
      <c r="O691" s="73"/>
      <c r="P691" s="73"/>
      <c r="Q691" s="73"/>
      <c r="R691" s="73"/>
      <c r="S691" s="73"/>
      <c r="T691" s="73"/>
      <c r="U691" s="73"/>
      <c r="V691" s="73"/>
      <c r="W691" s="73"/>
      <c r="X691" s="73"/>
      <c r="Y691" s="73"/>
      <c r="Z691" s="73"/>
    </row>
    <row r="692">
      <c r="A692" s="73"/>
      <c r="B692" s="73"/>
      <c r="C692" s="73"/>
      <c r="D692" s="73"/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73"/>
      <c r="X692" s="73"/>
      <c r="Y692" s="73"/>
      <c r="Z692" s="73"/>
    </row>
    <row r="693">
      <c r="A693" s="73"/>
      <c r="B693" s="73"/>
      <c r="C693" s="73"/>
      <c r="D693" s="73"/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</row>
    <row r="694">
      <c r="A694" s="73"/>
      <c r="B694" s="73"/>
      <c r="C694" s="73"/>
      <c r="D694" s="73"/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</row>
    <row r="695">
      <c r="A695" s="73"/>
      <c r="B695" s="73"/>
      <c r="C695" s="73"/>
      <c r="D695" s="73"/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</row>
    <row r="696">
      <c r="A696" s="73"/>
      <c r="B696" s="73"/>
      <c r="C696" s="73"/>
      <c r="D696" s="73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</row>
    <row r="697">
      <c r="A697" s="73"/>
      <c r="B697" s="73"/>
      <c r="C697" s="73"/>
      <c r="D697" s="73"/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</row>
    <row r="698">
      <c r="A698" s="73"/>
      <c r="B698" s="73"/>
      <c r="C698" s="73"/>
      <c r="D698" s="73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</row>
    <row r="699">
      <c r="A699" s="73"/>
      <c r="B699" s="73"/>
      <c r="C699" s="73"/>
      <c r="D699" s="73"/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</row>
    <row r="700">
      <c r="A700" s="73"/>
      <c r="B700" s="73"/>
      <c r="C700" s="73"/>
      <c r="D700" s="73"/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</row>
    <row r="701">
      <c r="A701" s="73"/>
      <c r="B701" s="73"/>
      <c r="C701" s="73"/>
      <c r="D701" s="73"/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</row>
    <row r="702">
      <c r="A702" s="73"/>
      <c r="B702" s="73"/>
      <c r="C702" s="73"/>
      <c r="D702" s="73"/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</row>
    <row r="703">
      <c r="A703" s="73"/>
      <c r="B703" s="73"/>
      <c r="C703" s="73"/>
      <c r="D703" s="73"/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73"/>
      <c r="V703" s="73"/>
      <c r="W703" s="73"/>
      <c r="X703" s="73"/>
      <c r="Y703" s="73"/>
      <c r="Z703" s="73"/>
    </row>
    <row r="704">
      <c r="A704" s="73"/>
      <c r="B704" s="73"/>
      <c r="C704" s="73"/>
      <c r="D704" s="73"/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73"/>
      <c r="V704" s="73"/>
      <c r="W704" s="73"/>
      <c r="X704" s="73"/>
      <c r="Y704" s="73"/>
      <c r="Z704" s="73"/>
    </row>
    <row r="705">
      <c r="A705" s="73"/>
      <c r="B705" s="73"/>
      <c r="C705" s="73"/>
      <c r="D705" s="73"/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</row>
    <row r="706">
      <c r="A706" s="73"/>
      <c r="B706" s="73"/>
      <c r="C706" s="73"/>
      <c r="D706" s="73"/>
      <c r="E706" s="73"/>
      <c r="F706" s="73"/>
      <c r="G706" s="73"/>
      <c r="H706" s="73"/>
      <c r="I706" s="73"/>
      <c r="J706" s="73"/>
      <c r="K706" s="73"/>
      <c r="L706" s="73"/>
      <c r="M706" s="73"/>
      <c r="N706" s="73"/>
      <c r="O706" s="73"/>
      <c r="P706" s="73"/>
      <c r="Q706" s="73"/>
      <c r="R706" s="73"/>
      <c r="S706" s="73"/>
      <c r="T706" s="73"/>
      <c r="U706" s="73"/>
      <c r="V706" s="73"/>
      <c r="W706" s="73"/>
      <c r="X706" s="73"/>
      <c r="Y706" s="73"/>
      <c r="Z706" s="73"/>
    </row>
    <row r="707">
      <c r="A707" s="73"/>
      <c r="B707" s="73"/>
      <c r="C707" s="73"/>
      <c r="D707" s="73"/>
      <c r="E707" s="73"/>
      <c r="F707" s="73"/>
      <c r="G707" s="73"/>
      <c r="H707" s="73"/>
      <c r="I707" s="73"/>
      <c r="J707" s="73"/>
      <c r="K707" s="73"/>
      <c r="L707" s="73"/>
      <c r="M707" s="73"/>
      <c r="N707" s="73"/>
      <c r="O707" s="73"/>
      <c r="P707" s="73"/>
      <c r="Q707" s="73"/>
      <c r="R707" s="73"/>
      <c r="S707" s="73"/>
      <c r="T707" s="73"/>
      <c r="U707" s="73"/>
      <c r="V707" s="73"/>
      <c r="W707" s="73"/>
      <c r="X707" s="73"/>
      <c r="Y707" s="73"/>
      <c r="Z707" s="73"/>
    </row>
    <row r="708">
      <c r="A708" s="73"/>
      <c r="B708" s="73"/>
      <c r="C708" s="73"/>
      <c r="D708" s="73"/>
      <c r="E708" s="73"/>
      <c r="F708" s="73"/>
      <c r="G708" s="73"/>
      <c r="H708" s="73"/>
      <c r="I708" s="73"/>
      <c r="J708" s="73"/>
      <c r="K708" s="73"/>
      <c r="L708" s="73"/>
      <c r="M708" s="73"/>
      <c r="N708" s="73"/>
      <c r="O708" s="73"/>
      <c r="P708" s="73"/>
      <c r="Q708" s="73"/>
      <c r="R708" s="73"/>
      <c r="S708" s="73"/>
      <c r="T708" s="73"/>
      <c r="U708" s="73"/>
      <c r="V708" s="73"/>
      <c r="W708" s="73"/>
      <c r="X708" s="73"/>
      <c r="Y708" s="73"/>
      <c r="Z708" s="73"/>
    </row>
    <row r="709">
      <c r="A709" s="73"/>
      <c r="B709" s="73"/>
      <c r="C709" s="73"/>
      <c r="D709" s="73"/>
      <c r="E709" s="73"/>
      <c r="F709" s="73"/>
      <c r="G709" s="73"/>
      <c r="H709" s="73"/>
      <c r="I709" s="73"/>
      <c r="J709" s="73"/>
      <c r="K709" s="73"/>
      <c r="L709" s="73"/>
      <c r="M709" s="73"/>
      <c r="N709" s="73"/>
      <c r="O709" s="73"/>
      <c r="P709" s="73"/>
      <c r="Q709" s="73"/>
      <c r="R709" s="73"/>
      <c r="S709" s="73"/>
      <c r="T709" s="73"/>
      <c r="U709" s="73"/>
      <c r="V709" s="73"/>
      <c r="W709" s="73"/>
      <c r="X709" s="73"/>
      <c r="Y709" s="73"/>
      <c r="Z709" s="73"/>
    </row>
    <row r="710">
      <c r="A710" s="73"/>
      <c r="B710" s="73"/>
      <c r="C710" s="73"/>
      <c r="D710" s="73"/>
      <c r="E710" s="73"/>
      <c r="F710" s="73"/>
      <c r="G710" s="73"/>
      <c r="H710" s="73"/>
      <c r="I710" s="73"/>
      <c r="J710" s="73"/>
      <c r="K710" s="73"/>
      <c r="L710" s="73"/>
      <c r="M710" s="73"/>
      <c r="N710" s="73"/>
      <c r="O710" s="73"/>
      <c r="P710" s="73"/>
      <c r="Q710" s="73"/>
      <c r="R710" s="73"/>
      <c r="S710" s="73"/>
      <c r="T710" s="73"/>
      <c r="U710" s="73"/>
      <c r="V710" s="73"/>
      <c r="W710" s="73"/>
      <c r="X710" s="73"/>
      <c r="Y710" s="73"/>
      <c r="Z710" s="73"/>
    </row>
    <row r="711">
      <c r="A711" s="73"/>
      <c r="B711" s="73"/>
      <c r="C711" s="73"/>
      <c r="D711" s="73"/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  <c r="V711" s="73"/>
      <c r="W711" s="73"/>
      <c r="X711" s="73"/>
      <c r="Y711" s="73"/>
      <c r="Z711" s="73"/>
    </row>
    <row r="712">
      <c r="A712" s="73"/>
      <c r="B712" s="73"/>
      <c r="C712" s="73"/>
      <c r="D712" s="73"/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</row>
    <row r="713">
      <c r="A713" s="73"/>
      <c r="B713" s="73"/>
      <c r="C713" s="73"/>
      <c r="D713" s="73"/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</row>
    <row r="714">
      <c r="A714" s="73"/>
      <c r="B714" s="73"/>
      <c r="C714" s="73"/>
      <c r="D714" s="73"/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</row>
    <row r="715">
      <c r="A715" s="73"/>
      <c r="B715" s="73"/>
      <c r="C715" s="73"/>
      <c r="D715" s="73"/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</row>
    <row r="716">
      <c r="A716" s="73"/>
      <c r="B716" s="73"/>
      <c r="C716" s="73"/>
      <c r="D716" s="73"/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</row>
    <row r="717">
      <c r="A717" s="73"/>
      <c r="B717" s="73"/>
      <c r="C717" s="73"/>
      <c r="D717" s="73"/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73"/>
      <c r="V717" s="73"/>
      <c r="W717" s="73"/>
      <c r="X717" s="73"/>
      <c r="Y717" s="73"/>
      <c r="Z717" s="73"/>
    </row>
    <row r="718">
      <c r="A718" s="73"/>
      <c r="B718" s="73"/>
      <c r="C718" s="73"/>
      <c r="D718" s="73"/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73"/>
      <c r="V718" s="73"/>
      <c r="W718" s="73"/>
      <c r="X718" s="73"/>
      <c r="Y718" s="73"/>
      <c r="Z718" s="73"/>
    </row>
    <row r="719">
      <c r="A719" s="73"/>
      <c r="B719" s="73"/>
      <c r="C719" s="73"/>
      <c r="D719" s="73"/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73"/>
      <c r="V719" s="73"/>
      <c r="W719" s="73"/>
      <c r="X719" s="73"/>
      <c r="Y719" s="73"/>
      <c r="Z719" s="73"/>
    </row>
    <row r="720">
      <c r="A720" s="73"/>
      <c r="B720" s="73"/>
      <c r="C720" s="73"/>
      <c r="D720" s="73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73"/>
      <c r="U720" s="73"/>
      <c r="V720" s="73"/>
      <c r="W720" s="73"/>
      <c r="X720" s="73"/>
      <c r="Y720" s="73"/>
      <c r="Z720" s="73"/>
    </row>
    <row r="721">
      <c r="A721" s="73"/>
      <c r="B721" s="73"/>
      <c r="C721" s="73"/>
      <c r="D721" s="73"/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</row>
    <row r="722">
      <c r="A722" s="73"/>
      <c r="B722" s="73"/>
      <c r="C722" s="73"/>
      <c r="D722" s="73"/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</row>
    <row r="723">
      <c r="A723" s="73"/>
      <c r="B723" s="73"/>
      <c r="C723" s="73"/>
      <c r="D723" s="73"/>
      <c r="E723" s="73"/>
      <c r="F723" s="73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73"/>
      <c r="U723" s="73"/>
      <c r="V723" s="73"/>
      <c r="W723" s="73"/>
      <c r="X723" s="73"/>
      <c r="Y723" s="73"/>
      <c r="Z723" s="73"/>
    </row>
    <row r="724">
      <c r="A724" s="73"/>
      <c r="B724" s="73"/>
      <c r="C724" s="73"/>
      <c r="D724" s="73"/>
      <c r="E724" s="73"/>
      <c r="F724" s="73"/>
      <c r="G724" s="73"/>
      <c r="H724" s="73"/>
      <c r="I724" s="73"/>
      <c r="J724" s="73"/>
      <c r="K724" s="73"/>
      <c r="L724" s="73"/>
      <c r="M724" s="73"/>
      <c r="N724" s="73"/>
      <c r="O724" s="73"/>
      <c r="P724" s="73"/>
      <c r="Q724" s="73"/>
      <c r="R724" s="73"/>
      <c r="S724" s="73"/>
      <c r="T724" s="73"/>
      <c r="U724" s="73"/>
      <c r="V724" s="73"/>
      <c r="W724" s="73"/>
      <c r="X724" s="73"/>
      <c r="Y724" s="73"/>
      <c r="Z724" s="73"/>
    </row>
    <row r="725">
      <c r="A725" s="73"/>
      <c r="B725" s="73"/>
      <c r="C725" s="73"/>
      <c r="D725" s="73"/>
      <c r="E725" s="73"/>
      <c r="F725" s="73"/>
      <c r="G725" s="73"/>
      <c r="H725" s="73"/>
      <c r="I725" s="73"/>
      <c r="J725" s="73"/>
      <c r="K725" s="73"/>
      <c r="L725" s="73"/>
      <c r="M725" s="73"/>
      <c r="N725" s="73"/>
      <c r="O725" s="73"/>
      <c r="P725" s="73"/>
      <c r="Q725" s="73"/>
      <c r="R725" s="73"/>
      <c r="S725" s="73"/>
      <c r="T725" s="73"/>
      <c r="U725" s="73"/>
      <c r="V725" s="73"/>
      <c r="W725" s="73"/>
      <c r="X725" s="73"/>
      <c r="Y725" s="73"/>
      <c r="Z725" s="73"/>
    </row>
    <row r="726">
      <c r="A726" s="73"/>
      <c r="B726" s="73"/>
      <c r="C726" s="73"/>
      <c r="D726" s="73"/>
      <c r="E726" s="73"/>
      <c r="F726" s="73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73"/>
      <c r="U726" s="73"/>
      <c r="V726" s="73"/>
      <c r="W726" s="73"/>
      <c r="X726" s="73"/>
      <c r="Y726" s="73"/>
      <c r="Z726" s="73"/>
    </row>
    <row r="727">
      <c r="A727" s="73"/>
      <c r="B727" s="73"/>
      <c r="C727" s="73"/>
      <c r="D727" s="73"/>
      <c r="E727" s="73"/>
      <c r="F727" s="73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73"/>
      <c r="U727" s="73"/>
      <c r="V727" s="73"/>
      <c r="W727" s="73"/>
      <c r="X727" s="73"/>
      <c r="Y727" s="73"/>
      <c r="Z727" s="73"/>
    </row>
    <row r="728">
      <c r="A728" s="73"/>
      <c r="B728" s="73"/>
      <c r="C728" s="73"/>
      <c r="D728" s="73"/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</row>
    <row r="729">
      <c r="A729" s="73"/>
      <c r="B729" s="73"/>
      <c r="C729" s="73"/>
      <c r="D729" s="73"/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</row>
    <row r="730">
      <c r="A730" s="73"/>
      <c r="B730" s="73"/>
      <c r="C730" s="73"/>
      <c r="D730" s="73"/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</row>
    <row r="731">
      <c r="A731" s="73"/>
      <c r="B731" s="73"/>
      <c r="C731" s="73"/>
      <c r="D731" s="73"/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</row>
    <row r="732">
      <c r="A732" s="73"/>
      <c r="B732" s="73"/>
      <c r="C732" s="73"/>
      <c r="D732" s="73"/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</row>
    <row r="733">
      <c r="A733" s="73"/>
      <c r="B733" s="73"/>
      <c r="C733" s="73"/>
      <c r="D733" s="73"/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</row>
    <row r="734">
      <c r="A734" s="73"/>
      <c r="B734" s="73"/>
      <c r="C734" s="73"/>
      <c r="D734" s="73"/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</row>
    <row r="735">
      <c r="A735" s="73"/>
      <c r="B735" s="73"/>
      <c r="C735" s="73"/>
      <c r="D735" s="73"/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</row>
    <row r="736">
      <c r="A736" s="73"/>
      <c r="B736" s="73"/>
      <c r="C736" s="73"/>
      <c r="D736" s="73"/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</row>
    <row r="737">
      <c r="A737" s="73"/>
      <c r="B737" s="73"/>
      <c r="C737" s="73"/>
      <c r="D737" s="73"/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</row>
    <row r="738">
      <c r="A738" s="73"/>
      <c r="B738" s="73"/>
      <c r="C738" s="73"/>
      <c r="D738" s="73"/>
      <c r="E738" s="73"/>
      <c r="F738" s="73"/>
      <c r="G738" s="73"/>
      <c r="H738" s="73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73"/>
      <c r="U738" s="73"/>
      <c r="V738" s="73"/>
      <c r="W738" s="73"/>
      <c r="X738" s="73"/>
      <c r="Y738" s="73"/>
      <c r="Z738" s="73"/>
    </row>
    <row r="739">
      <c r="A739" s="73"/>
      <c r="B739" s="73"/>
      <c r="C739" s="73"/>
      <c r="D739" s="73"/>
      <c r="E739" s="73"/>
      <c r="F739" s="73"/>
      <c r="G739" s="73"/>
      <c r="H739" s="73"/>
      <c r="I739" s="73"/>
      <c r="J739" s="73"/>
      <c r="K739" s="73"/>
      <c r="L739" s="73"/>
      <c r="M739" s="73"/>
      <c r="N739" s="73"/>
      <c r="O739" s="73"/>
      <c r="P739" s="73"/>
      <c r="Q739" s="73"/>
      <c r="R739" s="73"/>
      <c r="S739" s="73"/>
      <c r="T739" s="73"/>
      <c r="U739" s="73"/>
      <c r="V739" s="73"/>
      <c r="W739" s="73"/>
      <c r="X739" s="73"/>
      <c r="Y739" s="73"/>
      <c r="Z739" s="73"/>
    </row>
    <row r="740">
      <c r="A740" s="73"/>
      <c r="B740" s="73"/>
      <c r="C740" s="73"/>
      <c r="D740" s="73"/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</row>
    <row r="741">
      <c r="A741" s="73"/>
      <c r="B741" s="73"/>
      <c r="C741" s="73"/>
      <c r="D741" s="73"/>
      <c r="E741" s="73"/>
      <c r="F741" s="73"/>
      <c r="G741" s="73"/>
      <c r="H741" s="73"/>
      <c r="I741" s="73"/>
      <c r="J741" s="73"/>
      <c r="K741" s="73"/>
      <c r="L741" s="73"/>
      <c r="M741" s="73"/>
      <c r="N741" s="73"/>
      <c r="O741" s="73"/>
      <c r="P741" s="73"/>
      <c r="Q741" s="73"/>
      <c r="R741" s="73"/>
      <c r="S741" s="73"/>
      <c r="T741" s="73"/>
      <c r="U741" s="73"/>
      <c r="V741" s="73"/>
      <c r="W741" s="73"/>
      <c r="X741" s="73"/>
      <c r="Y741" s="73"/>
      <c r="Z741" s="73"/>
    </row>
    <row r="742">
      <c r="A742" s="73"/>
      <c r="B742" s="73"/>
      <c r="C742" s="73"/>
      <c r="D742" s="73"/>
      <c r="E742" s="73"/>
      <c r="F742" s="73"/>
      <c r="G742" s="73"/>
      <c r="H742" s="73"/>
      <c r="I742" s="73"/>
      <c r="J742" s="73"/>
      <c r="K742" s="73"/>
      <c r="L742" s="73"/>
      <c r="M742" s="73"/>
      <c r="N742" s="73"/>
      <c r="O742" s="73"/>
      <c r="P742" s="73"/>
      <c r="Q742" s="73"/>
      <c r="R742" s="73"/>
      <c r="S742" s="73"/>
      <c r="T742" s="73"/>
      <c r="U742" s="73"/>
      <c r="V742" s="73"/>
      <c r="W742" s="73"/>
      <c r="X742" s="73"/>
      <c r="Y742" s="73"/>
      <c r="Z742" s="73"/>
    </row>
    <row r="743">
      <c r="A743" s="73"/>
      <c r="B743" s="73"/>
      <c r="C743" s="73"/>
      <c r="D743" s="73"/>
      <c r="E743" s="73"/>
      <c r="F743" s="73"/>
      <c r="G743" s="73"/>
      <c r="H743" s="73"/>
      <c r="I743" s="73"/>
      <c r="J743" s="73"/>
      <c r="K743" s="73"/>
      <c r="L743" s="73"/>
      <c r="M743" s="73"/>
      <c r="N743" s="73"/>
      <c r="O743" s="73"/>
      <c r="P743" s="73"/>
      <c r="Q743" s="73"/>
      <c r="R743" s="73"/>
      <c r="S743" s="73"/>
      <c r="T743" s="73"/>
      <c r="U743" s="73"/>
      <c r="V743" s="73"/>
      <c r="W743" s="73"/>
      <c r="X743" s="73"/>
      <c r="Y743" s="73"/>
      <c r="Z743" s="73"/>
    </row>
    <row r="744">
      <c r="A744" s="73"/>
      <c r="B744" s="73"/>
      <c r="C744" s="73"/>
      <c r="D744" s="73"/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73"/>
      <c r="U744" s="73"/>
      <c r="V744" s="73"/>
      <c r="W744" s="73"/>
      <c r="X744" s="73"/>
      <c r="Y744" s="73"/>
      <c r="Z744" s="73"/>
    </row>
    <row r="745">
      <c r="A745" s="73"/>
      <c r="B745" s="73"/>
      <c r="C745" s="73"/>
      <c r="D745" s="73"/>
      <c r="E745" s="73"/>
      <c r="F745" s="73"/>
      <c r="G745" s="73"/>
      <c r="H745" s="73"/>
      <c r="I745" s="73"/>
      <c r="J745" s="73"/>
      <c r="K745" s="73"/>
      <c r="L745" s="73"/>
      <c r="M745" s="73"/>
      <c r="N745" s="73"/>
      <c r="O745" s="73"/>
      <c r="P745" s="73"/>
      <c r="Q745" s="73"/>
      <c r="R745" s="73"/>
      <c r="S745" s="73"/>
      <c r="T745" s="73"/>
      <c r="U745" s="73"/>
      <c r="V745" s="73"/>
      <c r="W745" s="73"/>
      <c r="X745" s="73"/>
      <c r="Y745" s="73"/>
      <c r="Z745" s="73"/>
    </row>
    <row r="746">
      <c r="A746" s="73"/>
      <c r="B746" s="73"/>
      <c r="C746" s="73"/>
      <c r="D746" s="73"/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</row>
    <row r="747">
      <c r="A747" s="73"/>
      <c r="B747" s="73"/>
      <c r="C747" s="73"/>
      <c r="D747" s="73"/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</row>
    <row r="748">
      <c r="A748" s="73"/>
      <c r="B748" s="73"/>
      <c r="C748" s="73"/>
      <c r="D748" s="73"/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</row>
    <row r="749">
      <c r="A749" s="73"/>
      <c r="B749" s="73"/>
      <c r="C749" s="73"/>
      <c r="D749" s="73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</row>
    <row r="750">
      <c r="A750" s="73"/>
      <c r="B750" s="73"/>
      <c r="C750" s="73"/>
      <c r="D750" s="73"/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</row>
    <row r="751">
      <c r="A751" s="73"/>
      <c r="B751" s="73"/>
      <c r="C751" s="73"/>
      <c r="D751" s="73"/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</row>
    <row r="752">
      <c r="A752" s="73"/>
      <c r="B752" s="73"/>
      <c r="C752" s="73"/>
      <c r="D752" s="73"/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</row>
    <row r="753">
      <c r="A753" s="73"/>
      <c r="B753" s="73"/>
      <c r="C753" s="73"/>
      <c r="D753" s="73"/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</row>
    <row r="754">
      <c r="A754" s="73"/>
      <c r="B754" s="73"/>
      <c r="C754" s="73"/>
      <c r="D754" s="73"/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</row>
    <row r="755">
      <c r="A755" s="73"/>
      <c r="B755" s="73"/>
      <c r="C755" s="73"/>
      <c r="D755" s="73"/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73"/>
      <c r="U755" s="73"/>
      <c r="V755" s="73"/>
      <c r="W755" s="73"/>
      <c r="X755" s="73"/>
      <c r="Y755" s="73"/>
      <c r="Z755" s="73"/>
    </row>
    <row r="756">
      <c r="A756" s="73"/>
      <c r="B756" s="73"/>
      <c r="C756" s="73"/>
      <c r="D756" s="73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73"/>
      <c r="V756" s="73"/>
      <c r="W756" s="73"/>
      <c r="X756" s="73"/>
      <c r="Y756" s="73"/>
      <c r="Z756" s="73"/>
    </row>
    <row r="757">
      <c r="A757" s="73"/>
      <c r="B757" s="73"/>
      <c r="C757" s="73"/>
      <c r="D757" s="73"/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73"/>
      <c r="U757" s="73"/>
      <c r="V757" s="73"/>
      <c r="W757" s="73"/>
      <c r="X757" s="73"/>
      <c r="Y757" s="73"/>
      <c r="Z757" s="73"/>
    </row>
    <row r="758">
      <c r="A758" s="73"/>
      <c r="B758" s="73"/>
      <c r="C758" s="73"/>
      <c r="D758" s="73"/>
      <c r="E758" s="73"/>
      <c r="F758" s="73"/>
      <c r="G758" s="73"/>
      <c r="H758" s="73"/>
      <c r="I758" s="73"/>
      <c r="J758" s="73"/>
      <c r="K758" s="73"/>
      <c r="L758" s="73"/>
      <c r="M758" s="73"/>
      <c r="N758" s="73"/>
      <c r="O758" s="73"/>
      <c r="P758" s="73"/>
      <c r="Q758" s="73"/>
      <c r="R758" s="73"/>
      <c r="S758" s="73"/>
      <c r="T758" s="73"/>
      <c r="U758" s="73"/>
      <c r="V758" s="73"/>
      <c r="W758" s="73"/>
      <c r="X758" s="73"/>
      <c r="Y758" s="73"/>
      <c r="Z758" s="73"/>
    </row>
    <row r="759">
      <c r="A759" s="73"/>
      <c r="B759" s="73"/>
      <c r="C759" s="73"/>
      <c r="D759" s="73"/>
      <c r="E759" s="73"/>
      <c r="F759" s="73"/>
      <c r="G759" s="73"/>
      <c r="H759" s="73"/>
      <c r="I759" s="73"/>
      <c r="J759" s="73"/>
      <c r="K759" s="73"/>
      <c r="L759" s="73"/>
      <c r="M759" s="73"/>
      <c r="N759" s="73"/>
      <c r="O759" s="73"/>
      <c r="P759" s="73"/>
      <c r="Q759" s="73"/>
      <c r="R759" s="73"/>
      <c r="S759" s="73"/>
      <c r="T759" s="73"/>
      <c r="U759" s="73"/>
      <c r="V759" s="73"/>
      <c r="W759" s="73"/>
      <c r="X759" s="73"/>
      <c r="Y759" s="73"/>
      <c r="Z759" s="73"/>
    </row>
    <row r="760">
      <c r="A760" s="73"/>
      <c r="B760" s="73"/>
      <c r="C760" s="73"/>
      <c r="D760" s="73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73"/>
      <c r="U760" s="73"/>
      <c r="V760" s="73"/>
      <c r="W760" s="73"/>
      <c r="X760" s="73"/>
      <c r="Y760" s="73"/>
      <c r="Z760" s="73"/>
    </row>
    <row r="761">
      <c r="A761" s="73"/>
      <c r="B761" s="73"/>
      <c r="C761" s="73"/>
      <c r="D761" s="73"/>
      <c r="E761" s="73"/>
      <c r="F761" s="73"/>
      <c r="G761" s="73"/>
      <c r="H761" s="73"/>
      <c r="I761" s="73"/>
      <c r="J761" s="73"/>
      <c r="K761" s="73"/>
      <c r="L761" s="73"/>
      <c r="M761" s="73"/>
      <c r="N761" s="73"/>
      <c r="O761" s="73"/>
      <c r="P761" s="73"/>
      <c r="Q761" s="73"/>
      <c r="R761" s="73"/>
      <c r="S761" s="73"/>
      <c r="T761" s="73"/>
      <c r="U761" s="73"/>
      <c r="V761" s="73"/>
      <c r="W761" s="73"/>
      <c r="X761" s="73"/>
      <c r="Y761" s="73"/>
      <c r="Z761" s="73"/>
    </row>
    <row r="762">
      <c r="A762" s="73"/>
      <c r="B762" s="73"/>
      <c r="C762" s="73"/>
      <c r="D762" s="73"/>
      <c r="E762" s="73"/>
      <c r="F762" s="73"/>
      <c r="G762" s="73"/>
      <c r="H762" s="73"/>
      <c r="I762" s="73"/>
      <c r="J762" s="73"/>
      <c r="K762" s="73"/>
      <c r="L762" s="73"/>
      <c r="M762" s="73"/>
      <c r="N762" s="73"/>
      <c r="O762" s="73"/>
      <c r="P762" s="73"/>
      <c r="Q762" s="73"/>
      <c r="R762" s="73"/>
      <c r="S762" s="73"/>
      <c r="T762" s="73"/>
      <c r="U762" s="73"/>
      <c r="V762" s="73"/>
      <c r="W762" s="73"/>
      <c r="X762" s="73"/>
      <c r="Y762" s="73"/>
      <c r="Z762" s="73"/>
    </row>
    <row r="763">
      <c r="A763" s="73"/>
      <c r="B763" s="73"/>
      <c r="C763" s="73"/>
      <c r="D763" s="73"/>
      <c r="E763" s="73"/>
      <c r="F763" s="73"/>
      <c r="G763" s="73"/>
      <c r="H763" s="73"/>
      <c r="I763" s="73"/>
      <c r="J763" s="73"/>
      <c r="K763" s="73"/>
      <c r="L763" s="73"/>
      <c r="M763" s="73"/>
      <c r="N763" s="73"/>
      <c r="O763" s="73"/>
      <c r="P763" s="73"/>
      <c r="Q763" s="73"/>
      <c r="R763" s="73"/>
      <c r="S763" s="73"/>
      <c r="T763" s="73"/>
      <c r="U763" s="73"/>
      <c r="V763" s="73"/>
      <c r="W763" s="73"/>
      <c r="X763" s="73"/>
      <c r="Y763" s="73"/>
      <c r="Z763" s="73"/>
    </row>
    <row r="764">
      <c r="A764" s="73"/>
      <c r="B764" s="73"/>
      <c r="C764" s="73"/>
      <c r="D764" s="73"/>
      <c r="E764" s="73"/>
      <c r="F764" s="73"/>
      <c r="G764" s="73"/>
      <c r="H764" s="73"/>
      <c r="I764" s="73"/>
      <c r="J764" s="73"/>
      <c r="K764" s="73"/>
      <c r="L764" s="73"/>
      <c r="M764" s="73"/>
      <c r="N764" s="73"/>
      <c r="O764" s="73"/>
      <c r="P764" s="73"/>
      <c r="Q764" s="73"/>
      <c r="R764" s="73"/>
      <c r="S764" s="73"/>
      <c r="T764" s="73"/>
      <c r="U764" s="73"/>
      <c r="V764" s="73"/>
      <c r="W764" s="73"/>
      <c r="X764" s="73"/>
      <c r="Y764" s="73"/>
      <c r="Z764" s="73"/>
    </row>
    <row r="765">
      <c r="A765" s="73"/>
      <c r="B765" s="73"/>
      <c r="C765" s="73"/>
      <c r="D765" s="73"/>
      <c r="E765" s="73"/>
      <c r="F765" s="73"/>
      <c r="G765" s="73"/>
      <c r="H765" s="73"/>
      <c r="I765" s="73"/>
      <c r="J765" s="73"/>
      <c r="K765" s="73"/>
      <c r="L765" s="73"/>
      <c r="M765" s="73"/>
      <c r="N765" s="73"/>
      <c r="O765" s="73"/>
      <c r="P765" s="73"/>
      <c r="Q765" s="73"/>
      <c r="R765" s="73"/>
      <c r="S765" s="73"/>
      <c r="T765" s="73"/>
      <c r="U765" s="73"/>
      <c r="V765" s="73"/>
      <c r="W765" s="73"/>
      <c r="X765" s="73"/>
      <c r="Y765" s="73"/>
      <c r="Z765" s="73"/>
    </row>
    <row r="766">
      <c r="A766" s="73"/>
      <c r="B766" s="73"/>
      <c r="C766" s="73"/>
      <c r="D766" s="73"/>
      <c r="E766" s="73"/>
      <c r="F766" s="73"/>
      <c r="G766" s="73"/>
      <c r="H766" s="73"/>
      <c r="I766" s="73"/>
      <c r="J766" s="73"/>
      <c r="K766" s="73"/>
      <c r="L766" s="73"/>
      <c r="M766" s="73"/>
      <c r="N766" s="73"/>
      <c r="O766" s="73"/>
      <c r="P766" s="73"/>
      <c r="Q766" s="73"/>
      <c r="R766" s="73"/>
      <c r="S766" s="73"/>
      <c r="T766" s="73"/>
      <c r="U766" s="73"/>
      <c r="V766" s="73"/>
      <c r="W766" s="73"/>
      <c r="X766" s="73"/>
      <c r="Y766" s="73"/>
      <c r="Z766" s="73"/>
    </row>
    <row r="767">
      <c r="A767" s="73"/>
      <c r="B767" s="73"/>
      <c r="C767" s="73"/>
      <c r="D767" s="73"/>
      <c r="E767" s="73"/>
      <c r="F767" s="73"/>
      <c r="G767" s="73"/>
      <c r="H767" s="73"/>
      <c r="I767" s="73"/>
      <c r="J767" s="73"/>
      <c r="K767" s="73"/>
      <c r="L767" s="73"/>
      <c r="M767" s="73"/>
      <c r="N767" s="73"/>
      <c r="O767" s="73"/>
      <c r="P767" s="73"/>
      <c r="Q767" s="73"/>
      <c r="R767" s="73"/>
      <c r="S767" s="73"/>
      <c r="T767" s="73"/>
      <c r="U767" s="73"/>
      <c r="V767" s="73"/>
      <c r="W767" s="73"/>
      <c r="X767" s="73"/>
      <c r="Y767" s="73"/>
      <c r="Z767" s="73"/>
    </row>
    <row r="768">
      <c r="A768" s="73"/>
      <c r="B768" s="73"/>
      <c r="C768" s="73"/>
      <c r="D768" s="73"/>
      <c r="E768" s="73"/>
      <c r="F768" s="73"/>
      <c r="G768" s="73"/>
      <c r="H768" s="73"/>
      <c r="I768" s="73"/>
      <c r="J768" s="73"/>
      <c r="K768" s="73"/>
      <c r="L768" s="73"/>
      <c r="M768" s="73"/>
      <c r="N768" s="73"/>
      <c r="O768" s="73"/>
      <c r="P768" s="73"/>
      <c r="Q768" s="73"/>
      <c r="R768" s="73"/>
      <c r="S768" s="73"/>
      <c r="T768" s="73"/>
      <c r="U768" s="73"/>
      <c r="V768" s="73"/>
      <c r="W768" s="73"/>
      <c r="X768" s="73"/>
      <c r="Y768" s="73"/>
      <c r="Z768" s="73"/>
    </row>
    <row r="769">
      <c r="A769" s="73"/>
      <c r="B769" s="73"/>
      <c r="C769" s="73"/>
      <c r="D769" s="73"/>
      <c r="E769" s="73"/>
      <c r="F769" s="73"/>
      <c r="G769" s="73"/>
      <c r="H769" s="73"/>
      <c r="I769" s="73"/>
      <c r="J769" s="73"/>
      <c r="K769" s="73"/>
      <c r="L769" s="73"/>
      <c r="M769" s="73"/>
      <c r="N769" s="73"/>
      <c r="O769" s="73"/>
      <c r="P769" s="73"/>
      <c r="Q769" s="73"/>
      <c r="R769" s="73"/>
      <c r="S769" s="73"/>
      <c r="T769" s="73"/>
      <c r="U769" s="73"/>
      <c r="V769" s="73"/>
      <c r="W769" s="73"/>
      <c r="X769" s="73"/>
      <c r="Y769" s="73"/>
      <c r="Z769" s="73"/>
    </row>
    <row r="770">
      <c r="A770" s="73"/>
      <c r="B770" s="73"/>
      <c r="C770" s="73"/>
      <c r="D770" s="73"/>
      <c r="E770" s="73"/>
      <c r="F770" s="73"/>
      <c r="G770" s="73"/>
      <c r="H770" s="73"/>
      <c r="I770" s="73"/>
      <c r="J770" s="73"/>
      <c r="K770" s="73"/>
      <c r="L770" s="73"/>
      <c r="M770" s="73"/>
      <c r="N770" s="73"/>
      <c r="O770" s="73"/>
      <c r="P770" s="73"/>
      <c r="Q770" s="73"/>
      <c r="R770" s="73"/>
      <c r="S770" s="73"/>
      <c r="T770" s="73"/>
      <c r="U770" s="73"/>
      <c r="V770" s="73"/>
      <c r="W770" s="73"/>
      <c r="X770" s="73"/>
      <c r="Y770" s="73"/>
      <c r="Z770" s="73"/>
    </row>
    <row r="771">
      <c r="A771" s="73"/>
      <c r="B771" s="73"/>
      <c r="C771" s="73"/>
      <c r="D771" s="73"/>
      <c r="E771" s="73"/>
      <c r="F771" s="73"/>
      <c r="G771" s="73"/>
      <c r="H771" s="73"/>
      <c r="I771" s="73"/>
      <c r="J771" s="73"/>
      <c r="K771" s="73"/>
      <c r="L771" s="73"/>
      <c r="M771" s="73"/>
      <c r="N771" s="73"/>
      <c r="O771" s="73"/>
      <c r="P771" s="73"/>
      <c r="Q771" s="73"/>
      <c r="R771" s="73"/>
      <c r="S771" s="73"/>
      <c r="T771" s="73"/>
      <c r="U771" s="73"/>
      <c r="V771" s="73"/>
      <c r="W771" s="73"/>
      <c r="X771" s="73"/>
      <c r="Y771" s="73"/>
      <c r="Z771" s="73"/>
    </row>
    <row r="772">
      <c r="A772" s="73"/>
      <c r="B772" s="73"/>
      <c r="C772" s="73"/>
      <c r="D772" s="73"/>
      <c r="E772" s="73"/>
      <c r="F772" s="73"/>
      <c r="G772" s="73"/>
      <c r="H772" s="73"/>
      <c r="I772" s="73"/>
      <c r="J772" s="73"/>
      <c r="K772" s="73"/>
      <c r="L772" s="73"/>
      <c r="M772" s="73"/>
      <c r="N772" s="73"/>
      <c r="O772" s="73"/>
      <c r="P772" s="73"/>
      <c r="Q772" s="73"/>
      <c r="R772" s="73"/>
      <c r="S772" s="73"/>
      <c r="T772" s="73"/>
      <c r="U772" s="73"/>
      <c r="V772" s="73"/>
      <c r="W772" s="73"/>
      <c r="X772" s="73"/>
      <c r="Y772" s="73"/>
      <c r="Z772" s="73"/>
    </row>
    <row r="773">
      <c r="A773" s="73"/>
      <c r="B773" s="73"/>
      <c r="C773" s="73"/>
      <c r="D773" s="73"/>
      <c r="E773" s="73"/>
      <c r="F773" s="73"/>
      <c r="G773" s="73"/>
      <c r="H773" s="73"/>
      <c r="I773" s="73"/>
      <c r="J773" s="73"/>
      <c r="K773" s="73"/>
      <c r="L773" s="73"/>
      <c r="M773" s="73"/>
      <c r="N773" s="73"/>
      <c r="O773" s="73"/>
      <c r="P773" s="73"/>
      <c r="Q773" s="73"/>
      <c r="R773" s="73"/>
      <c r="S773" s="73"/>
      <c r="T773" s="73"/>
      <c r="U773" s="73"/>
      <c r="V773" s="73"/>
      <c r="W773" s="73"/>
      <c r="X773" s="73"/>
      <c r="Y773" s="73"/>
      <c r="Z773" s="73"/>
    </row>
    <row r="774">
      <c r="A774" s="73"/>
      <c r="B774" s="73"/>
      <c r="C774" s="73"/>
      <c r="D774" s="73"/>
      <c r="E774" s="73"/>
      <c r="F774" s="73"/>
      <c r="G774" s="73"/>
      <c r="H774" s="73"/>
      <c r="I774" s="73"/>
      <c r="J774" s="73"/>
      <c r="K774" s="73"/>
      <c r="L774" s="73"/>
      <c r="M774" s="73"/>
      <c r="N774" s="73"/>
      <c r="O774" s="73"/>
      <c r="P774" s="73"/>
      <c r="Q774" s="73"/>
      <c r="R774" s="73"/>
      <c r="S774" s="73"/>
      <c r="T774" s="73"/>
      <c r="U774" s="73"/>
      <c r="V774" s="73"/>
      <c r="W774" s="73"/>
      <c r="X774" s="73"/>
      <c r="Y774" s="73"/>
      <c r="Z774" s="73"/>
    </row>
    <row r="775">
      <c r="A775" s="73"/>
      <c r="B775" s="73"/>
      <c r="C775" s="73"/>
      <c r="D775" s="73"/>
      <c r="E775" s="73"/>
      <c r="F775" s="73"/>
      <c r="G775" s="73"/>
      <c r="H775" s="73"/>
      <c r="I775" s="73"/>
      <c r="J775" s="73"/>
      <c r="K775" s="73"/>
      <c r="L775" s="73"/>
      <c r="M775" s="73"/>
      <c r="N775" s="73"/>
      <c r="O775" s="73"/>
      <c r="P775" s="73"/>
      <c r="Q775" s="73"/>
      <c r="R775" s="73"/>
      <c r="S775" s="73"/>
      <c r="T775" s="73"/>
      <c r="U775" s="73"/>
      <c r="V775" s="73"/>
      <c r="W775" s="73"/>
      <c r="X775" s="73"/>
      <c r="Y775" s="73"/>
      <c r="Z775" s="73"/>
    </row>
    <row r="776">
      <c r="A776" s="73"/>
      <c r="B776" s="73"/>
      <c r="C776" s="73"/>
      <c r="D776" s="73"/>
      <c r="E776" s="73"/>
      <c r="F776" s="73"/>
      <c r="G776" s="73"/>
      <c r="H776" s="73"/>
      <c r="I776" s="73"/>
      <c r="J776" s="73"/>
      <c r="K776" s="73"/>
      <c r="L776" s="73"/>
      <c r="M776" s="73"/>
      <c r="N776" s="73"/>
      <c r="O776" s="73"/>
      <c r="P776" s="73"/>
      <c r="Q776" s="73"/>
      <c r="R776" s="73"/>
      <c r="S776" s="73"/>
      <c r="T776" s="73"/>
      <c r="U776" s="73"/>
      <c r="V776" s="73"/>
      <c r="W776" s="73"/>
      <c r="X776" s="73"/>
      <c r="Y776" s="73"/>
      <c r="Z776" s="73"/>
    </row>
    <row r="777">
      <c r="A777" s="73"/>
      <c r="B777" s="73"/>
      <c r="C777" s="73"/>
      <c r="D777" s="73"/>
      <c r="E777" s="73"/>
      <c r="F777" s="73"/>
      <c r="G777" s="73"/>
      <c r="H777" s="73"/>
      <c r="I777" s="73"/>
      <c r="J777" s="73"/>
      <c r="K777" s="73"/>
      <c r="L777" s="73"/>
      <c r="M777" s="73"/>
      <c r="N777" s="73"/>
      <c r="O777" s="73"/>
      <c r="P777" s="73"/>
      <c r="Q777" s="73"/>
      <c r="R777" s="73"/>
      <c r="S777" s="73"/>
      <c r="T777" s="73"/>
      <c r="U777" s="73"/>
      <c r="V777" s="73"/>
      <c r="W777" s="73"/>
      <c r="X777" s="73"/>
      <c r="Y777" s="73"/>
      <c r="Z777" s="73"/>
    </row>
    <row r="778">
      <c r="A778" s="73"/>
      <c r="B778" s="73"/>
      <c r="C778" s="73"/>
      <c r="D778" s="73"/>
      <c r="E778" s="73"/>
      <c r="F778" s="73"/>
      <c r="G778" s="73"/>
      <c r="H778" s="73"/>
      <c r="I778" s="73"/>
      <c r="J778" s="73"/>
      <c r="K778" s="73"/>
      <c r="L778" s="73"/>
      <c r="M778" s="73"/>
      <c r="N778" s="73"/>
      <c r="O778" s="73"/>
      <c r="P778" s="73"/>
      <c r="Q778" s="73"/>
      <c r="R778" s="73"/>
      <c r="S778" s="73"/>
      <c r="T778" s="73"/>
      <c r="U778" s="73"/>
      <c r="V778" s="73"/>
      <c r="W778" s="73"/>
      <c r="X778" s="73"/>
      <c r="Y778" s="73"/>
      <c r="Z778" s="73"/>
    </row>
    <row r="779">
      <c r="A779" s="73"/>
      <c r="B779" s="73"/>
      <c r="C779" s="73"/>
      <c r="D779" s="73"/>
      <c r="E779" s="73"/>
      <c r="F779" s="73"/>
      <c r="G779" s="73"/>
      <c r="H779" s="73"/>
      <c r="I779" s="73"/>
      <c r="J779" s="73"/>
      <c r="K779" s="73"/>
      <c r="L779" s="73"/>
      <c r="M779" s="73"/>
      <c r="N779" s="73"/>
      <c r="O779" s="73"/>
      <c r="P779" s="73"/>
      <c r="Q779" s="73"/>
      <c r="R779" s="73"/>
      <c r="S779" s="73"/>
      <c r="T779" s="73"/>
      <c r="U779" s="73"/>
      <c r="V779" s="73"/>
      <c r="W779" s="73"/>
      <c r="X779" s="73"/>
      <c r="Y779" s="73"/>
      <c r="Z779" s="73"/>
    </row>
    <row r="780">
      <c r="A780" s="73"/>
      <c r="B780" s="73"/>
      <c r="C780" s="73"/>
      <c r="D780" s="73"/>
      <c r="E780" s="73"/>
      <c r="F780" s="73"/>
      <c r="G780" s="73"/>
      <c r="H780" s="73"/>
      <c r="I780" s="73"/>
      <c r="J780" s="73"/>
      <c r="K780" s="73"/>
      <c r="L780" s="73"/>
      <c r="M780" s="73"/>
      <c r="N780" s="73"/>
      <c r="O780" s="73"/>
      <c r="P780" s="73"/>
      <c r="Q780" s="73"/>
      <c r="R780" s="73"/>
      <c r="S780" s="73"/>
      <c r="T780" s="73"/>
      <c r="U780" s="73"/>
      <c r="V780" s="73"/>
      <c r="W780" s="73"/>
      <c r="X780" s="73"/>
      <c r="Y780" s="73"/>
      <c r="Z780" s="73"/>
    </row>
    <row r="781">
      <c r="A781" s="73"/>
      <c r="B781" s="73"/>
      <c r="C781" s="73"/>
      <c r="D781" s="73"/>
      <c r="E781" s="73"/>
      <c r="F781" s="73"/>
      <c r="G781" s="73"/>
      <c r="H781" s="73"/>
      <c r="I781" s="73"/>
      <c r="J781" s="73"/>
      <c r="K781" s="73"/>
      <c r="L781" s="73"/>
      <c r="M781" s="73"/>
      <c r="N781" s="73"/>
      <c r="O781" s="73"/>
      <c r="P781" s="73"/>
      <c r="Q781" s="73"/>
      <c r="R781" s="73"/>
      <c r="S781" s="73"/>
      <c r="T781" s="73"/>
      <c r="U781" s="73"/>
      <c r="V781" s="73"/>
      <c r="W781" s="73"/>
      <c r="X781" s="73"/>
      <c r="Y781" s="73"/>
      <c r="Z781" s="73"/>
    </row>
    <row r="782">
      <c r="A782" s="73"/>
      <c r="B782" s="73"/>
      <c r="C782" s="73"/>
      <c r="D782" s="73"/>
      <c r="E782" s="73"/>
      <c r="F782" s="73"/>
      <c r="G782" s="73"/>
      <c r="H782" s="73"/>
      <c r="I782" s="73"/>
      <c r="J782" s="73"/>
      <c r="K782" s="73"/>
      <c r="L782" s="73"/>
      <c r="M782" s="73"/>
      <c r="N782" s="73"/>
      <c r="O782" s="73"/>
      <c r="P782" s="73"/>
      <c r="Q782" s="73"/>
      <c r="R782" s="73"/>
      <c r="S782" s="73"/>
      <c r="T782" s="73"/>
      <c r="U782" s="73"/>
      <c r="V782" s="73"/>
      <c r="W782" s="73"/>
      <c r="X782" s="73"/>
      <c r="Y782" s="73"/>
      <c r="Z782" s="73"/>
    </row>
    <row r="783">
      <c r="A783" s="73"/>
      <c r="B783" s="73"/>
      <c r="C783" s="73"/>
      <c r="D783" s="73"/>
      <c r="E783" s="73"/>
      <c r="F783" s="73"/>
      <c r="G783" s="73"/>
      <c r="H783" s="73"/>
      <c r="I783" s="73"/>
      <c r="J783" s="73"/>
      <c r="K783" s="73"/>
      <c r="L783" s="73"/>
      <c r="M783" s="73"/>
      <c r="N783" s="73"/>
      <c r="O783" s="73"/>
      <c r="P783" s="73"/>
      <c r="Q783" s="73"/>
      <c r="R783" s="73"/>
      <c r="S783" s="73"/>
      <c r="T783" s="73"/>
      <c r="U783" s="73"/>
      <c r="V783" s="73"/>
      <c r="W783" s="73"/>
      <c r="X783" s="73"/>
      <c r="Y783" s="73"/>
      <c r="Z783" s="73"/>
    </row>
    <row r="784">
      <c r="A784" s="73"/>
      <c r="B784" s="73"/>
      <c r="C784" s="73"/>
      <c r="D784" s="73"/>
      <c r="E784" s="73"/>
      <c r="F784" s="73"/>
      <c r="G784" s="73"/>
      <c r="H784" s="73"/>
      <c r="I784" s="73"/>
      <c r="J784" s="73"/>
      <c r="K784" s="73"/>
      <c r="L784" s="73"/>
      <c r="M784" s="73"/>
      <c r="N784" s="73"/>
      <c r="O784" s="73"/>
      <c r="P784" s="73"/>
      <c r="Q784" s="73"/>
      <c r="R784" s="73"/>
      <c r="S784" s="73"/>
      <c r="T784" s="73"/>
      <c r="U784" s="73"/>
      <c r="V784" s="73"/>
      <c r="W784" s="73"/>
      <c r="X784" s="73"/>
      <c r="Y784" s="73"/>
      <c r="Z784" s="73"/>
    </row>
    <row r="785">
      <c r="A785" s="73"/>
      <c r="B785" s="73"/>
      <c r="C785" s="73"/>
      <c r="D785" s="73"/>
      <c r="E785" s="73"/>
      <c r="F785" s="73"/>
      <c r="G785" s="73"/>
      <c r="H785" s="73"/>
      <c r="I785" s="73"/>
      <c r="J785" s="73"/>
      <c r="K785" s="73"/>
      <c r="L785" s="73"/>
      <c r="M785" s="73"/>
      <c r="N785" s="73"/>
      <c r="O785" s="73"/>
      <c r="P785" s="73"/>
      <c r="Q785" s="73"/>
      <c r="R785" s="73"/>
      <c r="S785" s="73"/>
      <c r="T785" s="73"/>
      <c r="U785" s="73"/>
      <c r="V785" s="73"/>
      <c r="W785" s="73"/>
      <c r="X785" s="73"/>
      <c r="Y785" s="73"/>
      <c r="Z785" s="73"/>
    </row>
    <row r="786">
      <c r="A786" s="73"/>
      <c r="B786" s="73"/>
      <c r="C786" s="73"/>
      <c r="D786" s="73"/>
      <c r="E786" s="73"/>
      <c r="F786" s="73"/>
      <c r="G786" s="73"/>
      <c r="H786" s="73"/>
      <c r="I786" s="73"/>
      <c r="J786" s="73"/>
      <c r="K786" s="73"/>
      <c r="L786" s="73"/>
      <c r="M786" s="73"/>
      <c r="N786" s="73"/>
      <c r="O786" s="73"/>
      <c r="P786" s="73"/>
      <c r="Q786" s="73"/>
      <c r="R786" s="73"/>
      <c r="S786" s="73"/>
      <c r="T786" s="73"/>
      <c r="U786" s="73"/>
      <c r="V786" s="73"/>
      <c r="W786" s="73"/>
      <c r="X786" s="73"/>
      <c r="Y786" s="73"/>
      <c r="Z786" s="73"/>
    </row>
    <row r="787">
      <c r="A787" s="73"/>
      <c r="B787" s="73"/>
      <c r="C787" s="73"/>
      <c r="D787" s="73"/>
      <c r="E787" s="73"/>
      <c r="F787" s="73"/>
      <c r="G787" s="73"/>
      <c r="H787" s="73"/>
      <c r="I787" s="73"/>
      <c r="J787" s="73"/>
      <c r="K787" s="73"/>
      <c r="L787" s="73"/>
      <c r="M787" s="73"/>
      <c r="N787" s="73"/>
      <c r="O787" s="73"/>
      <c r="P787" s="73"/>
      <c r="Q787" s="73"/>
      <c r="R787" s="73"/>
      <c r="S787" s="73"/>
      <c r="T787" s="73"/>
      <c r="U787" s="73"/>
      <c r="V787" s="73"/>
      <c r="W787" s="73"/>
      <c r="X787" s="73"/>
      <c r="Y787" s="73"/>
      <c r="Z787" s="73"/>
    </row>
    <row r="788">
      <c r="A788" s="73"/>
      <c r="B788" s="73"/>
      <c r="C788" s="73"/>
      <c r="D788" s="73"/>
      <c r="E788" s="73"/>
      <c r="F788" s="73"/>
      <c r="G788" s="73"/>
      <c r="H788" s="73"/>
      <c r="I788" s="73"/>
      <c r="J788" s="73"/>
      <c r="K788" s="73"/>
      <c r="L788" s="73"/>
      <c r="M788" s="73"/>
      <c r="N788" s="73"/>
      <c r="O788" s="73"/>
      <c r="P788" s="73"/>
      <c r="Q788" s="73"/>
      <c r="R788" s="73"/>
      <c r="S788" s="73"/>
      <c r="T788" s="73"/>
      <c r="U788" s="73"/>
      <c r="V788" s="73"/>
      <c r="W788" s="73"/>
      <c r="X788" s="73"/>
      <c r="Y788" s="73"/>
      <c r="Z788" s="73"/>
    </row>
    <row r="789">
      <c r="A789" s="73"/>
      <c r="B789" s="73"/>
      <c r="C789" s="73"/>
      <c r="D789" s="73"/>
      <c r="E789" s="73"/>
      <c r="F789" s="73"/>
      <c r="G789" s="73"/>
      <c r="H789" s="73"/>
      <c r="I789" s="73"/>
      <c r="J789" s="73"/>
      <c r="K789" s="73"/>
      <c r="L789" s="73"/>
      <c r="M789" s="73"/>
      <c r="N789" s="73"/>
      <c r="O789" s="73"/>
      <c r="P789" s="73"/>
      <c r="Q789" s="73"/>
      <c r="R789" s="73"/>
      <c r="S789" s="73"/>
      <c r="T789" s="73"/>
      <c r="U789" s="73"/>
      <c r="V789" s="73"/>
      <c r="W789" s="73"/>
      <c r="X789" s="73"/>
      <c r="Y789" s="73"/>
      <c r="Z789" s="73"/>
    </row>
    <row r="790">
      <c r="A790" s="73"/>
      <c r="B790" s="73"/>
      <c r="C790" s="73"/>
      <c r="D790" s="73"/>
      <c r="E790" s="73"/>
      <c r="F790" s="73"/>
      <c r="G790" s="73"/>
      <c r="H790" s="73"/>
      <c r="I790" s="73"/>
      <c r="J790" s="73"/>
      <c r="K790" s="73"/>
      <c r="L790" s="73"/>
      <c r="M790" s="73"/>
      <c r="N790" s="73"/>
      <c r="O790" s="73"/>
      <c r="P790" s="73"/>
      <c r="Q790" s="73"/>
      <c r="R790" s="73"/>
      <c r="S790" s="73"/>
      <c r="T790" s="73"/>
      <c r="U790" s="73"/>
      <c r="V790" s="73"/>
      <c r="W790" s="73"/>
      <c r="X790" s="73"/>
      <c r="Y790" s="73"/>
      <c r="Z790" s="73"/>
    </row>
    <row r="791">
      <c r="A791" s="73"/>
      <c r="B791" s="73"/>
      <c r="C791" s="73"/>
      <c r="D791" s="73"/>
      <c r="E791" s="73"/>
      <c r="F791" s="73"/>
      <c r="G791" s="73"/>
      <c r="H791" s="73"/>
      <c r="I791" s="73"/>
      <c r="J791" s="73"/>
      <c r="K791" s="73"/>
      <c r="L791" s="73"/>
      <c r="M791" s="73"/>
      <c r="N791" s="73"/>
      <c r="O791" s="73"/>
      <c r="P791" s="73"/>
      <c r="Q791" s="73"/>
      <c r="R791" s="73"/>
      <c r="S791" s="73"/>
      <c r="T791" s="73"/>
      <c r="U791" s="73"/>
      <c r="V791" s="73"/>
      <c r="W791" s="73"/>
      <c r="X791" s="73"/>
      <c r="Y791" s="73"/>
      <c r="Z791" s="73"/>
    </row>
    <row r="792">
      <c r="A792" s="73"/>
      <c r="B792" s="73"/>
      <c r="C792" s="73"/>
      <c r="D792" s="73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73"/>
      <c r="V792" s="73"/>
      <c r="W792" s="73"/>
      <c r="X792" s="73"/>
      <c r="Y792" s="73"/>
      <c r="Z792" s="73"/>
    </row>
    <row r="793">
      <c r="A793" s="73"/>
      <c r="B793" s="73"/>
      <c r="C793" s="73"/>
      <c r="D793" s="73"/>
      <c r="E793" s="73"/>
      <c r="F793" s="73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73"/>
      <c r="U793" s="73"/>
      <c r="V793" s="73"/>
      <c r="W793" s="73"/>
      <c r="X793" s="73"/>
      <c r="Y793" s="73"/>
      <c r="Z793" s="73"/>
    </row>
    <row r="794">
      <c r="A794" s="73"/>
      <c r="B794" s="73"/>
      <c r="C794" s="73"/>
      <c r="D794" s="73"/>
      <c r="E794" s="73"/>
      <c r="F794" s="73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73"/>
      <c r="U794" s="73"/>
      <c r="V794" s="73"/>
      <c r="W794" s="73"/>
      <c r="X794" s="73"/>
      <c r="Y794" s="73"/>
      <c r="Z794" s="73"/>
    </row>
    <row r="795">
      <c r="A795" s="73"/>
      <c r="B795" s="73"/>
      <c r="C795" s="73"/>
      <c r="D795" s="73"/>
      <c r="E795" s="73"/>
      <c r="F795" s="73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73"/>
      <c r="U795" s="73"/>
      <c r="V795" s="73"/>
      <c r="W795" s="73"/>
      <c r="X795" s="73"/>
      <c r="Y795" s="73"/>
      <c r="Z795" s="73"/>
    </row>
    <row r="796">
      <c r="A796" s="73"/>
      <c r="B796" s="73"/>
      <c r="C796" s="73"/>
      <c r="D796" s="73"/>
      <c r="E796" s="73"/>
      <c r="F796" s="73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73"/>
      <c r="U796" s="73"/>
      <c r="V796" s="73"/>
      <c r="W796" s="73"/>
      <c r="X796" s="73"/>
      <c r="Y796" s="73"/>
      <c r="Z796" s="73"/>
    </row>
    <row r="797">
      <c r="A797" s="73"/>
      <c r="B797" s="73"/>
      <c r="C797" s="73"/>
      <c r="D797" s="73"/>
      <c r="E797" s="73"/>
      <c r="F797" s="73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73"/>
      <c r="U797" s="73"/>
      <c r="V797" s="73"/>
      <c r="W797" s="73"/>
      <c r="X797" s="73"/>
      <c r="Y797" s="73"/>
      <c r="Z797" s="73"/>
    </row>
    <row r="798">
      <c r="A798" s="73"/>
      <c r="B798" s="73"/>
      <c r="C798" s="73"/>
      <c r="D798" s="73"/>
      <c r="E798" s="73"/>
      <c r="F798" s="73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73"/>
      <c r="U798" s="73"/>
      <c r="V798" s="73"/>
      <c r="W798" s="73"/>
      <c r="X798" s="73"/>
      <c r="Y798" s="73"/>
      <c r="Z798" s="73"/>
    </row>
    <row r="799">
      <c r="A799" s="73"/>
      <c r="B799" s="73"/>
      <c r="C799" s="73"/>
      <c r="D799" s="73"/>
      <c r="E799" s="73"/>
      <c r="F799" s="73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73"/>
      <c r="U799" s="73"/>
      <c r="V799" s="73"/>
      <c r="W799" s="73"/>
      <c r="X799" s="73"/>
      <c r="Y799" s="73"/>
      <c r="Z799" s="73"/>
    </row>
    <row r="800">
      <c r="A800" s="73"/>
      <c r="B800" s="73"/>
      <c r="C800" s="73"/>
      <c r="D800" s="73"/>
      <c r="E800" s="73"/>
      <c r="F800" s="73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73"/>
      <c r="U800" s="73"/>
      <c r="V800" s="73"/>
      <c r="W800" s="73"/>
      <c r="X800" s="73"/>
      <c r="Y800" s="73"/>
      <c r="Z800" s="73"/>
    </row>
    <row r="801">
      <c r="A801" s="73"/>
      <c r="B801" s="73"/>
      <c r="C801" s="73"/>
      <c r="D801" s="73"/>
      <c r="E801" s="73"/>
      <c r="F801" s="73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73"/>
      <c r="U801" s="73"/>
      <c r="V801" s="73"/>
      <c r="W801" s="73"/>
      <c r="X801" s="73"/>
      <c r="Y801" s="73"/>
      <c r="Z801" s="73"/>
    </row>
    <row r="802">
      <c r="A802" s="73"/>
      <c r="B802" s="73"/>
      <c r="C802" s="73"/>
      <c r="D802" s="73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73"/>
      <c r="U802" s="73"/>
      <c r="V802" s="73"/>
      <c r="W802" s="73"/>
      <c r="X802" s="73"/>
      <c r="Y802" s="73"/>
      <c r="Z802" s="73"/>
    </row>
    <row r="803">
      <c r="A803" s="73"/>
      <c r="B803" s="73"/>
      <c r="C803" s="73"/>
      <c r="D803" s="73"/>
      <c r="E803" s="73"/>
      <c r="F803" s="73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73"/>
      <c r="U803" s="73"/>
      <c r="V803" s="73"/>
      <c r="W803" s="73"/>
      <c r="X803" s="73"/>
      <c r="Y803" s="73"/>
      <c r="Z803" s="73"/>
    </row>
    <row r="804">
      <c r="A804" s="73"/>
      <c r="B804" s="73"/>
      <c r="C804" s="73"/>
      <c r="D804" s="73"/>
      <c r="E804" s="73"/>
      <c r="F804" s="73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73"/>
      <c r="U804" s="73"/>
      <c r="V804" s="73"/>
      <c r="W804" s="73"/>
      <c r="X804" s="73"/>
      <c r="Y804" s="73"/>
      <c r="Z804" s="73"/>
    </row>
    <row r="805">
      <c r="A805" s="73"/>
      <c r="B805" s="73"/>
      <c r="C805" s="73"/>
      <c r="D805" s="73"/>
      <c r="E805" s="73"/>
      <c r="F805" s="73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73"/>
      <c r="U805" s="73"/>
      <c r="V805" s="73"/>
      <c r="W805" s="73"/>
      <c r="X805" s="73"/>
      <c r="Y805" s="73"/>
      <c r="Z805" s="73"/>
    </row>
    <row r="806">
      <c r="A806" s="73"/>
      <c r="B806" s="73"/>
      <c r="C806" s="73"/>
      <c r="D806" s="73"/>
      <c r="E806" s="73"/>
      <c r="F806" s="73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73"/>
      <c r="U806" s="73"/>
      <c r="V806" s="73"/>
      <c r="W806" s="73"/>
      <c r="X806" s="73"/>
      <c r="Y806" s="73"/>
      <c r="Z806" s="73"/>
    </row>
    <row r="807">
      <c r="A807" s="73"/>
      <c r="B807" s="73"/>
      <c r="C807" s="73"/>
      <c r="D807" s="73"/>
      <c r="E807" s="73"/>
      <c r="F807" s="73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73"/>
      <c r="U807" s="73"/>
      <c r="V807" s="73"/>
      <c r="W807" s="73"/>
      <c r="X807" s="73"/>
      <c r="Y807" s="73"/>
      <c r="Z807" s="73"/>
    </row>
    <row r="808">
      <c r="A808" s="73"/>
      <c r="B808" s="73"/>
      <c r="C808" s="73"/>
      <c r="D808" s="73"/>
      <c r="E808" s="73"/>
      <c r="F808" s="73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73"/>
      <c r="U808" s="73"/>
      <c r="V808" s="73"/>
      <c r="W808" s="73"/>
      <c r="X808" s="73"/>
      <c r="Y808" s="73"/>
      <c r="Z808" s="73"/>
    </row>
    <row r="809">
      <c r="A809" s="73"/>
      <c r="B809" s="73"/>
      <c r="C809" s="73"/>
      <c r="D809" s="73"/>
      <c r="E809" s="73"/>
      <c r="F809" s="73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73"/>
      <c r="U809" s="73"/>
      <c r="V809" s="73"/>
      <c r="W809" s="73"/>
      <c r="X809" s="73"/>
      <c r="Y809" s="73"/>
      <c r="Z809" s="73"/>
    </row>
    <row r="810">
      <c r="A810" s="73"/>
      <c r="B810" s="73"/>
      <c r="C810" s="73"/>
      <c r="D810" s="73"/>
      <c r="E810" s="73"/>
      <c r="F810" s="73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73"/>
      <c r="U810" s="73"/>
      <c r="V810" s="73"/>
      <c r="W810" s="73"/>
      <c r="X810" s="73"/>
      <c r="Y810" s="73"/>
      <c r="Z810" s="73"/>
    </row>
    <row r="811">
      <c r="A811" s="73"/>
      <c r="B811" s="73"/>
      <c r="C811" s="73"/>
      <c r="D811" s="73"/>
      <c r="E811" s="73"/>
      <c r="F811" s="73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73"/>
      <c r="U811" s="73"/>
      <c r="V811" s="73"/>
      <c r="W811" s="73"/>
      <c r="X811" s="73"/>
      <c r="Y811" s="73"/>
      <c r="Z811" s="73"/>
    </row>
    <row r="812">
      <c r="A812" s="73"/>
      <c r="B812" s="73"/>
      <c r="C812" s="73"/>
      <c r="D812" s="73"/>
      <c r="E812" s="73"/>
      <c r="F812" s="73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73"/>
      <c r="U812" s="73"/>
      <c r="V812" s="73"/>
      <c r="W812" s="73"/>
      <c r="X812" s="73"/>
      <c r="Y812" s="73"/>
      <c r="Z812" s="73"/>
    </row>
    <row r="813">
      <c r="A813" s="73"/>
      <c r="B813" s="73"/>
      <c r="C813" s="73"/>
      <c r="D813" s="73"/>
      <c r="E813" s="73"/>
      <c r="F813" s="73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73"/>
      <c r="U813" s="73"/>
      <c r="V813" s="73"/>
      <c r="W813" s="73"/>
      <c r="X813" s="73"/>
      <c r="Y813" s="73"/>
      <c r="Z813" s="73"/>
    </row>
    <row r="814">
      <c r="A814" s="73"/>
      <c r="B814" s="73"/>
      <c r="C814" s="73"/>
      <c r="D814" s="73"/>
      <c r="E814" s="73"/>
      <c r="F814" s="73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73"/>
      <c r="U814" s="73"/>
      <c r="V814" s="73"/>
      <c r="W814" s="73"/>
      <c r="X814" s="73"/>
      <c r="Y814" s="73"/>
      <c r="Z814" s="73"/>
    </row>
    <row r="815">
      <c r="A815" s="73"/>
      <c r="B815" s="73"/>
      <c r="C815" s="73"/>
      <c r="D815" s="73"/>
      <c r="E815" s="73"/>
      <c r="F815" s="73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73"/>
      <c r="U815" s="73"/>
      <c r="V815" s="73"/>
      <c r="W815" s="73"/>
      <c r="X815" s="73"/>
      <c r="Y815" s="73"/>
      <c r="Z815" s="73"/>
    </row>
    <row r="816">
      <c r="A816" s="73"/>
      <c r="B816" s="73"/>
      <c r="C816" s="73"/>
      <c r="D816" s="73"/>
      <c r="E816" s="73"/>
      <c r="F816" s="73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73"/>
      <c r="U816" s="73"/>
      <c r="V816" s="73"/>
      <c r="W816" s="73"/>
      <c r="X816" s="73"/>
      <c r="Y816" s="73"/>
      <c r="Z816" s="73"/>
    </row>
    <row r="817">
      <c r="A817" s="73"/>
      <c r="B817" s="73"/>
      <c r="C817" s="73"/>
      <c r="D817" s="73"/>
      <c r="E817" s="73"/>
      <c r="F817" s="73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73"/>
      <c r="U817" s="73"/>
      <c r="V817" s="73"/>
      <c r="W817" s="73"/>
      <c r="X817" s="73"/>
      <c r="Y817" s="73"/>
      <c r="Z817" s="73"/>
    </row>
    <row r="818">
      <c r="A818" s="73"/>
      <c r="B818" s="73"/>
      <c r="C818" s="73"/>
      <c r="D818" s="73"/>
      <c r="E818" s="73"/>
      <c r="F818" s="73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73"/>
      <c r="U818" s="73"/>
      <c r="V818" s="73"/>
      <c r="W818" s="73"/>
      <c r="X818" s="73"/>
      <c r="Y818" s="73"/>
      <c r="Z818" s="73"/>
    </row>
    <row r="819">
      <c r="A819" s="73"/>
      <c r="B819" s="73"/>
      <c r="C819" s="73"/>
      <c r="D819" s="73"/>
      <c r="E819" s="73"/>
      <c r="F819" s="73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73"/>
      <c r="U819" s="73"/>
      <c r="V819" s="73"/>
      <c r="W819" s="73"/>
      <c r="X819" s="73"/>
      <c r="Y819" s="73"/>
      <c r="Z819" s="73"/>
    </row>
    <row r="820">
      <c r="A820" s="73"/>
      <c r="B820" s="73"/>
      <c r="C820" s="73"/>
      <c r="D820" s="73"/>
      <c r="E820" s="73"/>
      <c r="F820" s="73"/>
      <c r="G820" s="73"/>
      <c r="H820" s="73"/>
      <c r="I820" s="73"/>
      <c r="J820" s="73"/>
      <c r="K820" s="73"/>
      <c r="L820" s="73"/>
      <c r="M820" s="73"/>
      <c r="N820" s="73"/>
      <c r="O820" s="73"/>
      <c r="P820" s="73"/>
      <c r="Q820" s="73"/>
      <c r="R820" s="73"/>
      <c r="S820" s="73"/>
      <c r="T820" s="73"/>
      <c r="U820" s="73"/>
      <c r="V820" s="73"/>
      <c r="W820" s="73"/>
      <c r="X820" s="73"/>
      <c r="Y820" s="73"/>
      <c r="Z820" s="73"/>
    </row>
    <row r="821">
      <c r="A821" s="73"/>
      <c r="B821" s="73"/>
      <c r="C821" s="73"/>
      <c r="D821" s="73"/>
      <c r="E821" s="73"/>
      <c r="F821" s="73"/>
      <c r="G821" s="73"/>
      <c r="H821" s="73"/>
      <c r="I821" s="73"/>
      <c r="J821" s="73"/>
      <c r="K821" s="73"/>
      <c r="L821" s="73"/>
      <c r="M821" s="73"/>
      <c r="N821" s="73"/>
      <c r="O821" s="73"/>
      <c r="P821" s="73"/>
      <c r="Q821" s="73"/>
      <c r="R821" s="73"/>
      <c r="S821" s="73"/>
      <c r="T821" s="73"/>
      <c r="U821" s="73"/>
      <c r="V821" s="73"/>
      <c r="W821" s="73"/>
      <c r="X821" s="73"/>
      <c r="Y821" s="73"/>
      <c r="Z821" s="73"/>
    </row>
    <row r="822">
      <c r="A822" s="73"/>
      <c r="B822" s="73"/>
      <c r="C822" s="73"/>
      <c r="D822" s="73"/>
      <c r="E822" s="73"/>
      <c r="F822" s="73"/>
      <c r="G822" s="73"/>
      <c r="H822" s="73"/>
      <c r="I822" s="73"/>
      <c r="J822" s="73"/>
      <c r="K822" s="73"/>
      <c r="L822" s="73"/>
      <c r="M822" s="73"/>
      <c r="N822" s="73"/>
      <c r="O822" s="73"/>
      <c r="P822" s="73"/>
      <c r="Q822" s="73"/>
      <c r="R822" s="73"/>
      <c r="S822" s="73"/>
      <c r="T822" s="73"/>
      <c r="U822" s="73"/>
      <c r="V822" s="73"/>
      <c r="W822" s="73"/>
      <c r="X822" s="73"/>
      <c r="Y822" s="73"/>
      <c r="Z822" s="73"/>
    </row>
    <row r="823">
      <c r="A823" s="73"/>
      <c r="B823" s="73"/>
      <c r="C823" s="73"/>
      <c r="D823" s="73"/>
      <c r="E823" s="73"/>
      <c r="F823" s="73"/>
      <c r="G823" s="73"/>
      <c r="H823" s="73"/>
      <c r="I823" s="73"/>
      <c r="J823" s="73"/>
      <c r="K823" s="73"/>
      <c r="L823" s="73"/>
      <c r="M823" s="73"/>
      <c r="N823" s="73"/>
      <c r="O823" s="73"/>
      <c r="P823" s="73"/>
      <c r="Q823" s="73"/>
      <c r="R823" s="73"/>
      <c r="S823" s="73"/>
      <c r="T823" s="73"/>
      <c r="U823" s="73"/>
      <c r="V823" s="73"/>
      <c r="W823" s="73"/>
      <c r="X823" s="73"/>
      <c r="Y823" s="73"/>
      <c r="Z823" s="73"/>
    </row>
    <row r="824">
      <c r="A824" s="73"/>
      <c r="B824" s="73"/>
      <c r="C824" s="73"/>
      <c r="D824" s="73"/>
      <c r="E824" s="73"/>
      <c r="F824" s="73"/>
      <c r="G824" s="73"/>
      <c r="H824" s="73"/>
      <c r="I824" s="73"/>
      <c r="J824" s="73"/>
      <c r="K824" s="73"/>
      <c r="L824" s="73"/>
      <c r="M824" s="73"/>
      <c r="N824" s="73"/>
      <c r="O824" s="73"/>
      <c r="P824" s="73"/>
      <c r="Q824" s="73"/>
      <c r="R824" s="73"/>
      <c r="S824" s="73"/>
      <c r="T824" s="73"/>
      <c r="U824" s="73"/>
      <c r="V824" s="73"/>
      <c r="W824" s="73"/>
      <c r="X824" s="73"/>
      <c r="Y824" s="73"/>
      <c r="Z824" s="73"/>
    </row>
    <row r="825">
      <c r="A825" s="73"/>
      <c r="B825" s="73"/>
      <c r="C825" s="73"/>
      <c r="D825" s="73"/>
      <c r="E825" s="73"/>
      <c r="F825" s="73"/>
      <c r="G825" s="73"/>
      <c r="H825" s="73"/>
      <c r="I825" s="73"/>
      <c r="J825" s="73"/>
      <c r="K825" s="73"/>
      <c r="L825" s="73"/>
      <c r="M825" s="73"/>
      <c r="N825" s="73"/>
      <c r="O825" s="73"/>
      <c r="P825" s="73"/>
      <c r="Q825" s="73"/>
      <c r="R825" s="73"/>
      <c r="S825" s="73"/>
      <c r="T825" s="73"/>
      <c r="U825" s="73"/>
      <c r="V825" s="73"/>
      <c r="W825" s="73"/>
      <c r="X825" s="73"/>
      <c r="Y825" s="73"/>
      <c r="Z825" s="73"/>
    </row>
    <row r="826">
      <c r="A826" s="73"/>
      <c r="B826" s="73"/>
      <c r="C826" s="73"/>
      <c r="D826" s="73"/>
      <c r="E826" s="73"/>
      <c r="F826" s="73"/>
      <c r="G826" s="73"/>
      <c r="H826" s="73"/>
      <c r="I826" s="73"/>
      <c r="J826" s="73"/>
      <c r="K826" s="73"/>
      <c r="L826" s="73"/>
      <c r="M826" s="73"/>
      <c r="N826" s="73"/>
      <c r="O826" s="73"/>
      <c r="P826" s="73"/>
      <c r="Q826" s="73"/>
      <c r="R826" s="73"/>
      <c r="S826" s="73"/>
      <c r="T826" s="73"/>
      <c r="U826" s="73"/>
      <c r="V826" s="73"/>
      <c r="W826" s="73"/>
      <c r="X826" s="73"/>
      <c r="Y826" s="73"/>
      <c r="Z826" s="73"/>
    </row>
    <row r="827">
      <c r="A827" s="73"/>
      <c r="B827" s="73"/>
      <c r="C827" s="73"/>
      <c r="D827" s="73"/>
      <c r="E827" s="73"/>
      <c r="F827" s="73"/>
      <c r="G827" s="73"/>
      <c r="H827" s="73"/>
      <c r="I827" s="73"/>
      <c r="J827" s="73"/>
      <c r="K827" s="73"/>
      <c r="L827" s="73"/>
      <c r="M827" s="73"/>
      <c r="N827" s="73"/>
      <c r="O827" s="73"/>
      <c r="P827" s="73"/>
      <c r="Q827" s="73"/>
      <c r="R827" s="73"/>
      <c r="S827" s="73"/>
      <c r="T827" s="73"/>
      <c r="U827" s="73"/>
      <c r="V827" s="73"/>
      <c r="W827" s="73"/>
      <c r="X827" s="73"/>
      <c r="Y827" s="73"/>
      <c r="Z827" s="73"/>
    </row>
    <row r="828">
      <c r="A828" s="73"/>
      <c r="B828" s="73"/>
      <c r="C828" s="73"/>
      <c r="D828" s="73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  <c r="Z828" s="73"/>
    </row>
    <row r="829">
      <c r="A829" s="73"/>
      <c r="B829" s="73"/>
      <c r="C829" s="73"/>
      <c r="D829" s="73"/>
      <c r="E829" s="73"/>
      <c r="F829" s="73"/>
      <c r="G829" s="73"/>
      <c r="H829" s="73"/>
      <c r="I829" s="73"/>
      <c r="J829" s="73"/>
      <c r="K829" s="73"/>
      <c r="L829" s="73"/>
      <c r="M829" s="73"/>
      <c r="N829" s="73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3"/>
      <c r="Z829" s="73"/>
    </row>
    <row r="830">
      <c r="A830" s="73"/>
      <c r="B830" s="73"/>
      <c r="C830" s="73"/>
      <c r="D830" s="73"/>
      <c r="E830" s="73"/>
      <c r="F830" s="73"/>
      <c r="G830" s="73"/>
      <c r="H830" s="73"/>
      <c r="I830" s="73"/>
      <c r="J830" s="73"/>
      <c r="K830" s="73"/>
      <c r="L830" s="73"/>
      <c r="M830" s="73"/>
      <c r="N830" s="73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3"/>
      <c r="Z830" s="73"/>
    </row>
    <row r="831">
      <c r="A831" s="73"/>
      <c r="B831" s="73"/>
      <c r="C831" s="73"/>
      <c r="D831" s="73"/>
      <c r="E831" s="73"/>
      <c r="F831" s="73"/>
      <c r="G831" s="73"/>
      <c r="H831" s="73"/>
      <c r="I831" s="73"/>
      <c r="J831" s="73"/>
      <c r="K831" s="73"/>
      <c r="L831" s="73"/>
      <c r="M831" s="73"/>
      <c r="N831" s="73"/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3"/>
      <c r="Z831" s="73"/>
    </row>
    <row r="832">
      <c r="A832" s="73"/>
      <c r="B832" s="73"/>
      <c r="C832" s="73"/>
      <c r="D832" s="73"/>
      <c r="E832" s="73"/>
      <c r="F832" s="73"/>
      <c r="G832" s="73"/>
      <c r="H832" s="73"/>
      <c r="I832" s="73"/>
      <c r="J832" s="73"/>
      <c r="K832" s="73"/>
      <c r="L832" s="73"/>
      <c r="M832" s="73"/>
      <c r="N832" s="73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3"/>
      <c r="Z832" s="73"/>
    </row>
    <row r="833">
      <c r="A833" s="73"/>
      <c r="B833" s="73"/>
      <c r="C833" s="73"/>
      <c r="D833" s="73"/>
      <c r="E833" s="73"/>
      <c r="F833" s="73"/>
      <c r="G833" s="73"/>
      <c r="H833" s="73"/>
      <c r="I833" s="73"/>
      <c r="J833" s="73"/>
      <c r="K833" s="73"/>
      <c r="L833" s="73"/>
      <c r="M833" s="73"/>
      <c r="N833" s="73"/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3"/>
      <c r="Z833" s="73"/>
    </row>
    <row r="834">
      <c r="A834" s="73"/>
      <c r="B834" s="73"/>
      <c r="C834" s="73"/>
      <c r="D834" s="73"/>
      <c r="E834" s="73"/>
      <c r="F834" s="73"/>
      <c r="G834" s="73"/>
      <c r="H834" s="73"/>
      <c r="I834" s="73"/>
      <c r="J834" s="73"/>
      <c r="K834" s="73"/>
      <c r="L834" s="73"/>
      <c r="M834" s="73"/>
      <c r="N834" s="73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3"/>
      <c r="Z834" s="73"/>
    </row>
    <row r="835">
      <c r="A835" s="73"/>
      <c r="B835" s="73"/>
      <c r="C835" s="73"/>
      <c r="D835" s="73"/>
      <c r="E835" s="73"/>
      <c r="F835" s="73"/>
      <c r="G835" s="73"/>
      <c r="H835" s="73"/>
      <c r="I835" s="73"/>
      <c r="J835" s="73"/>
      <c r="K835" s="73"/>
      <c r="L835" s="73"/>
      <c r="M835" s="73"/>
      <c r="N835" s="73"/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3"/>
      <c r="Z835" s="73"/>
    </row>
    <row r="836">
      <c r="A836" s="73"/>
      <c r="B836" s="73"/>
      <c r="C836" s="73"/>
      <c r="D836" s="73"/>
      <c r="E836" s="73"/>
      <c r="F836" s="73"/>
      <c r="G836" s="73"/>
      <c r="H836" s="73"/>
      <c r="I836" s="73"/>
      <c r="J836" s="73"/>
      <c r="K836" s="73"/>
      <c r="L836" s="73"/>
      <c r="M836" s="73"/>
      <c r="N836" s="73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3"/>
      <c r="Z836" s="73"/>
    </row>
    <row r="837">
      <c r="A837" s="73"/>
      <c r="B837" s="73"/>
      <c r="C837" s="73"/>
      <c r="D837" s="73"/>
      <c r="E837" s="73"/>
      <c r="F837" s="73"/>
      <c r="G837" s="73"/>
      <c r="H837" s="73"/>
      <c r="I837" s="73"/>
      <c r="J837" s="73"/>
      <c r="K837" s="73"/>
      <c r="L837" s="73"/>
      <c r="M837" s="73"/>
      <c r="N837" s="73"/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3"/>
      <c r="Z837" s="73"/>
    </row>
    <row r="838">
      <c r="A838" s="73"/>
      <c r="B838" s="73"/>
      <c r="C838" s="73"/>
      <c r="D838" s="73"/>
      <c r="E838" s="73"/>
      <c r="F838" s="73"/>
      <c r="G838" s="73"/>
      <c r="H838" s="73"/>
      <c r="I838" s="73"/>
      <c r="J838" s="73"/>
      <c r="K838" s="73"/>
      <c r="L838" s="73"/>
      <c r="M838" s="73"/>
      <c r="N838" s="73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3"/>
      <c r="Z838" s="73"/>
    </row>
    <row r="839">
      <c r="A839" s="73"/>
      <c r="B839" s="73"/>
      <c r="C839" s="73"/>
      <c r="D839" s="73"/>
      <c r="E839" s="73"/>
      <c r="F839" s="73"/>
      <c r="G839" s="73"/>
      <c r="H839" s="73"/>
      <c r="I839" s="73"/>
      <c r="J839" s="73"/>
      <c r="K839" s="73"/>
      <c r="L839" s="73"/>
      <c r="M839" s="73"/>
      <c r="N839" s="73"/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3"/>
      <c r="Z839" s="73"/>
    </row>
    <row r="840">
      <c r="A840" s="73"/>
      <c r="B840" s="73"/>
      <c r="C840" s="73"/>
      <c r="D840" s="73"/>
      <c r="E840" s="73"/>
      <c r="F840" s="73"/>
      <c r="G840" s="73"/>
      <c r="H840" s="73"/>
      <c r="I840" s="73"/>
      <c r="J840" s="73"/>
      <c r="K840" s="73"/>
      <c r="L840" s="73"/>
      <c r="M840" s="73"/>
      <c r="N840" s="73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3"/>
      <c r="Z840" s="73"/>
    </row>
    <row r="841">
      <c r="A841" s="73"/>
      <c r="B841" s="73"/>
      <c r="C841" s="73"/>
      <c r="D841" s="73"/>
      <c r="E841" s="73"/>
      <c r="F841" s="73"/>
      <c r="G841" s="73"/>
      <c r="H841" s="73"/>
      <c r="I841" s="73"/>
      <c r="J841" s="73"/>
      <c r="K841" s="73"/>
      <c r="L841" s="73"/>
      <c r="M841" s="73"/>
      <c r="N841" s="73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3"/>
      <c r="Z841" s="73"/>
    </row>
    <row r="842">
      <c r="A842" s="73"/>
      <c r="B842" s="73"/>
      <c r="C842" s="73"/>
      <c r="D842" s="73"/>
      <c r="E842" s="73"/>
      <c r="F842" s="73"/>
      <c r="G842" s="73"/>
      <c r="H842" s="73"/>
      <c r="I842" s="73"/>
      <c r="J842" s="73"/>
      <c r="K842" s="73"/>
      <c r="L842" s="73"/>
      <c r="M842" s="73"/>
      <c r="N842" s="73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3"/>
      <c r="Z842" s="73"/>
    </row>
    <row r="843">
      <c r="A843" s="73"/>
      <c r="B843" s="73"/>
      <c r="C843" s="73"/>
      <c r="D843" s="73"/>
      <c r="E843" s="73"/>
      <c r="F843" s="73"/>
      <c r="G843" s="73"/>
      <c r="H843" s="73"/>
      <c r="I843" s="73"/>
      <c r="J843" s="73"/>
      <c r="K843" s="73"/>
      <c r="L843" s="73"/>
      <c r="M843" s="73"/>
      <c r="N843" s="7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3"/>
      <c r="Z843" s="73"/>
    </row>
    <row r="844">
      <c r="A844" s="73"/>
      <c r="B844" s="73"/>
      <c r="C844" s="73"/>
      <c r="D844" s="73"/>
      <c r="E844" s="73"/>
      <c r="F844" s="73"/>
      <c r="G844" s="73"/>
      <c r="H844" s="73"/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</row>
    <row r="845">
      <c r="A845" s="73"/>
      <c r="B845" s="73"/>
      <c r="C845" s="73"/>
      <c r="D845" s="73"/>
      <c r="E845" s="73"/>
      <c r="F845" s="73"/>
      <c r="G845" s="73"/>
      <c r="H845" s="73"/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</row>
    <row r="846">
      <c r="A846" s="73"/>
      <c r="B846" s="73"/>
      <c r="C846" s="73"/>
      <c r="D846" s="73"/>
      <c r="E846" s="73"/>
      <c r="F846" s="73"/>
      <c r="G846" s="73"/>
      <c r="H846" s="73"/>
      <c r="I846" s="73"/>
      <c r="J846" s="73"/>
      <c r="K846" s="73"/>
      <c r="L846" s="73"/>
      <c r="M846" s="73"/>
      <c r="N846" s="73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3"/>
      <c r="Z846" s="73"/>
    </row>
    <row r="847">
      <c r="A847" s="73"/>
      <c r="B847" s="73"/>
      <c r="C847" s="73"/>
      <c r="D847" s="73"/>
      <c r="E847" s="73"/>
      <c r="F847" s="73"/>
      <c r="G847" s="73"/>
      <c r="H847" s="73"/>
      <c r="I847" s="73"/>
      <c r="J847" s="73"/>
      <c r="K847" s="73"/>
      <c r="L847" s="73"/>
      <c r="M847" s="73"/>
      <c r="N847" s="73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3"/>
      <c r="Z847" s="73"/>
    </row>
    <row r="848">
      <c r="A848" s="73"/>
      <c r="B848" s="73"/>
      <c r="C848" s="73"/>
      <c r="D848" s="73"/>
      <c r="E848" s="73"/>
      <c r="F848" s="73"/>
      <c r="G848" s="73"/>
      <c r="H848" s="73"/>
      <c r="I848" s="73"/>
      <c r="J848" s="73"/>
      <c r="K848" s="73"/>
      <c r="L848" s="73"/>
      <c r="M848" s="73"/>
      <c r="N848" s="73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3"/>
      <c r="Z848" s="73"/>
    </row>
    <row r="849">
      <c r="A849" s="73"/>
      <c r="B849" s="73"/>
      <c r="C849" s="73"/>
      <c r="D849" s="73"/>
      <c r="E849" s="73"/>
      <c r="F849" s="73"/>
      <c r="G849" s="73"/>
      <c r="H849" s="73"/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</row>
    <row r="850">
      <c r="A850" s="73"/>
      <c r="B850" s="73"/>
      <c r="C850" s="73"/>
      <c r="D850" s="73"/>
      <c r="E850" s="73"/>
      <c r="F850" s="73"/>
      <c r="G850" s="73"/>
      <c r="H850" s="73"/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</row>
    <row r="851">
      <c r="A851" s="73"/>
      <c r="B851" s="73"/>
      <c r="C851" s="73"/>
      <c r="D851" s="73"/>
      <c r="E851" s="73"/>
      <c r="F851" s="73"/>
      <c r="G851" s="73"/>
      <c r="H851" s="73"/>
      <c r="I851" s="73"/>
      <c r="J851" s="73"/>
      <c r="K851" s="73"/>
      <c r="L851" s="73"/>
      <c r="M851" s="73"/>
      <c r="N851" s="73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3"/>
      <c r="Z851" s="73"/>
    </row>
    <row r="852">
      <c r="A852" s="73"/>
      <c r="B852" s="73"/>
      <c r="C852" s="73"/>
      <c r="D852" s="73"/>
      <c r="E852" s="73"/>
      <c r="F852" s="73"/>
      <c r="G852" s="73"/>
      <c r="H852" s="73"/>
      <c r="I852" s="73"/>
      <c r="J852" s="73"/>
      <c r="K852" s="73"/>
      <c r="L852" s="73"/>
      <c r="M852" s="73"/>
      <c r="N852" s="73"/>
      <c r="O852" s="73"/>
      <c r="P852" s="73"/>
      <c r="Q852" s="73"/>
      <c r="R852" s="73"/>
      <c r="S852" s="73"/>
      <c r="T852" s="73"/>
      <c r="U852" s="73"/>
      <c r="V852" s="73"/>
      <c r="W852" s="73"/>
      <c r="X852" s="73"/>
      <c r="Y852" s="73"/>
      <c r="Z852" s="73"/>
    </row>
    <row r="853">
      <c r="A853" s="73"/>
      <c r="B853" s="73"/>
      <c r="C853" s="73"/>
      <c r="D853" s="73"/>
      <c r="E853" s="73"/>
      <c r="F853" s="73"/>
      <c r="G853" s="73"/>
      <c r="H853" s="73"/>
      <c r="I853" s="73"/>
      <c r="J853" s="73"/>
      <c r="K853" s="73"/>
      <c r="L853" s="73"/>
      <c r="M853" s="73"/>
      <c r="N853" s="73"/>
      <c r="O853" s="73"/>
      <c r="P853" s="73"/>
      <c r="Q853" s="73"/>
      <c r="R853" s="73"/>
      <c r="S853" s="73"/>
      <c r="T853" s="73"/>
      <c r="U853" s="73"/>
      <c r="V853" s="73"/>
      <c r="W853" s="73"/>
      <c r="X853" s="73"/>
      <c r="Y853" s="73"/>
      <c r="Z853" s="73"/>
    </row>
    <row r="854">
      <c r="A854" s="73"/>
      <c r="B854" s="73"/>
      <c r="C854" s="73"/>
      <c r="D854" s="73"/>
      <c r="E854" s="73"/>
      <c r="F854" s="73"/>
      <c r="G854" s="73"/>
      <c r="H854" s="73"/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3"/>
      <c r="Z854" s="73"/>
    </row>
    <row r="855">
      <c r="A855" s="73"/>
      <c r="B855" s="73"/>
      <c r="C855" s="73"/>
      <c r="D855" s="73"/>
      <c r="E855" s="73"/>
      <c r="F855" s="73"/>
      <c r="G855" s="73"/>
      <c r="H855" s="73"/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3"/>
      <c r="Z855" s="73"/>
    </row>
    <row r="856">
      <c r="A856" s="73"/>
      <c r="B856" s="73"/>
      <c r="C856" s="73"/>
      <c r="D856" s="73"/>
      <c r="E856" s="73"/>
      <c r="F856" s="73"/>
      <c r="G856" s="73"/>
      <c r="H856" s="73"/>
      <c r="I856" s="73"/>
      <c r="J856" s="73"/>
      <c r="K856" s="73"/>
      <c r="L856" s="73"/>
      <c r="M856" s="73"/>
      <c r="N856" s="73"/>
      <c r="O856" s="73"/>
      <c r="P856" s="73"/>
      <c r="Q856" s="73"/>
      <c r="R856" s="73"/>
      <c r="S856" s="73"/>
      <c r="T856" s="73"/>
      <c r="U856" s="73"/>
      <c r="V856" s="73"/>
      <c r="W856" s="73"/>
      <c r="X856" s="73"/>
      <c r="Y856" s="73"/>
      <c r="Z856" s="73"/>
    </row>
    <row r="857">
      <c r="A857" s="73"/>
      <c r="B857" s="73"/>
      <c r="C857" s="73"/>
      <c r="D857" s="73"/>
      <c r="E857" s="73"/>
      <c r="F857" s="73"/>
      <c r="G857" s="73"/>
      <c r="H857" s="73"/>
      <c r="I857" s="73"/>
      <c r="J857" s="73"/>
      <c r="K857" s="73"/>
      <c r="L857" s="73"/>
      <c r="M857" s="73"/>
      <c r="N857" s="73"/>
      <c r="O857" s="73"/>
      <c r="P857" s="73"/>
      <c r="Q857" s="73"/>
      <c r="R857" s="73"/>
      <c r="S857" s="73"/>
      <c r="T857" s="73"/>
      <c r="U857" s="73"/>
      <c r="V857" s="73"/>
      <c r="W857" s="73"/>
      <c r="X857" s="73"/>
      <c r="Y857" s="73"/>
      <c r="Z857" s="73"/>
    </row>
    <row r="858">
      <c r="A858" s="73"/>
      <c r="B858" s="73"/>
      <c r="C858" s="73"/>
      <c r="D858" s="73"/>
      <c r="E858" s="73"/>
      <c r="F858" s="73"/>
      <c r="G858" s="73"/>
      <c r="H858" s="73"/>
      <c r="I858" s="73"/>
      <c r="J858" s="73"/>
      <c r="K858" s="73"/>
      <c r="L858" s="73"/>
      <c r="M858" s="73"/>
      <c r="N858" s="73"/>
      <c r="O858" s="73"/>
      <c r="P858" s="73"/>
      <c r="Q858" s="73"/>
      <c r="R858" s="73"/>
      <c r="S858" s="73"/>
      <c r="T858" s="73"/>
      <c r="U858" s="73"/>
      <c r="V858" s="73"/>
      <c r="W858" s="73"/>
      <c r="X858" s="73"/>
      <c r="Y858" s="73"/>
      <c r="Z858" s="73"/>
    </row>
    <row r="859">
      <c r="A859" s="73"/>
      <c r="B859" s="73"/>
      <c r="C859" s="73"/>
      <c r="D859" s="73"/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3"/>
      <c r="Z859" s="73"/>
    </row>
    <row r="860">
      <c r="A860" s="73"/>
      <c r="B860" s="73"/>
      <c r="C860" s="73"/>
      <c r="D860" s="73"/>
      <c r="E860" s="73"/>
      <c r="F860" s="73"/>
      <c r="G860" s="73"/>
      <c r="H860" s="73"/>
      <c r="I860" s="73"/>
      <c r="J860" s="73"/>
      <c r="K860" s="73"/>
      <c r="L860" s="73"/>
      <c r="M860" s="73"/>
      <c r="N860" s="73"/>
      <c r="O860" s="73"/>
      <c r="P860" s="73"/>
      <c r="Q860" s="73"/>
      <c r="R860" s="73"/>
      <c r="S860" s="73"/>
      <c r="T860" s="73"/>
      <c r="U860" s="73"/>
      <c r="V860" s="73"/>
      <c r="W860" s="73"/>
      <c r="X860" s="73"/>
      <c r="Y860" s="73"/>
      <c r="Z860" s="73"/>
    </row>
    <row r="861">
      <c r="A861" s="73"/>
      <c r="B861" s="73"/>
      <c r="C861" s="73"/>
      <c r="D861" s="73"/>
      <c r="E861" s="73"/>
      <c r="F861" s="73"/>
      <c r="G861" s="73"/>
      <c r="H861" s="73"/>
      <c r="I861" s="73"/>
      <c r="J861" s="73"/>
      <c r="K861" s="73"/>
      <c r="L861" s="73"/>
      <c r="M861" s="73"/>
      <c r="N861" s="73"/>
      <c r="O861" s="73"/>
      <c r="P861" s="73"/>
      <c r="Q861" s="73"/>
      <c r="R861" s="73"/>
      <c r="S861" s="73"/>
      <c r="T861" s="73"/>
      <c r="U861" s="73"/>
      <c r="V861" s="73"/>
      <c r="W861" s="73"/>
      <c r="X861" s="73"/>
      <c r="Y861" s="73"/>
      <c r="Z861" s="73"/>
    </row>
    <row r="862">
      <c r="A862" s="73"/>
      <c r="B862" s="73"/>
      <c r="C862" s="73"/>
      <c r="D862" s="73"/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3"/>
      <c r="Z862" s="73"/>
    </row>
    <row r="863">
      <c r="A863" s="73"/>
      <c r="B863" s="73"/>
      <c r="C863" s="73"/>
      <c r="D863" s="73"/>
      <c r="E863" s="73"/>
      <c r="F863" s="73"/>
      <c r="G863" s="73"/>
      <c r="H863" s="73"/>
      <c r="I863" s="73"/>
      <c r="J863" s="73"/>
      <c r="K863" s="73"/>
      <c r="L863" s="73"/>
      <c r="M863" s="73"/>
      <c r="N863" s="73"/>
      <c r="O863" s="73"/>
      <c r="P863" s="73"/>
      <c r="Q863" s="73"/>
      <c r="R863" s="73"/>
      <c r="S863" s="73"/>
      <c r="T863" s="73"/>
      <c r="U863" s="73"/>
      <c r="V863" s="73"/>
      <c r="W863" s="73"/>
      <c r="X863" s="73"/>
      <c r="Y863" s="73"/>
      <c r="Z863" s="73"/>
    </row>
    <row r="864">
      <c r="A864" s="73"/>
      <c r="B864" s="73"/>
      <c r="C864" s="73"/>
      <c r="D864" s="73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  <c r="Z864" s="73"/>
    </row>
    <row r="865">
      <c r="A865" s="73"/>
      <c r="B865" s="73"/>
      <c r="C865" s="73"/>
      <c r="D865" s="73"/>
      <c r="E865" s="73"/>
      <c r="F865" s="73"/>
      <c r="G865" s="73"/>
      <c r="H865" s="73"/>
      <c r="I865" s="73"/>
      <c r="J865" s="73"/>
      <c r="K865" s="73"/>
      <c r="L865" s="73"/>
      <c r="M865" s="73"/>
      <c r="N865" s="73"/>
      <c r="O865" s="73"/>
      <c r="P865" s="73"/>
      <c r="Q865" s="73"/>
      <c r="R865" s="73"/>
      <c r="S865" s="73"/>
      <c r="T865" s="73"/>
      <c r="U865" s="73"/>
      <c r="V865" s="73"/>
      <c r="W865" s="73"/>
      <c r="X865" s="73"/>
      <c r="Y865" s="73"/>
      <c r="Z865" s="73"/>
    </row>
    <row r="866">
      <c r="A866" s="73"/>
      <c r="B866" s="73"/>
      <c r="C866" s="73"/>
      <c r="D866" s="73"/>
      <c r="E866" s="73"/>
      <c r="F866" s="73"/>
      <c r="G866" s="73"/>
      <c r="H866" s="73"/>
      <c r="I866" s="73"/>
      <c r="J866" s="73"/>
      <c r="K866" s="73"/>
      <c r="L866" s="73"/>
      <c r="M866" s="73"/>
      <c r="N866" s="73"/>
      <c r="O866" s="73"/>
      <c r="P866" s="73"/>
      <c r="Q866" s="73"/>
      <c r="R866" s="73"/>
      <c r="S866" s="73"/>
      <c r="T866" s="73"/>
      <c r="U866" s="73"/>
      <c r="V866" s="73"/>
      <c r="W866" s="73"/>
      <c r="X866" s="73"/>
      <c r="Y866" s="73"/>
      <c r="Z866" s="73"/>
    </row>
    <row r="867">
      <c r="A867" s="73"/>
      <c r="B867" s="73"/>
      <c r="C867" s="73"/>
      <c r="D867" s="73"/>
      <c r="E867" s="73"/>
      <c r="F867" s="73"/>
      <c r="G867" s="73"/>
      <c r="H867" s="73"/>
      <c r="I867" s="73"/>
      <c r="J867" s="73"/>
      <c r="K867" s="73"/>
      <c r="L867" s="73"/>
      <c r="M867" s="73"/>
      <c r="N867" s="73"/>
      <c r="O867" s="73"/>
      <c r="P867" s="73"/>
      <c r="Q867" s="73"/>
      <c r="R867" s="73"/>
      <c r="S867" s="73"/>
      <c r="T867" s="73"/>
      <c r="U867" s="73"/>
      <c r="V867" s="73"/>
      <c r="W867" s="73"/>
      <c r="X867" s="73"/>
      <c r="Y867" s="73"/>
      <c r="Z867" s="73"/>
    </row>
    <row r="868">
      <c r="A868" s="73"/>
      <c r="B868" s="73"/>
      <c r="C868" s="73"/>
      <c r="D868" s="73"/>
      <c r="E868" s="73"/>
      <c r="F868" s="73"/>
      <c r="G868" s="73"/>
      <c r="H868" s="73"/>
      <c r="I868" s="73"/>
      <c r="J868" s="73"/>
      <c r="K868" s="73"/>
      <c r="L868" s="73"/>
      <c r="M868" s="73"/>
      <c r="N868" s="73"/>
      <c r="O868" s="73"/>
      <c r="P868" s="73"/>
      <c r="Q868" s="73"/>
      <c r="R868" s="73"/>
      <c r="S868" s="73"/>
      <c r="T868" s="73"/>
      <c r="U868" s="73"/>
      <c r="V868" s="73"/>
      <c r="W868" s="73"/>
      <c r="X868" s="73"/>
      <c r="Y868" s="73"/>
      <c r="Z868" s="73"/>
    </row>
    <row r="869">
      <c r="A869" s="73"/>
      <c r="B869" s="73"/>
      <c r="C869" s="73"/>
      <c r="D869" s="73"/>
      <c r="E869" s="73"/>
      <c r="F869" s="73"/>
      <c r="G869" s="73"/>
      <c r="H869" s="73"/>
      <c r="I869" s="73"/>
      <c r="J869" s="73"/>
      <c r="K869" s="73"/>
      <c r="L869" s="73"/>
      <c r="M869" s="73"/>
      <c r="N869" s="73"/>
      <c r="O869" s="73"/>
      <c r="P869" s="73"/>
      <c r="Q869" s="73"/>
      <c r="R869" s="73"/>
      <c r="S869" s="73"/>
      <c r="T869" s="73"/>
      <c r="U869" s="73"/>
      <c r="V869" s="73"/>
      <c r="W869" s="73"/>
      <c r="X869" s="73"/>
      <c r="Y869" s="73"/>
      <c r="Z869" s="73"/>
    </row>
    <row r="870">
      <c r="A870" s="73"/>
      <c r="B870" s="73"/>
      <c r="C870" s="73"/>
      <c r="D870" s="73"/>
      <c r="E870" s="73"/>
      <c r="F870" s="73"/>
      <c r="G870" s="73"/>
      <c r="H870" s="73"/>
      <c r="I870" s="73"/>
      <c r="J870" s="73"/>
      <c r="K870" s="73"/>
      <c r="L870" s="73"/>
      <c r="M870" s="73"/>
      <c r="N870" s="73"/>
      <c r="O870" s="73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</row>
    <row r="871">
      <c r="A871" s="73"/>
      <c r="B871" s="73"/>
      <c r="C871" s="73"/>
      <c r="D871" s="73"/>
      <c r="E871" s="73"/>
      <c r="F871" s="73"/>
      <c r="G871" s="73"/>
      <c r="H871" s="73"/>
      <c r="I871" s="73"/>
      <c r="J871" s="73"/>
      <c r="K871" s="73"/>
      <c r="L871" s="73"/>
      <c r="M871" s="73"/>
      <c r="N871" s="73"/>
      <c r="O871" s="73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</row>
    <row r="872">
      <c r="A872" s="73"/>
      <c r="B872" s="73"/>
      <c r="C872" s="73"/>
      <c r="D872" s="73"/>
      <c r="E872" s="73"/>
      <c r="F872" s="73"/>
      <c r="G872" s="73"/>
      <c r="H872" s="73"/>
      <c r="I872" s="73"/>
      <c r="J872" s="73"/>
      <c r="K872" s="73"/>
      <c r="L872" s="73"/>
      <c r="M872" s="73"/>
      <c r="N872" s="73"/>
      <c r="O872" s="73"/>
      <c r="P872" s="73"/>
      <c r="Q872" s="73"/>
      <c r="R872" s="73"/>
      <c r="S872" s="73"/>
      <c r="T872" s="73"/>
      <c r="U872" s="73"/>
      <c r="V872" s="73"/>
      <c r="W872" s="73"/>
      <c r="X872" s="73"/>
      <c r="Y872" s="73"/>
      <c r="Z872" s="73"/>
    </row>
    <row r="873">
      <c r="A873" s="73"/>
      <c r="B873" s="73"/>
      <c r="C873" s="73"/>
      <c r="D873" s="73"/>
      <c r="E873" s="73"/>
      <c r="F873" s="73"/>
      <c r="G873" s="73"/>
      <c r="H873" s="73"/>
      <c r="I873" s="73"/>
      <c r="J873" s="73"/>
      <c r="K873" s="73"/>
      <c r="L873" s="73"/>
      <c r="M873" s="73"/>
      <c r="N873" s="73"/>
      <c r="O873" s="73"/>
      <c r="P873" s="73"/>
      <c r="Q873" s="73"/>
      <c r="R873" s="73"/>
      <c r="S873" s="73"/>
      <c r="T873" s="73"/>
      <c r="U873" s="73"/>
      <c r="V873" s="73"/>
      <c r="W873" s="73"/>
      <c r="X873" s="73"/>
      <c r="Y873" s="73"/>
      <c r="Z873" s="73"/>
    </row>
    <row r="874">
      <c r="A874" s="73"/>
      <c r="B874" s="73"/>
      <c r="C874" s="73"/>
      <c r="D874" s="73"/>
      <c r="E874" s="73"/>
      <c r="F874" s="73"/>
      <c r="G874" s="73"/>
      <c r="H874" s="73"/>
      <c r="I874" s="73"/>
      <c r="J874" s="73"/>
      <c r="K874" s="73"/>
      <c r="L874" s="73"/>
      <c r="M874" s="73"/>
      <c r="N874" s="73"/>
      <c r="O874" s="73"/>
      <c r="P874" s="73"/>
      <c r="Q874" s="73"/>
      <c r="R874" s="73"/>
      <c r="S874" s="73"/>
      <c r="T874" s="73"/>
      <c r="U874" s="73"/>
      <c r="V874" s="73"/>
      <c r="W874" s="73"/>
      <c r="X874" s="73"/>
      <c r="Y874" s="73"/>
      <c r="Z874" s="73"/>
    </row>
    <row r="875">
      <c r="A875" s="73"/>
      <c r="B875" s="73"/>
      <c r="C875" s="73"/>
      <c r="D875" s="73"/>
      <c r="E875" s="73"/>
      <c r="F875" s="73"/>
      <c r="G875" s="73"/>
      <c r="H875" s="73"/>
      <c r="I875" s="73"/>
      <c r="J875" s="73"/>
      <c r="K875" s="73"/>
      <c r="L875" s="73"/>
      <c r="M875" s="73"/>
      <c r="N875" s="73"/>
      <c r="O875" s="73"/>
      <c r="P875" s="73"/>
      <c r="Q875" s="73"/>
      <c r="R875" s="73"/>
      <c r="S875" s="73"/>
      <c r="T875" s="73"/>
      <c r="U875" s="73"/>
      <c r="V875" s="73"/>
      <c r="W875" s="73"/>
      <c r="X875" s="73"/>
      <c r="Y875" s="73"/>
      <c r="Z875" s="73"/>
    </row>
    <row r="876">
      <c r="A876" s="73"/>
      <c r="B876" s="73"/>
      <c r="C876" s="73"/>
      <c r="D876" s="73"/>
      <c r="E876" s="73"/>
      <c r="F876" s="73"/>
      <c r="G876" s="73"/>
      <c r="H876" s="73"/>
      <c r="I876" s="73"/>
      <c r="J876" s="73"/>
      <c r="K876" s="73"/>
      <c r="L876" s="73"/>
      <c r="M876" s="73"/>
      <c r="N876" s="73"/>
      <c r="O876" s="73"/>
      <c r="P876" s="73"/>
      <c r="Q876" s="73"/>
      <c r="R876" s="73"/>
      <c r="S876" s="73"/>
      <c r="T876" s="73"/>
      <c r="U876" s="73"/>
      <c r="V876" s="73"/>
      <c r="W876" s="73"/>
      <c r="X876" s="73"/>
      <c r="Y876" s="73"/>
      <c r="Z876" s="73"/>
    </row>
    <row r="877">
      <c r="A877" s="73"/>
      <c r="B877" s="73"/>
      <c r="C877" s="73"/>
      <c r="D877" s="73"/>
      <c r="E877" s="73"/>
      <c r="F877" s="73"/>
      <c r="G877" s="73"/>
      <c r="H877" s="73"/>
      <c r="I877" s="73"/>
      <c r="J877" s="73"/>
      <c r="K877" s="73"/>
      <c r="L877" s="73"/>
      <c r="M877" s="73"/>
      <c r="N877" s="73"/>
      <c r="O877" s="73"/>
      <c r="P877" s="73"/>
      <c r="Q877" s="73"/>
      <c r="R877" s="73"/>
      <c r="S877" s="73"/>
      <c r="T877" s="73"/>
      <c r="U877" s="73"/>
      <c r="V877" s="73"/>
      <c r="W877" s="73"/>
      <c r="X877" s="73"/>
      <c r="Y877" s="73"/>
      <c r="Z877" s="73"/>
    </row>
    <row r="878">
      <c r="A878" s="73"/>
      <c r="B878" s="73"/>
      <c r="C878" s="73"/>
      <c r="D878" s="73"/>
      <c r="E878" s="73"/>
      <c r="F878" s="73"/>
      <c r="G878" s="73"/>
      <c r="H878" s="73"/>
      <c r="I878" s="73"/>
      <c r="J878" s="73"/>
      <c r="K878" s="73"/>
      <c r="L878" s="73"/>
      <c r="M878" s="73"/>
      <c r="N878" s="73"/>
      <c r="O878" s="73"/>
      <c r="P878" s="73"/>
      <c r="Q878" s="73"/>
      <c r="R878" s="73"/>
      <c r="S878" s="73"/>
      <c r="T878" s="73"/>
      <c r="U878" s="73"/>
      <c r="V878" s="73"/>
      <c r="W878" s="73"/>
      <c r="X878" s="73"/>
      <c r="Y878" s="73"/>
      <c r="Z878" s="73"/>
    </row>
    <row r="879">
      <c r="A879" s="73"/>
      <c r="B879" s="73"/>
      <c r="C879" s="73"/>
      <c r="D879" s="73"/>
      <c r="E879" s="73"/>
      <c r="F879" s="73"/>
      <c r="G879" s="73"/>
      <c r="H879" s="73"/>
      <c r="I879" s="73"/>
      <c r="J879" s="73"/>
      <c r="K879" s="73"/>
      <c r="L879" s="73"/>
      <c r="M879" s="73"/>
      <c r="N879" s="73"/>
      <c r="O879" s="73"/>
      <c r="P879" s="73"/>
      <c r="Q879" s="73"/>
      <c r="R879" s="73"/>
      <c r="S879" s="73"/>
      <c r="T879" s="73"/>
      <c r="U879" s="73"/>
      <c r="V879" s="73"/>
      <c r="W879" s="73"/>
      <c r="X879" s="73"/>
      <c r="Y879" s="73"/>
      <c r="Z879" s="73"/>
    </row>
    <row r="880">
      <c r="A880" s="73"/>
      <c r="B880" s="73"/>
      <c r="C880" s="73"/>
      <c r="D880" s="73"/>
      <c r="E880" s="73"/>
      <c r="F880" s="73"/>
      <c r="G880" s="73"/>
      <c r="H880" s="73"/>
      <c r="I880" s="73"/>
      <c r="J880" s="73"/>
      <c r="K880" s="73"/>
      <c r="L880" s="73"/>
      <c r="M880" s="73"/>
      <c r="N880" s="73"/>
      <c r="O880" s="73"/>
      <c r="P880" s="73"/>
      <c r="Q880" s="73"/>
      <c r="R880" s="73"/>
      <c r="S880" s="73"/>
      <c r="T880" s="73"/>
      <c r="U880" s="73"/>
      <c r="V880" s="73"/>
      <c r="W880" s="73"/>
      <c r="X880" s="73"/>
      <c r="Y880" s="73"/>
      <c r="Z880" s="73"/>
    </row>
    <row r="881">
      <c r="A881" s="73"/>
      <c r="B881" s="73"/>
      <c r="C881" s="73"/>
      <c r="D881" s="73"/>
      <c r="E881" s="73"/>
      <c r="F881" s="73"/>
      <c r="G881" s="73"/>
      <c r="H881" s="73"/>
      <c r="I881" s="73"/>
      <c r="J881" s="73"/>
      <c r="K881" s="73"/>
      <c r="L881" s="73"/>
      <c r="M881" s="73"/>
      <c r="N881" s="73"/>
      <c r="O881" s="73"/>
      <c r="P881" s="73"/>
      <c r="Q881" s="73"/>
      <c r="R881" s="73"/>
      <c r="S881" s="73"/>
      <c r="T881" s="73"/>
      <c r="U881" s="73"/>
      <c r="V881" s="73"/>
      <c r="W881" s="73"/>
      <c r="X881" s="73"/>
      <c r="Y881" s="73"/>
      <c r="Z881" s="73"/>
    </row>
    <row r="882">
      <c r="A882" s="73"/>
      <c r="B882" s="73"/>
      <c r="C882" s="73"/>
      <c r="D882" s="73"/>
      <c r="E882" s="73"/>
      <c r="F882" s="73"/>
      <c r="G882" s="73"/>
      <c r="H882" s="73"/>
      <c r="I882" s="73"/>
      <c r="J882" s="73"/>
      <c r="K882" s="73"/>
      <c r="L882" s="73"/>
      <c r="M882" s="73"/>
      <c r="N882" s="73"/>
      <c r="O882" s="73"/>
      <c r="P882" s="73"/>
      <c r="Q882" s="73"/>
      <c r="R882" s="73"/>
      <c r="S882" s="73"/>
      <c r="T882" s="73"/>
      <c r="U882" s="73"/>
      <c r="V882" s="73"/>
      <c r="W882" s="73"/>
      <c r="X882" s="73"/>
      <c r="Y882" s="73"/>
      <c r="Z882" s="73"/>
    </row>
    <row r="883">
      <c r="A883" s="73"/>
      <c r="B883" s="73"/>
      <c r="C883" s="73"/>
      <c r="D883" s="73"/>
      <c r="E883" s="73"/>
      <c r="F883" s="73"/>
      <c r="G883" s="73"/>
      <c r="H883" s="73"/>
      <c r="I883" s="73"/>
      <c r="J883" s="73"/>
      <c r="K883" s="73"/>
      <c r="L883" s="73"/>
      <c r="M883" s="73"/>
      <c r="N883" s="73"/>
      <c r="O883" s="73"/>
      <c r="P883" s="73"/>
      <c r="Q883" s="73"/>
      <c r="R883" s="73"/>
      <c r="S883" s="73"/>
      <c r="T883" s="73"/>
      <c r="U883" s="73"/>
      <c r="V883" s="73"/>
      <c r="W883" s="73"/>
      <c r="X883" s="73"/>
      <c r="Y883" s="73"/>
      <c r="Z883" s="73"/>
    </row>
    <row r="884">
      <c r="A884" s="73"/>
      <c r="B884" s="73"/>
      <c r="C884" s="73"/>
      <c r="D884" s="73"/>
      <c r="E884" s="73"/>
      <c r="F884" s="73"/>
      <c r="G884" s="73"/>
      <c r="H884" s="73"/>
      <c r="I884" s="73"/>
      <c r="J884" s="73"/>
      <c r="K884" s="73"/>
      <c r="L884" s="73"/>
      <c r="M884" s="73"/>
      <c r="N884" s="73"/>
      <c r="O884" s="73"/>
      <c r="P884" s="73"/>
      <c r="Q884" s="73"/>
      <c r="R884" s="73"/>
      <c r="S884" s="73"/>
      <c r="T884" s="73"/>
      <c r="U884" s="73"/>
      <c r="V884" s="73"/>
      <c r="W884" s="73"/>
      <c r="X884" s="73"/>
      <c r="Y884" s="73"/>
      <c r="Z884" s="73"/>
    </row>
    <row r="885">
      <c r="A885" s="73"/>
      <c r="B885" s="73"/>
      <c r="C885" s="73"/>
      <c r="D885" s="73"/>
      <c r="E885" s="73"/>
      <c r="F885" s="73"/>
      <c r="G885" s="73"/>
      <c r="H885" s="73"/>
      <c r="I885" s="73"/>
      <c r="J885" s="73"/>
      <c r="K885" s="73"/>
      <c r="L885" s="73"/>
      <c r="M885" s="73"/>
      <c r="N885" s="73"/>
      <c r="O885" s="73"/>
      <c r="P885" s="73"/>
      <c r="Q885" s="73"/>
      <c r="R885" s="73"/>
      <c r="S885" s="73"/>
      <c r="T885" s="73"/>
      <c r="U885" s="73"/>
      <c r="V885" s="73"/>
      <c r="W885" s="73"/>
      <c r="X885" s="73"/>
      <c r="Y885" s="73"/>
      <c r="Z885" s="73"/>
    </row>
    <row r="886">
      <c r="A886" s="73"/>
      <c r="B886" s="73"/>
      <c r="C886" s="73"/>
      <c r="D886" s="73"/>
      <c r="E886" s="73"/>
      <c r="F886" s="73"/>
      <c r="G886" s="73"/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73"/>
      <c r="U886" s="73"/>
      <c r="V886" s="73"/>
      <c r="W886" s="73"/>
      <c r="X886" s="73"/>
      <c r="Y886" s="73"/>
      <c r="Z886" s="73"/>
    </row>
    <row r="887">
      <c r="A887" s="73"/>
      <c r="B887" s="73"/>
      <c r="C887" s="73"/>
      <c r="D887" s="73"/>
      <c r="E887" s="73"/>
      <c r="F887" s="73"/>
      <c r="G887" s="73"/>
      <c r="H887" s="73"/>
      <c r="I887" s="73"/>
      <c r="J887" s="73"/>
      <c r="K887" s="73"/>
      <c r="L887" s="73"/>
      <c r="M887" s="73"/>
      <c r="N887" s="73"/>
      <c r="O887" s="73"/>
      <c r="P887" s="73"/>
      <c r="Q887" s="73"/>
      <c r="R887" s="73"/>
      <c r="S887" s="73"/>
      <c r="T887" s="73"/>
      <c r="U887" s="73"/>
      <c r="V887" s="73"/>
      <c r="W887" s="73"/>
      <c r="X887" s="73"/>
      <c r="Y887" s="73"/>
      <c r="Z887" s="73"/>
    </row>
    <row r="888">
      <c r="A888" s="73"/>
      <c r="B888" s="73"/>
      <c r="C888" s="73"/>
      <c r="D888" s="73"/>
      <c r="E888" s="73"/>
      <c r="F888" s="73"/>
      <c r="G888" s="73"/>
      <c r="H888" s="73"/>
      <c r="I888" s="73"/>
      <c r="J888" s="73"/>
      <c r="K888" s="73"/>
      <c r="L888" s="73"/>
      <c r="M888" s="73"/>
      <c r="N888" s="73"/>
      <c r="O888" s="73"/>
      <c r="P888" s="73"/>
      <c r="Q888" s="73"/>
      <c r="R888" s="73"/>
      <c r="S888" s="73"/>
      <c r="T888" s="73"/>
      <c r="U888" s="73"/>
      <c r="V888" s="73"/>
      <c r="W888" s="73"/>
      <c r="X888" s="73"/>
      <c r="Y888" s="73"/>
      <c r="Z888" s="73"/>
    </row>
    <row r="889">
      <c r="A889" s="73"/>
      <c r="B889" s="73"/>
      <c r="C889" s="73"/>
      <c r="D889" s="73"/>
      <c r="E889" s="73"/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3"/>
      <c r="Z889" s="73"/>
    </row>
    <row r="890">
      <c r="A890" s="73"/>
      <c r="B890" s="73"/>
      <c r="C890" s="73"/>
      <c r="D890" s="73"/>
      <c r="E890" s="73"/>
      <c r="F890" s="73"/>
      <c r="G890" s="73"/>
      <c r="H890" s="73"/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</row>
    <row r="891">
      <c r="A891" s="73"/>
      <c r="B891" s="73"/>
      <c r="C891" s="73"/>
      <c r="D891" s="73"/>
      <c r="E891" s="73"/>
      <c r="F891" s="73"/>
      <c r="G891" s="73"/>
      <c r="H891" s="73"/>
      <c r="I891" s="73"/>
      <c r="J891" s="73"/>
      <c r="K891" s="73"/>
      <c r="L891" s="73"/>
      <c r="M891" s="73"/>
      <c r="N891" s="73"/>
      <c r="O891" s="73"/>
      <c r="P891" s="73"/>
      <c r="Q891" s="73"/>
      <c r="R891" s="73"/>
      <c r="S891" s="73"/>
      <c r="T891" s="73"/>
      <c r="U891" s="73"/>
      <c r="V891" s="73"/>
      <c r="W891" s="73"/>
      <c r="X891" s="73"/>
      <c r="Y891" s="73"/>
      <c r="Z891" s="73"/>
    </row>
    <row r="892">
      <c r="A892" s="73"/>
      <c r="B892" s="73"/>
      <c r="C892" s="73"/>
      <c r="D892" s="73"/>
      <c r="E892" s="73"/>
      <c r="F892" s="73"/>
      <c r="G892" s="73"/>
      <c r="H892" s="73"/>
      <c r="I892" s="73"/>
      <c r="J892" s="73"/>
      <c r="K892" s="73"/>
      <c r="L892" s="73"/>
      <c r="M892" s="73"/>
      <c r="N892" s="73"/>
      <c r="O892" s="73"/>
      <c r="P892" s="73"/>
      <c r="Q892" s="73"/>
      <c r="R892" s="73"/>
      <c r="S892" s="73"/>
      <c r="T892" s="73"/>
      <c r="U892" s="73"/>
      <c r="V892" s="73"/>
      <c r="W892" s="73"/>
      <c r="X892" s="73"/>
      <c r="Y892" s="73"/>
      <c r="Z892" s="73"/>
    </row>
    <row r="893">
      <c r="A893" s="73"/>
      <c r="B893" s="73"/>
      <c r="C893" s="73"/>
      <c r="D893" s="73"/>
      <c r="E893" s="73"/>
      <c r="F893" s="73"/>
      <c r="G893" s="73"/>
      <c r="H893" s="73"/>
      <c r="I893" s="73"/>
      <c r="J893" s="73"/>
      <c r="K893" s="73"/>
      <c r="L893" s="73"/>
      <c r="M893" s="73"/>
      <c r="N893" s="73"/>
      <c r="O893" s="73"/>
      <c r="P893" s="73"/>
      <c r="Q893" s="73"/>
      <c r="R893" s="73"/>
      <c r="S893" s="73"/>
      <c r="T893" s="73"/>
      <c r="U893" s="73"/>
      <c r="V893" s="73"/>
      <c r="W893" s="73"/>
      <c r="X893" s="73"/>
      <c r="Y893" s="73"/>
      <c r="Z893" s="73"/>
    </row>
    <row r="894">
      <c r="A894" s="73"/>
      <c r="B894" s="73"/>
      <c r="C894" s="73"/>
      <c r="D894" s="73"/>
      <c r="E894" s="73"/>
      <c r="F894" s="73"/>
      <c r="G894" s="73"/>
      <c r="H894" s="73"/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3"/>
      <c r="Z894" s="73"/>
    </row>
    <row r="895">
      <c r="A895" s="73"/>
      <c r="B895" s="73"/>
      <c r="C895" s="73"/>
      <c r="D895" s="73"/>
      <c r="E895" s="73"/>
      <c r="F895" s="73"/>
      <c r="G895" s="73"/>
      <c r="H895" s="73"/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3"/>
      <c r="Z895" s="73"/>
    </row>
    <row r="896">
      <c r="A896" s="73"/>
      <c r="B896" s="73"/>
      <c r="C896" s="73"/>
      <c r="D896" s="73"/>
      <c r="E896" s="73"/>
      <c r="F896" s="73"/>
      <c r="G896" s="73"/>
      <c r="H896" s="73"/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3"/>
      <c r="Z896" s="73"/>
    </row>
    <row r="897">
      <c r="A897" s="73"/>
      <c r="B897" s="73"/>
      <c r="C897" s="73"/>
      <c r="D897" s="73"/>
      <c r="E897" s="73"/>
      <c r="F897" s="73"/>
      <c r="G897" s="73"/>
      <c r="H897" s="73"/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3"/>
      <c r="Z897" s="73"/>
    </row>
    <row r="898">
      <c r="A898" s="73"/>
      <c r="B898" s="73"/>
      <c r="C898" s="73"/>
      <c r="D898" s="73"/>
      <c r="E898" s="73"/>
      <c r="F898" s="73"/>
      <c r="G898" s="73"/>
      <c r="H898" s="73"/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3"/>
      <c r="Z898" s="73"/>
    </row>
    <row r="899">
      <c r="A899" s="73"/>
      <c r="B899" s="73"/>
      <c r="C899" s="73"/>
      <c r="D899" s="73"/>
      <c r="E899" s="73"/>
      <c r="F899" s="73"/>
      <c r="G899" s="73"/>
      <c r="H899" s="73"/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3"/>
      <c r="Z899" s="73"/>
    </row>
    <row r="900">
      <c r="A900" s="73"/>
      <c r="B900" s="73"/>
      <c r="C900" s="73"/>
      <c r="D900" s="73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  <c r="Z900" s="73"/>
    </row>
    <row r="901">
      <c r="A901" s="73"/>
      <c r="B901" s="73"/>
      <c r="C901" s="73"/>
      <c r="D901" s="73"/>
      <c r="E901" s="73"/>
      <c r="F901" s="73"/>
      <c r="G901" s="73"/>
      <c r="H901" s="73"/>
      <c r="I901" s="73"/>
      <c r="J901" s="73"/>
      <c r="K901" s="73"/>
      <c r="L901" s="73"/>
      <c r="M901" s="73"/>
      <c r="N901" s="73"/>
      <c r="O901" s="73"/>
      <c r="P901" s="73"/>
      <c r="Q901" s="73"/>
      <c r="R901" s="73"/>
      <c r="S901" s="73"/>
      <c r="T901" s="73"/>
      <c r="U901" s="73"/>
      <c r="V901" s="73"/>
      <c r="W901" s="73"/>
      <c r="X901" s="73"/>
      <c r="Y901" s="73"/>
      <c r="Z901" s="73"/>
    </row>
    <row r="902">
      <c r="A902" s="73"/>
      <c r="B902" s="73"/>
      <c r="C902" s="73"/>
      <c r="D902" s="73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3"/>
      <c r="Z902" s="73"/>
    </row>
    <row r="903">
      <c r="A903" s="73"/>
      <c r="B903" s="73"/>
      <c r="C903" s="73"/>
      <c r="D903" s="73"/>
      <c r="E903" s="73"/>
      <c r="F903" s="73"/>
      <c r="G903" s="73"/>
      <c r="H903" s="73"/>
      <c r="I903" s="73"/>
      <c r="J903" s="73"/>
      <c r="K903" s="73"/>
      <c r="L903" s="73"/>
      <c r="M903" s="73"/>
      <c r="N903" s="73"/>
      <c r="O903" s="73"/>
      <c r="P903" s="73"/>
      <c r="Q903" s="73"/>
      <c r="R903" s="73"/>
      <c r="S903" s="73"/>
      <c r="T903" s="73"/>
      <c r="U903" s="73"/>
      <c r="V903" s="73"/>
      <c r="W903" s="73"/>
      <c r="X903" s="73"/>
      <c r="Y903" s="73"/>
      <c r="Z903" s="73"/>
    </row>
    <row r="904">
      <c r="A904" s="73"/>
      <c r="B904" s="73"/>
      <c r="C904" s="73"/>
      <c r="D904" s="73"/>
      <c r="E904" s="73"/>
      <c r="F904" s="73"/>
      <c r="G904" s="73"/>
      <c r="H904" s="73"/>
      <c r="I904" s="73"/>
      <c r="J904" s="73"/>
      <c r="K904" s="73"/>
      <c r="L904" s="73"/>
      <c r="M904" s="73"/>
      <c r="N904" s="73"/>
      <c r="O904" s="73"/>
      <c r="P904" s="73"/>
      <c r="Q904" s="73"/>
      <c r="R904" s="73"/>
      <c r="S904" s="73"/>
      <c r="T904" s="73"/>
      <c r="U904" s="73"/>
      <c r="V904" s="73"/>
      <c r="W904" s="73"/>
      <c r="X904" s="73"/>
      <c r="Y904" s="73"/>
      <c r="Z904" s="73"/>
    </row>
    <row r="905">
      <c r="A905" s="73"/>
      <c r="B905" s="73"/>
      <c r="C905" s="73"/>
      <c r="D905" s="73"/>
      <c r="E905" s="73"/>
      <c r="F905" s="73"/>
      <c r="G905" s="73"/>
      <c r="H905" s="73"/>
      <c r="I905" s="73"/>
      <c r="J905" s="73"/>
      <c r="K905" s="73"/>
      <c r="L905" s="73"/>
      <c r="M905" s="73"/>
      <c r="N905" s="73"/>
      <c r="O905" s="73"/>
      <c r="P905" s="73"/>
      <c r="Q905" s="73"/>
      <c r="R905" s="73"/>
      <c r="S905" s="73"/>
      <c r="T905" s="73"/>
      <c r="U905" s="73"/>
      <c r="V905" s="73"/>
      <c r="W905" s="73"/>
      <c r="X905" s="73"/>
      <c r="Y905" s="73"/>
      <c r="Z905" s="73"/>
    </row>
    <row r="906">
      <c r="A906" s="73"/>
      <c r="B906" s="73"/>
      <c r="C906" s="73"/>
      <c r="D906" s="73"/>
      <c r="E906" s="73"/>
      <c r="F906" s="73"/>
      <c r="G906" s="73"/>
      <c r="H906" s="73"/>
      <c r="I906" s="73"/>
      <c r="J906" s="73"/>
      <c r="K906" s="73"/>
      <c r="L906" s="73"/>
      <c r="M906" s="73"/>
      <c r="N906" s="73"/>
      <c r="O906" s="73"/>
      <c r="P906" s="73"/>
      <c r="Q906" s="73"/>
      <c r="R906" s="73"/>
      <c r="S906" s="73"/>
      <c r="T906" s="73"/>
      <c r="U906" s="73"/>
      <c r="V906" s="73"/>
      <c r="W906" s="73"/>
      <c r="X906" s="73"/>
      <c r="Y906" s="73"/>
      <c r="Z906" s="73"/>
    </row>
    <row r="907">
      <c r="A907" s="73"/>
      <c r="B907" s="73"/>
      <c r="C907" s="73"/>
      <c r="D907" s="73"/>
      <c r="E907" s="73"/>
      <c r="F907" s="73"/>
      <c r="G907" s="73"/>
      <c r="H907" s="73"/>
      <c r="I907" s="73"/>
      <c r="J907" s="73"/>
      <c r="K907" s="73"/>
      <c r="L907" s="73"/>
      <c r="M907" s="73"/>
      <c r="N907" s="73"/>
      <c r="O907" s="73"/>
      <c r="P907" s="73"/>
      <c r="Q907" s="73"/>
      <c r="R907" s="73"/>
      <c r="S907" s="73"/>
      <c r="T907" s="73"/>
      <c r="U907" s="73"/>
      <c r="V907" s="73"/>
      <c r="W907" s="73"/>
      <c r="X907" s="73"/>
      <c r="Y907" s="73"/>
      <c r="Z907" s="73"/>
    </row>
    <row r="908">
      <c r="A908" s="73"/>
      <c r="B908" s="73"/>
      <c r="C908" s="73"/>
      <c r="D908" s="73"/>
      <c r="E908" s="73"/>
      <c r="F908" s="73"/>
      <c r="G908" s="73"/>
      <c r="H908" s="73"/>
      <c r="I908" s="73"/>
      <c r="J908" s="73"/>
      <c r="K908" s="73"/>
      <c r="L908" s="73"/>
      <c r="M908" s="73"/>
      <c r="N908" s="73"/>
      <c r="O908" s="73"/>
      <c r="P908" s="73"/>
      <c r="Q908" s="73"/>
      <c r="R908" s="73"/>
      <c r="S908" s="73"/>
      <c r="T908" s="73"/>
      <c r="U908" s="73"/>
      <c r="V908" s="73"/>
      <c r="W908" s="73"/>
      <c r="X908" s="73"/>
      <c r="Y908" s="73"/>
      <c r="Z908" s="73"/>
    </row>
    <row r="909">
      <c r="A909" s="73"/>
      <c r="B909" s="73"/>
      <c r="C909" s="73"/>
      <c r="D909" s="73"/>
      <c r="E909" s="73"/>
      <c r="F909" s="73"/>
      <c r="G909" s="73"/>
      <c r="H909" s="73"/>
      <c r="I909" s="73"/>
      <c r="J909" s="73"/>
      <c r="K909" s="73"/>
      <c r="L909" s="73"/>
      <c r="M909" s="73"/>
      <c r="N909" s="73"/>
      <c r="O909" s="73"/>
      <c r="P909" s="73"/>
      <c r="Q909" s="73"/>
      <c r="R909" s="73"/>
      <c r="S909" s="73"/>
      <c r="T909" s="73"/>
      <c r="U909" s="73"/>
      <c r="V909" s="73"/>
      <c r="W909" s="73"/>
      <c r="X909" s="73"/>
      <c r="Y909" s="73"/>
      <c r="Z909" s="73"/>
    </row>
    <row r="910">
      <c r="A910" s="73"/>
      <c r="B910" s="73"/>
      <c r="C910" s="73"/>
      <c r="D910" s="73"/>
      <c r="E910" s="73"/>
      <c r="F910" s="73"/>
      <c r="G910" s="73"/>
      <c r="H910" s="73"/>
      <c r="I910" s="73"/>
      <c r="J910" s="73"/>
      <c r="K910" s="73"/>
      <c r="L910" s="73"/>
      <c r="M910" s="73"/>
      <c r="N910" s="73"/>
      <c r="O910" s="73"/>
      <c r="P910" s="73"/>
      <c r="Q910" s="73"/>
      <c r="R910" s="73"/>
      <c r="S910" s="73"/>
      <c r="T910" s="73"/>
      <c r="U910" s="73"/>
      <c r="V910" s="73"/>
      <c r="W910" s="73"/>
      <c r="X910" s="73"/>
      <c r="Y910" s="73"/>
      <c r="Z910" s="73"/>
    </row>
    <row r="911">
      <c r="A911" s="73"/>
      <c r="B911" s="73"/>
      <c r="C911" s="73"/>
      <c r="D911" s="73"/>
      <c r="E911" s="73"/>
      <c r="F911" s="73"/>
      <c r="G911" s="73"/>
      <c r="H911" s="73"/>
      <c r="I911" s="73"/>
      <c r="J911" s="73"/>
      <c r="K911" s="73"/>
      <c r="L911" s="73"/>
      <c r="M911" s="73"/>
      <c r="N911" s="73"/>
      <c r="O911" s="73"/>
      <c r="P911" s="73"/>
      <c r="Q911" s="73"/>
      <c r="R911" s="73"/>
      <c r="S911" s="73"/>
      <c r="T911" s="73"/>
      <c r="U911" s="73"/>
      <c r="V911" s="73"/>
      <c r="W911" s="73"/>
      <c r="X911" s="73"/>
      <c r="Y911" s="73"/>
      <c r="Z911" s="73"/>
    </row>
    <row r="912">
      <c r="A912" s="73"/>
      <c r="B912" s="73"/>
      <c r="C912" s="73"/>
      <c r="D912" s="73"/>
      <c r="E912" s="73"/>
      <c r="F912" s="73"/>
      <c r="G912" s="73"/>
      <c r="H912" s="73"/>
      <c r="I912" s="73"/>
      <c r="J912" s="73"/>
      <c r="K912" s="73"/>
      <c r="L912" s="73"/>
      <c r="M912" s="73"/>
      <c r="N912" s="73"/>
      <c r="O912" s="73"/>
      <c r="P912" s="73"/>
      <c r="Q912" s="73"/>
      <c r="R912" s="73"/>
      <c r="S912" s="73"/>
      <c r="T912" s="73"/>
      <c r="U912" s="73"/>
      <c r="V912" s="73"/>
      <c r="W912" s="73"/>
      <c r="X912" s="73"/>
      <c r="Y912" s="73"/>
      <c r="Z912" s="73"/>
    </row>
    <row r="913">
      <c r="A913" s="73"/>
      <c r="B913" s="73"/>
      <c r="C913" s="73"/>
      <c r="D913" s="73"/>
      <c r="E913" s="73"/>
      <c r="F913" s="73"/>
      <c r="G913" s="73"/>
      <c r="H913" s="73"/>
      <c r="I913" s="73"/>
      <c r="J913" s="73"/>
      <c r="K913" s="73"/>
      <c r="L913" s="73"/>
      <c r="M913" s="73"/>
      <c r="N913" s="73"/>
      <c r="O913" s="73"/>
      <c r="P913" s="73"/>
      <c r="Q913" s="73"/>
      <c r="R913" s="73"/>
      <c r="S913" s="73"/>
      <c r="T913" s="73"/>
      <c r="U913" s="73"/>
      <c r="V913" s="73"/>
      <c r="W913" s="73"/>
      <c r="X913" s="73"/>
      <c r="Y913" s="73"/>
      <c r="Z913" s="73"/>
    </row>
    <row r="914">
      <c r="A914" s="73"/>
      <c r="B914" s="73"/>
      <c r="C914" s="73"/>
      <c r="D914" s="73"/>
      <c r="E914" s="73"/>
      <c r="F914" s="73"/>
      <c r="G914" s="73"/>
      <c r="H914" s="73"/>
      <c r="I914" s="73"/>
      <c r="J914" s="73"/>
      <c r="K914" s="73"/>
      <c r="L914" s="73"/>
      <c r="M914" s="73"/>
      <c r="N914" s="73"/>
      <c r="O914" s="73"/>
      <c r="P914" s="73"/>
      <c r="Q914" s="73"/>
      <c r="R914" s="73"/>
      <c r="S914" s="73"/>
      <c r="T914" s="73"/>
      <c r="U914" s="73"/>
      <c r="V914" s="73"/>
      <c r="W914" s="73"/>
      <c r="X914" s="73"/>
      <c r="Y914" s="73"/>
      <c r="Z914" s="73"/>
    </row>
    <row r="915">
      <c r="A915" s="73"/>
      <c r="B915" s="73"/>
      <c r="C915" s="73"/>
      <c r="D915" s="73"/>
      <c r="E915" s="73"/>
      <c r="F915" s="73"/>
      <c r="G915" s="73"/>
      <c r="H915" s="73"/>
      <c r="I915" s="73"/>
      <c r="J915" s="73"/>
      <c r="K915" s="73"/>
      <c r="L915" s="73"/>
      <c r="M915" s="73"/>
      <c r="N915" s="73"/>
      <c r="O915" s="73"/>
      <c r="P915" s="73"/>
      <c r="Q915" s="73"/>
      <c r="R915" s="73"/>
      <c r="S915" s="73"/>
      <c r="T915" s="73"/>
      <c r="U915" s="73"/>
      <c r="V915" s="73"/>
      <c r="W915" s="73"/>
      <c r="X915" s="73"/>
      <c r="Y915" s="73"/>
      <c r="Z915" s="73"/>
    </row>
    <row r="916">
      <c r="A916" s="73"/>
      <c r="B916" s="73"/>
      <c r="C916" s="73"/>
      <c r="D916" s="73"/>
      <c r="E916" s="73"/>
      <c r="F916" s="73"/>
      <c r="G916" s="73"/>
      <c r="H916" s="73"/>
      <c r="I916" s="73"/>
      <c r="J916" s="73"/>
      <c r="K916" s="73"/>
      <c r="L916" s="73"/>
      <c r="M916" s="73"/>
      <c r="N916" s="73"/>
      <c r="O916" s="73"/>
      <c r="P916" s="73"/>
      <c r="Q916" s="73"/>
      <c r="R916" s="73"/>
      <c r="S916" s="73"/>
      <c r="T916" s="73"/>
      <c r="U916" s="73"/>
      <c r="V916" s="73"/>
      <c r="W916" s="73"/>
      <c r="X916" s="73"/>
      <c r="Y916" s="73"/>
      <c r="Z916" s="73"/>
    </row>
    <row r="917">
      <c r="A917" s="73"/>
      <c r="B917" s="73"/>
      <c r="C917" s="73"/>
      <c r="D917" s="73"/>
      <c r="E917" s="73"/>
      <c r="F917" s="73"/>
      <c r="G917" s="73"/>
      <c r="H917" s="73"/>
      <c r="I917" s="73"/>
      <c r="J917" s="73"/>
      <c r="K917" s="73"/>
      <c r="L917" s="73"/>
      <c r="M917" s="73"/>
      <c r="N917" s="73"/>
      <c r="O917" s="73"/>
      <c r="P917" s="73"/>
      <c r="Q917" s="73"/>
      <c r="R917" s="73"/>
      <c r="S917" s="73"/>
      <c r="T917" s="73"/>
      <c r="U917" s="73"/>
      <c r="V917" s="73"/>
      <c r="W917" s="73"/>
      <c r="X917" s="73"/>
      <c r="Y917" s="73"/>
      <c r="Z917" s="73"/>
    </row>
    <row r="918">
      <c r="A918" s="73"/>
      <c r="B918" s="73"/>
      <c r="C918" s="73"/>
      <c r="D918" s="73"/>
      <c r="E918" s="73"/>
      <c r="F918" s="73"/>
      <c r="G918" s="73"/>
      <c r="H918" s="73"/>
      <c r="I918" s="73"/>
      <c r="J918" s="73"/>
      <c r="K918" s="73"/>
      <c r="L918" s="73"/>
      <c r="M918" s="73"/>
      <c r="N918" s="73"/>
      <c r="O918" s="73"/>
      <c r="P918" s="73"/>
      <c r="Q918" s="73"/>
      <c r="R918" s="73"/>
      <c r="S918" s="73"/>
      <c r="T918" s="73"/>
      <c r="U918" s="73"/>
      <c r="V918" s="73"/>
      <c r="W918" s="73"/>
      <c r="X918" s="73"/>
      <c r="Y918" s="73"/>
      <c r="Z918" s="73"/>
    </row>
    <row r="919">
      <c r="A919" s="73"/>
      <c r="B919" s="73"/>
      <c r="C919" s="73"/>
      <c r="D919" s="73"/>
      <c r="E919" s="73"/>
      <c r="F919" s="73"/>
      <c r="G919" s="73"/>
      <c r="H919" s="73"/>
      <c r="I919" s="73"/>
      <c r="J919" s="73"/>
      <c r="K919" s="73"/>
      <c r="L919" s="73"/>
      <c r="M919" s="73"/>
      <c r="N919" s="73"/>
      <c r="O919" s="73"/>
      <c r="P919" s="73"/>
      <c r="Q919" s="73"/>
      <c r="R919" s="73"/>
      <c r="S919" s="73"/>
      <c r="T919" s="73"/>
      <c r="U919" s="73"/>
      <c r="V919" s="73"/>
      <c r="W919" s="73"/>
      <c r="X919" s="73"/>
      <c r="Y919" s="73"/>
      <c r="Z919" s="73"/>
    </row>
    <row r="920">
      <c r="A920" s="73"/>
      <c r="B920" s="73"/>
      <c r="C920" s="73"/>
      <c r="D920" s="73"/>
      <c r="E920" s="73"/>
      <c r="F920" s="73"/>
      <c r="G920" s="73"/>
      <c r="H920" s="73"/>
      <c r="I920" s="73"/>
      <c r="J920" s="73"/>
      <c r="K920" s="73"/>
      <c r="L920" s="73"/>
      <c r="M920" s="73"/>
      <c r="N920" s="73"/>
      <c r="O920" s="73"/>
      <c r="P920" s="73"/>
      <c r="Q920" s="73"/>
      <c r="R920" s="73"/>
      <c r="S920" s="73"/>
      <c r="T920" s="73"/>
      <c r="U920" s="73"/>
      <c r="V920" s="73"/>
      <c r="W920" s="73"/>
      <c r="X920" s="73"/>
      <c r="Y920" s="73"/>
      <c r="Z920" s="73"/>
    </row>
    <row r="921">
      <c r="A921" s="73"/>
      <c r="B921" s="73"/>
      <c r="C921" s="73"/>
      <c r="D921" s="73"/>
      <c r="E921" s="73"/>
      <c r="F921" s="73"/>
      <c r="G921" s="73"/>
      <c r="H921" s="73"/>
      <c r="I921" s="73"/>
      <c r="J921" s="73"/>
      <c r="K921" s="73"/>
      <c r="L921" s="73"/>
      <c r="M921" s="73"/>
      <c r="N921" s="73"/>
      <c r="O921" s="73"/>
      <c r="P921" s="73"/>
      <c r="Q921" s="73"/>
      <c r="R921" s="73"/>
      <c r="S921" s="73"/>
      <c r="T921" s="73"/>
      <c r="U921" s="73"/>
      <c r="V921" s="73"/>
      <c r="W921" s="73"/>
      <c r="X921" s="73"/>
      <c r="Y921" s="73"/>
      <c r="Z921" s="73"/>
    </row>
    <row r="922">
      <c r="A922" s="73"/>
      <c r="B922" s="73"/>
      <c r="C922" s="73"/>
      <c r="D922" s="73"/>
      <c r="E922" s="73"/>
      <c r="F922" s="73"/>
      <c r="G922" s="73"/>
      <c r="H922" s="73"/>
      <c r="I922" s="73"/>
      <c r="J922" s="73"/>
      <c r="K922" s="73"/>
      <c r="L922" s="73"/>
      <c r="M922" s="73"/>
      <c r="N922" s="73"/>
      <c r="O922" s="73"/>
      <c r="P922" s="73"/>
      <c r="Q922" s="73"/>
      <c r="R922" s="73"/>
      <c r="S922" s="73"/>
      <c r="T922" s="73"/>
      <c r="U922" s="73"/>
      <c r="V922" s="73"/>
      <c r="W922" s="73"/>
      <c r="X922" s="73"/>
      <c r="Y922" s="73"/>
      <c r="Z922" s="73"/>
    </row>
    <row r="923">
      <c r="A923" s="73"/>
      <c r="B923" s="73"/>
      <c r="C923" s="73"/>
      <c r="D923" s="73"/>
      <c r="E923" s="73"/>
      <c r="F923" s="73"/>
      <c r="G923" s="73"/>
      <c r="H923" s="73"/>
      <c r="I923" s="73"/>
      <c r="J923" s="73"/>
      <c r="K923" s="73"/>
      <c r="L923" s="73"/>
      <c r="M923" s="73"/>
      <c r="N923" s="73"/>
      <c r="O923" s="73"/>
      <c r="P923" s="73"/>
      <c r="Q923" s="73"/>
      <c r="R923" s="73"/>
      <c r="S923" s="73"/>
      <c r="T923" s="73"/>
      <c r="U923" s="73"/>
      <c r="V923" s="73"/>
      <c r="W923" s="73"/>
      <c r="X923" s="73"/>
      <c r="Y923" s="73"/>
      <c r="Z923" s="73"/>
    </row>
    <row r="924">
      <c r="A924" s="73"/>
      <c r="B924" s="73"/>
      <c r="C924" s="73"/>
      <c r="D924" s="73"/>
      <c r="E924" s="73"/>
      <c r="F924" s="73"/>
      <c r="G924" s="73"/>
      <c r="H924" s="73"/>
      <c r="I924" s="73"/>
      <c r="J924" s="73"/>
      <c r="K924" s="73"/>
      <c r="L924" s="73"/>
      <c r="M924" s="73"/>
      <c r="N924" s="73"/>
      <c r="O924" s="73"/>
      <c r="P924" s="73"/>
      <c r="Q924" s="73"/>
      <c r="R924" s="73"/>
      <c r="S924" s="73"/>
      <c r="T924" s="73"/>
      <c r="U924" s="73"/>
      <c r="V924" s="73"/>
      <c r="W924" s="73"/>
      <c r="X924" s="73"/>
      <c r="Y924" s="73"/>
      <c r="Z924" s="73"/>
    </row>
    <row r="925">
      <c r="A925" s="73"/>
      <c r="B925" s="73"/>
      <c r="C925" s="73"/>
      <c r="D925" s="73"/>
      <c r="E925" s="73"/>
      <c r="F925" s="73"/>
      <c r="G925" s="73"/>
      <c r="H925" s="73"/>
      <c r="I925" s="73"/>
      <c r="J925" s="73"/>
      <c r="K925" s="73"/>
      <c r="L925" s="73"/>
      <c r="M925" s="73"/>
      <c r="N925" s="73"/>
      <c r="O925" s="73"/>
      <c r="P925" s="73"/>
      <c r="Q925" s="73"/>
      <c r="R925" s="73"/>
      <c r="S925" s="73"/>
      <c r="T925" s="73"/>
      <c r="U925" s="73"/>
      <c r="V925" s="73"/>
      <c r="W925" s="73"/>
      <c r="X925" s="73"/>
      <c r="Y925" s="73"/>
      <c r="Z925" s="73"/>
    </row>
    <row r="926">
      <c r="A926" s="73"/>
      <c r="B926" s="73"/>
      <c r="C926" s="73"/>
      <c r="D926" s="73"/>
      <c r="E926" s="73"/>
      <c r="F926" s="73"/>
      <c r="G926" s="73"/>
      <c r="H926" s="73"/>
      <c r="I926" s="73"/>
      <c r="J926" s="73"/>
      <c r="K926" s="73"/>
      <c r="L926" s="73"/>
      <c r="M926" s="73"/>
      <c r="N926" s="73"/>
      <c r="O926" s="73"/>
      <c r="P926" s="73"/>
      <c r="Q926" s="73"/>
      <c r="R926" s="73"/>
      <c r="S926" s="73"/>
      <c r="T926" s="73"/>
      <c r="U926" s="73"/>
      <c r="V926" s="73"/>
      <c r="W926" s="73"/>
      <c r="X926" s="73"/>
      <c r="Y926" s="73"/>
      <c r="Z926" s="73"/>
    </row>
    <row r="927">
      <c r="A927" s="73"/>
      <c r="B927" s="73"/>
      <c r="C927" s="73"/>
      <c r="D927" s="73"/>
      <c r="E927" s="73"/>
      <c r="F927" s="73"/>
      <c r="G927" s="73"/>
      <c r="H927" s="73"/>
      <c r="I927" s="73"/>
      <c r="J927" s="73"/>
      <c r="K927" s="73"/>
      <c r="L927" s="73"/>
      <c r="M927" s="73"/>
      <c r="N927" s="73"/>
      <c r="O927" s="73"/>
      <c r="P927" s="73"/>
      <c r="Q927" s="73"/>
      <c r="R927" s="73"/>
      <c r="S927" s="73"/>
      <c r="T927" s="73"/>
      <c r="U927" s="73"/>
      <c r="V927" s="73"/>
      <c r="W927" s="73"/>
      <c r="X927" s="73"/>
      <c r="Y927" s="73"/>
      <c r="Z927" s="73"/>
    </row>
    <row r="928">
      <c r="A928" s="73"/>
      <c r="B928" s="73"/>
      <c r="C928" s="73"/>
      <c r="D928" s="73"/>
      <c r="E928" s="73"/>
      <c r="F928" s="73"/>
      <c r="G928" s="73"/>
      <c r="H928" s="73"/>
      <c r="I928" s="73"/>
      <c r="J928" s="73"/>
      <c r="K928" s="73"/>
      <c r="L928" s="73"/>
      <c r="M928" s="73"/>
      <c r="N928" s="73"/>
      <c r="O928" s="73"/>
      <c r="P928" s="73"/>
      <c r="Q928" s="73"/>
      <c r="R928" s="73"/>
      <c r="S928" s="73"/>
      <c r="T928" s="73"/>
      <c r="U928" s="73"/>
      <c r="V928" s="73"/>
      <c r="W928" s="73"/>
      <c r="X928" s="73"/>
      <c r="Y928" s="73"/>
      <c r="Z928" s="73"/>
    </row>
    <row r="929">
      <c r="A929" s="73"/>
      <c r="B929" s="73"/>
      <c r="C929" s="73"/>
      <c r="D929" s="73"/>
      <c r="E929" s="73"/>
      <c r="F929" s="73"/>
      <c r="G929" s="73"/>
      <c r="H929" s="73"/>
      <c r="I929" s="73"/>
      <c r="J929" s="73"/>
      <c r="K929" s="73"/>
      <c r="L929" s="73"/>
      <c r="M929" s="73"/>
      <c r="N929" s="73"/>
      <c r="O929" s="73"/>
      <c r="P929" s="73"/>
      <c r="Q929" s="73"/>
      <c r="R929" s="73"/>
      <c r="S929" s="73"/>
      <c r="T929" s="73"/>
      <c r="U929" s="73"/>
      <c r="V929" s="73"/>
      <c r="W929" s="73"/>
      <c r="X929" s="73"/>
      <c r="Y929" s="73"/>
      <c r="Z929" s="73"/>
    </row>
    <row r="930">
      <c r="A930" s="73"/>
      <c r="B930" s="73"/>
      <c r="C930" s="73"/>
      <c r="D930" s="73"/>
      <c r="E930" s="73"/>
      <c r="F930" s="73"/>
      <c r="G930" s="73"/>
      <c r="H930" s="73"/>
      <c r="I930" s="73"/>
      <c r="J930" s="73"/>
      <c r="K930" s="73"/>
      <c r="L930" s="73"/>
      <c r="M930" s="73"/>
      <c r="N930" s="73"/>
      <c r="O930" s="73"/>
      <c r="P930" s="73"/>
      <c r="Q930" s="73"/>
      <c r="R930" s="73"/>
      <c r="S930" s="73"/>
      <c r="T930" s="73"/>
      <c r="U930" s="73"/>
      <c r="V930" s="73"/>
      <c r="W930" s="73"/>
      <c r="X930" s="73"/>
      <c r="Y930" s="73"/>
      <c r="Z930" s="73"/>
    </row>
    <row r="931">
      <c r="A931" s="73"/>
      <c r="B931" s="73"/>
      <c r="C931" s="73"/>
      <c r="D931" s="73"/>
      <c r="E931" s="73"/>
      <c r="F931" s="73"/>
      <c r="G931" s="73"/>
      <c r="H931" s="73"/>
      <c r="I931" s="73"/>
      <c r="J931" s="73"/>
      <c r="K931" s="73"/>
      <c r="L931" s="73"/>
      <c r="M931" s="73"/>
      <c r="N931" s="73"/>
      <c r="O931" s="73"/>
      <c r="P931" s="73"/>
      <c r="Q931" s="73"/>
      <c r="R931" s="73"/>
      <c r="S931" s="73"/>
      <c r="T931" s="73"/>
      <c r="U931" s="73"/>
      <c r="V931" s="73"/>
      <c r="W931" s="73"/>
      <c r="X931" s="73"/>
      <c r="Y931" s="73"/>
      <c r="Z931" s="73"/>
    </row>
    <row r="932">
      <c r="A932" s="73"/>
      <c r="B932" s="73"/>
      <c r="C932" s="73"/>
      <c r="D932" s="73"/>
      <c r="E932" s="73"/>
      <c r="F932" s="73"/>
      <c r="G932" s="73"/>
      <c r="H932" s="73"/>
      <c r="I932" s="73"/>
      <c r="J932" s="73"/>
      <c r="K932" s="73"/>
      <c r="L932" s="73"/>
      <c r="M932" s="73"/>
      <c r="N932" s="73"/>
      <c r="O932" s="73"/>
      <c r="P932" s="73"/>
      <c r="Q932" s="73"/>
      <c r="R932" s="73"/>
      <c r="S932" s="73"/>
      <c r="T932" s="73"/>
      <c r="U932" s="73"/>
      <c r="V932" s="73"/>
      <c r="W932" s="73"/>
      <c r="X932" s="73"/>
      <c r="Y932" s="73"/>
      <c r="Z932" s="73"/>
    </row>
    <row r="933">
      <c r="A933" s="73"/>
      <c r="B933" s="73"/>
      <c r="C933" s="73"/>
      <c r="D933" s="73"/>
      <c r="E933" s="73"/>
      <c r="F933" s="73"/>
      <c r="G933" s="73"/>
      <c r="H933" s="73"/>
      <c r="I933" s="73"/>
      <c r="J933" s="73"/>
      <c r="K933" s="73"/>
      <c r="L933" s="73"/>
      <c r="M933" s="73"/>
      <c r="N933" s="73"/>
      <c r="O933" s="73"/>
      <c r="P933" s="73"/>
      <c r="Q933" s="73"/>
      <c r="R933" s="73"/>
      <c r="S933" s="73"/>
      <c r="T933" s="73"/>
      <c r="U933" s="73"/>
      <c r="V933" s="73"/>
      <c r="W933" s="73"/>
      <c r="X933" s="73"/>
      <c r="Y933" s="73"/>
      <c r="Z933" s="73"/>
    </row>
    <row r="934">
      <c r="A934" s="73"/>
      <c r="B934" s="73"/>
      <c r="C934" s="73"/>
      <c r="D934" s="73"/>
      <c r="E934" s="73"/>
      <c r="F934" s="73"/>
      <c r="G934" s="73"/>
      <c r="H934" s="73"/>
      <c r="I934" s="73"/>
      <c r="J934" s="73"/>
      <c r="K934" s="73"/>
      <c r="L934" s="73"/>
      <c r="M934" s="73"/>
      <c r="N934" s="73"/>
      <c r="O934" s="73"/>
      <c r="P934" s="73"/>
      <c r="Q934" s="73"/>
      <c r="R934" s="73"/>
      <c r="S934" s="73"/>
      <c r="T934" s="73"/>
      <c r="U934" s="73"/>
      <c r="V934" s="73"/>
      <c r="W934" s="73"/>
      <c r="X934" s="73"/>
      <c r="Y934" s="73"/>
      <c r="Z934" s="73"/>
    </row>
    <row r="935">
      <c r="A935" s="73"/>
      <c r="B935" s="73"/>
      <c r="C935" s="73"/>
      <c r="D935" s="73"/>
      <c r="E935" s="73"/>
      <c r="F935" s="73"/>
      <c r="G935" s="73"/>
      <c r="H935" s="73"/>
      <c r="I935" s="73"/>
      <c r="J935" s="73"/>
      <c r="K935" s="73"/>
      <c r="L935" s="73"/>
      <c r="M935" s="73"/>
      <c r="N935" s="73"/>
      <c r="O935" s="73"/>
      <c r="P935" s="73"/>
      <c r="Q935" s="73"/>
      <c r="R935" s="73"/>
      <c r="S935" s="73"/>
      <c r="T935" s="73"/>
      <c r="U935" s="73"/>
      <c r="V935" s="73"/>
      <c r="W935" s="73"/>
      <c r="X935" s="73"/>
      <c r="Y935" s="73"/>
      <c r="Z935" s="73"/>
    </row>
    <row r="936">
      <c r="A936" s="73"/>
      <c r="B936" s="73"/>
      <c r="C936" s="73"/>
      <c r="D936" s="73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  <c r="Z936" s="73"/>
    </row>
    <row r="937">
      <c r="A937" s="73"/>
      <c r="B937" s="73"/>
      <c r="C937" s="73"/>
      <c r="D937" s="73"/>
      <c r="E937" s="73"/>
      <c r="F937" s="73"/>
      <c r="G937" s="73"/>
      <c r="H937" s="73"/>
      <c r="I937" s="73"/>
      <c r="J937" s="73"/>
      <c r="K937" s="73"/>
      <c r="L937" s="73"/>
      <c r="M937" s="73"/>
      <c r="N937" s="73"/>
      <c r="O937" s="73"/>
      <c r="P937" s="73"/>
      <c r="Q937" s="73"/>
      <c r="R937" s="73"/>
      <c r="S937" s="73"/>
      <c r="T937" s="73"/>
      <c r="U937" s="73"/>
      <c r="V937" s="73"/>
      <c r="W937" s="73"/>
      <c r="X937" s="73"/>
      <c r="Y937" s="73"/>
      <c r="Z937" s="73"/>
    </row>
    <row r="938">
      <c r="A938" s="73"/>
      <c r="B938" s="73"/>
      <c r="C938" s="73"/>
      <c r="D938" s="73"/>
      <c r="E938" s="73"/>
      <c r="F938" s="73"/>
      <c r="G938" s="73"/>
      <c r="H938" s="73"/>
      <c r="I938" s="73"/>
      <c r="J938" s="73"/>
      <c r="K938" s="73"/>
      <c r="L938" s="73"/>
      <c r="M938" s="73"/>
      <c r="N938" s="73"/>
      <c r="O938" s="73"/>
      <c r="P938" s="73"/>
      <c r="Q938" s="73"/>
      <c r="R938" s="73"/>
      <c r="S938" s="73"/>
      <c r="T938" s="73"/>
      <c r="U938" s="73"/>
      <c r="V938" s="73"/>
      <c r="W938" s="73"/>
      <c r="X938" s="73"/>
      <c r="Y938" s="73"/>
      <c r="Z938" s="73"/>
    </row>
    <row r="939">
      <c r="A939" s="73"/>
      <c r="B939" s="73"/>
      <c r="C939" s="73"/>
      <c r="D939" s="73"/>
      <c r="E939" s="73"/>
      <c r="F939" s="73"/>
      <c r="G939" s="73"/>
      <c r="H939" s="73"/>
      <c r="I939" s="73"/>
      <c r="J939" s="73"/>
      <c r="K939" s="73"/>
      <c r="L939" s="73"/>
      <c r="M939" s="73"/>
      <c r="N939" s="73"/>
      <c r="O939" s="73"/>
      <c r="P939" s="73"/>
      <c r="Q939" s="73"/>
      <c r="R939" s="73"/>
      <c r="S939" s="73"/>
      <c r="T939" s="73"/>
      <c r="U939" s="73"/>
      <c r="V939" s="73"/>
      <c r="W939" s="73"/>
      <c r="X939" s="73"/>
      <c r="Y939" s="73"/>
      <c r="Z939" s="73"/>
    </row>
    <row r="940">
      <c r="A940" s="73"/>
      <c r="B940" s="73"/>
      <c r="C940" s="73"/>
      <c r="D940" s="73"/>
      <c r="E940" s="73"/>
      <c r="F940" s="73"/>
      <c r="G940" s="73"/>
      <c r="H940" s="73"/>
      <c r="I940" s="73"/>
      <c r="J940" s="73"/>
      <c r="K940" s="73"/>
      <c r="L940" s="73"/>
      <c r="M940" s="73"/>
      <c r="N940" s="73"/>
      <c r="O940" s="73"/>
      <c r="P940" s="73"/>
      <c r="Q940" s="73"/>
      <c r="R940" s="73"/>
      <c r="S940" s="73"/>
      <c r="T940" s="73"/>
      <c r="U940" s="73"/>
      <c r="V940" s="73"/>
      <c r="W940" s="73"/>
      <c r="X940" s="73"/>
      <c r="Y940" s="73"/>
      <c r="Z940" s="73"/>
    </row>
    <row r="941">
      <c r="A941" s="73"/>
      <c r="B941" s="73"/>
      <c r="C941" s="73"/>
      <c r="D941" s="73"/>
      <c r="E941" s="73"/>
      <c r="F941" s="73"/>
      <c r="G941" s="73"/>
      <c r="H941" s="73"/>
      <c r="I941" s="73"/>
      <c r="J941" s="73"/>
      <c r="K941" s="73"/>
      <c r="L941" s="73"/>
      <c r="M941" s="73"/>
      <c r="N941" s="73"/>
      <c r="O941" s="73"/>
      <c r="P941" s="73"/>
      <c r="Q941" s="73"/>
      <c r="R941" s="73"/>
      <c r="S941" s="73"/>
      <c r="T941" s="73"/>
      <c r="U941" s="73"/>
      <c r="V941" s="73"/>
      <c r="W941" s="73"/>
      <c r="X941" s="73"/>
      <c r="Y941" s="73"/>
      <c r="Z941" s="73"/>
    </row>
    <row r="942">
      <c r="A942" s="73"/>
      <c r="B942" s="73"/>
      <c r="C942" s="73"/>
      <c r="D942" s="73"/>
      <c r="E942" s="73"/>
      <c r="F942" s="73"/>
      <c r="G942" s="73"/>
      <c r="H942" s="73"/>
      <c r="I942" s="73"/>
      <c r="J942" s="73"/>
      <c r="K942" s="73"/>
      <c r="L942" s="73"/>
      <c r="M942" s="73"/>
      <c r="N942" s="73"/>
      <c r="O942" s="73"/>
      <c r="P942" s="73"/>
      <c r="Q942" s="73"/>
      <c r="R942" s="73"/>
      <c r="S942" s="73"/>
      <c r="T942" s="73"/>
      <c r="U942" s="73"/>
      <c r="V942" s="73"/>
      <c r="W942" s="73"/>
      <c r="X942" s="73"/>
      <c r="Y942" s="73"/>
      <c r="Z942" s="73"/>
    </row>
    <row r="943">
      <c r="A943" s="73"/>
      <c r="B943" s="73"/>
      <c r="C943" s="73"/>
      <c r="D943" s="73"/>
      <c r="E943" s="73"/>
      <c r="F943" s="73"/>
      <c r="G943" s="73"/>
      <c r="H943" s="73"/>
      <c r="I943" s="73"/>
      <c r="J943" s="73"/>
      <c r="K943" s="73"/>
      <c r="L943" s="73"/>
      <c r="M943" s="73"/>
      <c r="N943" s="73"/>
      <c r="O943" s="73"/>
      <c r="P943" s="73"/>
      <c r="Q943" s="73"/>
      <c r="R943" s="73"/>
      <c r="S943" s="73"/>
      <c r="T943" s="73"/>
      <c r="U943" s="73"/>
      <c r="V943" s="73"/>
      <c r="W943" s="73"/>
      <c r="X943" s="73"/>
      <c r="Y943" s="73"/>
      <c r="Z943" s="73"/>
    </row>
    <row r="944">
      <c r="A944" s="73"/>
      <c r="B944" s="73"/>
      <c r="C944" s="73"/>
      <c r="D944" s="73"/>
      <c r="E944" s="73"/>
      <c r="F944" s="73"/>
      <c r="G944" s="73"/>
      <c r="H944" s="73"/>
      <c r="I944" s="73"/>
      <c r="J944" s="73"/>
      <c r="K944" s="73"/>
      <c r="L944" s="73"/>
      <c r="M944" s="73"/>
      <c r="N944" s="73"/>
      <c r="O944" s="73"/>
      <c r="P944" s="73"/>
      <c r="Q944" s="73"/>
      <c r="R944" s="73"/>
      <c r="S944" s="73"/>
      <c r="T944" s="73"/>
      <c r="U944" s="73"/>
      <c r="V944" s="73"/>
      <c r="W944" s="73"/>
      <c r="X944" s="73"/>
      <c r="Y944" s="73"/>
      <c r="Z944" s="73"/>
    </row>
    <row r="945">
      <c r="A945" s="73"/>
      <c r="B945" s="73"/>
      <c r="C945" s="73"/>
      <c r="D945" s="73"/>
      <c r="E945" s="73"/>
      <c r="F945" s="73"/>
      <c r="G945" s="73"/>
      <c r="H945" s="73"/>
      <c r="I945" s="73"/>
      <c r="J945" s="73"/>
      <c r="K945" s="73"/>
      <c r="L945" s="73"/>
      <c r="M945" s="73"/>
      <c r="N945" s="73"/>
      <c r="O945" s="73"/>
      <c r="P945" s="73"/>
      <c r="Q945" s="73"/>
      <c r="R945" s="73"/>
      <c r="S945" s="73"/>
      <c r="T945" s="73"/>
      <c r="U945" s="73"/>
      <c r="V945" s="73"/>
      <c r="W945" s="73"/>
      <c r="X945" s="73"/>
      <c r="Y945" s="73"/>
      <c r="Z945" s="73"/>
    </row>
    <row r="946">
      <c r="A946" s="73"/>
      <c r="B946" s="73"/>
      <c r="C946" s="73"/>
      <c r="D946" s="73"/>
      <c r="E946" s="73"/>
      <c r="F946" s="73"/>
      <c r="G946" s="73"/>
      <c r="H946" s="73"/>
      <c r="I946" s="73"/>
      <c r="J946" s="73"/>
      <c r="K946" s="73"/>
      <c r="L946" s="73"/>
      <c r="M946" s="73"/>
      <c r="N946" s="73"/>
      <c r="O946" s="73"/>
      <c r="P946" s="73"/>
      <c r="Q946" s="73"/>
      <c r="R946" s="73"/>
      <c r="S946" s="73"/>
      <c r="T946" s="73"/>
      <c r="U946" s="73"/>
      <c r="V946" s="73"/>
      <c r="W946" s="73"/>
      <c r="X946" s="73"/>
      <c r="Y946" s="73"/>
      <c r="Z946" s="73"/>
    </row>
    <row r="947">
      <c r="A947" s="73"/>
      <c r="B947" s="73"/>
      <c r="C947" s="73"/>
      <c r="D947" s="73"/>
      <c r="E947" s="73"/>
      <c r="F947" s="73"/>
      <c r="G947" s="73"/>
      <c r="H947" s="73"/>
      <c r="I947" s="73"/>
      <c r="J947" s="73"/>
      <c r="K947" s="73"/>
      <c r="L947" s="73"/>
      <c r="M947" s="73"/>
      <c r="N947" s="73"/>
      <c r="O947" s="73"/>
      <c r="P947" s="73"/>
      <c r="Q947" s="73"/>
      <c r="R947" s="73"/>
      <c r="S947" s="73"/>
      <c r="T947" s="73"/>
      <c r="U947" s="73"/>
      <c r="V947" s="73"/>
      <c r="W947" s="73"/>
      <c r="X947" s="73"/>
      <c r="Y947" s="73"/>
      <c r="Z947" s="73"/>
    </row>
    <row r="948">
      <c r="A948" s="73"/>
      <c r="B948" s="73"/>
      <c r="C948" s="73"/>
      <c r="D948" s="73"/>
      <c r="E948" s="73"/>
      <c r="F948" s="73"/>
      <c r="G948" s="73"/>
      <c r="H948" s="73"/>
      <c r="I948" s="73"/>
      <c r="J948" s="73"/>
      <c r="K948" s="73"/>
      <c r="L948" s="73"/>
      <c r="M948" s="73"/>
      <c r="N948" s="73"/>
      <c r="O948" s="73"/>
      <c r="P948" s="73"/>
      <c r="Q948" s="73"/>
      <c r="R948" s="73"/>
      <c r="S948" s="73"/>
      <c r="T948" s="73"/>
      <c r="U948" s="73"/>
      <c r="V948" s="73"/>
      <c r="W948" s="73"/>
      <c r="X948" s="73"/>
      <c r="Y948" s="73"/>
      <c r="Z948" s="73"/>
    </row>
    <row r="949">
      <c r="A949" s="73"/>
      <c r="B949" s="73"/>
      <c r="C949" s="73"/>
      <c r="D949" s="73"/>
      <c r="E949" s="73"/>
      <c r="F949" s="73"/>
      <c r="G949" s="73"/>
      <c r="H949" s="73"/>
      <c r="I949" s="73"/>
      <c r="J949" s="73"/>
      <c r="K949" s="73"/>
      <c r="L949" s="73"/>
      <c r="M949" s="73"/>
      <c r="N949" s="73"/>
      <c r="O949" s="73"/>
      <c r="P949" s="73"/>
      <c r="Q949" s="73"/>
      <c r="R949" s="73"/>
      <c r="S949" s="73"/>
      <c r="T949" s="73"/>
      <c r="U949" s="73"/>
      <c r="V949" s="73"/>
      <c r="W949" s="73"/>
      <c r="X949" s="73"/>
      <c r="Y949" s="73"/>
      <c r="Z949" s="73"/>
    </row>
    <row r="950">
      <c r="A950" s="73"/>
      <c r="B950" s="73"/>
      <c r="C950" s="73"/>
      <c r="D950" s="73"/>
      <c r="E950" s="73"/>
      <c r="F950" s="73"/>
      <c r="G950" s="73"/>
      <c r="H950" s="73"/>
      <c r="I950" s="73"/>
      <c r="J950" s="73"/>
      <c r="K950" s="73"/>
      <c r="L950" s="73"/>
      <c r="M950" s="73"/>
      <c r="N950" s="73"/>
      <c r="O950" s="73"/>
      <c r="P950" s="73"/>
      <c r="Q950" s="73"/>
      <c r="R950" s="73"/>
      <c r="S950" s="73"/>
      <c r="T950" s="73"/>
      <c r="U950" s="73"/>
      <c r="V950" s="73"/>
      <c r="W950" s="73"/>
      <c r="X950" s="73"/>
      <c r="Y950" s="73"/>
      <c r="Z950" s="73"/>
    </row>
    <row r="951">
      <c r="A951" s="73"/>
      <c r="B951" s="73"/>
      <c r="C951" s="73"/>
      <c r="D951" s="73"/>
      <c r="E951" s="73"/>
      <c r="F951" s="73"/>
      <c r="G951" s="73"/>
      <c r="H951" s="73"/>
      <c r="I951" s="73"/>
      <c r="J951" s="73"/>
      <c r="K951" s="73"/>
      <c r="L951" s="73"/>
      <c r="M951" s="73"/>
      <c r="N951" s="73"/>
      <c r="O951" s="73"/>
      <c r="P951" s="73"/>
      <c r="Q951" s="73"/>
      <c r="R951" s="73"/>
      <c r="S951" s="73"/>
      <c r="T951" s="73"/>
      <c r="U951" s="73"/>
      <c r="V951" s="73"/>
      <c r="W951" s="73"/>
      <c r="X951" s="73"/>
      <c r="Y951" s="73"/>
      <c r="Z951" s="73"/>
    </row>
    <row r="952">
      <c r="A952" s="73"/>
      <c r="B952" s="73"/>
      <c r="C952" s="73"/>
      <c r="D952" s="73"/>
      <c r="E952" s="73"/>
      <c r="F952" s="73"/>
      <c r="G952" s="73"/>
      <c r="H952" s="73"/>
      <c r="I952" s="73"/>
      <c r="J952" s="73"/>
      <c r="K952" s="73"/>
      <c r="L952" s="73"/>
      <c r="M952" s="73"/>
      <c r="N952" s="73"/>
      <c r="O952" s="73"/>
      <c r="P952" s="73"/>
      <c r="Q952" s="73"/>
      <c r="R952" s="73"/>
      <c r="S952" s="73"/>
      <c r="T952" s="73"/>
      <c r="U952" s="73"/>
      <c r="V952" s="73"/>
      <c r="W952" s="73"/>
      <c r="X952" s="73"/>
      <c r="Y952" s="73"/>
      <c r="Z952" s="73"/>
    </row>
    <row r="953">
      <c r="A953" s="73"/>
      <c r="B953" s="73"/>
      <c r="C953" s="73"/>
      <c r="D953" s="73"/>
      <c r="E953" s="73"/>
      <c r="F953" s="73"/>
      <c r="G953" s="73"/>
      <c r="H953" s="73"/>
      <c r="I953" s="73"/>
      <c r="J953" s="73"/>
      <c r="K953" s="73"/>
      <c r="L953" s="73"/>
      <c r="M953" s="73"/>
      <c r="N953" s="73"/>
      <c r="O953" s="73"/>
      <c r="P953" s="73"/>
      <c r="Q953" s="73"/>
      <c r="R953" s="73"/>
      <c r="S953" s="73"/>
      <c r="T953" s="73"/>
      <c r="U953" s="73"/>
      <c r="V953" s="73"/>
      <c r="W953" s="73"/>
      <c r="X953" s="73"/>
      <c r="Y953" s="73"/>
      <c r="Z953" s="73"/>
    </row>
    <row r="954">
      <c r="A954" s="73"/>
      <c r="B954" s="73"/>
      <c r="C954" s="73"/>
      <c r="D954" s="73"/>
      <c r="E954" s="73"/>
      <c r="F954" s="73"/>
      <c r="G954" s="73"/>
      <c r="H954" s="73"/>
      <c r="I954" s="73"/>
      <c r="J954" s="73"/>
      <c r="K954" s="73"/>
      <c r="L954" s="73"/>
      <c r="M954" s="73"/>
      <c r="N954" s="73"/>
      <c r="O954" s="73"/>
      <c r="P954" s="73"/>
      <c r="Q954" s="73"/>
      <c r="R954" s="73"/>
      <c r="S954" s="73"/>
      <c r="T954" s="73"/>
      <c r="U954" s="73"/>
      <c r="V954" s="73"/>
      <c r="W954" s="73"/>
      <c r="X954" s="73"/>
      <c r="Y954" s="73"/>
      <c r="Z954" s="73"/>
    </row>
    <row r="955">
      <c r="A955" s="73"/>
      <c r="B955" s="73"/>
      <c r="C955" s="73"/>
      <c r="D955" s="73"/>
      <c r="E955" s="73"/>
      <c r="F955" s="73"/>
      <c r="G955" s="73"/>
      <c r="H955" s="73"/>
      <c r="I955" s="73"/>
      <c r="J955" s="73"/>
      <c r="K955" s="73"/>
      <c r="L955" s="73"/>
      <c r="M955" s="73"/>
      <c r="N955" s="73"/>
      <c r="O955" s="73"/>
      <c r="P955" s="73"/>
      <c r="Q955" s="73"/>
      <c r="R955" s="73"/>
      <c r="S955" s="73"/>
      <c r="T955" s="73"/>
      <c r="U955" s="73"/>
      <c r="V955" s="73"/>
      <c r="W955" s="73"/>
      <c r="X955" s="73"/>
      <c r="Y955" s="73"/>
      <c r="Z955" s="73"/>
    </row>
    <row r="956">
      <c r="A956" s="73"/>
      <c r="B956" s="73"/>
      <c r="C956" s="73"/>
      <c r="D956" s="73"/>
      <c r="E956" s="73"/>
      <c r="F956" s="73"/>
      <c r="G956" s="73"/>
      <c r="H956" s="73"/>
      <c r="I956" s="73"/>
      <c r="J956" s="73"/>
      <c r="K956" s="73"/>
      <c r="L956" s="73"/>
      <c r="M956" s="73"/>
      <c r="N956" s="73"/>
      <c r="O956" s="73"/>
      <c r="P956" s="73"/>
      <c r="Q956" s="73"/>
      <c r="R956" s="73"/>
      <c r="S956" s="73"/>
      <c r="T956" s="73"/>
      <c r="U956" s="73"/>
      <c r="V956" s="73"/>
      <c r="W956" s="73"/>
      <c r="X956" s="73"/>
      <c r="Y956" s="73"/>
      <c r="Z956" s="73"/>
    </row>
    <row r="957">
      <c r="A957" s="73"/>
      <c r="B957" s="73"/>
      <c r="C957" s="73"/>
      <c r="D957" s="73"/>
      <c r="E957" s="73"/>
      <c r="F957" s="73"/>
      <c r="G957" s="73"/>
      <c r="H957" s="73"/>
      <c r="I957" s="73"/>
      <c r="J957" s="73"/>
      <c r="K957" s="73"/>
      <c r="L957" s="73"/>
      <c r="M957" s="73"/>
      <c r="N957" s="73"/>
      <c r="O957" s="73"/>
      <c r="P957" s="73"/>
      <c r="Q957" s="73"/>
      <c r="R957" s="73"/>
      <c r="S957" s="73"/>
      <c r="T957" s="73"/>
      <c r="U957" s="73"/>
      <c r="V957" s="73"/>
      <c r="W957" s="73"/>
      <c r="X957" s="73"/>
      <c r="Y957" s="73"/>
      <c r="Z957" s="73"/>
    </row>
    <row r="958">
      <c r="A958" s="73"/>
      <c r="B958" s="73"/>
      <c r="C958" s="73"/>
      <c r="D958" s="73"/>
      <c r="E958" s="73"/>
      <c r="F958" s="73"/>
      <c r="G958" s="73"/>
      <c r="H958" s="73"/>
      <c r="I958" s="73"/>
      <c r="J958" s="73"/>
      <c r="K958" s="73"/>
      <c r="L958" s="73"/>
      <c r="M958" s="73"/>
      <c r="N958" s="73"/>
      <c r="O958" s="73"/>
      <c r="P958" s="73"/>
      <c r="Q958" s="73"/>
      <c r="R958" s="73"/>
      <c r="S958" s="73"/>
      <c r="T958" s="73"/>
      <c r="U958" s="73"/>
      <c r="V958" s="73"/>
      <c r="W958" s="73"/>
      <c r="X958" s="73"/>
      <c r="Y958" s="73"/>
      <c r="Z958" s="73"/>
    </row>
    <row r="959">
      <c r="A959" s="73"/>
      <c r="B959" s="73"/>
      <c r="C959" s="73"/>
      <c r="D959" s="73"/>
      <c r="E959" s="73"/>
      <c r="F959" s="73"/>
      <c r="G959" s="73"/>
      <c r="H959" s="73"/>
      <c r="I959" s="73"/>
      <c r="J959" s="73"/>
      <c r="K959" s="73"/>
      <c r="L959" s="73"/>
      <c r="M959" s="73"/>
      <c r="N959" s="73"/>
      <c r="O959" s="73"/>
      <c r="P959" s="73"/>
      <c r="Q959" s="73"/>
      <c r="R959" s="73"/>
      <c r="S959" s="73"/>
      <c r="T959" s="73"/>
      <c r="U959" s="73"/>
      <c r="V959" s="73"/>
      <c r="W959" s="73"/>
      <c r="X959" s="73"/>
      <c r="Y959" s="73"/>
      <c r="Z959" s="73"/>
    </row>
    <row r="960">
      <c r="A960" s="73"/>
      <c r="B960" s="73"/>
      <c r="C960" s="73"/>
      <c r="D960" s="73"/>
      <c r="E960" s="73"/>
      <c r="F960" s="73"/>
      <c r="G960" s="73"/>
      <c r="H960" s="73"/>
      <c r="I960" s="73"/>
      <c r="J960" s="73"/>
      <c r="K960" s="73"/>
      <c r="L960" s="73"/>
      <c r="M960" s="73"/>
      <c r="N960" s="73"/>
      <c r="O960" s="73"/>
      <c r="P960" s="73"/>
      <c r="Q960" s="73"/>
      <c r="R960" s="73"/>
      <c r="S960" s="73"/>
      <c r="T960" s="73"/>
      <c r="U960" s="73"/>
      <c r="V960" s="73"/>
      <c r="W960" s="73"/>
      <c r="X960" s="73"/>
      <c r="Y960" s="73"/>
      <c r="Z960" s="73"/>
    </row>
    <row r="961">
      <c r="A961" s="73"/>
      <c r="B961" s="73"/>
      <c r="C961" s="73"/>
      <c r="D961" s="73"/>
      <c r="E961" s="73"/>
      <c r="F961" s="73"/>
      <c r="G961" s="73"/>
      <c r="H961" s="73"/>
      <c r="I961" s="73"/>
      <c r="J961" s="73"/>
      <c r="K961" s="73"/>
      <c r="L961" s="73"/>
      <c r="M961" s="73"/>
      <c r="N961" s="73"/>
      <c r="O961" s="73"/>
      <c r="P961" s="73"/>
      <c r="Q961" s="73"/>
      <c r="R961" s="73"/>
      <c r="S961" s="73"/>
      <c r="T961" s="73"/>
      <c r="U961" s="73"/>
      <c r="V961" s="73"/>
      <c r="W961" s="73"/>
      <c r="X961" s="73"/>
      <c r="Y961" s="73"/>
      <c r="Z961" s="73"/>
    </row>
    <row r="962">
      <c r="A962" s="73"/>
      <c r="B962" s="73"/>
      <c r="C962" s="73"/>
      <c r="D962" s="73"/>
      <c r="E962" s="73"/>
      <c r="F962" s="73"/>
      <c r="G962" s="73"/>
      <c r="H962" s="73"/>
      <c r="I962" s="73"/>
      <c r="J962" s="73"/>
      <c r="K962" s="73"/>
      <c r="L962" s="73"/>
      <c r="M962" s="73"/>
      <c r="N962" s="73"/>
      <c r="O962" s="73"/>
      <c r="P962" s="73"/>
      <c r="Q962" s="73"/>
      <c r="R962" s="73"/>
      <c r="S962" s="73"/>
      <c r="T962" s="73"/>
      <c r="U962" s="73"/>
      <c r="V962" s="73"/>
      <c r="W962" s="73"/>
      <c r="X962" s="73"/>
      <c r="Y962" s="73"/>
      <c r="Z962" s="73"/>
    </row>
    <row r="963">
      <c r="A963" s="73"/>
      <c r="B963" s="73"/>
      <c r="C963" s="73"/>
      <c r="D963" s="73"/>
      <c r="E963" s="73"/>
      <c r="F963" s="73"/>
      <c r="G963" s="73"/>
      <c r="H963" s="73"/>
      <c r="I963" s="73"/>
      <c r="J963" s="73"/>
      <c r="K963" s="73"/>
      <c r="L963" s="73"/>
      <c r="M963" s="73"/>
      <c r="N963" s="73"/>
      <c r="O963" s="73"/>
      <c r="P963" s="73"/>
      <c r="Q963" s="73"/>
      <c r="R963" s="73"/>
      <c r="S963" s="73"/>
      <c r="T963" s="73"/>
      <c r="U963" s="73"/>
      <c r="V963" s="73"/>
      <c r="W963" s="73"/>
      <c r="X963" s="73"/>
      <c r="Y963" s="73"/>
      <c r="Z963" s="73"/>
    </row>
    <row r="964">
      <c r="A964" s="73"/>
      <c r="B964" s="73"/>
      <c r="C964" s="73"/>
      <c r="D964" s="73"/>
      <c r="E964" s="73"/>
      <c r="F964" s="73"/>
      <c r="G964" s="73"/>
      <c r="H964" s="73"/>
      <c r="I964" s="73"/>
      <c r="J964" s="73"/>
      <c r="K964" s="73"/>
      <c r="L964" s="73"/>
      <c r="M964" s="73"/>
      <c r="N964" s="73"/>
      <c r="O964" s="73"/>
      <c r="P964" s="73"/>
      <c r="Q964" s="73"/>
      <c r="R964" s="73"/>
      <c r="S964" s="73"/>
      <c r="T964" s="73"/>
      <c r="U964" s="73"/>
      <c r="V964" s="73"/>
      <c r="W964" s="73"/>
      <c r="X964" s="73"/>
      <c r="Y964" s="73"/>
      <c r="Z964" s="73"/>
    </row>
    <row r="965">
      <c r="A965" s="73"/>
      <c r="B965" s="73"/>
      <c r="C965" s="73"/>
      <c r="D965" s="73"/>
      <c r="E965" s="73"/>
      <c r="F965" s="73"/>
      <c r="G965" s="73"/>
      <c r="H965" s="73"/>
      <c r="I965" s="73"/>
      <c r="J965" s="73"/>
      <c r="K965" s="73"/>
      <c r="L965" s="73"/>
      <c r="M965" s="73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73"/>
      <c r="Y965" s="73"/>
      <c r="Z965" s="73"/>
    </row>
    <row r="966">
      <c r="A966" s="73"/>
      <c r="B966" s="73"/>
      <c r="C966" s="73"/>
      <c r="D966" s="73"/>
      <c r="E966" s="73"/>
      <c r="F966" s="73"/>
      <c r="G966" s="73"/>
      <c r="H966" s="73"/>
      <c r="I966" s="73"/>
      <c r="J966" s="73"/>
      <c r="K966" s="73"/>
      <c r="L966" s="73"/>
      <c r="M966" s="73"/>
      <c r="N966" s="73"/>
      <c r="O966" s="73"/>
      <c r="P966" s="73"/>
      <c r="Q966" s="73"/>
      <c r="R966" s="73"/>
      <c r="S966" s="73"/>
      <c r="T966" s="73"/>
      <c r="U966" s="73"/>
      <c r="V966" s="73"/>
      <c r="W966" s="73"/>
      <c r="X966" s="73"/>
      <c r="Y966" s="73"/>
      <c r="Z966" s="73"/>
    </row>
    <row r="967">
      <c r="A967" s="73"/>
      <c r="B967" s="73"/>
      <c r="C967" s="73"/>
      <c r="D967" s="73"/>
      <c r="E967" s="73"/>
      <c r="F967" s="73"/>
      <c r="G967" s="73"/>
      <c r="H967" s="73"/>
      <c r="I967" s="73"/>
      <c r="J967" s="73"/>
      <c r="K967" s="73"/>
      <c r="L967" s="73"/>
      <c r="M967" s="73"/>
      <c r="N967" s="73"/>
      <c r="O967" s="73"/>
      <c r="P967" s="73"/>
      <c r="Q967" s="73"/>
      <c r="R967" s="73"/>
      <c r="S967" s="73"/>
      <c r="T967" s="73"/>
      <c r="U967" s="73"/>
      <c r="V967" s="73"/>
      <c r="W967" s="73"/>
      <c r="X967" s="73"/>
      <c r="Y967" s="73"/>
      <c r="Z967" s="73"/>
    </row>
    <row r="968">
      <c r="A968" s="73"/>
      <c r="B968" s="73"/>
      <c r="C968" s="73"/>
      <c r="D968" s="73"/>
      <c r="E968" s="73"/>
      <c r="F968" s="73"/>
      <c r="G968" s="73"/>
      <c r="H968" s="73"/>
      <c r="I968" s="73"/>
      <c r="J968" s="73"/>
      <c r="K968" s="73"/>
      <c r="L968" s="73"/>
      <c r="M968" s="73"/>
      <c r="N968" s="73"/>
      <c r="O968" s="73"/>
      <c r="P968" s="73"/>
      <c r="Q968" s="73"/>
      <c r="R968" s="73"/>
      <c r="S968" s="73"/>
      <c r="T968" s="73"/>
      <c r="U968" s="73"/>
      <c r="V968" s="73"/>
      <c r="W968" s="73"/>
      <c r="X968" s="73"/>
      <c r="Y968" s="73"/>
      <c r="Z968" s="73"/>
    </row>
    <row r="969">
      <c r="A969" s="73"/>
      <c r="B969" s="73"/>
      <c r="C969" s="73"/>
      <c r="D969" s="73"/>
      <c r="E969" s="73"/>
      <c r="F969" s="73"/>
      <c r="G969" s="73"/>
      <c r="H969" s="73"/>
      <c r="I969" s="73"/>
      <c r="J969" s="73"/>
      <c r="K969" s="73"/>
      <c r="L969" s="73"/>
      <c r="M969" s="73"/>
      <c r="N969" s="73"/>
      <c r="O969" s="73"/>
      <c r="P969" s="73"/>
      <c r="Q969" s="73"/>
      <c r="R969" s="73"/>
      <c r="S969" s="73"/>
      <c r="T969" s="73"/>
      <c r="U969" s="73"/>
      <c r="V969" s="73"/>
      <c r="W969" s="73"/>
      <c r="X969" s="73"/>
      <c r="Y969" s="73"/>
      <c r="Z969" s="73"/>
    </row>
    <row r="970">
      <c r="A970" s="73"/>
      <c r="B970" s="73"/>
      <c r="C970" s="73"/>
      <c r="D970" s="73"/>
      <c r="E970" s="73"/>
      <c r="F970" s="73"/>
      <c r="G970" s="73"/>
      <c r="H970" s="73"/>
      <c r="I970" s="73"/>
      <c r="J970" s="73"/>
      <c r="K970" s="73"/>
      <c r="L970" s="73"/>
      <c r="M970" s="73"/>
      <c r="N970" s="73"/>
      <c r="O970" s="73"/>
      <c r="P970" s="73"/>
      <c r="Q970" s="73"/>
      <c r="R970" s="73"/>
      <c r="S970" s="73"/>
      <c r="T970" s="73"/>
      <c r="U970" s="73"/>
      <c r="V970" s="73"/>
      <c r="W970" s="73"/>
      <c r="X970" s="73"/>
      <c r="Y970" s="73"/>
      <c r="Z970" s="73"/>
    </row>
    <row r="971">
      <c r="A971" s="73"/>
      <c r="B971" s="73"/>
      <c r="C971" s="73"/>
      <c r="D971" s="73"/>
      <c r="E971" s="73"/>
      <c r="F971" s="73"/>
      <c r="G971" s="73"/>
      <c r="H971" s="73"/>
      <c r="I971" s="73"/>
      <c r="J971" s="73"/>
      <c r="K971" s="73"/>
      <c r="L971" s="73"/>
      <c r="M971" s="73"/>
      <c r="N971" s="73"/>
      <c r="O971" s="73"/>
      <c r="P971" s="73"/>
      <c r="Q971" s="73"/>
      <c r="R971" s="73"/>
      <c r="S971" s="73"/>
      <c r="T971" s="73"/>
      <c r="U971" s="73"/>
      <c r="V971" s="73"/>
      <c r="W971" s="73"/>
      <c r="X971" s="73"/>
      <c r="Y971" s="73"/>
      <c r="Z971" s="73"/>
    </row>
    <row r="972">
      <c r="A972" s="73"/>
      <c r="B972" s="73"/>
      <c r="C972" s="73"/>
      <c r="D972" s="73"/>
      <c r="E972" s="73"/>
      <c r="F972" s="73"/>
      <c r="G972" s="73"/>
      <c r="H972" s="73"/>
      <c r="I972" s="73"/>
      <c r="J972" s="73"/>
      <c r="K972" s="73"/>
      <c r="L972" s="73"/>
      <c r="M972" s="73"/>
      <c r="N972" s="73"/>
      <c r="O972" s="73"/>
      <c r="P972" s="73"/>
      <c r="Q972" s="73"/>
      <c r="R972" s="73"/>
      <c r="S972" s="73"/>
      <c r="T972" s="73"/>
      <c r="U972" s="73"/>
      <c r="V972" s="73"/>
      <c r="W972" s="73"/>
      <c r="X972" s="73"/>
      <c r="Y972" s="73"/>
      <c r="Z972" s="73"/>
    </row>
    <row r="973">
      <c r="A973" s="73"/>
      <c r="B973" s="73"/>
      <c r="C973" s="73"/>
      <c r="D973" s="73"/>
      <c r="E973" s="73"/>
      <c r="F973" s="73"/>
      <c r="G973" s="73"/>
      <c r="H973" s="73"/>
      <c r="I973" s="73"/>
      <c r="J973" s="73"/>
      <c r="K973" s="73"/>
      <c r="L973" s="73"/>
      <c r="M973" s="73"/>
      <c r="N973" s="73"/>
      <c r="O973" s="73"/>
      <c r="P973" s="73"/>
      <c r="Q973" s="73"/>
      <c r="R973" s="73"/>
      <c r="S973" s="73"/>
      <c r="T973" s="73"/>
      <c r="U973" s="73"/>
      <c r="V973" s="73"/>
      <c r="W973" s="73"/>
      <c r="X973" s="73"/>
      <c r="Y973" s="73"/>
      <c r="Z973" s="73"/>
    </row>
    <row r="974">
      <c r="A974" s="73"/>
      <c r="B974" s="73"/>
      <c r="C974" s="73"/>
      <c r="D974" s="73"/>
      <c r="E974" s="73"/>
      <c r="F974" s="73"/>
      <c r="G974" s="73"/>
      <c r="H974" s="73"/>
      <c r="I974" s="73"/>
      <c r="J974" s="73"/>
      <c r="K974" s="73"/>
      <c r="L974" s="73"/>
      <c r="M974" s="73"/>
      <c r="N974" s="73"/>
      <c r="O974" s="73"/>
      <c r="P974" s="73"/>
      <c r="Q974" s="73"/>
      <c r="R974" s="73"/>
      <c r="S974" s="73"/>
      <c r="T974" s="73"/>
      <c r="U974" s="73"/>
      <c r="V974" s="73"/>
      <c r="W974" s="73"/>
      <c r="X974" s="73"/>
      <c r="Y974" s="73"/>
      <c r="Z974" s="73"/>
    </row>
    <row r="975">
      <c r="A975" s="73"/>
      <c r="B975" s="73"/>
      <c r="C975" s="73"/>
      <c r="D975" s="73"/>
      <c r="E975" s="73"/>
      <c r="F975" s="73"/>
      <c r="G975" s="73"/>
      <c r="H975" s="73"/>
      <c r="I975" s="73"/>
      <c r="J975" s="73"/>
      <c r="K975" s="73"/>
      <c r="L975" s="73"/>
      <c r="M975" s="73"/>
      <c r="N975" s="73"/>
      <c r="O975" s="73"/>
      <c r="P975" s="73"/>
      <c r="Q975" s="73"/>
      <c r="R975" s="73"/>
      <c r="S975" s="73"/>
      <c r="T975" s="73"/>
      <c r="U975" s="73"/>
      <c r="V975" s="73"/>
      <c r="W975" s="73"/>
      <c r="X975" s="73"/>
      <c r="Y975" s="73"/>
      <c r="Z975" s="73"/>
    </row>
    <row r="976">
      <c r="A976" s="73"/>
      <c r="B976" s="73"/>
      <c r="C976" s="73"/>
      <c r="D976" s="73"/>
      <c r="E976" s="73"/>
      <c r="F976" s="73"/>
      <c r="G976" s="73"/>
      <c r="H976" s="73"/>
      <c r="I976" s="73"/>
      <c r="J976" s="73"/>
      <c r="K976" s="73"/>
      <c r="L976" s="73"/>
      <c r="M976" s="73"/>
      <c r="N976" s="73"/>
      <c r="O976" s="73"/>
      <c r="P976" s="73"/>
      <c r="Q976" s="73"/>
      <c r="R976" s="73"/>
      <c r="S976" s="73"/>
      <c r="T976" s="73"/>
      <c r="U976" s="73"/>
      <c r="V976" s="73"/>
      <c r="W976" s="73"/>
      <c r="X976" s="73"/>
      <c r="Y976" s="73"/>
      <c r="Z976" s="73"/>
    </row>
    <row r="977">
      <c r="A977" s="73"/>
      <c r="B977" s="73"/>
      <c r="C977" s="73"/>
      <c r="D977" s="73"/>
      <c r="E977" s="73"/>
      <c r="F977" s="73"/>
      <c r="G977" s="73"/>
      <c r="H977" s="73"/>
      <c r="I977" s="73"/>
      <c r="J977" s="73"/>
      <c r="K977" s="73"/>
      <c r="L977" s="73"/>
      <c r="M977" s="73"/>
      <c r="N977" s="73"/>
      <c r="O977" s="73"/>
      <c r="P977" s="73"/>
      <c r="Q977" s="73"/>
      <c r="R977" s="73"/>
      <c r="S977" s="73"/>
      <c r="T977" s="73"/>
      <c r="U977" s="73"/>
      <c r="V977" s="73"/>
      <c r="W977" s="73"/>
      <c r="X977" s="73"/>
      <c r="Y977" s="73"/>
      <c r="Z977" s="73"/>
    </row>
    <row r="978">
      <c r="A978" s="73"/>
      <c r="B978" s="73"/>
      <c r="C978" s="73"/>
      <c r="D978" s="73"/>
      <c r="E978" s="73"/>
      <c r="F978" s="73"/>
      <c r="G978" s="73"/>
      <c r="H978" s="73"/>
      <c r="I978" s="73"/>
      <c r="J978" s="73"/>
      <c r="K978" s="73"/>
      <c r="L978" s="73"/>
      <c r="M978" s="73"/>
      <c r="N978" s="73"/>
      <c r="O978" s="73"/>
      <c r="P978" s="73"/>
      <c r="Q978" s="73"/>
      <c r="R978" s="73"/>
      <c r="S978" s="73"/>
      <c r="T978" s="73"/>
      <c r="U978" s="73"/>
      <c r="V978" s="73"/>
      <c r="W978" s="73"/>
      <c r="X978" s="73"/>
      <c r="Y978" s="73"/>
      <c r="Z978" s="73"/>
    </row>
    <row r="979">
      <c r="A979" s="73"/>
      <c r="B979" s="73"/>
      <c r="C979" s="73"/>
      <c r="D979" s="73"/>
      <c r="E979" s="73"/>
      <c r="F979" s="73"/>
      <c r="G979" s="73"/>
      <c r="H979" s="73"/>
      <c r="I979" s="73"/>
      <c r="J979" s="73"/>
      <c r="K979" s="73"/>
      <c r="L979" s="73"/>
      <c r="M979" s="73"/>
      <c r="N979" s="73"/>
      <c r="O979" s="73"/>
      <c r="P979" s="73"/>
      <c r="Q979" s="73"/>
      <c r="R979" s="73"/>
      <c r="S979" s="73"/>
      <c r="T979" s="73"/>
      <c r="U979" s="73"/>
      <c r="V979" s="73"/>
      <c r="W979" s="73"/>
      <c r="X979" s="73"/>
      <c r="Y979" s="73"/>
      <c r="Z979" s="73"/>
    </row>
    <row r="980">
      <c r="A980" s="73"/>
      <c r="B980" s="73"/>
      <c r="C980" s="73"/>
      <c r="D980" s="73"/>
      <c r="E980" s="73"/>
      <c r="F980" s="73"/>
      <c r="G980" s="73"/>
      <c r="H980" s="73"/>
      <c r="I980" s="73"/>
      <c r="J980" s="73"/>
      <c r="K980" s="73"/>
      <c r="L980" s="73"/>
      <c r="M980" s="73"/>
      <c r="N980" s="73"/>
      <c r="O980" s="73"/>
      <c r="P980" s="73"/>
      <c r="Q980" s="73"/>
      <c r="R980" s="73"/>
      <c r="S980" s="73"/>
      <c r="T980" s="73"/>
      <c r="U980" s="73"/>
      <c r="V980" s="73"/>
      <c r="W980" s="73"/>
      <c r="X980" s="73"/>
      <c r="Y980" s="73"/>
      <c r="Z980" s="73"/>
    </row>
    <row r="981">
      <c r="A981" s="73"/>
      <c r="B981" s="73"/>
      <c r="C981" s="73"/>
      <c r="D981" s="73"/>
      <c r="E981" s="73"/>
      <c r="F981" s="73"/>
      <c r="G981" s="73"/>
      <c r="H981" s="73"/>
      <c r="I981" s="73"/>
      <c r="J981" s="73"/>
      <c r="K981" s="73"/>
      <c r="L981" s="73"/>
      <c r="M981" s="73"/>
      <c r="N981" s="73"/>
      <c r="O981" s="73"/>
      <c r="P981" s="73"/>
      <c r="Q981" s="73"/>
      <c r="R981" s="73"/>
      <c r="S981" s="73"/>
      <c r="T981" s="73"/>
      <c r="U981" s="73"/>
      <c r="V981" s="73"/>
      <c r="W981" s="73"/>
      <c r="X981" s="73"/>
      <c r="Y981" s="73"/>
      <c r="Z981" s="73"/>
    </row>
    <row r="982">
      <c r="A982" s="73"/>
      <c r="B982" s="73"/>
      <c r="C982" s="73"/>
      <c r="D982" s="73"/>
      <c r="E982" s="73"/>
      <c r="F982" s="73"/>
      <c r="G982" s="73"/>
      <c r="H982" s="73"/>
      <c r="I982" s="73"/>
      <c r="J982" s="73"/>
      <c r="K982" s="73"/>
      <c r="L982" s="73"/>
      <c r="M982" s="73"/>
      <c r="N982" s="73"/>
      <c r="O982" s="73"/>
      <c r="P982" s="73"/>
      <c r="Q982" s="73"/>
      <c r="R982" s="73"/>
      <c r="S982" s="73"/>
      <c r="T982" s="73"/>
      <c r="U982" s="73"/>
      <c r="V982" s="73"/>
      <c r="W982" s="73"/>
      <c r="X982" s="73"/>
      <c r="Y982" s="73"/>
      <c r="Z982" s="73"/>
    </row>
    <row r="983">
      <c r="A983" s="73"/>
      <c r="B983" s="73"/>
      <c r="C983" s="73"/>
      <c r="D983" s="73"/>
      <c r="E983" s="73"/>
      <c r="F983" s="73"/>
      <c r="G983" s="73"/>
      <c r="H983" s="73"/>
      <c r="I983" s="73"/>
      <c r="J983" s="73"/>
      <c r="K983" s="73"/>
      <c r="L983" s="73"/>
      <c r="M983" s="73"/>
      <c r="N983" s="73"/>
      <c r="O983" s="73"/>
      <c r="P983" s="73"/>
      <c r="Q983" s="73"/>
      <c r="R983" s="73"/>
      <c r="S983" s="73"/>
      <c r="T983" s="73"/>
      <c r="U983" s="73"/>
      <c r="V983" s="73"/>
      <c r="W983" s="73"/>
      <c r="X983" s="73"/>
      <c r="Y983" s="73"/>
      <c r="Z983" s="73"/>
    </row>
    <row r="984">
      <c r="A984" s="73"/>
      <c r="B984" s="73"/>
      <c r="C984" s="73"/>
      <c r="D984" s="73"/>
      <c r="E984" s="73"/>
      <c r="F984" s="73"/>
      <c r="G984" s="73"/>
      <c r="H984" s="73"/>
      <c r="I984" s="73"/>
      <c r="J984" s="73"/>
      <c r="K984" s="73"/>
      <c r="L984" s="73"/>
      <c r="M984" s="73"/>
      <c r="N984" s="73"/>
      <c r="O984" s="73"/>
      <c r="P984" s="73"/>
      <c r="Q984" s="73"/>
      <c r="R984" s="73"/>
      <c r="S984" s="73"/>
      <c r="T984" s="73"/>
      <c r="U984" s="73"/>
      <c r="V984" s="73"/>
      <c r="W984" s="73"/>
      <c r="X984" s="73"/>
      <c r="Y984" s="73"/>
      <c r="Z984" s="73"/>
    </row>
    <row r="985">
      <c r="A985" s="73"/>
      <c r="B985" s="73"/>
      <c r="C985" s="73"/>
      <c r="D985" s="73"/>
      <c r="E985" s="73"/>
      <c r="F985" s="73"/>
      <c r="G985" s="73"/>
      <c r="H985" s="73"/>
      <c r="I985" s="73"/>
      <c r="J985" s="73"/>
      <c r="K985" s="73"/>
      <c r="L985" s="73"/>
      <c r="M985" s="73"/>
      <c r="N985" s="73"/>
      <c r="O985" s="73"/>
      <c r="P985" s="73"/>
      <c r="Q985" s="73"/>
      <c r="R985" s="73"/>
      <c r="S985" s="73"/>
      <c r="T985" s="73"/>
      <c r="U985" s="73"/>
      <c r="V985" s="73"/>
      <c r="W985" s="73"/>
      <c r="X985" s="73"/>
      <c r="Y985" s="73"/>
      <c r="Z985" s="73"/>
    </row>
    <row r="986">
      <c r="A986" s="73"/>
      <c r="B986" s="73"/>
      <c r="C986" s="73"/>
      <c r="D986" s="73"/>
      <c r="E986" s="73"/>
      <c r="F986" s="73"/>
      <c r="G986" s="73"/>
      <c r="H986" s="73"/>
      <c r="I986" s="73"/>
      <c r="J986" s="73"/>
      <c r="K986" s="73"/>
      <c r="L986" s="73"/>
      <c r="M986" s="73"/>
      <c r="N986" s="73"/>
      <c r="O986" s="73"/>
      <c r="P986" s="73"/>
      <c r="Q986" s="73"/>
      <c r="R986" s="73"/>
      <c r="S986" s="73"/>
      <c r="T986" s="73"/>
      <c r="U986" s="73"/>
      <c r="V986" s="73"/>
      <c r="W986" s="73"/>
      <c r="X986" s="73"/>
      <c r="Y986" s="73"/>
      <c r="Z986" s="73"/>
    </row>
    <row r="987">
      <c r="A987" s="73"/>
      <c r="B987" s="73"/>
      <c r="C987" s="73"/>
      <c r="D987" s="73"/>
      <c r="E987" s="73"/>
      <c r="F987" s="73"/>
      <c r="G987" s="73"/>
      <c r="H987" s="73"/>
      <c r="I987" s="73"/>
      <c r="J987" s="73"/>
      <c r="K987" s="73"/>
      <c r="L987" s="73"/>
      <c r="M987" s="73"/>
      <c r="N987" s="73"/>
      <c r="O987" s="73"/>
      <c r="P987" s="73"/>
      <c r="Q987" s="73"/>
      <c r="R987" s="73"/>
      <c r="S987" s="73"/>
      <c r="T987" s="73"/>
      <c r="U987" s="73"/>
      <c r="V987" s="73"/>
      <c r="W987" s="73"/>
      <c r="X987" s="73"/>
      <c r="Y987" s="73"/>
      <c r="Z987" s="73"/>
    </row>
    <row r="988">
      <c r="A988" s="73"/>
      <c r="B988" s="73"/>
      <c r="C988" s="73"/>
      <c r="D988" s="73"/>
      <c r="E988" s="73"/>
      <c r="F988" s="73"/>
      <c r="G988" s="73"/>
      <c r="H988" s="73"/>
      <c r="I988" s="73"/>
      <c r="J988" s="73"/>
      <c r="K988" s="73"/>
      <c r="L988" s="73"/>
      <c r="M988" s="73"/>
      <c r="N988" s="73"/>
      <c r="O988" s="73"/>
      <c r="P988" s="73"/>
      <c r="Q988" s="73"/>
      <c r="R988" s="73"/>
      <c r="S988" s="73"/>
      <c r="T988" s="73"/>
      <c r="U988" s="73"/>
      <c r="V988" s="73"/>
      <c r="W988" s="73"/>
      <c r="X988" s="73"/>
      <c r="Y988" s="73"/>
      <c r="Z988" s="73"/>
    </row>
    <row r="989">
      <c r="A989" s="73"/>
      <c r="B989" s="73"/>
      <c r="C989" s="73"/>
      <c r="D989" s="73"/>
      <c r="E989" s="73"/>
      <c r="F989" s="73"/>
      <c r="G989" s="73"/>
      <c r="H989" s="73"/>
      <c r="I989" s="73"/>
      <c r="J989" s="73"/>
      <c r="K989" s="73"/>
      <c r="L989" s="73"/>
      <c r="M989" s="73"/>
      <c r="N989" s="73"/>
      <c r="O989" s="73"/>
      <c r="P989" s="73"/>
      <c r="Q989" s="73"/>
      <c r="R989" s="73"/>
      <c r="S989" s="73"/>
      <c r="T989" s="73"/>
      <c r="U989" s="73"/>
      <c r="V989" s="73"/>
      <c r="W989" s="73"/>
      <c r="X989" s="73"/>
      <c r="Y989" s="73"/>
      <c r="Z989" s="73"/>
    </row>
    <row r="990">
      <c r="A990" s="73"/>
      <c r="B990" s="73"/>
      <c r="C990" s="73"/>
      <c r="D990" s="73"/>
      <c r="E990" s="73"/>
      <c r="F990" s="73"/>
      <c r="G990" s="73"/>
      <c r="H990" s="73"/>
      <c r="I990" s="73"/>
      <c r="J990" s="73"/>
      <c r="K990" s="73"/>
      <c r="L990" s="73"/>
      <c r="M990" s="73"/>
      <c r="N990" s="73"/>
      <c r="O990" s="73"/>
      <c r="P990" s="73"/>
      <c r="Q990" s="73"/>
      <c r="R990" s="73"/>
      <c r="S990" s="73"/>
      <c r="T990" s="73"/>
      <c r="U990" s="73"/>
      <c r="V990" s="73"/>
      <c r="W990" s="73"/>
      <c r="X990" s="73"/>
      <c r="Y990" s="73"/>
      <c r="Z990" s="73"/>
    </row>
    <row r="991">
      <c r="A991" s="73"/>
      <c r="B991" s="73"/>
      <c r="C991" s="73"/>
      <c r="D991" s="73"/>
      <c r="E991" s="73"/>
      <c r="F991" s="73"/>
      <c r="G991" s="73"/>
      <c r="H991" s="73"/>
      <c r="I991" s="73"/>
      <c r="J991" s="73"/>
      <c r="K991" s="73"/>
      <c r="L991" s="73"/>
      <c r="M991" s="73"/>
      <c r="N991" s="73"/>
      <c r="O991" s="73"/>
      <c r="P991" s="73"/>
      <c r="Q991" s="73"/>
      <c r="R991" s="73"/>
      <c r="S991" s="73"/>
      <c r="T991" s="73"/>
      <c r="U991" s="73"/>
      <c r="V991" s="73"/>
      <c r="W991" s="73"/>
      <c r="X991" s="73"/>
      <c r="Y991" s="73"/>
      <c r="Z991" s="73"/>
    </row>
    <row r="992">
      <c r="A992" s="73"/>
      <c r="B992" s="73"/>
      <c r="C992" s="73"/>
      <c r="D992" s="73"/>
      <c r="E992" s="73"/>
      <c r="F992" s="73"/>
      <c r="G992" s="73"/>
      <c r="H992" s="73"/>
      <c r="I992" s="73"/>
      <c r="J992" s="73"/>
      <c r="K992" s="73"/>
      <c r="L992" s="73"/>
      <c r="M992" s="73"/>
      <c r="N992" s="73"/>
      <c r="O992" s="73"/>
      <c r="P992" s="73"/>
      <c r="Q992" s="73"/>
      <c r="R992" s="73"/>
      <c r="S992" s="73"/>
      <c r="T992" s="73"/>
      <c r="U992" s="73"/>
      <c r="V992" s="73"/>
      <c r="W992" s="73"/>
      <c r="X992" s="73"/>
      <c r="Y992" s="73"/>
      <c r="Z992" s="73"/>
    </row>
    <row r="993">
      <c r="A993" s="73"/>
      <c r="B993" s="73"/>
      <c r="C993" s="73"/>
      <c r="D993" s="73"/>
      <c r="E993" s="73"/>
      <c r="F993" s="73"/>
      <c r="G993" s="73"/>
      <c r="H993" s="73"/>
      <c r="I993" s="73"/>
      <c r="J993" s="73"/>
      <c r="K993" s="73"/>
      <c r="L993" s="73"/>
      <c r="M993" s="73"/>
      <c r="N993" s="73"/>
      <c r="O993" s="73"/>
      <c r="P993" s="73"/>
      <c r="Q993" s="73"/>
      <c r="R993" s="73"/>
      <c r="S993" s="73"/>
      <c r="T993" s="73"/>
      <c r="U993" s="73"/>
      <c r="V993" s="73"/>
      <c r="W993" s="73"/>
      <c r="X993" s="73"/>
      <c r="Y993" s="73"/>
      <c r="Z993" s="73"/>
    </row>
    <row r="994">
      <c r="A994" s="73"/>
      <c r="B994" s="73"/>
      <c r="C994" s="73"/>
      <c r="D994" s="73"/>
      <c r="E994" s="73"/>
      <c r="F994" s="73"/>
      <c r="G994" s="73"/>
      <c r="H994" s="73"/>
      <c r="I994" s="73"/>
      <c r="J994" s="73"/>
      <c r="K994" s="73"/>
      <c r="L994" s="73"/>
      <c r="M994" s="73"/>
      <c r="N994" s="73"/>
      <c r="O994" s="73"/>
      <c r="P994" s="73"/>
      <c r="Q994" s="73"/>
      <c r="R994" s="73"/>
      <c r="S994" s="73"/>
      <c r="T994" s="73"/>
      <c r="U994" s="73"/>
      <c r="V994" s="73"/>
      <c r="W994" s="73"/>
      <c r="X994" s="73"/>
      <c r="Y994" s="73"/>
      <c r="Z994" s="73"/>
    </row>
    <row r="995">
      <c r="A995" s="73"/>
      <c r="B995" s="73"/>
      <c r="C995" s="73"/>
      <c r="D995" s="73"/>
      <c r="E995" s="73"/>
      <c r="F995" s="73"/>
      <c r="G995" s="73"/>
      <c r="H995" s="73"/>
      <c r="I995" s="73"/>
      <c r="J995" s="73"/>
      <c r="K995" s="73"/>
      <c r="L995" s="73"/>
      <c r="M995" s="73"/>
      <c r="N995" s="73"/>
      <c r="O995" s="73"/>
      <c r="P995" s="73"/>
      <c r="Q995" s="73"/>
      <c r="R995" s="73"/>
      <c r="S995" s="73"/>
      <c r="T995" s="73"/>
      <c r="U995" s="73"/>
      <c r="V995" s="73"/>
      <c r="W995" s="73"/>
      <c r="X995" s="73"/>
      <c r="Y995" s="73"/>
      <c r="Z995" s="73"/>
    </row>
    <row r="996">
      <c r="A996" s="73"/>
      <c r="B996" s="73"/>
      <c r="C996" s="73"/>
      <c r="D996" s="73"/>
      <c r="E996" s="73"/>
      <c r="F996" s="73"/>
      <c r="G996" s="73"/>
      <c r="H996" s="73"/>
      <c r="I996" s="73"/>
      <c r="J996" s="73"/>
      <c r="K996" s="73"/>
      <c r="L996" s="73"/>
      <c r="M996" s="73"/>
      <c r="N996" s="73"/>
      <c r="O996" s="73"/>
      <c r="P996" s="73"/>
      <c r="Q996" s="73"/>
      <c r="R996" s="73"/>
      <c r="S996" s="73"/>
      <c r="T996" s="73"/>
      <c r="U996" s="73"/>
      <c r="V996" s="73"/>
      <c r="W996" s="73"/>
      <c r="X996" s="73"/>
      <c r="Y996" s="73"/>
      <c r="Z996" s="73"/>
    </row>
    <row r="997">
      <c r="A997" s="73"/>
      <c r="B997" s="73"/>
      <c r="C997" s="73"/>
      <c r="D997" s="73"/>
      <c r="E997" s="73"/>
      <c r="F997" s="73"/>
      <c r="G997" s="73"/>
      <c r="H997" s="73"/>
      <c r="I997" s="73"/>
      <c r="J997" s="73"/>
      <c r="K997" s="73"/>
      <c r="L997" s="73"/>
      <c r="M997" s="73"/>
      <c r="N997" s="73"/>
      <c r="O997" s="73"/>
      <c r="P997" s="73"/>
      <c r="Q997" s="73"/>
      <c r="R997" s="73"/>
      <c r="S997" s="73"/>
      <c r="T997" s="73"/>
      <c r="U997" s="73"/>
      <c r="V997" s="73"/>
      <c r="W997" s="73"/>
      <c r="X997" s="73"/>
      <c r="Y997" s="73"/>
      <c r="Z997" s="73"/>
    </row>
    <row r="998">
      <c r="A998" s="73"/>
      <c r="B998" s="73"/>
      <c r="C998" s="73"/>
      <c r="D998" s="73"/>
      <c r="E998" s="73"/>
      <c r="F998" s="73"/>
      <c r="G998" s="73"/>
      <c r="H998" s="73"/>
      <c r="I998" s="73"/>
      <c r="J998" s="73"/>
      <c r="K998" s="73"/>
      <c r="L998" s="73"/>
      <c r="M998" s="73"/>
      <c r="N998" s="73"/>
      <c r="O998" s="73"/>
      <c r="P998" s="73"/>
      <c r="Q998" s="73"/>
      <c r="R998" s="73"/>
      <c r="S998" s="73"/>
      <c r="T998" s="73"/>
      <c r="U998" s="73"/>
      <c r="V998" s="73"/>
      <c r="W998" s="73"/>
      <c r="X998" s="73"/>
      <c r="Y998" s="73"/>
      <c r="Z998" s="73"/>
    </row>
    <row r="999">
      <c r="A999" s="73"/>
      <c r="B999" s="73"/>
      <c r="C999" s="73"/>
      <c r="D999" s="73"/>
      <c r="E999" s="73"/>
      <c r="F999" s="73"/>
      <c r="G999" s="73"/>
      <c r="H999" s="73"/>
      <c r="I999" s="73"/>
      <c r="J999" s="73"/>
      <c r="K999" s="73"/>
      <c r="L999" s="73"/>
      <c r="M999" s="73"/>
      <c r="N999" s="73"/>
      <c r="O999" s="73"/>
      <c r="P999" s="73"/>
      <c r="Q999" s="73"/>
      <c r="R999" s="73"/>
      <c r="S999" s="73"/>
      <c r="T999" s="73"/>
      <c r="U999" s="73"/>
      <c r="V999" s="73"/>
      <c r="W999" s="73"/>
      <c r="X999" s="73"/>
      <c r="Y999" s="73"/>
      <c r="Z999" s="73"/>
    </row>
    <row r="1000">
      <c r="A1000" s="73"/>
      <c r="B1000" s="73"/>
      <c r="C1000" s="73"/>
      <c r="D1000" s="73"/>
      <c r="E1000" s="73"/>
      <c r="F1000" s="73"/>
      <c r="G1000" s="73"/>
      <c r="H1000" s="73"/>
      <c r="I1000" s="73"/>
      <c r="J1000" s="73"/>
      <c r="K1000" s="73"/>
      <c r="L1000" s="73"/>
      <c r="M1000" s="73"/>
      <c r="N1000" s="73"/>
      <c r="O1000" s="73"/>
      <c r="P1000" s="73"/>
      <c r="Q1000" s="73"/>
      <c r="R1000" s="73"/>
      <c r="S1000" s="73"/>
      <c r="T1000" s="73"/>
      <c r="U1000" s="73"/>
      <c r="V1000" s="73"/>
      <c r="W1000" s="73"/>
      <c r="X1000" s="73"/>
      <c r="Y1000" s="73"/>
      <c r="Z1000" s="73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3"/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</row>
    <row r="2">
      <c r="A2" s="73"/>
      <c r="B2" s="73"/>
      <c r="C2" s="377" t="s">
        <v>2765</v>
      </c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>
      <c r="A3" s="73"/>
      <c r="B3" s="80" t="s">
        <v>928</v>
      </c>
      <c r="C3" s="80">
        <v>93.35</v>
      </c>
      <c r="D3" s="81">
        <f t="shared" ref="D3:D11" si="1">C3/$C$12</f>
        <v>0.6735500815</v>
      </c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</row>
    <row r="4">
      <c r="A4" s="73"/>
      <c r="B4" s="374" t="s">
        <v>2766</v>
      </c>
      <c r="C4" s="376">
        <v>18.27</v>
      </c>
      <c r="D4" s="81">
        <f t="shared" si="1"/>
        <v>0.1318238885</v>
      </c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</row>
    <row r="5">
      <c r="A5" s="73"/>
      <c r="B5" s="374" t="s">
        <v>641</v>
      </c>
      <c r="C5" s="376">
        <v>8.165</v>
      </c>
      <c r="D5" s="81">
        <f t="shared" si="1"/>
        <v>0.05891308426</v>
      </c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</row>
    <row r="6">
      <c r="A6" s="73"/>
      <c r="B6" s="374" t="s">
        <v>211</v>
      </c>
      <c r="C6" s="376">
        <v>4.88</v>
      </c>
      <c r="D6" s="81">
        <f t="shared" si="1"/>
        <v>0.03521075948</v>
      </c>
      <c r="E6" s="73"/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</row>
    <row r="7">
      <c r="A7" s="73"/>
      <c r="B7" s="374" t="s">
        <v>2767</v>
      </c>
      <c r="C7" s="376">
        <v>4.28</v>
      </c>
      <c r="D7" s="81">
        <f t="shared" si="1"/>
        <v>0.03088156774</v>
      </c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</row>
    <row r="8">
      <c r="A8" s="73"/>
      <c r="B8" s="374" t="s">
        <v>346</v>
      </c>
      <c r="C8" s="376">
        <v>1.735</v>
      </c>
      <c r="D8" s="81">
        <f t="shared" si="1"/>
        <v>0.01251857945</v>
      </c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</row>
    <row r="9">
      <c r="A9" s="73"/>
      <c r="B9" s="374" t="s">
        <v>1805</v>
      </c>
      <c r="C9" s="376">
        <v>4.52</v>
      </c>
      <c r="D9" s="81">
        <f t="shared" si="1"/>
        <v>0.03261324444</v>
      </c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</row>
    <row r="10">
      <c r="A10" s="73"/>
      <c r="B10" s="80" t="s">
        <v>305</v>
      </c>
      <c r="C10" s="80">
        <v>1.224</v>
      </c>
      <c r="D10" s="81">
        <f t="shared" si="1"/>
        <v>0.008831551149</v>
      </c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</row>
    <row r="11">
      <c r="A11" s="73"/>
      <c r="B11" s="80" t="s">
        <v>2768</v>
      </c>
      <c r="C11" s="80">
        <v>2.17</v>
      </c>
      <c r="D11" s="81">
        <f t="shared" si="1"/>
        <v>0.01565724346</v>
      </c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</row>
    <row r="12">
      <c r="A12" s="73"/>
      <c r="B12" s="73"/>
      <c r="C12" s="73">
        <f>SUM(C3:C11)</f>
        <v>138.594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</row>
    <row r="13">
      <c r="A13" s="73"/>
      <c r="B13" s="73"/>
      <c r="C13" s="73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</row>
    <row r="14">
      <c r="A14" s="73"/>
      <c r="B14" s="73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</row>
    <row r="15">
      <c r="A15" s="73"/>
      <c r="B15" s="73"/>
      <c r="C15" s="73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</row>
    <row r="16">
      <c r="A16" s="73"/>
      <c r="B16" s="73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</row>
    <row r="17">
      <c r="A17" s="73"/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</row>
    <row r="18">
      <c r="A18" s="73"/>
      <c r="B18" s="73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</row>
    <row r="19">
      <c r="A19" s="73"/>
      <c r="B19" s="73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</row>
    <row r="20">
      <c r="A20" s="73"/>
      <c r="B20" s="73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</row>
    <row r="21">
      <c r="A21" s="73"/>
      <c r="B21" s="73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</row>
    <row r="22">
      <c r="A22" s="73"/>
      <c r="B22" s="73"/>
      <c r="C22" s="73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</row>
    <row r="23">
      <c r="A23" s="73"/>
      <c r="B23" s="73"/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</row>
    <row r="24">
      <c r="A24" s="73"/>
      <c r="B24" s="73"/>
      <c r="C24" s="73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</row>
    <row r="25">
      <c r="A25" s="73"/>
      <c r="B25" s="73"/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</row>
    <row r="26">
      <c r="A26" s="73"/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</row>
    <row r="27">
      <c r="A27" s="73"/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</row>
    <row r="28">
      <c r="A28" s="73"/>
      <c r="B28" s="73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</row>
    <row r="29">
      <c r="A29" s="73"/>
      <c r="B29" s="73"/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</row>
    <row r="30">
      <c r="A30" s="73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</row>
    <row r="31">
      <c r="A31" s="73"/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</row>
    <row r="32">
      <c r="A32" s="73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</row>
    <row r="33">
      <c r="A33" s="73"/>
      <c r="B33" s="73"/>
      <c r="C33" s="73"/>
      <c r="D33" s="73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</row>
    <row r="34">
      <c r="A34" s="73"/>
      <c r="B34" s="73"/>
      <c r="C34" s="73"/>
      <c r="D34" s="73"/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</row>
    <row r="35">
      <c r="A35" s="73"/>
      <c r="B35" s="73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</row>
    <row r="36">
      <c r="A36" s="73"/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</row>
    <row r="37">
      <c r="A37" s="73"/>
      <c r="B37" s="73"/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</row>
    <row r="38">
      <c r="A38" s="73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</row>
    <row r="39">
      <c r="A39" s="73"/>
      <c r="B39" s="73"/>
      <c r="C39" s="73"/>
      <c r="D39" s="7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</row>
    <row r="40">
      <c r="A40" s="73"/>
      <c r="B40" s="73"/>
      <c r="C40" s="73"/>
      <c r="D40" s="73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</row>
    <row r="41">
      <c r="A41" s="73"/>
      <c r="B41" s="73"/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</row>
    <row r="42">
      <c r="A42" s="73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</row>
    <row r="43">
      <c r="A43" s="73"/>
      <c r="B43" s="73"/>
      <c r="C43" s="73"/>
      <c r="D43" s="73"/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</row>
    <row r="44">
      <c r="A44" s="73"/>
      <c r="B44" s="73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</row>
    <row r="45">
      <c r="A45" s="73"/>
      <c r="B45" s="73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</row>
    <row r="46">
      <c r="A46" s="73"/>
      <c r="B46" s="73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</row>
    <row r="47">
      <c r="A47" s="73"/>
      <c r="B47" s="73"/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</row>
    <row r="48">
      <c r="A48" s="73"/>
      <c r="B48" s="73"/>
      <c r="C48" s="73"/>
      <c r="D48" s="73"/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</row>
    <row r="49">
      <c r="A49" s="73"/>
      <c r="B49" s="73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</row>
    <row r="50">
      <c r="A50" s="73"/>
      <c r="B50" s="73"/>
      <c r="C50" s="73"/>
      <c r="D50" s="7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</row>
    <row r="51">
      <c r="A51" s="73"/>
      <c r="B51" s="73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</row>
    <row r="52">
      <c r="A52" s="73"/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</row>
    <row r="53">
      <c r="A53" s="73"/>
      <c r="B53" s="73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</row>
    <row r="54">
      <c r="A54" s="73"/>
      <c r="B54" s="73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</row>
    <row r="55">
      <c r="A55" s="73"/>
      <c r="B55" s="73"/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</row>
    <row r="56">
      <c r="A56" s="73"/>
      <c r="B56" s="73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</row>
    <row r="57">
      <c r="A57" s="73"/>
      <c r="B57" s="73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</row>
    <row r="58">
      <c r="A58" s="73"/>
      <c r="B58" s="73"/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</row>
    <row r="59">
      <c r="A59" s="73"/>
      <c r="B59" s="73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</row>
    <row r="60">
      <c r="A60" s="73"/>
      <c r="B60" s="73"/>
      <c r="C60" s="73"/>
      <c r="D60" s="73"/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</row>
    <row r="61">
      <c r="A61" s="73"/>
      <c r="B61" s="73"/>
      <c r="C61" s="73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</row>
    <row r="62">
      <c r="A62" s="73"/>
      <c r="B62" s="73"/>
      <c r="C62" s="73"/>
      <c r="D62" s="73"/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</row>
    <row r="63">
      <c r="A63" s="73"/>
      <c r="B63" s="73"/>
      <c r="C63" s="73"/>
      <c r="D63" s="73"/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</row>
    <row r="64">
      <c r="A64" s="73"/>
      <c r="B64" s="73"/>
      <c r="C64" s="73"/>
      <c r="D64" s="73"/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</row>
    <row r="65">
      <c r="A65" s="73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</row>
    <row r="66">
      <c r="A66" s="73"/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</row>
    <row r="67">
      <c r="A67" s="73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</row>
    <row r="68">
      <c r="A68" s="73"/>
      <c r="B68" s="73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</row>
    <row r="69">
      <c r="A69" s="73"/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</row>
    <row r="70">
      <c r="A70" s="73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</row>
    <row r="71">
      <c r="A71" s="73"/>
      <c r="B71" s="73"/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</row>
    <row r="72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</row>
    <row r="73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</row>
    <row r="74">
      <c r="A74" s="73"/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</row>
    <row r="75">
      <c r="A75" s="73"/>
      <c r="B75" s="73"/>
      <c r="C75" s="73"/>
      <c r="D75" s="73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</row>
    <row r="76">
      <c r="A76" s="73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</row>
    <row r="77">
      <c r="A77" s="73"/>
      <c r="B77" s="73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</row>
    <row r="78">
      <c r="A78" s="73"/>
      <c r="B78" s="73"/>
      <c r="C78" s="73"/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</row>
    <row r="79">
      <c r="A79" s="73"/>
      <c r="B79" s="73"/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</row>
    <row r="80">
      <c r="A80" s="73"/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</row>
    <row r="81">
      <c r="A81" s="73"/>
      <c r="B81" s="73"/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</row>
    <row r="82">
      <c r="A82" s="73"/>
      <c r="B82" s="73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</row>
    <row r="83">
      <c r="A83" s="73"/>
      <c r="B83" s="73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</row>
    <row r="84">
      <c r="A84" s="73"/>
      <c r="B84" s="73"/>
      <c r="C84" s="73"/>
      <c r="D84" s="73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</row>
    <row r="85">
      <c r="A85" s="73"/>
      <c r="B85" s="73"/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</row>
    <row r="86">
      <c r="A86" s="73"/>
      <c r="B86" s="73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</row>
    <row r="87">
      <c r="A87" s="73"/>
      <c r="B87" s="73"/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</row>
    <row r="88">
      <c r="A88" s="73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</row>
    <row r="89">
      <c r="A89" s="73"/>
      <c r="B89" s="73"/>
      <c r="C89" s="73"/>
      <c r="D89" s="73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</row>
    <row r="90">
      <c r="A90" s="73"/>
      <c r="B90" s="73"/>
      <c r="C90" s="73"/>
      <c r="D90" s="73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</row>
    <row r="91">
      <c r="A91" s="73"/>
      <c r="B91" s="73"/>
      <c r="C91" s="73"/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</row>
    <row r="92">
      <c r="A92" s="73"/>
      <c r="B92" s="73"/>
      <c r="C92" s="73"/>
      <c r="D92" s="73"/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</row>
    <row r="93">
      <c r="A93" s="73"/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</row>
    <row r="94">
      <c r="A94" s="73"/>
      <c r="B94" s="73"/>
      <c r="C94" s="73"/>
      <c r="D94" s="73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</row>
    <row r="95">
      <c r="A95" s="73"/>
      <c r="B95" s="73"/>
      <c r="C95" s="73"/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</row>
    <row r="96">
      <c r="A96" s="73"/>
      <c r="B96" s="73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</row>
    <row r="97">
      <c r="A97" s="73"/>
      <c r="B97" s="73"/>
      <c r="C97" s="73"/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</row>
    <row r="98">
      <c r="A98" s="73"/>
      <c r="B98" s="73"/>
      <c r="C98" s="73"/>
      <c r="D98" s="73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</row>
    <row r="99">
      <c r="A99" s="73"/>
      <c r="B99" s="73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</row>
    <row r="100">
      <c r="A100" s="73"/>
      <c r="B100" s="73"/>
      <c r="C100" s="73"/>
      <c r="D100" s="73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</row>
    <row r="101">
      <c r="A101" s="73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</row>
    <row r="102">
      <c r="A102" s="73"/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</row>
    <row r="103">
      <c r="A103" s="73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</row>
    <row r="104">
      <c r="A104" s="73"/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</row>
    <row r="105">
      <c r="A105" s="73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</row>
    <row r="106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</row>
    <row r="107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</row>
    <row r="108">
      <c r="A108" s="73"/>
      <c r="B108" s="73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</row>
    <row r="109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</row>
    <row r="110">
      <c r="A110" s="73"/>
      <c r="B110" s="73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</row>
    <row r="111">
      <c r="A111" s="73"/>
      <c r="B111" s="73"/>
      <c r="C111" s="73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3"/>
      <c r="Y111" s="73"/>
      <c r="Z111" s="73"/>
    </row>
    <row r="112">
      <c r="A112" s="73"/>
      <c r="B112" s="73"/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</row>
    <row r="113">
      <c r="A113" s="73"/>
      <c r="B113" s="73"/>
      <c r="C113" s="73"/>
      <c r="D113" s="73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</row>
    <row r="114">
      <c r="A114" s="73"/>
      <c r="B114" s="73"/>
      <c r="C114" s="73"/>
      <c r="D114" s="73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</row>
    <row r="115">
      <c r="A115" s="73"/>
      <c r="B115" s="73"/>
      <c r="C115" s="73"/>
      <c r="D115" s="73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3"/>
      <c r="Y115" s="73"/>
      <c r="Z115" s="73"/>
    </row>
    <row r="116">
      <c r="A116" s="73"/>
      <c r="B116" s="73"/>
      <c r="C116" s="73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/>
    </row>
    <row r="117">
      <c r="A117" s="73"/>
      <c r="B117" s="73"/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3"/>
      <c r="Y117" s="73"/>
      <c r="Z117" s="73"/>
    </row>
    <row r="118">
      <c r="A118" s="73"/>
      <c r="B118" s="73"/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</row>
    <row r="119">
      <c r="A119" s="73"/>
      <c r="B119" s="73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X119" s="73"/>
      <c r="Y119" s="73"/>
      <c r="Z119" s="73"/>
    </row>
    <row r="120">
      <c r="A120" s="73"/>
      <c r="B120" s="73"/>
      <c r="C120" s="73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</row>
    <row r="121">
      <c r="A121" s="73"/>
      <c r="B121" s="73"/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</row>
    <row r="122">
      <c r="A122" s="73"/>
      <c r="B122" s="73"/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3"/>
      <c r="Y122" s="73"/>
      <c r="Z122" s="73"/>
    </row>
    <row r="123">
      <c r="A123" s="73"/>
      <c r="B123" s="73"/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</row>
    <row r="124">
      <c r="A124" s="73"/>
      <c r="B124" s="73"/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</row>
    <row r="125">
      <c r="A125" s="73"/>
      <c r="B125" s="73"/>
      <c r="C125" s="73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</row>
    <row r="126">
      <c r="A126" s="73"/>
      <c r="B126" s="73"/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</row>
    <row r="127">
      <c r="A127" s="73"/>
      <c r="B127" s="73"/>
      <c r="C127" s="73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</row>
    <row r="128">
      <c r="A128" s="73"/>
      <c r="B128" s="73"/>
      <c r="C128" s="73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</row>
    <row r="129">
      <c r="A129" s="73"/>
      <c r="B129" s="73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</row>
    <row r="130">
      <c r="A130" s="73"/>
      <c r="B130" s="73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73"/>
      <c r="Y130" s="73"/>
      <c r="Z130" s="73"/>
    </row>
    <row r="131">
      <c r="A131" s="73"/>
      <c r="B131" s="73"/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</row>
    <row r="132">
      <c r="A132" s="73"/>
      <c r="B132" s="73"/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</row>
    <row r="133">
      <c r="A133" s="73"/>
      <c r="B133" s="73"/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</row>
    <row r="134">
      <c r="A134" s="73"/>
      <c r="B134" s="73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X134" s="73"/>
      <c r="Y134" s="73"/>
      <c r="Z134" s="73"/>
    </row>
    <row r="135">
      <c r="A135" s="73"/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</row>
    <row r="136">
      <c r="A136" s="73"/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</row>
    <row r="137">
      <c r="A137" s="73"/>
      <c r="B137" s="73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</row>
    <row r="138">
      <c r="A138" s="73"/>
      <c r="B138" s="73"/>
      <c r="C138" s="73"/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</row>
    <row r="139">
      <c r="A139" s="73"/>
      <c r="B139" s="73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</row>
    <row r="140">
      <c r="A140" s="73"/>
      <c r="B140" s="73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</row>
    <row r="141">
      <c r="A141" s="73"/>
      <c r="B141" s="73"/>
      <c r="C141" s="73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</row>
    <row r="142">
      <c r="A142" s="73"/>
      <c r="B142" s="73"/>
      <c r="C142" s="73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</row>
    <row r="143">
      <c r="A143" s="73"/>
      <c r="B143" s="73"/>
      <c r="C143" s="73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</row>
    <row r="144">
      <c r="A144" s="73"/>
      <c r="B144" s="73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</row>
    <row r="145">
      <c r="A145" s="73"/>
      <c r="B145" s="73"/>
      <c r="C145" s="73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</row>
    <row r="146">
      <c r="A146" s="73"/>
      <c r="B146" s="73"/>
      <c r="C146" s="73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</row>
    <row r="147">
      <c r="A147" s="73"/>
      <c r="B147" s="73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/>
      <c r="Z147" s="73"/>
    </row>
    <row r="148">
      <c r="A148" s="73"/>
      <c r="B148" s="73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</row>
    <row r="149">
      <c r="A149" s="73"/>
      <c r="B149" s="73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</row>
    <row r="150">
      <c r="A150" s="73"/>
      <c r="B150" s="73"/>
      <c r="C150" s="73"/>
      <c r="D150" s="73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73"/>
      <c r="X150" s="73"/>
      <c r="Y150" s="73"/>
      <c r="Z150" s="73"/>
    </row>
    <row r="151">
      <c r="A151" s="73"/>
      <c r="B151" s="73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</row>
    <row r="152">
      <c r="A152" s="73"/>
      <c r="B152" s="73"/>
      <c r="C152" s="73"/>
      <c r="D152" s="73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</row>
    <row r="153">
      <c r="A153" s="73"/>
      <c r="B153" s="73"/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</row>
    <row r="154">
      <c r="A154" s="73"/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</row>
    <row r="155">
      <c r="A155" s="73"/>
      <c r="B155" s="73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</row>
    <row r="156">
      <c r="A156" s="73"/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</row>
    <row r="157">
      <c r="A157" s="73"/>
      <c r="B157" s="73"/>
      <c r="C157" s="73"/>
      <c r="D157" s="73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</row>
    <row r="158">
      <c r="A158" s="73"/>
      <c r="B158" s="73"/>
      <c r="C158" s="73"/>
      <c r="D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</row>
    <row r="159">
      <c r="A159" s="73"/>
      <c r="B159" s="73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</row>
    <row r="160">
      <c r="A160" s="73"/>
      <c r="B160" s="73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</row>
    <row r="161">
      <c r="A161" s="73"/>
      <c r="B161" s="73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</row>
    <row r="162">
      <c r="A162" s="73"/>
      <c r="B162" s="73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</row>
    <row r="163">
      <c r="A163" s="73"/>
      <c r="B163" s="73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</row>
    <row r="164">
      <c r="A164" s="73"/>
      <c r="B164" s="73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</row>
    <row r="165">
      <c r="A165" s="73"/>
      <c r="B165" s="73"/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</row>
    <row r="166">
      <c r="A166" s="73"/>
      <c r="B166" s="73"/>
      <c r="C166" s="73"/>
      <c r="D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</row>
    <row r="167">
      <c r="A167" s="73"/>
      <c r="B167" s="73"/>
      <c r="C167" s="73"/>
      <c r="D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</row>
    <row r="168">
      <c r="A168" s="73"/>
      <c r="B168" s="73"/>
      <c r="C168" s="73"/>
      <c r="D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</row>
    <row r="169">
      <c r="A169" s="73"/>
      <c r="B169" s="73"/>
      <c r="C169" s="73"/>
      <c r="D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</row>
    <row r="170">
      <c r="A170" s="73"/>
      <c r="B170" s="73"/>
      <c r="C170" s="73"/>
      <c r="D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</row>
    <row r="171">
      <c r="A171" s="73"/>
      <c r="B171" s="73"/>
      <c r="C171" s="73"/>
      <c r="D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</row>
    <row r="172">
      <c r="A172" s="73"/>
      <c r="B172" s="73"/>
      <c r="C172" s="73"/>
      <c r="D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</row>
    <row r="173">
      <c r="A173" s="73"/>
      <c r="B173" s="73"/>
      <c r="C173" s="73"/>
      <c r="D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</row>
    <row r="174">
      <c r="A174" s="73"/>
      <c r="B174" s="73"/>
      <c r="C174" s="73"/>
      <c r="D174" s="73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</row>
    <row r="175">
      <c r="A175" s="73"/>
      <c r="B175" s="73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</row>
    <row r="176">
      <c r="A176" s="73"/>
      <c r="B176" s="73"/>
      <c r="C176" s="73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</row>
    <row r="177">
      <c r="A177" s="73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</row>
    <row r="178">
      <c r="A178" s="73"/>
      <c r="B178" s="73"/>
      <c r="C178" s="73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</row>
    <row r="179">
      <c r="A179" s="73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</row>
    <row r="180">
      <c r="A180" s="73"/>
      <c r="B180" s="73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</row>
    <row r="181">
      <c r="A181" s="73"/>
      <c r="B181" s="73"/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</row>
    <row r="182">
      <c r="A182" s="73"/>
      <c r="B182" s="73"/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</row>
    <row r="183">
      <c r="A183" s="73"/>
      <c r="B183" s="73"/>
      <c r="C183" s="73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</row>
    <row r="184">
      <c r="A184" s="73"/>
      <c r="B184" s="73"/>
      <c r="C184" s="73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</row>
    <row r="185">
      <c r="A185" s="73"/>
      <c r="B185" s="73"/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</row>
    <row r="186">
      <c r="A186" s="73"/>
      <c r="B186" s="73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</row>
    <row r="187">
      <c r="A187" s="73"/>
      <c r="B187" s="73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</row>
    <row r="188">
      <c r="A188" s="73"/>
      <c r="B188" s="73"/>
      <c r="C188" s="73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</row>
    <row r="189">
      <c r="A189" s="73"/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</row>
    <row r="190">
      <c r="A190" s="73"/>
      <c r="B190" s="73"/>
      <c r="C190" s="73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</row>
    <row r="191">
      <c r="A191" s="73"/>
      <c r="B191" s="73"/>
      <c r="C191" s="73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</row>
    <row r="192">
      <c r="A192" s="73"/>
      <c r="B192" s="73"/>
      <c r="C192" s="73"/>
      <c r="D192" s="73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</row>
    <row r="193">
      <c r="A193" s="73"/>
      <c r="B193" s="73"/>
      <c r="C193" s="73"/>
      <c r="D193" s="73"/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</row>
    <row r="194">
      <c r="A194" s="73"/>
      <c r="B194" s="73"/>
      <c r="C194" s="73"/>
      <c r="D194" s="73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</row>
    <row r="195">
      <c r="A195" s="73"/>
      <c r="B195" s="73"/>
      <c r="C195" s="73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</row>
    <row r="196">
      <c r="A196" s="73"/>
      <c r="B196" s="73"/>
      <c r="C196" s="73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</row>
    <row r="197">
      <c r="A197" s="73"/>
      <c r="B197" s="73"/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73"/>
      <c r="X197" s="73"/>
      <c r="Y197" s="73"/>
      <c r="Z197" s="73"/>
    </row>
    <row r="198">
      <c r="A198" s="73"/>
      <c r="B198" s="73"/>
      <c r="C198" s="73"/>
      <c r="D198" s="73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</row>
    <row r="199">
      <c r="A199" s="73"/>
      <c r="B199" s="73"/>
      <c r="C199" s="73"/>
      <c r="D199" s="73"/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73"/>
      <c r="X199" s="73"/>
      <c r="Y199" s="73"/>
      <c r="Z199" s="73"/>
    </row>
    <row r="200">
      <c r="A200" s="73"/>
      <c r="B200" s="73"/>
      <c r="C200" s="73"/>
      <c r="D200" s="73"/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</row>
    <row r="201">
      <c r="A201" s="73"/>
      <c r="B201" s="73"/>
      <c r="C201" s="73"/>
      <c r="D201" s="73"/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</row>
    <row r="202">
      <c r="A202" s="73"/>
      <c r="B202" s="73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</row>
    <row r="203">
      <c r="A203" s="73"/>
      <c r="B203" s="73"/>
      <c r="C203" s="73"/>
      <c r="D203" s="73"/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</row>
    <row r="204">
      <c r="A204" s="73"/>
      <c r="B204" s="73"/>
      <c r="C204" s="73"/>
      <c r="D204" s="73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</row>
    <row r="205">
      <c r="A205" s="73"/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</row>
    <row r="206">
      <c r="A206" s="73"/>
      <c r="B206" s="73"/>
      <c r="C206" s="73"/>
      <c r="D206" s="73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</row>
    <row r="207">
      <c r="A207" s="73"/>
      <c r="B207" s="73"/>
      <c r="C207" s="73"/>
      <c r="D207" s="73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</row>
    <row r="208">
      <c r="A208" s="73"/>
      <c r="B208" s="73"/>
      <c r="C208" s="73"/>
      <c r="D208" s="73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</row>
    <row r="209">
      <c r="A209" s="73"/>
      <c r="B209" s="73"/>
      <c r="C209" s="73"/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</row>
    <row r="210">
      <c r="A210" s="73"/>
      <c r="B210" s="73"/>
      <c r="C210" s="73"/>
      <c r="D210" s="73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</row>
    <row r="211">
      <c r="A211" s="73"/>
      <c r="B211" s="73"/>
      <c r="C211" s="73"/>
      <c r="D211" s="73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</row>
    <row r="212">
      <c r="A212" s="73"/>
      <c r="B212" s="73"/>
      <c r="C212" s="73"/>
      <c r="D212" s="73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</row>
    <row r="213">
      <c r="A213" s="73"/>
      <c r="B213" s="73"/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</row>
    <row r="214">
      <c r="A214" s="73"/>
      <c r="B214" s="73"/>
      <c r="C214" s="73"/>
      <c r="D214" s="73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</row>
    <row r="215">
      <c r="A215" s="73"/>
      <c r="B215" s="73"/>
      <c r="C215" s="73"/>
      <c r="D215" s="73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</row>
    <row r="216">
      <c r="A216" s="73"/>
      <c r="B216" s="73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</row>
    <row r="217">
      <c r="A217" s="73"/>
      <c r="B217" s="73"/>
      <c r="C217" s="73"/>
      <c r="D217" s="73"/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73"/>
      <c r="X217" s="73"/>
      <c r="Y217" s="73"/>
      <c r="Z217" s="73"/>
    </row>
    <row r="218">
      <c r="A218" s="73"/>
      <c r="B218" s="73"/>
      <c r="C218" s="73"/>
      <c r="D218" s="73"/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73"/>
      <c r="X218" s="73"/>
      <c r="Y218" s="73"/>
      <c r="Z218" s="73"/>
    </row>
    <row r="219">
      <c r="A219" s="73"/>
      <c r="B219" s="73"/>
      <c r="C219" s="73"/>
      <c r="D219" s="73"/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</row>
    <row r="220">
      <c r="A220" s="73"/>
      <c r="B220" s="73"/>
      <c r="C220" s="73"/>
      <c r="D220" s="73"/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73"/>
      <c r="X220" s="73"/>
      <c r="Y220" s="73"/>
      <c r="Z220" s="73"/>
    </row>
    <row r="221">
      <c r="A221" s="73"/>
      <c r="B221" s="73"/>
      <c r="C221" s="73"/>
      <c r="D221" s="73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</row>
    <row r="222">
      <c r="A222" s="73"/>
      <c r="B222" s="73"/>
      <c r="C222" s="73"/>
      <c r="D222" s="73"/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73"/>
      <c r="X222" s="73"/>
      <c r="Y222" s="73"/>
      <c r="Z222" s="73"/>
    </row>
    <row r="223">
      <c r="A223" s="73"/>
      <c r="B223" s="73"/>
      <c r="C223" s="73"/>
      <c r="D223" s="73"/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  <c r="V223" s="73"/>
      <c r="W223" s="73"/>
      <c r="X223" s="73"/>
      <c r="Y223" s="73"/>
      <c r="Z223" s="73"/>
    </row>
    <row r="224">
      <c r="A224" s="73"/>
      <c r="B224" s="73"/>
      <c r="C224" s="73"/>
      <c r="D224" s="73"/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73"/>
      <c r="X224" s="73"/>
      <c r="Y224" s="73"/>
      <c r="Z224" s="73"/>
    </row>
    <row r="225">
      <c r="A225" s="73"/>
      <c r="B225" s="73"/>
      <c r="C225" s="73"/>
      <c r="D225" s="73"/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73"/>
      <c r="W225" s="73"/>
      <c r="X225" s="73"/>
      <c r="Y225" s="73"/>
      <c r="Z225" s="73"/>
    </row>
    <row r="226">
      <c r="A226" s="73"/>
      <c r="B226" s="73"/>
      <c r="C226" s="73"/>
      <c r="D226" s="73"/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73"/>
      <c r="X226" s="73"/>
      <c r="Y226" s="73"/>
      <c r="Z226" s="73"/>
    </row>
    <row r="227">
      <c r="A227" s="73"/>
      <c r="B227" s="73"/>
      <c r="C227" s="73"/>
      <c r="D227" s="73"/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73"/>
      <c r="X227" s="73"/>
      <c r="Y227" s="73"/>
      <c r="Z227" s="73"/>
    </row>
    <row r="228">
      <c r="A228" s="73"/>
      <c r="B228" s="73"/>
      <c r="C228" s="73"/>
      <c r="D228" s="73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</row>
    <row r="229">
      <c r="A229" s="73"/>
      <c r="B229" s="73"/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73"/>
      <c r="X229" s="73"/>
      <c r="Y229" s="73"/>
      <c r="Z229" s="73"/>
    </row>
    <row r="230">
      <c r="A230" s="73"/>
      <c r="B230" s="73"/>
      <c r="C230" s="73"/>
      <c r="D230" s="73"/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</row>
    <row r="231">
      <c r="A231" s="73"/>
      <c r="B231" s="73"/>
      <c r="C231" s="73"/>
      <c r="D231" s="73"/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</row>
    <row r="232">
      <c r="A232" s="73"/>
      <c r="B232" s="73"/>
      <c r="C232" s="73"/>
      <c r="D232" s="73"/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</row>
    <row r="233">
      <c r="A233" s="73"/>
      <c r="B233" s="73"/>
      <c r="C233" s="73"/>
      <c r="D233" s="73"/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73"/>
      <c r="X233" s="73"/>
      <c r="Y233" s="73"/>
      <c r="Z233" s="73"/>
    </row>
    <row r="234">
      <c r="A234" s="73"/>
      <c r="B234" s="73"/>
      <c r="C234" s="73"/>
      <c r="D234" s="73"/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</row>
    <row r="235">
      <c r="A235" s="73"/>
      <c r="B235" s="73"/>
      <c r="C235" s="73"/>
      <c r="D235" s="73"/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</row>
    <row r="236">
      <c r="A236" s="73"/>
      <c r="B236" s="73"/>
      <c r="C236" s="73"/>
      <c r="D236" s="73"/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</row>
    <row r="237">
      <c r="A237" s="73"/>
      <c r="B237" s="73"/>
      <c r="C237" s="73"/>
      <c r="D237" s="73"/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73"/>
      <c r="X237" s="73"/>
      <c r="Y237" s="73"/>
      <c r="Z237" s="73"/>
    </row>
    <row r="238">
      <c r="A238" s="73"/>
      <c r="B238" s="73"/>
      <c r="C238" s="73"/>
      <c r="D238" s="73"/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</row>
    <row r="239">
      <c r="A239" s="73"/>
      <c r="B239" s="73"/>
      <c r="C239" s="73"/>
      <c r="D239" s="73"/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</row>
    <row r="240">
      <c r="A240" s="73"/>
      <c r="B240" s="73"/>
      <c r="C240" s="73"/>
      <c r="D240" s="73"/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</row>
    <row r="241">
      <c r="A241" s="73"/>
      <c r="B241" s="73"/>
      <c r="C241" s="73"/>
      <c r="D241" s="73"/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</row>
    <row r="242">
      <c r="A242" s="73"/>
      <c r="B242" s="73"/>
      <c r="C242" s="73"/>
      <c r="D242" s="73"/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</row>
    <row r="243">
      <c r="A243" s="73"/>
      <c r="B243" s="73"/>
      <c r="C243" s="73"/>
      <c r="D243" s="73"/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</row>
    <row r="244">
      <c r="A244" s="73"/>
      <c r="B244" s="73"/>
      <c r="C244" s="73"/>
      <c r="D244" s="73"/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</row>
    <row r="245">
      <c r="A245" s="73"/>
      <c r="B245" s="73"/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</row>
    <row r="246">
      <c r="A246" s="73"/>
      <c r="B246" s="73"/>
      <c r="C246" s="73"/>
      <c r="D246" s="73"/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</row>
    <row r="247">
      <c r="A247" s="73"/>
      <c r="B247" s="73"/>
      <c r="C247" s="73"/>
      <c r="D247" s="73"/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</row>
    <row r="248">
      <c r="A248" s="73"/>
      <c r="B248" s="73"/>
      <c r="C248" s="73"/>
      <c r="D248" s="73"/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73"/>
      <c r="X248" s="73"/>
      <c r="Y248" s="73"/>
      <c r="Z248" s="73"/>
    </row>
    <row r="249">
      <c r="A249" s="73"/>
      <c r="B249" s="73"/>
      <c r="C249" s="73"/>
      <c r="D249" s="73"/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</row>
    <row r="250">
      <c r="A250" s="73"/>
      <c r="B250" s="73"/>
      <c r="C250" s="73"/>
      <c r="D250" s="73"/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</row>
    <row r="251">
      <c r="A251" s="73"/>
      <c r="B251" s="73"/>
      <c r="C251" s="73"/>
      <c r="D251" s="73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</row>
    <row r="252">
      <c r="A252" s="73"/>
      <c r="B252" s="73"/>
      <c r="C252" s="73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  <c r="Z252" s="73"/>
    </row>
    <row r="253">
      <c r="A253" s="73"/>
      <c r="B253" s="73"/>
      <c r="C253" s="73"/>
      <c r="D253" s="73"/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73"/>
      <c r="X253" s="73"/>
      <c r="Y253" s="73"/>
      <c r="Z253" s="73"/>
    </row>
    <row r="254">
      <c r="A254" s="73"/>
      <c r="B254" s="73"/>
      <c r="C254" s="73"/>
      <c r="D254" s="73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</row>
    <row r="255">
      <c r="A255" s="73"/>
      <c r="B255" s="73"/>
      <c r="C255" s="73"/>
      <c r="D255" s="73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</row>
    <row r="256">
      <c r="A256" s="73"/>
      <c r="B256" s="73"/>
      <c r="C256" s="73"/>
      <c r="D256" s="73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</row>
    <row r="257">
      <c r="A257" s="73"/>
      <c r="B257" s="73"/>
      <c r="C257" s="73"/>
      <c r="D257" s="73"/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</row>
    <row r="258">
      <c r="A258" s="73"/>
      <c r="B258" s="73"/>
      <c r="C258" s="73"/>
      <c r="D258" s="73"/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</row>
    <row r="259">
      <c r="A259" s="73"/>
      <c r="B259" s="73"/>
      <c r="C259" s="73"/>
      <c r="D259" s="73"/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</row>
    <row r="260">
      <c r="A260" s="73"/>
      <c r="B260" s="73"/>
      <c r="C260" s="73"/>
      <c r="D260" s="73"/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</row>
    <row r="261">
      <c r="A261" s="73"/>
      <c r="B261" s="73"/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</row>
    <row r="262">
      <c r="A262" s="73"/>
      <c r="B262" s="73"/>
      <c r="C262" s="73"/>
      <c r="D262" s="73"/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</row>
    <row r="263">
      <c r="A263" s="73"/>
      <c r="B263" s="73"/>
      <c r="C263" s="73"/>
      <c r="D263" s="73"/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</row>
    <row r="264">
      <c r="A264" s="73"/>
      <c r="B264" s="73"/>
      <c r="C264" s="73"/>
      <c r="D264" s="73"/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</row>
    <row r="265">
      <c r="A265" s="73"/>
      <c r="B265" s="73"/>
      <c r="C265" s="73"/>
      <c r="D265" s="73"/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</row>
    <row r="266">
      <c r="A266" s="73"/>
      <c r="B266" s="73"/>
      <c r="C266" s="73"/>
      <c r="D266" s="73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</row>
    <row r="267">
      <c r="A267" s="73"/>
      <c r="B267" s="73"/>
      <c r="C267" s="73"/>
      <c r="D267" s="73"/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</row>
    <row r="268">
      <c r="A268" s="73"/>
      <c r="B268" s="73"/>
      <c r="C268" s="73"/>
      <c r="D268" s="73"/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</row>
    <row r="269">
      <c r="A269" s="73"/>
      <c r="B269" s="73"/>
      <c r="C269" s="73"/>
      <c r="D269" s="73"/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</row>
    <row r="270">
      <c r="A270" s="73"/>
      <c r="B270" s="73"/>
      <c r="C270" s="73"/>
      <c r="D270" s="73"/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</row>
    <row r="271">
      <c r="A271" s="73"/>
      <c r="B271" s="73"/>
      <c r="C271" s="73"/>
      <c r="D271" s="73"/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</row>
    <row r="272">
      <c r="A272" s="73"/>
      <c r="B272" s="73"/>
      <c r="C272" s="73"/>
      <c r="D272" s="73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</row>
    <row r="273">
      <c r="A273" s="73"/>
      <c r="B273" s="73"/>
      <c r="C273" s="73"/>
      <c r="D273" s="73"/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</row>
    <row r="274">
      <c r="A274" s="73"/>
      <c r="B274" s="73"/>
      <c r="C274" s="73"/>
      <c r="D274" s="73"/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</row>
    <row r="275">
      <c r="A275" s="73"/>
      <c r="B275" s="73"/>
      <c r="C275" s="73"/>
      <c r="D275" s="73"/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</row>
    <row r="276">
      <c r="A276" s="73"/>
      <c r="B276" s="73"/>
      <c r="C276" s="73"/>
      <c r="D276" s="73"/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</row>
    <row r="277">
      <c r="A277" s="73"/>
      <c r="B277" s="73"/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</row>
    <row r="278">
      <c r="A278" s="73"/>
      <c r="B278" s="73"/>
      <c r="C278" s="73"/>
      <c r="D278" s="73"/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</row>
    <row r="279">
      <c r="A279" s="73"/>
      <c r="B279" s="73"/>
      <c r="C279" s="73"/>
      <c r="D279" s="73"/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</row>
    <row r="280">
      <c r="A280" s="73"/>
      <c r="B280" s="73"/>
      <c r="C280" s="73"/>
      <c r="D280" s="73"/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</row>
    <row r="281">
      <c r="A281" s="73"/>
      <c r="B281" s="73"/>
      <c r="C281" s="73"/>
      <c r="D281" s="73"/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</row>
    <row r="282">
      <c r="A282" s="73"/>
      <c r="B282" s="73"/>
      <c r="C282" s="73"/>
      <c r="D282" s="73"/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</row>
    <row r="283">
      <c r="A283" s="73"/>
      <c r="B283" s="73"/>
      <c r="C283" s="73"/>
      <c r="D283" s="73"/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</row>
    <row r="284">
      <c r="A284" s="73"/>
      <c r="B284" s="73"/>
      <c r="C284" s="73"/>
      <c r="D284" s="73"/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</row>
    <row r="285">
      <c r="A285" s="73"/>
      <c r="B285" s="73"/>
      <c r="C285" s="73"/>
      <c r="D285" s="73"/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</row>
    <row r="286">
      <c r="A286" s="73"/>
      <c r="B286" s="73"/>
      <c r="C286" s="73"/>
      <c r="D286" s="73"/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</row>
    <row r="287">
      <c r="A287" s="73"/>
      <c r="B287" s="73"/>
      <c r="C287" s="73"/>
      <c r="D287" s="73"/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</row>
    <row r="288">
      <c r="A288" s="73"/>
      <c r="B288" s="73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</row>
    <row r="289">
      <c r="A289" s="73"/>
      <c r="B289" s="73"/>
      <c r="C289" s="73"/>
      <c r="D289" s="73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</row>
    <row r="290">
      <c r="A290" s="73"/>
      <c r="B290" s="73"/>
      <c r="C290" s="73"/>
      <c r="D290" s="73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</row>
    <row r="291">
      <c r="A291" s="73"/>
      <c r="B291" s="73"/>
      <c r="C291" s="73"/>
      <c r="D291" s="73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</row>
    <row r="292">
      <c r="A292" s="73"/>
      <c r="B292" s="73"/>
      <c r="C292" s="73"/>
      <c r="D292" s="73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</row>
    <row r="293">
      <c r="A293" s="73"/>
      <c r="B293" s="73"/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</row>
    <row r="294">
      <c r="A294" s="73"/>
      <c r="B294" s="73"/>
      <c r="C294" s="73"/>
      <c r="D294" s="73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</row>
    <row r="295">
      <c r="A295" s="73"/>
      <c r="B295" s="73"/>
      <c r="C295" s="73"/>
      <c r="D295" s="73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</row>
    <row r="296">
      <c r="A296" s="73"/>
      <c r="B296" s="73"/>
      <c r="C296" s="73"/>
      <c r="D296" s="73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</row>
    <row r="297">
      <c r="A297" s="73"/>
      <c r="B297" s="73"/>
      <c r="C297" s="73"/>
      <c r="D297" s="73"/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</row>
    <row r="298">
      <c r="A298" s="73"/>
      <c r="B298" s="73"/>
      <c r="C298" s="73"/>
      <c r="D298" s="73"/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</row>
    <row r="299">
      <c r="A299" s="73"/>
      <c r="B299" s="73"/>
      <c r="C299" s="73"/>
      <c r="D299" s="73"/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</row>
    <row r="300">
      <c r="A300" s="73"/>
      <c r="B300" s="73"/>
      <c r="C300" s="73"/>
      <c r="D300" s="73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</row>
    <row r="301">
      <c r="A301" s="73"/>
      <c r="B301" s="73"/>
      <c r="C301" s="73"/>
      <c r="D301" s="73"/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</row>
    <row r="302">
      <c r="A302" s="73"/>
      <c r="B302" s="73"/>
      <c r="C302" s="73"/>
      <c r="D302" s="73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</row>
    <row r="303">
      <c r="A303" s="73"/>
      <c r="B303" s="73"/>
      <c r="C303" s="73"/>
      <c r="D303" s="73"/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</row>
    <row r="304">
      <c r="A304" s="73"/>
      <c r="B304" s="73"/>
      <c r="C304" s="73"/>
      <c r="D304" s="73"/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</row>
    <row r="305">
      <c r="A305" s="73"/>
      <c r="B305" s="73"/>
      <c r="C305" s="73"/>
      <c r="D305" s="73"/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</row>
    <row r="306">
      <c r="A306" s="73"/>
      <c r="B306" s="73"/>
      <c r="C306" s="73"/>
      <c r="D306" s="73"/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</row>
    <row r="307">
      <c r="A307" s="73"/>
      <c r="B307" s="73"/>
      <c r="C307" s="73"/>
      <c r="D307" s="73"/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</row>
    <row r="308">
      <c r="A308" s="73"/>
      <c r="B308" s="73"/>
      <c r="C308" s="73"/>
      <c r="D308" s="73"/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</row>
    <row r="309">
      <c r="A309" s="73"/>
      <c r="B309" s="73"/>
      <c r="C309" s="73"/>
      <c r="D309" s="73"/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</row>
    <row r="310">
      <c r="A310" s="73"/>
      <c r="B310" s="73"/>
      <c r="C310" s="73"/>
      <c r="D310" s="73"/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</row>
    <row r="311">
      <c r="A311" s="73"/>
      <c r="B311" s="73"/>
      <c r="C311" s="73"/>
      <c r="D311" s="73"/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</row>
    <row r="312">
      <c r="A312" s="73"/>
      <c r="B312" s="73"/>
      <c r="C312" s="73"/>
      <c r="D312" s="73"/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</row>
    <row r="313">
      <c r="A313" s="73"/>
      <c r="B313" s="73"/>
      <c r="C313" s="73"/>
      <c r="D313" s="73"/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</row>
    <row r="314">
      <c r="A314" s="73"/>
      <c r="B314" s="73"/>
      <c r="C314" s="73"/>
      <c r="D314" s="73"/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</row>
    <row r="315">
      <c r="A315" s="73"/>
      <c r="B315" s="73"/>
      <c r="C315" s="73"/>
      <c r="D315" s="73"/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</row>
    <row r="316">
      <c r="A316" s="73"/>
      <c r="B316" s="73"/>
      <c r="C316" s="73"/>
      <c r="D316" s="73"/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</row>
    <row r="317">
      <c r="A317" s="73"/>
      <c r="B317" s="73"/>
      <c r="C317" s="73"/>
      <c r="D317" s="73"/>
      <c r="E317" s="73"/>
      <c r="F317" s="73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</row>
    <row r="318">
      <c r="A318" s="73"/>
      <c r="B318" s="73"/>
      <c r="C318" s="73"/>
      <c r="D318" s="73"/>
      <c r="E318" s="73"/>
      <c r="F318" s="73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</row>
    <row r="319">
      <c r="A319" s="73"/>
      <c r="B319" s="73"/>
      <c r="C319" s="73"/>
      <c r="D319" s="73"/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</row>
    <row r="320">
      <c r="A320" s="73"/>
      <c r="B320" s="73"/>
      <c r="C320" s="73"/>
      <c r="D320" s="73"/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</row>
    <row r="321">
      <c r="A321" s="73"/>
      <c r="B321" s="73"/>
      <c r="C321" s="73"/>
      <c r="D321" s="73"/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</row>
    <row r="322">
      <c r="A322" s="73"/>
      <c r="B322" s="73"/>
      <c r="C322" s="73"/>
      <c r="D322" s="73"/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</row>
    <row r="323">
      <c r="A323" s="73"/>
      <c r="B323" s="73"/>
      <c r="C323" s="73"/>
      <c r="D323" s="73"/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</row>
    <row r="324">
      <c r="A324" s="73"/>
      <c r="B324" s="73"/>
      <c r="C324" s="73"/>
      <c r="D324" s="73"/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</row>
    <row r="325">
      <c r="A325" s="73"/>
      <c r="B325" s="73"/>
      <c r="C325" s="73"/>
      <c r="D325" s="73"/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</row>
    <row r="326">
      <c r="A326" s="73"/>
      <c r="B326" s="73"/>
      <c r="C326" s="73"/>
      <c r="D326" s="73"/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</row>
    <row r="327">
      <c r="A327" s="73"/>
      <c r="B327" s="73"/>
      <c r="C327" s="73"/>
      <c r="D327" s="73"/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</row>
    <row r="328">
      <c r="A328" s="73"/>
      <c r="B328" s="73"/>
      <c r="C328" s="73"/>
      <c r="D328" s="73"/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</row>
    <row r="329">
      <c r="A329" s="73"/>
      <c r="B329" s="73"/>
      <c r="C329" s="73"/>
      <c r="D329" s="73"/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</row>
    <row r="330">
      <c r="A330" s="73"/>
      <c r="B330" s="73"/>
      <c r="C330" s="73"/>
      <c r="D330" s="73"/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</row>
    <row r="331">
      <c r="A331" s="73"/>
      <c r="B331" s="73"/>
      <c r="C331" s="73"/>
      <c r="D331" s="73"/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</row>
    <row r="332">
      <c r="A332" s="73"/>
      <c r="B332" s="73"/>
      <c r="C332" s="73"/>
      <c r="D332" s="73"/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</row>
    <row r="333">
      <c r="A333" s="73"/>
      <c r="B333" s="73"/>
      <c r="C333" s="73"/>
      <c r="D333" s="73"/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</row>
    <row r="334">
      <c r="A334" s="73"/>
      <c r="B334" s="73"/>
      <c r="C334" s="73"/>
      <c r="D334" s="73"/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</row>
    <row r="335">
      <c r="A335" s="73"/>
      <c r="B335" s="73"/>
      <c r="C335" s="73"/>
      <c r="D335" s="73"/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</row>
    <row r="336">
      <c r="A336" s="73"/>
      <c r="B336" s="73"/>
      <c r="C336" s="73"/>
      <c r="D336" s="73"/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</row>
    <row r="337">
      <c r="A337" s="73"/>
      <c r="B337" s="73"/>
      <c r="C337" s="73"/>
      <c r="D337" s="73"/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</row>
    <row r="338">
      <c r="A338" s="73"/>
      <c r="B338" s="73"/>
      <c r="C338" s="73"/>
      <c r="D338" s="73"/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</row>
    <row r="339">
      <c r="A339" s="73"/>
      <c r="B339" s="73"/>
      <c r="C339" s="73"/>
      <c r="D339" s="73"/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</row>
    <row r="340">
      <c r="A340" s="73"/>
      <c r="B340" s="73"/>
      <c r="C340" s="73"/>
      <c r="D340" s="73"/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</row>
    <row r="341">
      <c r="A341" s="73"/>
      <c r="B341" s="73"/>
      <c r="C341" s="73"/>
      <c r="D341" s="73"/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</row>
    <row r="342">
      <c r="A342" s="73"/>
      <c r="B342" s="73"/>
      <c r="C342" s="73"/>
      <c r="D342" s="73"/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</row>
    <row r="343">
      <c r="A343" s="73"/>
      <c r="B343" s="73"/>
      <c r="C343" s="73"/>
      <c r="D343" s="73"/>
      <c r="E343" s="73"/>
      <c r="F343" s="73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</row>
    <row r="344">
      <c r="A344" s="73"/>
      <c r="B344" s="73"/>
      <c r="C344" s="73"/>
      <c r="D344" s="73"/>
      <c r="E344" s="73"/>
      <c r="F344" s="73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</row>
    <row r="345">
      <c r="A345" s="73"/>
      <c r="B345" s="73"/>
      <c r="C345" s="73"/>
      <c r="D345" s="73"/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</row>
    <row r="346">
      <c r="A346" s="73"/>
      <c r="B346" s="73"/>
      <c r="C346" s="73"/>
      <c r="D346" s="73"/>
      <c r="E346" s="73"/>
      <c r="F346" s="73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</row>
    <row r="347">
      <c r="A347" s="73"/>
      <c r="B347" s="73"/>
      <c r="C347" s="73"/>
      <c r="D347" s="73"/>
      <c r="E347" s="73"/>
      <c r="F347" s="73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</row>
    <row r="348">
      <c r="A348" s="73"/>
      <c r="B348" s="73"/>
      <c r="C348" s="73"/>
      <c r="D348" s="73"/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</row>
    <row r="349">
      <c r="A349" s="73"/>
      <c r="B349" s="73"/>
      <c r="C349" s="73"/>
      <c r="D349" s="73"/>
      <c r="E349" s="73"/>
      <c r="F349" s="73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</row>
    <row r="350">
      <c r="A350" s="73"/>
      <c r="B350" s="73"/>
      <c r="C350" s="73"/>
      <c r="D350" s="73"/>
      <c r="E350" s="73"/>
      <c r="F350" s="73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</row>
    <row r="351">
      <c r="A351" s="73"/>
      <c r="B351" s="73"/>
      <c r="C351" s="73"/>
      <c r="D351" s="73"/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</row>
    <row r="352">
      <c r="A352" s="73"/>
      <c r="B352" s="73"/>
      <c r="C352" s="73"/>
      <c r="D352" s="73"/>
      <c r="E352" s="73"/>
      <c r="F352" s="73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</row>
    <row r="353">
      <c r="A353" s="73"/>
      <c r="B353" s="73"/>
      <c r="C353" s="73"/>
      <c r="D353" s="73"/>
      <c r="E353" s="73"/>
      <c r="F353" s="73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</row>
    <row r="354">
      <c r="A354" s="73"/>
      <c r="B354" s="73"/>
      <c r="C354" s="73"/>
      <c r="D354" s="73"/>
      <c r="E354" s="73"/>
      <c r="F354" s="73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</row>
    <row r="355">
      <c r="A355" s="73"/>
      <c r="B355" s="73"/>
      <c r="C355" s="73"/>
      <c r="D355" s="73"/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</row>
    <row r="356">
      <c r="A356" s="73"/>
      <c r="B356" s="73"/>
      <c r="C356" s="73"/>
      <c r="D356" s="73"/>
      <c r="E356" s="73"/>
      <c r="F356" s="73"/>
      <c r="G356" s="73"/>
      <c r="H356" s="73"/>
      <c r="I356" s="73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</row>
    <row r="357">
      <c r="A357" s="73"/>
      <c r="B357" s="73"/>
      <c r="C357" s="73"/>
      <c r="D357" s="73"/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</row>
    <row r="358">
      <c r="A358" s="73"/>
      <c r="B358" s="73"/>
      <c r="C358" s="73"/>
      <c r="D358" s="73"/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</row>
    <row r="359">
      <c r="A359" s="73"/>
      <c r="B359" s="73"/>
      <c r="C359" s="73"/>
      <c r="D359" s="73"/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</row>
    <row r="360">
      <c r="A360" s="73"/>
      <c r="B360" s="73"/>
      <c r="C360" s="73"/>
      <c r="D360" s="73"/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</row>
    <row r="361">
      <c r="A361" s="73"/>
      <c r="B361" s="73"/>
      <c r="C361" s="73"/>
      <c r="D361" s="73"/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</row>
    <row r="362">
      <c r="A362" s="73"/>
      <c r="B362" s="73"/>
      <c r="C362" s="73"/>
      <c r="D362" s="73"/>
      <c r="E362" s="73"/>
      <c r="F362" s="73"/>
      <c r="G362" s="73"/>
      <c r="H362" s="73"/>
      <c r="I362" s="73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</row>
    <row r="363">
      <c r="A363" s="73"/>
      <c r="B363" s="73"/>
      <c r="C363" s="73"/>
      <c r="D363" s="73"/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</row>
    <row r="364">
      <c r="A364" s="73"/>
      <c r="B364" s="73"/>
      <c r="C364" s="73"/>
      <c r="D364" s="73"/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</row>
    <row r="365">
      <c r="A365" s="73"/>
      <c r="B365" s="73"/>
      <c r="C365" s="73"/>
      <c r="D365" s="73"/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</row>
    <row r="366">
      <c r="A366" s="73"/>
      <c r="B366" s="73"/>
      <c r="C366" s="73"/>
      <c r="D366" s="73"/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</row>
    <row r="367">
      <c r="A367" s="73"/>
      <c r="B367" s="73"/>
      <c r="C367" s="73"/>
      <c r="D367" s="73"/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</row>
    <row r="368">
      <c r="A368" s="73"/>
      <c r="B368" s="73"/>
      <c r="C368" s="73"/>
      <c r="D368" s="73"/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</row>
    <row r="369">
      <c r="A369" s="73"/>
      <c r="B369" s="73"/>
      <c r="C369" s="73"/>
      <c r="D369" s="73"/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</row>
    <row r="370">
      <c r="A370" s="73"/>
      <c r="B370" s="73"/>
      <c r="C370" s="73"/>
      <c r="D370" s="73"/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</row>
    <row r="371">
      <c r="A371" s="73"/>
      <c r="B371" s="73"/>
      <c r="C371" s="73"/>
      <c r="D371" s="73"/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</row>
    <row r="372">
      <c r="A372" s="73"/>
      <c r="B372" s="73"/>
      <c r="C372" s="73"/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</row>
    <row r="373">
      <c r="A373" s="73"/>
      <c r="B373" s="73"/>
      <c r="C373" s="73"/>
      <c r="D373" s="73"/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</row>
    <row r="374">
      <c r="A374" s="73"/>
      <c r="B374" s="73"/>
      <c r="C374" s="73"/>
      <c r="D374" s="73"/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</row>
    <row r="375">
      <c r="A375" s="73"/>
      <c r="B375" s="73"/>
      <c r="C375" s="73"/>
      <c r="D375" s="73"/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</row>
    <row r="376">
      <c r="A376" s="73"/>
      <c r="B376" s="73"/>
      <c r="C376" s="73"/>
      <c r="D376" s="73"/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</row>
    <row r="377">
      <c r="A377" s="73"/>
      <c r="B377" s="73"/>
      <c r="C377" s="73"/>
      <c r="D377" s="73"/>
      <c r="E377" s="73"/>
      <c r="F377" s="73"/>
      <c r="G377" s="73"/>
      <c r="H377" s="73"/>
      <c r="I377" s="73"/>
      <c r="J377" s="73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73"/>
    </row>
    <row r="378">
      <c r="A378" s="73"/>
      <c r="B378" s="73"/>
      <c r="C378" s="73"/>
      <c r="D378" s="73"/>
      <c r="E378" s="73"/>
      <c r="F378" s="73"/>
      <c r="G378" s="73"/>
      <c r="H378" s="73"/>
      <c r="I378" s="73"/>
      <c r="J378" s="73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73"/>
    </row>
    <row r="379">
      <c r="A379" s="73"/>
      <c r="B379" s="73"/>
      <c r="C379" s="73"/>
      <c r="D379" s="73"/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</row>
    <row r="380">
      <c r="A380" s="73"/>
      <c r="B380" s="73"/>
      <c r="C380" s="73"/>
      <c r="D380" s="73"/>
      <c r="E380" s="73"/>
      <c r="F380" s="73"/>
      <c r="G380" s="73"/>
      <c r="H380" s="73"/>
      <c r="I380" s="73"/>
      <c r="J380" s="73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73"/>
    </row>
    <row r="381">
      <c r="A381" s="73"/>
      <c r="B381" s="73"/>
      <c r="C381" s="73"/>
      <c r="D381" s="73"/>
      <c r="E381" s="73"/>
      <c r="F381" s="73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</row>
    <row r="382">
      <c r="A382" s="73"/>
      <c r="B382" s="73"/>
      <c r="C382" s="73"/>
      <c r="D382" s="73"/>
      <c r="E382" s="73"/>
      <c r="F382" s="73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</row>
    <row r="383">
      <c r="A383" s="73"/>
      <c r="B383" s="73"/>
      <c r="C383" s="73"/>
      <c r="D383" s="73"/>
      <c r="E383" s="73"/>
      <c r="F383" s="73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</row>
    <row r="384">
      <c r="A384" s="73"/>
      <c r="B384" s="73"/>
      <c r="C384" s="73"/>
      <c r="D384" s="73"/>
      <c r="E384" s="73"/>
      <c r="F384" s="73"/>
      <c r="G384" s="73"/>
      <c r="H384" s="73"/>
      <c r="I384" s="73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73"/>
    </row>
    <row r="385">
      <c r="A385" s="73"/>
      <c r="B385" s="73"/>
      <c r="C385" s="73"/>
      <c r="D385" s="73"/>
      <c r="E385" s="73"/>
      <c r="F385" s="73"/>
      <c r="G385" s="73"/>
      <c r="H385" s="73"/>
      <c r="I385" s="73"/>
      <c r="J385" s="73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73"/>
    </row>
    <row r="386">
      <c r="A386" s="73"/>
      <c r="B386" s="73"/>
      <c r="C386" s="73"/>
      <c r="D386" s="73"/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</row>
    <row r="387">
      <c r="A387" s="73"/>
      <c r="B387" s="73"/>
      <c r="C387" s="73"/>
      <c r="D387" s="73"/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</row>
    <row r="388">
      <c r="A388" s="73"/>
      <c r="B388" s="73"/>
      <c r="C388" s="73"/>
      <c r="D388" s="73"/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</row>
    <row r="389">
      <c r="A389" s="73"/>
      <c r="B389" s="73"/>
      <c r="C389" s="73"/>
      <c r="D389" s="73"/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</row>
    <row r="390">
      <c r="A390" s="73"/>
      <c r="B390" s="73"/>
      <c r="C390" s="73"/>
      <c r="D390" s="73"/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</row>
    <row r="391">
      <c r="A391" s="73"/>
      <c r="B391" s="73"/>
      <c r="C391" s="73"/>
      <c r="D391" s="73"/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</row>
    <row r="392">
      <c r="A392" s="73"/>
      <c r="B392" s="73"/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</row>
    <row r="393">
      <c r="A393" s="73"/>
      <c r="B393" s="73"/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</row>
    <row r="394">
      <c r="A394" s="73"/>
      <c r="B394" s="73"/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</row>
    <row r="395">
      <c r="A395" s="73"/>
      <c r="B395" s="73"/>
      <c r="C395" s="73"/>
      <c r="D395" s="73"/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</row>
    <row r="396">
      <c r="A396" s="73"/>
      <c r="B396" s="73"/>
      <c r="C396" s="73"/>
      <c r="D396" s="73"/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</row>
    <row r="397">
      <c r="A397" s="73"/>
      <c r="B397" s="73"/>
      <c r="C397" s="73"/>
      <c r="D397" s="73"/>
      <c r="E397" s="73"/>
      <c r="F397" s="73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73"/>
    </row>
    <row r="398">
      <c r="A398" s="73"/>
      <c r="B398" s="73"/>
      <c r="C398" s="73"/>
      <c r="D398" s="73"/>
      <c r="E398" s="73"/>
      <c r="F398" s="73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73"/>
    </row>
    <row r="399">
      <c r="A399" s="73"/>
      <c r="B399" s="73"/>
      <c r="C399" s="73"/>
      <c r="D399" s="73"/>
      <c r="E399" s="73"/>
      <c r="F399" s="73"/>
      <c r="G399" s="73"/>
      <c r="H399" s="73"/>
      <c r="I399" s="73"/>
      <c r="J399" s="73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  <c r="V399" s="73"/>
      <c r="W399" s="73"/>
      <c r="X399" s="73"/>
      <c r="Y399" s="73"/>
      <c r="Z399" s="73"/>
    </row>
    <row r="400">
      <c r="A400" s="73"/>
      <c r="B400" s="73"/>
      <c r="C400" s="73"/>
      <c r="D400" s="73"/>
      <c r="E400" s="73"/>
      <c r="F400" s="73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</row>
    <row r="401">
      <c r="A401" s="73"/>
      <c r="B401" s="73"/>
      <c r="C401" s="73"/>
      <c r="D401" s="73"/>
      <c r="E401" s="73"/>
      <c r="F401" s="73"/>
      <c r="G401" s="73"/>
      <c r="H401" s="73"/>
      <c r="I401" s="73"/>
      <c r="J401" s="73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</row>
    <row r="402">
      <c r="A402" s="73"/>
      <c r="B402" s="73"/>
      <c r="C402" s="73"/>
      <c r="D402" s="73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73"/>
    </row>
    <row r="403">
      <c r="A403" s="73"/>
      <c r="B403" s="73"/>
      <c r="C403" s="73"/>
      <c r="D403" s="73"/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</row>
    <row r="404">
      <c r="A404" s="73"/>
      <c r="B404" s="73"/>
      <c r="C404" s="73"/>
      <c r="D404" s="73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</row>
    <row r="405">
      <c r="A405" s="73"/>
      <c r="B405" s="73"/>
      <c r="C405" s="73"/>
      <c r="D405" s="73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</row>
    <row r="406">
      <c r="A406" s="73"/>
      <c r="B406" s="73"/>
      <c r="C406" s="73"/>
      <c r="D406" s="73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</row>
    <row r="407">
      <c r="A407" s="73"/>
      <c r="B407" s="73"/>
      <c r="C407" s="73"/>
      <c r="D407" s="73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</row>
    <row r="408">
      <c r="A408" s="73"/>
      <c r="B408" s="73"/>
      <c r="C408" s="73"/>
      <c r="D408" s="73"/>
      <c r="E408" s="73"/>
      <c r="F408" s="73"/>
      <c r="G408" s="73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73"/>
      <c r="V408" s="73"/>
      <c r="W408" s="73"/>
      <c r="X408" s="73"/>
      <c r="Y408" s="73"/>
      <c r="Z408" s="73"/>
    </row>
    <row r="409">
      <c r="A409" s="73"/>
      <c r="B409" s="73"/>
      <c r="C409" s="73"/>
      <c r="D409" s="73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73"/>
    </row>
    <row r="410">
      <c r="A410" s="73"/>
      <c r="B410" s="73"/>
      <c r="C410" s="73"/>
      <c r="D410" s="73"/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</row>
    <row r="411">
      <c r="A411" s="73"/>
      <c r="B411" s="73"/>
      <c r="C411" s="73"/>
      <c r="D411" s="73"/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</row>
    <row r="412">
      <c r="A412" s="73"/>
      <c r="B412" s="73"/>
      <c r="C412" s="73"/>
      <c r="D412" s="73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</row>
    <row r="413">
      <c r="A413" s="73"/>
      <c r="B413" s="73"/>
      <c r="C413" s="73"/>
      <c r="D413" s="73"/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</row>
    <row r="414">
      <c r="A414" s="73"/>
      <c r="B414" s="73"/>
      <c r="C414" s="73"/>
      <c r="D414" s="73"/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</row>
    <row r="415">
      <c r="A415" s="73"/>
      <c r="B415" s="73"/>
      <c r="C415" s="73"/>
      <c r="D415" s="73"/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</row>
    <row r="416">
      <c r="A416" s="73"/>
      <c r="B416" s="73"/>
      <c r="C416" s="73"/>
      <c r="D416" s="73"/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</row>
    <row r="417">
      <c r="A417" s="73"/>
      <c r="B417" s="73"/>
      <c r="C417" s="73"/>
      <c r="D417" s="73"/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</row>
    <row r="418">
      <c r="A418" s="73"/>
      <c r="B418" s="73"/>
      <c r="C418" s="73"/>
      <c r="D418" s="73"/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3"/>
      <c r="Z418" s="73"/>
    </row>
    <row r="419">
      <c r="A419" s="73"/>
      <c r="B419" s="73"/>
      <c r="C419" s="73"/>
      <c r="D419" s="73"/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3"/>
      <c r="Z419" s="73"/>
    </row>
    <row r="420">
      <c r="A420" s="73"/>
      <c r="B420" s="73"/>
      <c r="C420" s="73"/>
      <c r="D420" s="73"/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</row>
    <row r="421">
      <c r="A421" s="73"/>
      <c r="B421" s="73"/>
      <c r="C421" s="73"/>
      <c r="D421" s="73"/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</row>
    <row r="422">
      <c r="A422" s="73"/>
      <c r="B422" s="73"/>
      <c r="C422" s="73"/>
      <c r="D422" s="73"/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</row>
    <row r="423">
      <c r="A423" s="73"/>
      <c r="B423" s="73"/>
      <c r="C423" s="73"/>
      <c r="D423" s="73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  <c r="V423" s="73"/>
      <c r="W423" s="73"/>
      <c r="X423" s="73"/>
      <c r="Y423" s="73"/>
      <c r="Z423" s="73"/>
    </row>
    <row r="424">
      <c r="A424" s="73"/>
      <c r="B424" s="73"/>
      <c r="C424" s="73"/>
      <c r="D424" s="73"/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</row>
    <row r="425">
      <c r="A425" s="73"/>
      <c r="B425" s="73"/>
      <c r="C425" s="73"/>
      <c r="D425" s="73"/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</row>
    <row r="426">
      <c r="A426" s="73"/>
      <c r="B426" s="73"/>
      <c r="C426" s="73"/>
      <c r="D426" s="73"/>
      <c r="E426" s="73"/>
      <c r="F426" s="73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  <c r="V426" s="73"/>
      <c r="W426" s="73"/>
      <c r="X426" s="73"/>
      <c r="Y426" s="73"/>
      <c r="Z426" s="73"/>
    </row>
    <row r="427">
      <c r="A427" s="73"/>
      <c r="B427" s="73"/>
      <c r="C427" s="73"/>
      <c r="D427" s="73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</row>
    <row r="428">
      <c r="A428" s="73"/>
      <c r="B428" s="73"/>
      <c r="C428" s="73"/>
      <c r="D428" s="73"/>
      <c r="E428" s="73"/>
      <c r="F428" s="73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73"/>
      <c r="V428" s="73"/>
      <c r="W428" s="73"/>
      <c r="X428" s="73"/>
      <c r="Y428" s="73"/>
      <c r="Z428" s="73"/>
    </row>
    <row r="429">
      <c r="A429" s="73"/>
      <c r="B429" s="73"/>
      <c r="C429" s="73"/>
      <c r="D429" s="73"/>
      <c r="E429" s="73"/>
      <c r="F429" s="73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73"/>
      <c r="V429" s="73"/>
      <c r="W429" s="73"/>
      <c r="X429" s="73"/>
      <c r="Y429" s="73"/>
      <c r="Z429" s="73"/>
    </row>
    <row r="430">
      <c r="A430" s="73"/>
      <c r="B430" s="73"/>
      <c r="C430" s="73"/>
      <c r="D430" s="73"/>
      <c r="E430" s="73"/>
      <c r="F430" s="73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73"/>
      <c r="V430" s="73"/>
      <c r="W430" s="73"/>
      <c r="X430" s="73"/>
      <c r="Y430" s="73"/>
      <c r="Z430" s="73"/>
    </row>
    <row r="431">
      <c r="A431" s="73"/>
      <c r="B431" s="73"/>
      <c r="C431" s="73"/>
      <c r="D431" s="73"/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</row>
    <row r="432">
      <c r="A432" s="73"/>
      <c r="B432" s="73"/>
      <c r="C432" s="73"/>
      <c r="D432" s="73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</row>
    <row r="433">
      <c r="A433" s="73"/>
      <c r="B433" s="73"/>
      <c r="C433" s="73"/>
      <c r="D433" s="73"/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</row>
    <row r="434">
      <c r="A434" s="73"/>
      <c r="B434" s="73"/>
      <c r="C434" s="73"/>
      <c r="D434" s="73"/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</row>
    <row r="435">
      <c r="A435" s="73"/>
      <c r="B435" s="73"/>
      <c r="C435" s="73"/>
      <c r="D435" s="73"/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</row>
    <row r="436">
      <c r="A436" s="73"/>
      <c r="B436" s="73"/>
      <c r="C436" s="73"/>
      <c r="D436" s="73"/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</row>
    <row r="437">
      <c r="A437" s="73"/>
      <c r="B437" s="73"/>
      <c r="C437" s="73"/>
      <c r="D437" s="73"/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</row>
    <row r="438">
      <c r="A438" s="73"/>
      <c r="B438" s="73"/>
      <c r="C438" s="73"/>
      <c r="D438" s="73"/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</row>
    <row r="439">
      <c r="A439" s="73"/>
      <c r="B439" s="73"/>
      <c r="C439" s="73"/>
      <c r="D439" s="73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</row>
    <row r="440">
      <c r="A440" s="73"/>
      <c r="B440" s="73"/>
      <c r="C440" s="73"/>
      <c r="D440" s="73"/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</row>
    <row r="441">
      <c r="A441" s="73"/>
      <c r="B441" s="73"/>
      <c r="C441" s="73"/>
      <c r="D441" s="73"/>
      <c r="E441" s="73"/>
      <c r="F441" s="73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  <c r="V441" s="73"/>
      <c r="W441" s="73"/>
      <c r="X441" s="73"/>
      <c r="Y441" s="73"/>
      <c r="Z441" s="73"/>
    </row>
    <row r="442">
      <c r="A442" s="73"/>
      <c r="B442" s="73"/>
      <c r="C442" s="73"/>
      <c r="D442" s="73"/>
      <c r="E442" s="73"/>
      <c r="F442" s="73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  <c r="V442" s="73"/>
      <c r="W442" s="73"/>
      <c r="X442" s="73"/>
      <c r="Y442" s="73"/>
      <c r="Z442" s="73"/>
    </row>
    <row r="443">
      <c r="A443" s="73"/>
      <c r="B443" s="73"/>
      <c r="C443" s="73"/>
      <c r="D443" s="73"/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</row>
    <row r="444">
      <c r="A444" s="73"/>
      <c r="B444" s="73"/>
      <c r="C444" s="73"/>
      <c r="D444" s="73"/>
      <c r="E444" s="73"/>
      <c r="F444" s="73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  <c r="V444" s="73"/>
      <c r="W444" s="73"/>
      <c r="X444" s="73"/>
      <c r="Y444" s="73"/>
      <c r="Z444" s="73"/>
    </row>
    <row r="445">
      <c r="A445" s="73"/>
      <c r="B445" s="73"/>
      <c r="C445" s="73"/>
      <c r="D445" s="73"/>
      <c r="E445" s="73"/>
      <c r="F445" s="73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  <c r="V445" s="73"/>
      <c r="W445" s="73"/>
      <c r="X445" s="73"/>
      <c r="Y445" s="73"/>
      <c r="Z445" s="73"/>
    </row>
    <row r="446">
      <c r="A446" s="73"/>
      <c r="B446" s="73"/>
      <c r="C446" s="73"/>
      <c r="D446" s="73"/>
      <c r="E446" s="73"/>
      <c r="F446" s="73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  <c r="V446" s="73"/>
      <c r="W446" s="73"/>
      <c r="X446" s="73"/>
      <c r="Y446" s="73"/>
      <c r="Z446" s="73"/>
    </row>
    <row r="447">
      <c r="A447" s="73"/>
      <c r="B447" s="73"/>
      <c r="C447" s="73"/>
      <c r="D447" s="73"/>
      <c r="E447" s="73"/>
      <c r="F447" s="73"/>
      <c r="G447" s="73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73"/>
      <c r="V447" s="73"/>
      <c r="W447" s="73"/>
      <c r="X447" s="73"/>
      <c r="Y447" s="73"/>
      <c r="Z447" s="73"/>
    </row>
    <row r="448">
      <c r="A448" s="73"/>
      <c r="B448" s="73"/>
      <c r="C448" s="73"/>
      <c r="D448" s="73"/>
      <c r="E448" s="73"/>
      <c r="F448" s="73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  <c r="V448" s="73"/>
      <c r="W448" s="73"/>
      <c r="X448" s="73"/>
      <c r="Y448" s="73"/>
      <c r="Z448" s="73"/>
    </row>
    <row r="449">
      <c r="A449" s="73"/>
      <c r="B449" s="73"/>
      <c r="C449" s="73"/>
      <c r="D449" s="73"/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</row>
    <row r="450">
      <c r="A450" s="73"/>
      <c r="B450" s="73"/>
      <c r="C450" s="73"/>
      <c r="D450" s="73"/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</row>
    <row r="451">
      <c r="A451" s="73"/>
      <c r="B451" s="73"/>
      <c r="C451" s="73"/>
      <c r="D451" s="73"/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</row>
    <row r="452">
      <c r="A452" s="73"/>
      <c r="B452" s="73"/>
      <c r="C452" s="73"/>
      <c r="D452" s="73"/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</row>
    <row r="453">
      <c r="A453" s="73"/>
      <c r="B453" s="73"/>
      <c r="C453" s="73"/>
      <c r="D453" s="73"/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</row>
    <row r="454">
      <c r="A454" s="73"/>
      <c r="B454" s="73"/>
      <c r="C454" s="73"/>
      <c r="D454" s="73"/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</row>
    <row r="455">
      <c r="A455" s="73"/>
      <c r="B455" s="73"/>
      <c r="C455" s="73"/>
      <c r="D455" s="73"/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</row>
    <row r="456">
      <c r="A456" s="73"/>
      <c r="B456" s="73"/>
      <c r="C456" s="73"/>
      <c r="D456" s="73"/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</row>
    <row r="457">
      <c r="A457" s="73"/>
      <c r="B457" s="73"/>
      <c r="C457" s="73"/>
      <c r="D457" s="73"/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</row>
    <row r="458">
      <c r="A458" s="73"/>
      <c r="B458" s="73"/>
      <c r="C458" s="73"/>
      <c r="D458" s="73"/>
      <c r="E458" s="73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73"/>
      <c r="V458" s="73"/>
      <c r="W458" s="73"/>
      <c r="X458" s="73"/>
      <c r="Y458" s="73"/>
      <c r="Z458" s="73"/>
    </row>
    <row r="459">
      <c r="A459" s="73"/>
      <c r="B459" s="73"/>
      <c r="C459" s="73"/>
      <c r="D459" s="73"/>
      <c r="E459" s="73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73"/>
      <c r="V459" s="73"/>
      <c r="W459" s="73"/>
      <c r="X459" s="73"/>
      <c r="Y459" s="73"/>
      <c r="Z459" s="73"/>
    </row>
    <row r="460">
      <c r="A460" s="73"/>
      <c r="B460" s="73"/>
      <c r="C460" s="73"/>
      <c r="D460" s="73"/>
      <c r="E460" s="73"/>
      <c r="F460" s="73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73"/>
      <c r="V460" s="73"/>
      <c r="W460" s="73"/>
      <c r="X460" s="73"/>
      <c r="Y460" s="73"/>
      <c r="Z460" s="73"/>
    </row>
    <row r="461">
      <c r="A461" s="73"/>
      <c r="B461" s="73"/>
      <c r="C461" s="73"/>
      <c r="D461" s="73"/>
      <c r="E461" s="73"/>
      <c r="F461" s="73"/>
      <c r="G461" s="73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73"/>
      <c r="V461" s="73"/>
      <c r="W461" s="73"/>
      <c r="X461" s="73"/>
      <c r="Y461" s="73"/>
      <c r="Z461" s="73"/>
    </row>
    <row r="462">
      <c r="A462" s="73"/>
      <c r="B462" s="73"/>
      <c r="C462" s="73"/>
      <c r="D462" s="73"/>
      <c r="E462" s="73"/>
      <c r="F462" s="73"/>
      <c r="G462" s="73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73"/>
      <c r="V462" s="73"/>
      <c r="W462" s="73"/>
      <c r="X462" s="73"/>
      <c r="Y462" s="73"/>
      <c r="Z462" s="73"/>
    </row>
    <row r="463">
      <c r="A463" s="73"/>
      <c r="B463" s="73"/>
      <c r="C463" s="73"/>
      <c r="D463" s="73"/>
      <c r="E463" s="73"/>
      <c r="F463" s="73"/>
      <c r="G463" s="73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73"/>
      <c r="V463" s="73"/>
      <c r="W463" s="73"/>
      <c r="X463" s="73"/>
      <c r="Y463" s="73"/>
      <c r="Z463" s="73"/>
    </row>
    <row r="464">
      <c r="A464" s="73"/>
      <c r="B464" s="73"/>
      <c r="C464" s="73"/>
      <c r="D464" s="73"/>
      <c r="E464" s="73"/>
      <c r="F464" s="73"/>
      <c r="G464" s="73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73"/>
      <c r="V464" s="73"/>
      <c r="W464" s="73"/>
      <c r="X464" s="73"/>
      <c r="Y464" s="73"/>
      <c r="Z464" s="73"/>
    </row>
    <row r="465">
      <c r="A465" s="73"/>
      <c r="B465" s="73"/>
      <c r="C465" s="73"/>
      <c r="D465" s="73"/>
      <c r="E465" s="73"/>
      <c r="F465" s="73"/>
      <c r="G465" s="73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73"/>
      <c r="V465" s="73"/>
      <c r="W465" s="73"/>
      <c r="X465" s="73"/>
      <c r="Y465" s="73"/>
      <c r="Z465" s="73"/>
    </row>
    <row r="466">
      <c r="A466" s="73"/>
      <c r="B466" s="73"/>
      <c r="C466" s="73"/>
      <c r="D466" s="73"/>
      <c r="E466" s="73"/>
      <c r="F466" s="73"/>
      <c r="G466" s="73"/>
      <c r="H466" s="73"/>
      <c r="I466" s="73"/>
      <c r="J466" s="73"/>
      <c r="K466" s="73"/>
      <c r="L466" s="73"/>
      <c r="M466" s="73"/>
      <c r="N466" s="73"/>
      <c r="O466" s="73"/>
      <c r="P466" s="73"/>
      <c r="Q466" s="73"/>
      <c r="R466" s="73"/>
      <c r="S466" s="73"/>
      <c r="T466" s="73"/>
      <c r="U466" s="73"/>
      <c r="V466" s="73"/>
      <c r="W466" s="73"/>
      <c r="X466" s="73"/>
      <c r="Y466" s="73"/>
      <c r="Z466" s="73"/>
    </row>
    <row r="467">
      <c r="A467" s="73"/>
      <c r="B467" s="73"/>
      <c r="C467" s="73"/>
      <c r="D467" s="73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</row>
    <row r="468">
      <c r="A468" s="73"/>
      <c r="B468" s="73"/>
      <c r="C468" s="73"/>
      <c r="D468" s="73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  <c r="V468" s="73"/>
      <c r="W468" s="73"/>
      <c r="X468" s="73"/>
      <c r="Y468" s="73"/>
      <c r="Z468" s="73"/>
    </row>
    <row r="469">
      <c r="A469" s="73"/>
      <c r="B469" s="73"/>
      <c r="C469" s="73"/>
      <c r="D469" s="73"/>
      <c r="E469" s="73"/>
      <c r="F469" s="73"/>
      <c r="G469" s="73"/>
      <c r="H469" s="73"/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73"/>
      <c r="V469" s="73"/>
      <c r="W469" s="73"/>
      <c r="X469" s="73"/>
      <c r="Y469" s="73"/>
      <c r="Z469" s="73"/>
    </row>
    <row r="470">
      <c r="A470" s="73"/>
      <c r="B470" s="73"/>
      <c r="C470" s="73"/>
      <c r="D470" s="73"/>
      <c r="E470" s="73"/>
      <c r="F470" s="73"/>
      <c r="G470" s="73"/>
      <c r="H470" s="73"/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73"/>
      <c r="V470" s="73"/>
      <c r="W470" s="73"/>
      <c r="X470" s="73"/>
      <c r="Y470" s="73"/>
      <c r="Z470" s="73"/>
    </row>
    <row r="471">
      <c r="A471" s="73"/>
      <c r="B471" s="73"/>
      <c r="C471" s="73"/>
      <c r="D471" s="73"/>
      <c r="E471" s="73"/>
      <c r="F471" s="73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73"/>
      <c r="V471" s="73"/>
      <c r="W471" s="73"/>
      <c r="X471" s="73"/>
      <c r="Y471" s="73"/>
      <c r="Z471" s="73"/>
    </row>
    <row r="472">
      <c r="A472" s="73"/>
      <c r="B472" s="73"/>
      <c r="C472" s="73"/>
      <c r="D472" s="73"/>
      <c r="E472" s="73"/>
      <c r="F472" s="73"/>
      <c r="G472" s="73"/>
      <c r="H472" s="73"/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73"/>
      <c r="V472" s="73"/>
      <c r="W472" s="73"/>
      <c r="X472" s="73"/>
      <c r="Y472" s="73"/>
      <c r="Z472" s="73"/>
    </row>
    <row r="473">
      <c r="A473" s="73"/>
      <c r="B473" s="73"/>
      <c r="C473" s="73"/>
      <c r="D473" s="73"/>
      <c r="E473" s="73"/>
      <c r="F473" s="73"/>
      <c r="G473" s="73"/>
      <c r="H473" s="73"/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73"/>
      <c r="V473" s="73"/>
      <c r="W473" s="73"/>
      <c r="X473" s="73"/>
      <c r="Y473" s="73"/>
      <c r="Z473" s="73"/>
    </row>
    <row r="474">
      <c r="A474" s="73"/>
      <c r="B474" s="73"/>
      <c r="C474" s="73"/>
      <c r="D474" s="73"/>
      <c r="E474" s="73"/>
      <c r="F474" s="73"/>
      <c r="G474" s="73"/>
      <c r="H474" s="73"/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73"/>
      <c r="V474" s="73"/>
      <c r="W474" s="73"/>
      <c r="X474" s="73"/>
      <c r="Y474" s="73"/>
      <c r="Z474" s="73"/>
    </row>
    <row r="475">
      <c r="A475" s="73"/>
      <c r="B475" s="73"/>
      <c r="C475" s="73"/>
      <c r="D475" s="73"/>
      <c r="E475" s="73"/>
      <c r="F475" s="73"/>
      <c r="G475" s="73"/>
      <c r="H475" s="73"/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73"/>
      <c r="V475" s="73"/>
      <c r="W475" s="73"/>
      <c r="X475" s="73"/>
      <c r="Y475" s="73"/>
      <c r="Z475" s="73"/>
    </row>
    <row r="476">
      <c r="A476" s="73"/>
      <c r="B476" s="73"/>
      <c r="C476" s="73"/>
      <c r="D476" s="73"/>
      <c r="E476" s="73"/>
      <c r="F476" s="73"/>
      <c r="G476" s="73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73"/>
      <c r="V476" s="73"/>
      <c r="W476" s="73"/>
      <c r="X476" s="73"/>
      <c r="Y476" s="73"/>
      <c r="Z476" s="73"/>
    </row>
    <row r="477">
      <c r="A477" s="73"/>
      <c r="B477" s="73"/>
      <c r="C477" s="73"/>
      <c r="D477" s="73"/>
      <c r="E477" s="73"/>
      <c r="F477" s="73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  <c r="V477" s="73"/>
      <c r="W477" s="73"/>
      <c r="X477" s="73"/>
      <c r="Y477" s="73"/>
      <c r="Z477" s="73"/>
    </row>
    <row r="478">
      <c r="A478" s="73"/>
      <c r="B478" s="73"/>
      <c r="C478" s="73"/>
      <c r="D478" s="73"/>
      <c r="E478" s="73"/>
      <c r="F478" s="73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73"/>
      <c r="X478" s="73"/>
      <c r="Y478" s="73"/>
      <c r="Z478" s="73"/>
    </row>
    <row r="479">
      <c r="A479" s="73"/>
      <c r="B479" s="73"/>
      <c r="C479" s="73"/>
      <c r="D479" s="73"/>
      <c r="E479" s="73"/>
      <c r="F479" s="73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  <c r="V479" s="73"/>
      <c r="W479" s="73"/>
      <c r="X479" s="73"/>
      <c r="Y479" s="73"/>
      <c r="Z479" s="73"/>
    </row>
    <row r="480">
      <c r="A480" s="73"/>
      <c r="B480" s="73"/>
      <c r="C480" s="73"/>
      <c r="D480" s="73"/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</row>
    <row r="481">
      <c r="A481" s="73"/>
      <c r="B481" s="73"/>
      <c r="C481" s="73"/>
      <c r="D481" s="73"/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</row>
    <row r="482">
      <c r="A482" s="73"/>
      <c r="B482" s="73"/>
      <c r="C482" s="73"/>
      <c r="D482" s="73"/>
      <c r="E482" s="73"/>
      <c r="F482" s="73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  <c r="V482" s="73"/>
      <c r="W482" s="73"/>
      <c r="X482" s="73"/>
      <c r="Y482" s="73"/>
      <c r="Z482" s="73"/>
    </row>
    <row r="483">
      <c r="A483" s="73"/>
      <c r="B483" s="73"/>
      <c r="C483" s="73"/>
      <c r="D483" s="73"/>
      <c r="E483" s="73"/>
      <c r="F483" s="73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  <c r="V483" s="73"/>
      <c r="W483" s="73"/>
      <c r="X483" s="73"/>
      <c r="Y483" s="73"/>
      <c r="Z483" s="73"/>
    </row>
    <row r="484">
      <c r="A484" s="73"/>
      <c r="B484" s="73"/>
      <c r="C484" s="73"/>
      <c r="D484" s="73"/>
      <c r="E484" s="73"/>
      <c r="F484" s="73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  <c r="V484" s="73"/>
      <c r="W484" s="73"/>
      <c r="X484" s="73"/>
      <c r="Y484" s="73"/>
      <c r="Z484" s="73"/>
    </row>
    <row r="485">
      <c r="A485" s="73"/>
      <c r="B485" s="73"/>
      <c r="C485" s="73"/>
      <c r="D485" s="73"/>
      <c r="E485" s="73"/>
      <c r="F485" s="73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  <c r="V485" s="73"/>
      <c r="W485" s="73"/>
      <c r="X485" s="73"/>
      <c r="Y485" s="73"/>
      <c r="Z485" s="73"/>
    </row>
    <row r="486">
      <c r="A486" s="73"/>
      <c r="B486" s="73"/>
      <c r="C486" s="73"/>
      <c r="D486" s="73"/>
      <c r="E486" s="73"/>
      <c r="F486" s="73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  <c r="V486" s="73"/>
      <c r="W486" s="73"/>
      <c r="X486" s="73"/>
      <c r="Y486" s="73"/>
      <c r="Z486" s="73"/>
    </row>
    <row r="487">
      <c r="A487" s="73"/>
      <c r="B487" s="73"/>
      <c r="C487" s="73"/>
      <c r="D487" s="73"/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</row>
    <row r="488">
      <c r="A488" s="73"/>
      <c r="B488" s="73"/>
      <c r="C488" s="73"/>
      <c r="D488" s="73"/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</row>
    <row r="489">
      <c r="A489" s="73"/>
      <c r="B489" s="73"/>
      <c r="C489" s="73"/>
      <c r="D489" s="73"/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</row>
    <row r="490">
      <c r="A490" s="73"/>
      <c r="B490" s="73"/>
      <c r="C490" s="73"/>
      <c r="D490" s="73"/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</row>
    <row r="491">
      <c r="A491" s="73"/>
      <c r="B491" s="73"/>
      <c r="C491" s="73"/>
      <c r="D491" s="73"/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</row>
    <row r="492">
      <c r="A492" s="73"/>
      <c r="B492" s="73"/>
      <c r="C492" s="73"/>
      <c r="D492" s="73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</row>
    <row r="493">
      <c r="A493" s="73"/>
      <c r="B493" s="73"/>
      <c r="C493" s="73"/>
      <c r="D493" s="73"/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</row>
    <row r="494">
      <c r="A494" s="73"/>
      <c r="B494" s="73"/>
      <c r="C494" s="73"/>
      <c r="D494" s="73"/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</row>
    <row r="495">
      <c r="A495" s="73"/>
      <c r="B495" s="73"/>
      <c r="C495" s="73"/>
      <c r="D495" s="73"/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</row>
    <row r="496">
      <c r="A496" s="73"/>
      <c r="B496" s="73"/>
      <c r="C496" s="73"/>
      <c r="D496" s="73"/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</row>
    <row r="497">
      <c r="A497" s="73"/>
      <c r="B497" s="73"/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  <c r="V497" s="73"/>
      <c r="W497" s="73"/>
      <c r="X497" s="73"/>
      <c r="Y497" s="73"/>
      <c r="Z497" s="73"/>
    </row>
    <row r="498">
      <c r="A498" s="73"/>
      <c r="B498" s="73"/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</row>
    <row r="499">
      <c r="A499" s="73"/>
      <c r="B499" s="73"/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</row>
    <row r="500">
      <c r="A500" s="73"/>
      <c r="B500" s="73"/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</row>
    <row r="501">
      <c r="A501" s="73"/>
      <c r="B501" s="73"/>
      <c r="C501" s="73"/>
      <c r="D501" s="73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</row>
    <row r="502">
      <c r="A502" s="73"/>
      <c r="B502" s="73"/>
      <c r="C502" s="73"/>
      <c r="D502" s="73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</row>
    <row r="503">
      <c r="A503" s="73"/>
      <c r="B503" s="73"/>
      <c r="C503" s="73"/>
      <c r="D503" s="73"/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</row>
    <row r="504">
      <c r="A504" s="73"/>
      <c r="B504" s="73"/>
      <c r="C504" s="73"/>
      <c r="D504" s="73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</row>
    <row r="505">
      <c r="A505" s="73"/>
      <c r="B505" s="73"/>
      <c r="C505" s="73"/>
      <c r="D505" s="73"/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</row>
    <row r="506">
      <c r="A506" s="73"/>
      <c r="B506" s="73"/>
      <c r="C506" s="73"/>
      <c r="D506" s="73"/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</row>
    <row r="507">
      <c r="A507" s="73"/>
      <c r="B507" s="73"/>
      <c r="C507" s="73"/>
      <c r="D507" s="73"/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</row>
    <row r="508">
      <c r="A508" s="73"/>
      <c r="B508" s="73"/>
      <c r="C508" s="73"/>
      <c r="D508" s="73"/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</row>
    <row r="509">
      <c r="A509" s="73"/>
      <c r="B509" s="73"/>
      <c r="C509" s="73"/>
      <c r="D509" s="73"/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</row>
    <row r="510">
      <c r="A510" s="73"/>
      <c r="B510" s="73"/>
      <c r="C510" s="73"/>
      <c r="D510" s="73"/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</row>
    <row r="511">
      <c r="A511" s="73"/>
      <c r="B511" s="73"/>
      <c r="C511" s="73"/>
      <c r="D511" s="73"/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</row>
    <row r="512">
      <c r="A512" s="73"/>
      <c r="B512" s="73"/>
      <c r="C512" s="73"/>
      <c r="D512" s="73"/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</row>
    <row r="513">
      <c r="A513" s="73"/>
      <c r="B513" s="73"/>
      <c r="C513" s="73"/>
      <c r="D513" s="73"/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</row>
    <row r="514">
      <c r="A514" s="73"/>
      <c r="B514" s="73"/>
      <c r="C514" s="73"/>
      <c r="D514" s="73"/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</row>
    <row r="515">
      <c r="A515" s="73"/>
      <c r="B515" s="73"/>
      <c r="C515" s="73"/>
      <c r="D515" s="73"/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</row>
    <row r="516">
      <c r="A516" s="73"/>
      <c r="B516" s="73"/>
      <c r="C516" s="73"/>
      <c r="D516" s="73"/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</row>
    <row r="517">
      <c r="A517" s="73"/>
      <c r="B517" s="73"/>
      <c r="C517" s="73"/>
      <c r="D517" s="73"/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</row>
    <row r="518">
      <c r="A518" s="73"/>
      <c r="B518" s="73"/>
      <c r="C518" s="73"/>
      <c r="D518" s="73"/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73"/>
      <c r="V518" s="73"/>
      <c r="W518" s="73"/>
      <c r="X518" s="73"/>
      <c r="Y518" s="73"/>
      <c r="Z518" s="73"/>
    </row>
    <row r="519">
      <c r="A519" s="73"/>
      <c r="B519" s="73"/>
      <c r="C519" s="73"/>
      <c r="D519" s="73"/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73"/>
      <c r="V519" s="73"/>
      <c r="W519" s="73"/>
      <c r="X519" s="73"/>
      <c r="Y519" s="73"/>
      <c r="Z519" s="73"/>
    </row>
    <row r="520">
      <c r="A520" s="73"/>
      <c r="B520" s="73"/>
      <c r="C520" s="73"/>
      <c r="D520" s="73"/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73"/>
      <c r="V520" s="73"/>
      <c r="W520" s="73"/>
      <c r="X520" s="73"/>
      <c r="Y520" s="73"/>
      <c r="Z520" s="73"/>
    </row>
    <row r="521">
      <c r="A521" s="73"/>
      <c r="B521" s="73"/>
      <c r="C521" s="73"/>
      <c r="D521" s="73"/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  <c r="V521" s="73"/>
      <c r="W521" s="73"/>
      <c r="X521" s="73"/>
      <c r="Y521" s="73"/>
      <c r="Z521" s="73"/>
    </row>
    <row r="522">
      <c r="A522" s="73"/>
      <c r="B522" s="73"/>
      <c r="C522" s="73"/>
      <c r="D522" s="73"/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</row>
    <row r="523">
      <c r="A523" s="73"/>
      <c r="B523" s="73"/>
      <c r="C523" s="73"/>
      <c r="D523" s="73"/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</row>
    <row r="524">
      <c r="A524" s="73"/>
      <c r="B524" s="73"/>
      <c r="C524" s="73"/>
      <c r="D524" s="73"/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</row>
    <row r="525">
      <c r="A525" s="73"/>
      <c r="B525" s="73"/>
      <c r="C525" s="73"/>
      <c r="D525" s="73"/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</row>
    <row r="526">
      <c r="A526" s="73"/>
      <c r="B526" s="73"/>
      <c r="C526" s="73"/>
      <c r="D526" s="73"/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</row>
    <row r="527">
      <c r="A527" s="73"/>
      <c r="B527" s="73"/>
      <c r="C527" s="73"/>
      <c r="D527" s="73"/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</row>
    <row r="528">
      <c r="A528" s="73"/>
      <c r="B528" s="73"/>
      <c r="C528" s="73"/>
      <c r="D528" s="73"/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</row>
    <row r="529">
      <c r="A529" s="73"/>
      <c r="B529" s="73"/>
      <c r="C529" s="73"/>
      <c r="D529" s="73"/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</row>
    <row r="530">
      <c r="A530" s="73"/>
      <c r="B530" s="73"/>
      <c r="C530" s="73"/>
      <c r="D530" s="73"/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</row>
    <row r="531">
      <c r="A531" s="73"/>
      <c r="B531" s="73"/>
      <c r="C531" s="73"/>
      <c r="D531" s="73"/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</row>
    <row r="532">
      <c r="A532" s="73"/>
      <c r="B532" s="73"/>
      <c r="C532" s="73"/>
      <c r="D532" s="73"/>
      <c r="E532" s="73"/>
      <c r="F532" s="73"/>
      <c r="G532" s="73"/>
      <c r="H532" s="73"/>
      <c r="I532" s="73"/>
      <c r="J532" s="73"/>
      <c r="K532" s="73"/>
      <c r="L532" s="73"/>
      <c r="M532" s="73"/>
      <c r="N532" s="73"/>
      <c r="O532" s="73"/>
      <c r="P532" s="73"/>
      <c r="Q532" s="73"/>
      <c r="R532" s="73"/>
      <c r="S532" s="73"/>
      <c r="T532" s="73"/>
      <c r="U532" s="73"/>
      <c r="V532" s="73"/>
      <c r="W532" s="73"/>
      <c r="X532" s="73"/>
      <c r="Y532" s="73"/>
      <c r="Z532" s="73"/>
    </row>
    <row r="533">
      <c r="A533" s="73"/>
      <c r="B533" s="73"/>
      <c r="C533" s="73"/>
      <c r="D533" s="73"/>
      <c r="E533" s="73"/>
      <c r="F533" s="73"/>
      <c r="G533" s="73"/>
      <c r="H533" s="73"/>
      <c r="I533" s="73"/>
      <c r="J533" s="73"/>
      <c r="K533" s="73"/>
      <c r="L533" s="73"/>
      <c r="M533" s="73"/>
      <c r="N533" s="73"/>
      <c r="O533" s="73"/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</row>
    <row r="534">
      <c r="A534" s="73"/>
      <c r="B534" s="73"/>
      <c r="C534" s="73"/>
      <c r="D534" s="73"/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</row>
    <row r="535">
      <c r="A535" s="73"/>
      <c r="B535" s="73"/>
      <c r="C535" s="73"/>
      <c r="D535" s="73"/>
      <c r="E535" s="73"/>
      <c r="F535" s="73"/>
      <c r="G535" s="73"/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/>
      <c r="S535" s="73"/>
      <c r="T535" s="73"/>
      <c r="U535" s="73"/>
      <c r="V535" s="73"/>
      <c r="W535" s="73"/>
      <c r="X535" s="73"/>
      <c r="Y535" s="73"/>
      <c r="Z535" s="73"/>
    </row>
    <row r="536">
      <c r="A536" s="73"/>
      <c r="B536" s="73"/>
      <c r="C536" s="73"/>
      <c r="D536" s="73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  <c r="S536" s="73"/>
      <c r="T536" s="73"/>
      <c r="U536" s="73"/>
      <c r="V536" s="73"/>
      <c r="W536" s="73"/>
      <c r="X536" s="73"/>
      <c r="Y536" s="73"/>
      <c r="Z536" s="73"/>
    </row>
    <row r="537">
      <c r="A537" s="73"/>
      <c r="B537" s="73"/>
      <c r="C537" s="73"/>
      <c r="D537" s="73"/>
      <c r="E537" s="73"/>
      <c r="F537" s="73"/>
      <c r="G537" s="73"/>
      <c r="H537" s="73"/>
      <c r="I537" s="73"/>
      <c r="J537" s="73"/>
      <c r="K537" s="73"/>
      <c r="L537" s="73"/>
      <c r="M537" s="73"/>
      <c r="N537" s="73"/>
      <c r="O537" s="73"/>
      <c r="P537" s="73"/>
      <c r="Q537" s="73"/>
      <c r="R537" s="73"/>
      <c r="S537" s="73"/>
      <c r="T537" s="73"/>
      <c r="U537" s="73"/>
      <c r="V537" s="73"/>
      <c r="W537" s="73"/>
      <c r="X537" s="73"/>
      <c r="Y537" s="73"/>
      <c r="Z537" s="73"/>
    </row>
    <row r="538">
      <c r="A538" s="73"/>
      <c r="B538" s="73"/>
      <c r="C538" s="73"/>
      <c r="D538" s="73"/>
      <c r="E538" s="73"/>
      <c r="F538" s="73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73"/>
      <c r="V538" s="73"/>
      <c r="W538" s="73"/>
      <c r="X538" s="73"/>
      <c r="Y538" s="73"/>
      <c r="Z538" s="73"/>
    </row>
    <row r="539">
      <c r="A539" s="73"/>
      <c r="B539" s="73"/>
      <c r="C539" s="73"/>
      <c r="D539" s="73"/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</row>
    <row r="540">
      <c r="A540" s="73"/>
      <c r="B540" s="73"/>
      <c r="C540" s="73"/>
      <c r="D540" s="73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</row>
    <row r="541">
      <c r="A541" s="73"/>
      <c r="B541" s="73"/>
      <c r="C541" s="73"/>
      <c r="D541" s="73"/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</row>
    <row r="542">
      <c r="A542" s="73"/>
      <c r="B542" s="73"/>
      <c r="C542" s="73"/>
      <c r="D542" s="73"/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</row>
    <row r="543">
      <c r="A543" s="73"/>
      <c r="B543" s="73"/>
      <c r="C543" s="73"/>
      <c r="D543" s="73"/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</row>
    <row r="544">
      <c r="A544" s="73"/>
      <c r="B544" s="73"/>
      <c r="C544" s="73"/>
      <c r="D544" s="73"/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</row>
    <row r="545">
      <c r="A545" s="73"/>
      <c r="B545" s="73"/>
      <c r="C545" s="73"/>
      <c r="D545" s="73"/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</row>
    <row r="546">
      <c r="A546" s="73"/>
      <c r="B546" s="73"/>
      <c r="C546" s="73"/>
      <c r="D546" s="73"/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</row>
    <row r="547">
      <c r="A547" s="73"/>
      <c r="B547" s="73"/>
      <c r="C547" s="73"/>
      <c r="D547" s="73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</row>
    <row r="548">
      <c r="A548" s="73"/>
      <c r="B548" s="73"/>
      <c r="C548" s="73"/>
      <c r="D548" s="73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</row>
    <row r="549">
      <c r="A549" s="73"/>
      <c r="B549" s="73"/>
      <c r="C549" s="73"/>
      <c r="D549" s="73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</row>
    <row r="550">
      <c r="A550" s="73"/>
      <c r="B550" s="73"/>
      <c r="C550" s="73"/>
      <c r="D550" s="73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</row>
    <row r="551">
      <c r="A551" s="73"/>
      <c r="B551" s="73"/>
      <c r="C551" s="73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</row>
    <row r="552">
      <c r="A552" s="73"/>
      <c r="B552" s="73"/>
      <c r="C552" s="73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</row>
    <row r="553">
      <c r="A553" s="73"/>
      <c r="B553" s="73"/>
      <c r="C553" s="73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</row>
    <row r="554">
      <c r="A554" s="73"/>
      <c r="B554" s="73"/>
      <c r="C554" s="73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</row>
    <row r="555">
      <c r="A555" s="73"/>
      <c r="B555" s="73"/>
      <c r="C555" s="73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</row>
    <row r="556">
      <c r="A556" s="73"/>
      <c r="B556" s="73"/>
      <c r="C556" s="73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  <c r="Z556" s="73"/>
    </row>
    <row r="557">
      <c r="A557" s="73"/>
      <c r="B557" s="73"/>
      <c r="C557" s="73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  <c r="Z557" s="73"/>
    </row>
    <row r="558">
      <c r="A558" s="73"/>
      <c r="B558" s="73"/>
      <c r="C558" s="73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</row>
    <row r="559">
      <c r="A559" s="73"/>
      <c r="B559" s="73"/>
      <c r="C559" s="73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  <c r="Z559" s="73"/>
    </row>
    <row r="560">
      <c r="A560" s="73"/>
      <c r="B560" s="73"/>
      <c r="C560" s="73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  <c r="Z560" s="73"/>
    </row>
    <row r="561">
      <c r="A561" s="73"/>
      <c r="B561" s="73"/>
      <c r="C561" s="73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  <c r="Z561" s="73"/>
    </row>
    <row r="562">
      <c r="A562" s="73"/>
      <c r="B562" s="73"/>
      <c r="C562" s="73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  <c r="Z562" s="73"/>
    </row>
    <row r="563">
      <c r="A563" s="73"/>
      <c r="B563" s="73"/>
      <c r="C563" s="73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  <c r="Z563" s="73"/>
    </row>
    <row r="564">
      <c r="A564" s="73"/>
      <c r="B564" s="73"/>
      <c r="C564" s="73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</row>
    <row r="565">
      <c r="A565" s="73"/>
      <c r="B565" s="73"/>
      <c r="C565" s="73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</row>
    <row r="566">
      <c r="A566" s="73"/>
      <c r="B566" s="73"/>
      <c r="C566" s="73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</row>
    <row r="567">
      <c r="A567" s="73"/>
      <c r="B567" s="73"/>
      <c r="C567" s="73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</row>
    <row r="568">
      <c r="A568" s="73"/>
      <c r="B568" s="73"/>
      <c r="C568" s="73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</row>
    <row r="569">
      <c r="A569" s="73"/>
      <c r="B569" s="73"/>
      <c r="C569" s="73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</row>
    <row r="570">
      <c r="A570" s="73"/>
      <c r="B570" s="73"/>
      <c r="C570" s="73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</row>
    <row r="571">
      <c r="A571" s="73"/>
      <c r="B571" s="73"/>
      <c r="C571" s="73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</row>
    <row r="572">
      <c r="A572" s="73"/>
      <c r="B572" s="73"/>
      <c r="C572" s="73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</row>
    <row r="573">
      <c r="A573" s="73"/>
      <c r="B573" s="73"/>
      <c r="C573" s="73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  <c r="Z573" s="73"/>
    </row>
    <row r="574">
      <c r="A574" s="73"/>
      <c r="B574" s="73"/>
      <c r="C574" s="73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  <c r="Z574" s="73"/>
    </row>
    <row r="575">
      <c r="A575" s="73"/>
      <c r="B575" s="73"/>
      <c r="C575" s="73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  <c r="Z575" s="73"/>
    </row>
    <row r="576">
      <c r="A576" s="73"/>
      <c r="B576" s="73"/>
      <c r="C576" s="73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  <c r="Z576" s="73"/>
    </row>
    <row r="577">
      <c r="A577" s="73"/>
      <c r="B577" s="73"/>
      <c r="C577" s="73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  <c r="Z577" s="73"/>
    </row>
    <row r="578">
      <c r="A578" s="73"/>
      <c r="B578" s="73"/>
      <c r="C578" s="73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  <c r="Z578" s="73"/>
    </row>
    <row r="579">
      <c r="A579" s="73"/>
      <c r="B579" s="73"/>
      <c r="C579" s="73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  <c r="Z579" s="73"/>
    </row>
    <row r="580">
      <c r="A580" s="73"/>
      <c r="B580" s="73"/>
      <c r="C580" s="73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  <c r="Z580" s="73"/>
    </row>
    <row r="581">
      <c r="A581" s="73"/>
      <c r="B581" s="73"/>
      <c r="C581" s="73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  <c r="Z581" s="73"/>
    </row>
    <row r="582">
      <c r="A582" s="73"/>
      <c r="B582" s="73"/>
      <c r="C582" s="73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  <c r="Z582" s="73"/>
    </row>
    <row r="583">
      <c r="A583" s="73"/>
      <c r="B583" s="73"/>
      <c r="C583" s="73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  <c r="Z583" s="73"/>
    </row>
    <row r="584">
      <c r="A584" s="73"/>
      <c r="B584" s="73"/>
      <c r="C584" s="73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  <c r="Z584" s="73"/>
    </row>
    <row r="585">
      <c r="A585" s="73"/>
      <c r="B585" s="73"/>
      <c r="C585" s="73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  <c r="Z585" s="73"/>
    </row>
    <row r="586">
      <c r="A586" s="73"/>
      <c r="B586" s="73"/>
      <c r="C586" s="73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  <c r="Z586" s="73"/>
    </row>
    <row r="587">
      <c r="A587" s="73"/>
      <c r="B587" s="73"/>
      <c r="C587" s="73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  <c r="Z587" s="73"/>
    </row>
    <row r="588">
      <c r="A588" s="73"/>
      <c r="B588" s="73"/>
      <c r="C588" s="73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  <c r="Z588" s="73"/>
    </row>
    <row r="589">
      <c r="A589" s="73"/>
      <c r="B589" s="73"/>
      <c r="C589" s="73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  <c r="Z589" s="73"/>
    </row>
    <row r="590">
      <c r="A590" s="73"/>
      <c r="B590" s="73"/>
      <c r="C590" s="73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  <c r="Z590" s="73"/>
    </row>
    <row r="591">
      <c r="A591" s="73"/>
      <c r="B591" s="73"/>
      <c r="C591" s="73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  <c r="Z591" s="73"/>
    </row>
    <row r="592">
      <c r="A592" s="73"/>
      <c r="B592" s="73"/>
      <c r="C592" s="73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  <c r="Z592" s="73"/>
    </row>
    <row r="593">
      <c r="A593" s="73"/>
      <c r="B593" s="73"/>
      <c r="C593" s="73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  <c r="Z593" s="73"/>
    </row>
    <row r="594">
      <c r="A594" s="73"/>
      <c r="B594" s="73"/>
      <c r="C594" s="73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  <c r="Z594" s="73"/>
    </row>
    <row r="595">
      <c r="A595" s="73"/>
      <c r="B595" s="73"/>
      <c r="C595" s="73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  <c r="Z595" s="73"/>
    </row>
    <row r="596">
      <c r="A596" s="73"/>
      <c r="B596" s="73"/>
      <c r="C596" s="73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  <c r="Z596" s="73"/>
    </row>
    <row r="597">
      <c r="A597" s="73"/>
      <c r="B597" s="73"/>
      <c r="C597" s="73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  <c r="Z597" s="73"/>
    </row>
    <row r="598">
      <c r="A598" s="73"/>
      <c r="B598" s="73"/>
      <c r="C598" s="73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  <c r="Z598" s="73"/>
    </row>
    <row r="599">
      <c r="A599" s="73"/>
      <c r="B599" s="73"/>
      <c r="C599" s="73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  <c r="Z599" s="73"/>
    </row>
    <row r="600">
      <c r="A600" s="73"/>
      <c r="B600" s="73"/>
      <c r="C600" s="73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  <c r="Z600" s="73"/>
    </row>
    <row r="601">
      <c r="A601" s="73"/>
      <c r="B601" s="73"/>
      <c r="C601" s="73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  <c r="Z601" s="73"/>
    </row>
    <row r="602">
      <c r="A602" s="73"/>
      <c r="B602" s="73"/>
      <c r="C602" s="73"/>
      <c r="D602" s="73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  <c r="Z602" s="73"/>
    </row>
    <row r="603">
      <c r="A603" s="73"/>
      <c r="B603" s="73"/>
      <c r="C603" s="73"/>
      <c r="D603" s="73"/>
      <c r="E603" s="73"/>
      <c r="F603" s="73"/>
      <c r="G603" s="73"/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/>
      <c r="S603" s="73"/>
      <c r="T603" s="73"/>
      <c r="U603" s="73"/>
      <c r="V603" s="73"/>
      <c r="W603" s="73"/>
      <c r="X603" s="73"/>
      <c r="Y603" s="73"/>
      <c r="Z603" s="73"/>
    </row>
    <row r="604">
      <c r="A604" s="73"/>
      <c r="B604" s="73"/>
      <c r="C604" s="73"/>
      <c r="D604" s="73"/>
      <c r="E604" s="73"/>
      <c r="F604" s="73"/>
      <c r="G604" s="73"/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/>
      <c r="S604" s="73"/>
      <c r="T604" s="73"/>
      <c r="U604" s="73"/>
      <c r="V604" s="73"/>
      <c r="W604" s="73"/>
      <c r="X604" s="73"/>
      <c r="Y604" s="73"/>
      <c r="Z604" s="73"/>
    </row>
    <row r="605">
      <c r="A605" s="73"/>
      <c r="B605" s="73"/>
      <c r="C605" s="73"/>
      <c r="D605" s="73"/>
      <c r="E605" s="73"/>
      <c r="F605" s="73"/>
      <c r="G605" s="73"/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/>
      <c r="S605" s="73"/>
      <c r="T605" s="73"/>
      <c r="U605" s="73"/>
      <c r="V605" s="73"/>
      <c r="W605" s="73"/>
      <c r="X605" s="73"/>
      <c r="Y605" s="73"/>
      <c r="Z605" s="73"/>
    </row>
    <row r="606">
      <c r="A606" s="73"/>
      <c r="B606" s="73"/>
      <c r="C606" s="73"/>
      <c r="D606" s="73"/>
      <c r="E606" s="73"/>
      <c r="F606" s="73"/>
      <c r="G606" s="73"/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/>
      <c r="S606" s="73"/>
      <c r="T606" s="73"/>
      <c r="U606" s="73"/>
      <c r="V606" s="73"/>
      <c r="W606" s="73"/>
      <c r="X606" s="73"/>
      <c r="Y606" s="73"/>
      <c r="Z606" s="73"/>
    </row>
    <row r="607">
      <c r="A607" s="73"/>
      <c r="B607" s="73"/>
      <c r="C607" s="73"/>
      <c r="D607" s="73"/>
      <c r="E607" s="73"/>
      <c r="F607" s="73"/>
      <c r="G607" s="73"/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/>
      <c r="S607" s="73"/>
      <c r="T607" s="73"/>
      <c r="U607" s="73"/>
      <c r="V607" s="73"/>
      <c r="W607" s="73"/>
      <c r="X607" s="73"/>
      <c r="Y607" s="73"/>
      <c r="Z607" s="73"/>
    </row>
    <row r="608">
      <c r="A608" s="73"/>
      <c r="B608" s="73"/>
      <c r="C608" s="73"/>
      <c r="D608" s="73"/>
      <c r="E608" s="73"/>
      <c r="F608" s="73"/>
      <c r="G608" s="73"/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/>
      <c r="S608" s="73"/>
      <c r="T608" s="73"/>
      <c r="U608" s="73"/>
      <c r="V608" s="73"/>
      <c r="W608" s="73"/>
      <c r="X608" s="73"/>
      <c r="Y608" s="73"/>
      <c r="Z608" s="73"/>
    </row>
    <row r="609">
      <c r="A609" s="73"/>
      <c r="B609" s="73"/>
      <c r="C609" s="73"/>
      <c r="D609" s="73"/>
      <c r="E609" s="73"/>
      <c r="F609" s="73"/>
      <c r="G609" s="73"/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/>
      <c r="S609" s="73"/>
      <c r="T609" s="73"/>
      <c r="U609" s="73"/>
      <c r="V609" s="73"/>
      <c r="W609" s="73"/>
      <c r="X609" s="73"/>
      <c r="Y609" s="73"/>
      <c r="Z609" s="73"/>
    </row>
    <row r="610">
      <c r="A610" s="73"/>
      <c r="B610" s="73"/>
      <c r="C610" s="73"/>
      <c r="D610" s="73"/>
      <c r="E610" s="73"/>
      <c r="F610" s="73"/>
      <c r="G610" s="73"/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/>
      <c r="S610" s="73"/>
      <c r="T610" s="73"/>
      <c r="U610" s="73"/>
      <c r="V610" s="73"/>
      <c r="W610" s="73"/>
      <c r="X610" s="73"/>
      <c r="Y610" s="73"/>
      <c r="Z610" s="73"/>
    </row>
    <row r="611">
      <c r="A611" s="73"/>
      <c r="B611" s="73"/>
      <c r="C611" s="73"/>
      <c r="D611" s="73"/>
      <c r="E611" s="73"/>
      <c r="F611" s="73"/>
      <c r="G611" s="73"/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/>
      <c r="S611" s="73"/>
      <c r="T611" s="73"/>
      <c r="U611" s="73"/>
      <c r="V611" s="73"/>
      <c r="W611" s="73"/>
      <c r="X611" s="73"/>
      <c r="Y611" s="73"/>
      <c r="Z611" s="73"/>
    </row>
    <row r="612">
      <c r="A612" s="73"/>
      <c r="B612" s="73"/>
      <c r="C612" s="73"/>
      <c r="D612" s="73"/>
      <c r="E612" s="73"/>
      <c r="F612" s="73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73"/>
      <c r="V612" s="73"/>
      <c r="W612" s="73"/>
      <c r="X612" s="73"/>
      <c r="Y612" s="73"/>
      <c r="Z612" s="73"/>
    </row>
    <row r="613">
      <c r="A613" s="73"/>
      <c r="B613" s="73"/>
      <c r="C613" s="73"/>
      <c r="D613" s="73"/>
      <c r="E613" s="73"/>
      <c r="F613" s="73"/>
      <c r="G613" s="73"/>
      <c r="H613" s="73"/>
      <c r="I613" s="73"/>
      <c r="J613" s="73"/>
      <c r="K613" s="73"/>
      <c r="L613" s="73"/>
      <c r="M613" s="73"/>
      <c r="N613" s="73"/>
      <c r="O613" s="73"/>
      <c r="P613" s="73"/>
      <c r="Q613" s="73"/>
      <c r="R613" s="73"/>
      <c r="S613" s="73"/>
      <c r="T613" s="73"/>
      <c r="U613" s="73"/>
      <c r="V613" s="73"/>
      <c r="W613" s="73"/>
      <c r="X613" s="73"/>
      <c r="Y613" s="73"/>
      <c r="Z613" s="73"/>
    </row>
    <row r="614">
      <c r="A614" s="73"/>
      <c r="B614" s="73"/>
      <c r="C614" s="73"/>
      <c r="D614" s="73"/>
      <c r="E614" s="73"/>
      <c r="F614" s="73"/>
      <c r="G614" s="73"/>
      <c r="H614" s="73"/>
      <c r="I614" s="73"/>
      <c r="J614" s="73"/>
      <c r="K614" s="73"/>
      <c r="L614" s="73"/>
      <c r="M614" s="73"/>
      <c r="N614" s="73"/>
      <c r="O614" s="73"/>
      <c r="P614" s="73"/>
      <c r="Q614" s="73"/>
      <c r="R614" s="73"/>
      <c r="S614" s="73"/>
      <c r="T614" s="73"/>
      <c r="U614" s="73"/>
      <c r="V614" s="73"/>
      <c r="W614" s="73"/>
      <c r="X614" s="73"/>
      <c r="Y614" s="73"/>
      <c r="Z614" s="73"/>
    </row>
    <row r="615">
      <c r="A615" s="73"/>
      <c r="B615" s="73"/>
      <c r="C615" s="73"/>
      <c r="D615" s="73"/>
      <c r="E615" s="73"/>
      <c r="F615" s="73"/>
      <c r="G615" s="73"/>
      <c r="H615" s="73"/>
      <c r="I615" s="73"/>
      <c r="J615" s="73"/>
      <c r="K615" s="73"/>
      <c r="L615" s="73"/>
      <c r="M615" s="73"/>
      <c r="N615" s="73"/>
      <c r="O615" s="73"/>
      <c r="P615" s="73"/>
      <c r="Q615" s="73"/>
      <c r="R615" s="73"/>
      <c r="S615" s="73"/>
      <c r="T615" s="73"/>
      <c r="U615" s="73"/>
      <c r="V615" s="73"/>
      <c r="W615" s="73"/>
      <c r="X615" s="73"/>
      <c r="Y615" s="73"/>
      <c r="Z615" s="73"/>
    </row>
    <row r="616">
      <c r="A616" s="73"/>
      <c r="B616" s="73"/>
      <c r="C616" s="73"/>
      <c r="D616" s="73"/>
      <c r="E616" s="73"/>
      <c r="F616" s="73"/>
      <c r="G616" s="73"/>
      <c r="H616" s="73"/>
      <c r="I616" s="73"/>
      <c r="J616" s="73"/>
      <c r="K616" s="73"/>
      <c r="L616" s="73"/>
      <c r="M616" s="73"/>
      <c r="N616" s="73"/>
      <c r="O616" s="73"/>
      <c r="P616" s="73"/>
      <c r="Q616" s="73"/>
      <c r="R616" s="73"/>
      <c r="S616" s="73"/>
      <c r="T616" s="73"/>
      <c r="U616" s="73"/>
      <c r="V616" s="73"/>
      <c r="W616" s="73"/>
      <c r="X616" s="73"/>
      <c r="Y616" s="73"/>
      <c r="Z616" s="73"/>
    </row>
    <row r="617">
      <c r="A617" s="73"/>
      <c r="B617" s="73"/>
      <c r="C617" s="73"/>
      <c r="D617" s="73"/>
      <c r="E617" s="73"/>
      <c r="F617" s="73"/>
      <c r="G617" s="73"/>
      <c r="H617" s="73"/>
      <c r="I617" s="73"/>
      <c r="J617" s="73"/>
      <c r="K617" s="73"/>
      <c r="L617" s="73"/>
      <c r="M617" s="73"/>
      <c r="N617" s="73"/>
      <c r="O617" s="73"/>
      <c r="P617" s="73"/>
      <c r="Q617" s="73"/>
      <c r="R617" s="73"/>
      <c r="S617" s="73"/>
      <c r="T617" s="73"/>
      <c r="U617" s="73"/>
      <c r="V617" s="73"/>
      <c r="W617" s="73"/>
      <c r="X617" s="73"/>
      <c r="Y617" s="73"/>
      <c r="Z617" s="73"/>
    </row>
    <row r="618">
      <c r="A618" s="73"/>
      <c r="B618" s="73"/>
      <c r="C618" s="73"/>
      <c r="D618" s="73"/>
      <c r="E618" s="73"/>
      <c r="F618" s="73"/>
      <c r="G618" s="73"/>
      <c r="H618" s="73"/>
      <c r="I618" s="73"/>
      <c r="J618" s="73"/>
      <c r="K618" s="73"/>
      <c r="L618" s="73"/>
      <c r="M618" s="73"/>
      <c r="N618" s="73"/>
      <c r="O618" s="73"/>
      <c r="P618" s="73"/>
      <c r="Q618" s="73"/>
      <c r="R618" s="73"/>
      <c r="S618" s="73"/>
      <c r="T618" s="73"/>
      <c r="U618" s="73"/>
      <c r="V618" s="73"/>
      <c r="W618" s="73"/>
      <c r="X618" s="73"/>
      <c r="Y618" s="73"/>
      <c r="Z618" s="73"/>
    </row>
    <row r="619">
      <c r="A619" s="73"/>
      <c r="B619" s="73"/>
      <c r="C619" s="73"/>
      <c r="D619" s="73"/>
      <c r="E619" s="73"/>
      <c r="F619" s="73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73"/>
      <c r="V619" s="73"/>
      <c r="W619" s="73"/>
      <c r="X619" s="73"/>
      <c r="Y619" s="73"/>
      <c r="Z619" s="73"/>
    </row>
    <row r="620">
      <c r="A620" s="73"/>
      <c r="B620" s="73"/>
      <c r="C620" s="73"/>
      <c r="D620" s="73"/>
      <c r="E620" s="73"/>
      <c r="F620" s="73"/>
      <c r="G620" s="73"/>
      <c r="H620" s="73"/>
      <c r="I620" s="73"/>
      <c r="J620" s="73"/>
      <c r="K620" s="73"/>
      <c r="L620" s="73"/>
      <c r="M620" s="73"/>
      <c r="N620" s="73"/>
      <c r="O620" s="73"/>
      <c r="P620" s="73"/>
      <c r="Q620" s="73"/>
      <c r="R620" s="73"/>
      <c r="S620" s="73"/>
      <c r="T620" s="73"/>
      <c r="U620" s="73"/>
      <c r="V620" s="73"/>
      <c r="W620" s="73"/>
      <c r="X620" s="73"/>
      <c r="Y620" s="73"/>
      <c r="Z620" s="73"/>
    </row>
    <row r="621">
      <c r="A621" s="73"/>
      <c r="B621" s="73"/>
      <c r="C621" s="73"/>
      <c r="D621" s="73"/>
      <c r="E621" s="73"/>
      <c r="F621" s="73"/>
      <c r="G621" s="73"/>
      <c r="H621" s="73"/>
      <c r="I621" s="73"/>
      <c r="J621" s="73"/>
      <c r="K621" s="73"/>
      <c r="L621" s="73"/>
      <c r="M621" s="73"/>
      <c r="N621" s="73"/>
      <c r="O621" s="73"/>
      <c r="P621" s="73"/>
      <c r="Q621" s="73"/>
      <c r="R621" s="73"/>
      <c r="S621" s="73"/>
      <c r="T621" s="73"/>
      <c r="U621" s="73"/>
      <c r="V621" s="73"/>
      <c r="W621" s="73"/>
      <c r="X621" s="73"/>
      <c r="Y621" s="73"/>
      <c r="Z621" s="73"/>
    </row>
    <row r="622">
      <c r="A622" s="73"/>
      <c r="B622" s="73"/>
      <c r="C622" s="73"/>
      <c r="D622" s="73"/>
      <c r="E622" s="73"/>
      <c r="F622" s="73"/>
      <c r="G622" s="73"/>
      <c r="H622" s="73"/>
      <c r="I622" s="73"/>
      <c r="J622" s="73"/>
      <c r="K622" s="73"/>
      <c r="L622" s="73"/>
      <c r="M622" s="73"/>
      <c r="N622" s="73"/>
      <c r="O622" s="73"/>
      <c r="P622" s="73"/>
      <c r="Q622" s="73"/>
      <c r="R622" s="73"/>
      <c r="S622" s="73"/>
      <c r="T622" s="73"/>
      <c r="U622" s="73"/>
      <c r="V622" s="73"/>
      <c r="W622" s="73"/>
      <c r="X622" s="73"/>
      <c r="Y622" s="73"/>
      <c r="Z622" s="73"/>
    </row>
    <row r="623">
      <c r="A623" s="73"/>
      <c r="B623" s="73"/>
      <c r="C623" s="73"/>
      <c r="D623" s="73"/>
      <c r="E623" s="73"/>
      <c r="F623" s="73"/>
      <c r="G623" s="73"/>
      <c r="H623" s="73"/>
      <c r="I623" s="73"/>
      <c r="J623" s="73"/>
      <c r="K623" s="73"/>
      <c r="L623" s="73"/>
      <c r="M623" s="73"/>
      <c r="N623" s="73"/>
      <c r="O623" s="73"/>
      <c r="P623" s="73"/>
      <c r="Q623" s="73"/>
      <c r="R623" s="73"/>
      <c r="S623" s="73"/>
      <c r="T623" s="73"/>
      <c r="U623" s="73"/>
      <c r="V623" s="73"/>
      <c r="W623" s="73"/>
      <c r="X623" s="73"/>
      <c r="Y623" s="73"/>
      <c r="Z623" s="73"/>
    </row>
    <row r="624">
      <c r="A624" s="73"/>
      <c r="B624" s="73"/>
      <c r="C624" s="73"/>
      <c r="D624" s="73"/>
      <c r="E624" s="73"/>
      <c r="F624" s="73"/>
      <c r="G624" s="73"/>
      <c r="H624" s="73"/>
      <c r="I624" s="73"/>
      <c r="J624" s="73"/>
      <c r="K624" s="73"/>
      <c r="L624" s="73"/>
      <c r="M624" s="73"/>
      <c r="N624" s="73"/>
      <c r="O624" s="73"/>
      <c r="P624" s="73"/>
      <c r="Q624" s="73"/>
      <c r="R624" s="73"/>
      <c r="S624" s="73"/>
      <c r="T624" s="73"/>
      <c r="U624" s="73"/>
      <c r="V624" s="73"/>
      <c r="W624" s="73"/>
      <c r="X624" s="73"/>
      <c r="Y624" s="73"/>
      <c r="Z624" s="73"/>
    </row>
    <row r="625">
      <c r="A625" s="73"/>
      <c r="B625" s="73"/>
      <c r="C625" s="73"/>
      <c r="D625" s="73"/>
      <c r="E625" s="73"/>
      <c r="F625" s="73"/>
      <c r="G625" s="73"/>
      <c r="H625" s="73"/>
      <c r="I625" s="73"/>
      <c r="J625" s="73"/>
      <c r="K625" s="73"/>
      <c r="L625" s="73"/>
      <c r="M625" s="73"/>
      <c r="N625" s="73"/>
      <c r="O625" s="73"/>
      <c r="P625" s="73"/>
      <c r="Q625" s="73"/>
      <c r="R625" s="73"/>
      <c r="S625" s="73"/>
      <c r="T625" s="73"/>
      <c r="U625" s="73"/>
      <c r="V625" s="73"/>
      <c r="W625" s="73"/>
      <c r="X625" s="73"/>
      <c r="Y625" s="73"/>
      <c r="Z625" s="73"/>
    </row>
    <row r="626">
      <c r="A626" s="73"/>
      <c r="B626" s="73"/>
      <c r="C626" s="73"/>
      <c r="D626" s="73"/>
      <c r="E626" s="73"/>
      <c r="F626" s="73"/>
      <c r="G626" s="73"/>
      <c r="H626" s="73"/>
      <c r="I626" s="73"/>
      <c r="J626" s="73"/>
      <c r="K626" s="73"/>
      <c r="L626" s="73"/>
      <c r="M626" s="73"/>
      <c r="N626" s="73"/>
      <c r="O626" s="73"/>
      <c r="P626" s="73"/>
      <c r="Q626" s="73"/>
      <c r="R626" s="73"/>
      <c r="S626" s="73"/>
      <c r="T626" s="73"/>
      <c r="U626" s="73"/>
      <c r="V626" s="73"/>
      <c r="W626" s="73"/>
      <c r="X626" s="73"/>
      <c r="Y626" s="73"/>
      <c r="Z626" s="73"/>
    </row>
    <row r="627">
      <c r="A627" s="73"/>
      <c r="B627" s="73"/>
      <c r="C627" s="73"/>
      <c r="D627" s="73"/>
      <c r="E627" s="73"/>
      <c r="F627" s="73"/>
      <c r="G627" s="73"/>
      <c r="H627" s="73"/>
      <c r="I627" s="73"/>
      <c r="J627" s="73"/>
      <c r="K627" s="73"/>
      <c r="L627" s="73"/>
      <c r="M627" s="73"/>
      <c r="N627" s="73"/>
      <c r="O627" s="73"/>
      <c r="P627" s="73"/>
      <c r="Q627" s="73"/>
      <c r="R627" s="73"/>
      <c r="S627" s="73"/>
      <c r="T627" s="73"/>
      <c r="U627" s="73"/>
      <c r="V627" s="73"/>
      <c r="W627" s="73"/>
      <c r="X627" s="73"/>
      <c r="Y627" s="73"/>
      <c r="Z627" s="73"/>
    </row>
    <row r="628">
      <c r="A628" s="73"/>
      <c r="B628" s="73"/>
      <c r="C628" s="73"/>
      <c r="D628" s="73"/>
      <c r="E628" s="73"/>
      <c r="F628" s="73"/>
      <c r="G628" s="73"/>
      <c r="H628" s="73"/>
      <c r="I628" s="73"/>
      <c r="J628" s="73"/>
      <c r="K628" s="73"/>
      <c r="L628" s="73"/>
      <c r="M628" s="73"/>
      <c r="N628" s="73"/>
      <c r="O628" s="73"/>
      <c r="P628" s="73"/>
      <c r="Q628" s="73"/>
      <c r="R628" s="73"/>
      <c r="S628" s="73"/>
      <c r="T628" s="73"/>
      <c r="U628" s="73"/>
      <c r="V628" s="73"/>
      <c r="W628" s="73"/>
      <c r="X628" s="73"/>
      <c r="Y628" s="73"/>
      <c r="Z628" s="73"/>
    </row>
    <row r="629">
      <c r="A629" s="73"/>
      <c r="B629" s="73"/>
      <c r="C629" s="73"/>
      <c r="D629" s="73"/>
      <c r="E629" s="73"/>
      <c r="F629" s="73"/>
      <c r="G629" s="73"/>
      <c r="H629" s="73"/>
      <c r="I629" s="73"/>
      <c r="J629" s="73"/>
      <c r="K629" s="73"/>
      <c r="L629" s="73"/>
      <c r="M629" s="73"/>
      <c r="N629" s="73"/>
      <c r="O629" s="73"/>
      <c r="P629" s="73"/>
      <c r="Q629" s="73"/>
      <c r="R629" s="73"/>
      <c r="S629" s="73"/>
      <c r="T629" s="73"/>
      <c r="U629" s="73"/>
      <c r="V629" s="73"/>
      <c r="W629" s="73"/>
      <c r="X629" s="73"/>
      <c r="Y629" s="73"/>
      <c r="Z629" s="73"/>
    </row>
    <row r="630">
      <c r="A630" s="73"/>
      <c r="B630" s="73"/>
      <c r="C630" s="73"/>
      <c r="D630" s="73"/>
      <c r="E630" s="73"/>
      <c r="F630" s="73"/>
      <c r="G630" s="73"/>
      <c r="H630" s="73"/>
      <c r="I630" s="73"/>
      <c r="J630" s="73"/>
      <c r="K630" s="73"/>
      <c r="L630" s="73"/>
      <c r="M630" s="73"/>
      <c r="N630" s="73"/>
      <c r="O630" s="73"/>
      <c r="P630" s="73"/>
      <c r="Q630" s="73"/>
      <c r="R630" s="73"/>
      <c r="S630" s="73"/>
      <c r="T630" s="73"/>
      <c r="U630" s="73"/>
      <c r="V630" s="73"/>
      <c r="W630" s="73"/>
      <c r="X630" s="73"/>
      <c r="Y630" s="73"/>
      <c r="Z630" s="73"/>
    </row>
    <row r="631">
      <c r="A631" s="73"/>
      <c r="B631" s="73"/>
      <c r="C631" s="73"/>
      <c r="D631" s="73"/>
      <c r="E631" s="73"/>
      <c r="F631" s="73"/>
      <c r="G631" s="73"/>
      <c r="H631" s="73"/>
      <c r="I631" s="73"/>
      <c r="J631" s="73"/>
      <c r="K631" s="73"/>
      <c r="L631" s="73"/>
      <c r="M631" s="73"/>
      <c r="N631" s="73"/>
      <c r="O631" s="73"/>
      <c r="P631" s="73"/>
      <c r="Q631" s="73"/>
      <c r="R631" s="73"/>
      <c r="S631" s="73"/>
      <c r="T631" s="73"/>
      <c r="U631" s="73"/>
      <c r="V631" s="73"/>
      <c r="W631" s="73"/>
      <c r="X631" s="73"/>
      <c r="Y631" s="73"/>
      <c r="Z631" s="73"/>
    </row>
    <row r="632">
      <c r="A632" s="73"/>
      <c r="B632" s="73"/>
      <c r="C632" s="73"/>
      <c r="D632" s="73"/>
      <c r="E632" s="73"/>
      <c r="F632" s="73"/>
      <c r="G632" s="73"/>
      <c r="H632" s="73"/>
      <c r="I632" s="73"/>
      <c r="J632" s="73"/>
      <c r="K632" s="73"/>
      <c r="L632" s="73"/>
      <c r="M632" s="73"/>
      <c r="N632" s="73"/>
      <c r="O632" s="73"/>
      <c r="P632" s="73"/>
      <c r="Q632" s="73"/>
      <c r="R632" s="73"/>
      <c r="S632" s="73"/>
      <c r="T632" s="73"/>
      <c r="U632" s="73"/>
      <c r="V632" s="73"/>
      <c r="W632" s="73"/>
      <c r="X632" s="73"/>
      <c r="Y632" s="73"/>
      <c r="Z632" s="73"/>
    </row>
    <row r="633">
      <c r="A633" s="73"/>
      <c r="B633" s="73"/>
      <c r="C633" s="73"/>
      <c r="D633" s="73"/>
      <c r="E633" s="73"/>
      <c r="F633" s="73"/>
      <c r="G633" s="73"/>
      <c r="H633" s="73"/>
      <c r="I633" s="73"/>
      <c r="J633" s="73"/>
      <c r="K633" s="73"/>
      <c r="L633" s="73"/>
      <c r="M633" s="73"/>
      <c r="N633" s="73"/>
      <c r="O633" s="73"/>
      <c r="P633" s="73"/>
      <c r="Q633" s="73"/>
      <c r="R633" s="73"/>
      <c r="S633" s="73"/>
      <c r="T633" s="73"/>
      <c r="U633" s="73"/>
      <c r="V633" s="73"/>
      <c r="W633" s="73"/>
      <c r="X633" s="73"/>
      <c r="Y633" s="73"/>
      <c r="Z633" s="73"/>
    </row>
    <row r="634">
      <c r="A634" s="73"/>
      <c r="B634" s="73"/>
      <c r="C634" s="73"/>
      <c r="D634" s="73"/>
      <c r="E634" s="73"/>
      <c r="F634" s="73"/>
      <c r="G634" s="73"/>
      <c r="H634" s="73"/>
      <c r="I634" s="73"/>
      <c r="J634" s="73"/>
      <c r="K634" s="73"/>
      <c r="L634" s="73"/>
      <c r="M634" s="73"/>
      <c r="N634" s="73"/>
      <c r="O634" s="73"/>
      <c r="P634" s="73"/>
      <c r="Q634" s="73"/>
      <c r="R634" s="73"/>
      <c r="S634" s="73"/>
      <c r="T634" s="73"/>
      <c r="U634" s="73"/>
      <c r="V634" s="73"/>
      <c r="W634" s="73"/>
      <c r="X634" s="73"/>
      <c r="Y634" s="73"/>
      <c r="Z634" s="73"/>
    </row>
    <row r="635">
      <c r="A635" s="73"/>
      <c r="B635" s="73"/>
      <c r="C635" s="73"/>
      <c r="D635" s="73"/>
      <c r="E635" s="73"/>
      <c r="F635" s="73"/>
      <c r="G635" s="73"/>
      <c r="H635" s="73"/>
      <c r="I635" s="73"/>
      <c r="J635" s="73"/>
      <c r="K635" s="73"/>
      <c r="L635" s="73"/>
      <c r="M635" s="73"/>
      <c r="N635" s="73"/>
      <c r="O635" s="73"/>
      <c r="P635" s="73"/>
      <c r="Q635" s="73"/>
      <c r="R635" s="73"/>
      <c r="S635" s="73"/>
      <c r="T635" s="73"/>
      <c r="U635" s="73"/>
      <c r="V635" s="73"/>
      <c r="W635" s="73"/>
      <c r="X635" s="73"/>
      <c r="Y635" s="73"/>
      <c r="Z635" s="73"/>
    </row>
    <row r="636">
      <c r="A636" s="73"/>
      <c r="B636" s="73"/>
      <c r="C636" s="73"/>
      <c r="D636" s="73"/>
      <c r="E636" s="73"/>
      <c r="F636" s="73"/>
      <c r="G636" s="73"/>
      <c r="H636" s="73"/>
      <c r="I636" s="73"/>
      <c r="J636" s="73"/>
      <c r="K636" s="73"/>
      <c r="L636" s="73"/>
      <c r="M636" s="73"/>
      <c r="N636" s="73"/>
      <c r="O636" s="73"/>
      <c r="P636" s="73"/>
      <c r="Q636" s="73"/>
      <c r="R636" s="73"/>
      <c r="S636" s="73"/>
      <c r="T636" s="73"/>
      <c r="U636" s="73"/>
      <c r="V636" s="73"/>
      <c r="W636" s="73"/>
      <c r="X636" s="73"/>
      <c r="Y636" s="73"/>
      <c r="Z636" s="73"/>
    </row>
    <row r="637">
      <c r="A637" s="73"/>
      <c r="B637" s="73"/>
      <c r="C637" s="73"/>
      <c r="D637" s="73"/>
      <c r="E637" s="73"/>
      <c r="F637" s="73"/>
      <c r="G637" s="73"/>
      <c r="H637" s="73"/>
      <c r="I637" s="73"/>
      <c r="J637" s="73"/>
      <c r="K637" s="73"/>
      <c r="L637" s="73"/>
      <c r="M637" s="73"/>
      <c r="N637" s="73"/>
      <c r="O637" s="73"/>
      <c r="P637" s="73"/>
      <c r="Q637" s="73"/>
      <c r="R637" s="73"/>
      <c r="S637" s="73"/>
      <c r="T637" s="73"/>
      <c r="U637" s="73"/>
      <c r="V637" s="73"/>
      <c r="W637" s="73"/>
      <c r="X637" s="73"/>
      <c r="Y637" s="73"/>
      <c r="Z637" s="73"/>
    </row>
    <row r="638">
      <c r="A638" s="73"/>
      <c r="B638" s="73"/>
      <c r="C638" s="73"/>
      <c r="D638" s="73"/>
      <c r="E638" s="73"/>
      <c r="F638" s="73"/>
      <c r="G638" s="73"/>
      <c r="H638" s="73"/>
      <c r="I638" s="73"/>
      <c r="J638" s="73"/>
      <c r="K638" s="73"/>
      <c r="L638" s="73"/>
      <c r="M638" s="73"/>
      <c r="N638" s="73"/>
      <c r="O638" s="73"/>
      <c r="P638" s="73"/>
      <c r="Q638" s="73"/>
      <c r="R638" s="73"/>
      <c r="S638" s="73"/>
      <c r="T638" s="73"/>
      <c r="U638" s="73"/>
      <c r="V638" s="73"/>
      <c r="W638" s="73"/>
      <c r="X638" s="73"/>
      <c r="Y638" s="73"/>
      <c r="Z638" s="73"/>
    </row>
    <row r="639">
      <c r="A639" s="73"/>
      <c r="B639" s="73"/>
      <c r="C639" s="73"/>
      <c r="D639" s="73"/>
      <c r="E639" s="73"/>
      <c r="F639" s="73"/>
      <c r="G639" s="73"/>
      <c r="H639" s="73"/>
      <c r="I639" s="73"/>
      <c r="J639" s="73"/>
      <c r="K639" s="73"/>
      <c r="L639" s="73"/>
      <c r="M639" s="73"/>
      <c r="N639" s="73"/>
      <c r="O639" s="73"/>
      <c r="P639" s="73"/>
      <c r="Q639" s="73"/>
      <c r="R639" s="73"/>
      <c r="S639" s="73"/>
      <c r="T639" s="73"/>
      <c r="U639" s="73"/>
      <c r="V639" s="73"/>
      <c r="W639" s="73"/>
      <c r="X639" s="73"/>
      <c r="Y639" s="73"/>
      <c r="Z639" s="73"/>
    </row>
    <row r="640">
      <c r="A640" s="73"/>
      <c r="B640" s="73"/>
      <c r="C640" s="73"/>
      <c r="D640" s="73"/>
      <c r="E640" s="73"/>
      <c r="F640" s="73"/>
      <c r="G640" s="73"/>
      <c r="H640" s="73"/>
      <c r="I640" s="73"/>
      <c r="J640" s="73"/>
      <c r="K640" s="73"/>
      <c r="L640" s="73"/>
      <c r="M640" s="73"/>
      <c r="N640" s="73"/>
      <c r="O640" s="73"/>
      <c r="P640" s="73"/>
      <c r="Q640" s="73"/>
      <c r="R640" s="73"/>
      <c r="S640" s="73"/>
      <c r="T640" s="73"/>
      <c r="U640" s="73"/>
      <c r="V640" s="73"/>
      <c r="W640" s="73"/>
      <c r="X640" s="73"/>
      <c r="Y640" s="73"/>
      <c r="Z640" s="73"/>
    </row>
    <row r="641">
      <c r="A641" s="73"/>
      <c r="B641" s="73"/>
      <c r="C641" s="73"/>
      <c r="D641" s="73"/>
      <c r="E641" s="73"/>
      <c r="F641" s="73"/>
      <c r="G641" s="73"/>
      <c r="H641" s="73"/>
      <c r="I641" s="73"/>
      <c r="J641" s="73"/>
      <c r="K641" s="73"/>
      <c r="L641" s="73"/>
      <c r="M641" s="73"/>
      <c r="N641" s="73"/>
      <c r="O641" s="73"/>
      <c r="P641" s="73"/>
      <c r="Q641" s="73"/>
      <c r="R641" s="73"/>
      <c r="S641" s="73"/>
      <c r="T641" s="73"/>
      <c r="U641" s="73"/>
      <c r="V641" s="73"/>
      <c r="W641" s="73"/>
      <c r="X641" s="73"/>
      <c r="Y641" s="73"/>
      <c r="Z641" s="73"/>
    </row>
    <row r="642">
      <c r="A642" s="73"/>
      <c r="B642" s="73"/>
      <c r="C642" s="73"/>
      <c r="D642" s="73"/>
      <c r="E642" s="73"/>
      <c r="F642" s="73"/>
      <c r="G642" s="73"/>
      <c r="H642" s="73"/>
      <c r="I642" s="73"/>
      <c r="J642" s="73"/>
      <c r="K642" s="73"/>
      <c r="L642" s="73"/>
      <c r="M642" s="73"/>
      <c r="N642" s="73"/>
      <c r="O642" s="73"/>
      <c r="P642" s="73"/>
      <c r="Q642" s="73"/>
      <c r="R642" s="73"/>
      <c r="S642" s="73"/>
      <c r="T642" s="73"/>
      <c r="U642" s="73"/>
      <c r="V642" s="73"/>
      <c r="W642" s="73"/>
      <c r="X642" s="73"/>
      <c r="Y642" s="73"/>
      <c r="Z642" s="73"/>
    </row>
    <row r="643">
      <c r="A643" s="73"/>
      <c r="B643" s="73"/>
      <c r="C643" s="73"/>
      <c r="D643" s="73"/>
      <c r="E643" s="73"/>
      <c r="F643" s="73"/>
      <c r="G643" s="73"/>
      <c r="H643" s="73"/>
      <c r="I643" s="73"/>
      <c r="J643" s="73"/>
      <c r="K643" s="73"/>
      <c r="L643" s="73"/>
      <c r="M643" s="73"/>
      <c r="N643" s="73"/>
      <c r="O643" s="73"/>
      <c r="P643" s="73"/>
      <c r="Q643" s="73"/>
      <c r="R643" s="73"/>
      <c r="S643" s="73"/>
      <c r="T643" s="73"/>
      <c r="U643" s="73"/>
      <c r="V643" s="73"/>
      <c r="W643" s="73"/>
      <c r="X643" s="73"/>
      <c r="Y643" s="73"/>
      <c r="Z643" s="73"/>
    </row>
    <row r="644">
      <c r="A644" s="73"/>
      <c r="B644" s="73"/>
      <c r="C644" s="73"/>
      <c r="D644" s="73"/>
      <c r="E644" s="73"/>
      <c r="F644" s="73"/>
      <c r="G644" s="73"/>
      <c r="H644" s="73"/>
      <c r="I644" s="73"/>
      <c r="J644" s="73"/>
      <c r="K644" s="73"/>
      <c r="L644" s="73"/>
      <c r="M644" s="73"/>
      <c r="N644" s="73"/>
      <c r="O644" s="73"/>
      <c r="P644" s="73"/>
      <c r="Q644" s="73"/>
      <c r="R644" s="73"/>
      <c r="S644" s="73"/>
      <c r="T644" s="73"/>
      <c r="U644" s="73"/>
      <c r="V644" s="73"/>
      <c r="W644" s="73"/>
      <c r="X644" s="73"/>
      <c r="Y644" s="73"/>
      <c r="Z644" s="73"/>
    </row>
    <row r="645">
      <c r="A645" s="73"/>
      <c r="B645" s="73"/>
      <c r="C645" s="73"/>
      <c r="D645" s="73"/>
      <c r="E645" s="73"/>
      <c r="F645" s="73"/>
      <c r="G645" s="73"/>
      <c r="H645" s="73"/>
      <c r="I645" s="73"/>
      <c r="J645" s="73"/>
      <c r="K645" s="73"/>
      <c r="L645" s="73"/>
      <c r="M645" s="73"/>
      <c r="N645" s="73"/>
      <c r="O645" s="73"/>
      <c r="P645" s="73"/>
      <c r="Q645" s="73"/>
      <c r="R645" s="73"/>
      <c r="S645" s="73"/>
      <c r="T645" s="73"/>
      <c r="U645" s="73"/>
      <c r="V645" s="73"/>
      <c r="W645" s="73"/>
      <c r="X645" s="73"/>
      <c r="Y645" s="73"/>
      <c r="Z645" s="73"/>
    </row>
    <row r="646">
      <c r="A646" s="73"/>
      <c r="B646" s="73"/>
      <c r="C646" s="73"/>
      <c r="D646" s="73"/>
      <c r="E646" s="73"/>
      <c r="F646" s="73"/>
      <c r="G646" s="73"/>
      <c r="H646" s="73"/>
      <c r="I646" s="73"/>
      <c r="J646" s="73"/>
      <c r="K646" s="73"/>
      <c r="L646" s="73"/>
      <c r="M646" s="73"/>
      <c r="N646" s="73"/>
      <c r="O646" s="73"/>
      <c r="P646" s="73"/>
      <c r="Q646" s="73"/>
      <c r="R646" s="73"/>
      <c r="S646" s="73"/>
      <c r="T646" s="73"/>
      <c r="U646" s="73"/>
      <c r="V646" s="73"/>
      <c r="W646" s="73"/>
      <c r="X646" s="73"/>
      <c r="Y646" s="73"/>
      <c r="Z646" s="73"/>
    </row>
    <row r="647">
      <c r="A647" s="73"/>
      <c r="B647" s="73"/>
      <c r="C647" s="73"/>
      <c r="D647" s="73"/>
      <c r="E647" s="73"/>
      <c r="F647" s="73"/>
      <c r="G647" s="73"/>
      <c r="H647" s="73"/>
      <c r="I647" s="73"/>
      <c r="J647" s="73"/>
      <c r="K647" s="73"/>
      <c r="L647" s="73"/>
      <c r="M647" s="73"/>
      <c r="N647" s="73"/>
      <c r="O647" s="73"/>
      <c r="P647" s="73"/>
      <c r="Q647" s="73"/>
      <c r="R647" s="73"/>
      <c r="S647" s="73"/>
      <c r="T647" s="73"/>
      <c r="U647" s="73"/>
      <c r="V647" s="73"/>
      <c r="W647" s="73"/>
      <c r="X647" s="73"/>
      <c r="Y647" s="73"/>
      <c r="Z647" s="73"/>
    </row>
    <row r="648">
      <c r="A648" s="73"/>
      <c r="B648" s="73"/>
      <c r="C648" s="73"/>
      <c r="D648" s="73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73"/>
      <c r="V648" s="73"/>
      <c r="W648" s="73"/>
      <c r="X648" s="73"/>
      <c r="Y648" s="73"/>
      <c r="Z648" s="73"/>
    </row>
    <row r="649">
      <c r="A649" s="73"/>
      <c r="B649" s="73"/>
      <c r="C649" s="73"/>
      <c r="D649" s="73"/>
      <c r="E649" s="73"/>
      <c r="F649" s="73"/>
      <c r="G649" s="73"/>
      <c r="H649" s="73"/>
      <c r="I649" s="73"/>
      <c r="J649" s="73"/>
      <c r="K649" s="73"/>
      <c r="L649" s="73"/>
      <c r="M649" s="73"/>
      <c r="N649" s="73"/>
      <c r="O649" s="73"/>
      <c r="P649" s="73"/>
      <c r="Q649" s="73"/>
      <c r="R649" s="73"/>
      <c r="S649" s="73"/>
      <c r="T649" s="73"/>
      <c r="U649" s="73"/>
      <c r="V649" s="73"/>
      <c r="W649" s="73"/>
      <c r="X649" s="73"/>
      <c r="Y649" s="73"/>
      <c r="Z649" s="73"/>
    </row>
    <row r="650">
      <c r="A650" s="73"/>
      <c r="B650" s="73"/>
      <c r="C650" s="73"/>
      <c r="D650" s="73"/>
      <c r="E650" s="73"/>
      <c r="F650" s="73"/>
      <c r="G650" s="73"/>
      <c r="H650" s="73"/>
      <c r="I650" s="73"/>
      <c r="J650" s="73"/>
      <c r="K650" s="73"/>
      <c r="L650" s="73"/>
      <c r="M650" s="73"/>
      <c r="N650" s="73"/>
      <c r="O650" s="73"/>
      <c r="P650" s="73"/>
      <c r="Q650" s="73"/>
      <c r="R650" s="73"/>
      <c r="S650" s="73"/>
      <c r="T650" s="73"/>
      <c r="U650" s="73"/>
      <c r="V650" s="73"/>
      <c r="W650" s="73"/>
      <c r="X650" s="73"/>
      <c r="Y650" s="73"/>
      <c r="Z650" s="73"/>
    </row>
    <row r="651">
      <c r="A651" s="73"/>
      <c r="B651" s="73"/>
      <c r="C651" s="73"/>
      <c r="D651" s="73"/>
      <c r="E651" s="73"/>
      <c r="F651" s="73"/>
      <c r="G651" s="73"/>
      <c r="H651" s="73"/>
      <c r="I651" s="73"/>
      <c r="J651" s="73"/>
      <c r="K651" s="73"/>
      <c r="L651" s="73"/>
      <c r="M651" s="73"/>
      <c r="N651" s="73"/>
      <c r="O651" s="73"/>
      <c r="P651" s="73"/>
      <c r="Q651" s="73"/>
      <c r="R651" s="73"/>
      <c r="S651" s="73"/>
      <c r="T651" s="73"/>
      <c r="U651" s="73"/>
      <c r="V651" s="73"/>
      <c r="W651" s="73"/>
      <c r="X651" s="73"/>
      <c r="Y651" s="73"/>
      <c r="Z651" s="73"/>
    </row>
    <row r="652">
      <c r="A652" s="73"/>
      <c r="B652" s="73"/>
      <c r="C652" s="73"/>
      <c r="D652" s="73"/>
      <c r="E652" s="73"/>
      <c r="F652" s="73"/>
      <c r="G652" s="73"/>
      <c r="H652" s="73"/>
      <c r="I652" s="73"/>
      <c r="J652" s="73"/>
      <c r="K652" s="73"/>
      <c r="L652" s="73"/>
      <c r="M652" s="73"/>
      <c r="N652" s="73"/>
      <c r="O652" s="73"/>
      <c r="P652" s="73"/>
      <c r="Q652" s="73"/>
      <c r="R652" s="73"/>
      <c r="S652" s="73"/>
      <c r="T652" s="73"/>
      <c r="U652" s="73"/>
      <c r="V652" s="73"/>
      <c r="W652" s="73"/>
      <c r="X652" s="73"/>
      <c r="Y652" s="73"/>
      <c r="Z652" s="73"/>
    </row>
    <row r="653">
      <c r="A653" s="73"/>
      <c r="B653" s="73"/>
      <c r="C653" s="73"/>
      <c r="D653" s="73"/>
      <c r="E653" s="73"/>
      <c r="F653" s="73"/>
      <c r="G653" s="73"/>
      <c r="H653" s="73"/>
      <c r="I653" s="73"/>
      <c r="J653" s="73"/>
      <c r="K653" s="73"/>
      <c r="L653" s="73"/>
      <c r="M653" s="73"/>
      <c r="N653" s="73"/>
      <c r="O653" s="73"/>
      <c r="P653" s="73"/>
      <c r="Q653" s="73"/>
      <c r="R653" s="73"/>
      <c r="S653" s="73"/>
      <c r="T653" s="73"/>
      <c r="U653" s="73"/>
      <c r="V653" s="73"/>
      <c r="W653" s="73"/>
      <c r="X653" s="73"/>
      <c r="Y653" s="73"/>
      <c r="Z653" s="73"/>
    </row>
    <row r="654">
      <c r="A654" s="73"/>
      <c r="B654" s="73"/>
      <c r="C654" s="73"/>
      <c r="D654" s="73"/>
      <c r="E654" s="73"/>
      <c r="F654" s="73"/>
      <c r="G654" s="73"/>
      <c r="H654" s="73"/>
      <c r="I654" s="73"/>
      <c r="J654" s="73"/>
      <c r="K654" s="73"/>
      <c r="L654" s="73"/>
      <c r="M654" s="73"/>
      <c r="N654" s="73"/>
      <c r="O654" s="73"/>
      <c r="P654" s="73"/>
      <c r="Q654" s="73"/>
      <c r="R654" s="73"/>
      <c r="S654" s="73"/>
      <c r="T654" s="73"/>
      <c r="U654" s="73"/>
      <c r="V654" s="73"/>
      <c r="W654" s="73"/>
      <c r="X654" s="73"/>
      <c r="Y654" s="73"/>
      <c r="Z654" s="73"/>
    </row>
    <row r="655">
      <c r="A655" s="73"/>
      <c r="B655" s="73"/>
      <c r="C655" s="73"/>
      <c r="D655" s="73"/>
      <c r="E655" s="73"/>
      <c r="F655" s="73"/>
      <c r="G655" s="73"/>
      <c r="H655" s="73"/>
      <c r="I655" s="73"/>
      <c r="J655" s="73"/>
      <c r="K655" s="73"/>
      <c r="L655" s="73"/>
      <c r="M655" s="73"/>
      <c r="N655" s="73"/>
      <c r="O655" s="73"/>
      <c r="P655" s="73"/>
      <c r="Q655" s="73"/>
      <c r="R655" s="73"/>
      <c r="S655" s="73"/>
      <c r="T655" s="73"/>
      <c r="U655" s="73"/>
      <c r="V655" s="73"/>
      <c r="W655" s="73"/>
      <c r="X655" s="73"/>
      <c r="Y655" s="73"/>
      <c r="Z655" s="73"/>
    </row>
    <row r="656">
      <c r="A656" s="73"/>
      <c r="B656" s="73"/>
      <c r="C656" s="73"/>
      <c r="D656" s="73"/>
      <c r="E656" s="73"/>
      <c r="F656" s="73"/>
      <c r="G656" s="73"/>
      <c r="H656" s="73"/>
      <c r="I656" s="73"/>
      <c r="J656" s="73"/>
      <c r="K656" s="73"/>
      <c r="L656" s="73"/>
      <c r="M656" s="73"/>
      <c r="N656" s="73"/>
      <c r="O656" s="73"/>
      <c r="P656" s="73"/>
      <c r="Q656" s="73"/>
      <c r="R656" s="73"/>
      <c r="S656" s="73"/>
      <c r="T656" s="73"/>
      <c r="U656" s="73"/>
      <c r="V656" s="73"/>
      <c r="W656" s="73"/>
      <c r="X656" s="73"/>
      <c r="Y656" s="73"/>
      <c r="Z656" s="73"/>
    </row>
    <row r="657">
      <c r="A657" s="73"/>
      <c r="B657" s="73"/>
      <c r="C657" s="73"/>
      <c r="D657" s="73"/>
      <c r="E657" s="73"/>
      <c r="F657" s="73"/>
      <c r="G657" s="73"/>
      <c r="H657" s="73"/>
      <c r="I657" s="73"/>
      <c r="J657" s="73"/>
      <c r="K657" s="73"/>
      <c r="L657" s="73"/>
      <c r="M657" s="73"/>
      <c r="N657" s="73"/>
      <c r="O657" s="73"/>
      <c r="P657" s="73"/>
      <c r="Q657" s="73"/>
      <c r="R657" s="73"/>
      <c r="S657" s="73"/>
      <c r="T657" s="73"/>
      <c r="U657" s="73"/>
      <c r="V657" s="73"/>
      <c r="W657" s="73"/>
      <c r="X657" s="73"/>
      <c r="Y657" s="73"/>
      <c r="Z657" s="73"/>
    </row>
    <row r="658">
      <c r="A658" s="73"/>
      <c r="B658" s="73"/>
      <c r="C658" s="73"/>
      <c r="D658" s="73"/>
      <c r="E658" s="73"/>
      <c r="F658" s="73"/>
      <c r="G658" s="73"/>
      <c r="H658" s="73"/>
      <c r="I658" s="73"/>
      <c r="J658" s="73"/>
      <c r="K658" s="73"/>
      <c r="L658" s="73"/>
      <c r="M658" s="73"/>
      <c r="N658" s="73"/>
      <c r="O658" s="73"/>
      <c r="P658" s="73"/>
      <c r="Q658" s="73"/>
      <c r="R658" s="73"/>
      <c r="S658" s="73"/>
      <c r="T658" s="73"/>
      <c r="U658" s="73"/>
      <c r="V658" s="73"/>
      <c r="W658" s="73"/>
      <c r="X658" s="73"/>
      <c r="Y658" s="73"/>
      <c r="Z658" s="73"/>
    </row>
    <row r="659">
      <c r="A659" s="73"/>
      <c r="B659" s="73"/>
      <c r="C659" s="73"/>
      <c r="D659" s="73"/>
      <c r="E659" s="73"/>
      <c r="F659" s="73"/>
      <c r="G659" s="73"/>
      <c r="H659" s="73"/>
      <c r="I659" s="73"/>
      <c r="J659" s="73"/>
      <c r="K659" s="73"/>
      <c r="L659" s="73"/>
      <c r="M659" s="73"/>
      <c r="N659" s="73"/>
      <c r="O659" s="73"/>
      <c r="P659" s="73"/>
      <c r="Q659" s="73"/>
      <c r="R659" s="73"/>
      <c r="S659" s="73"/>
      <c r="T659" s="73"/>
      <c r="U659" s="73"/>
      <c r="V659" s="73"/>
      <c r="W659" s="73"/>
      <c r="X659" s="73"/>
      <c r="Y659" s="73"/>
      <c r="Z659" s="73"/>
    </row>
    <row r="660">
      <c r="A660" s="73"/>
      <c r="B660" s="73"/>
      <c r="C660" s="73"/>
      <c r="D660" s="73"/>
      <c r="E660" s="73"/>
      <c r="F660" s="73"/>
      <c r="G660" s="73"/>
      <c r="H660" s="73"/>
      <c r="I660" s="73"/>
      <c r="J660" s="73"/>
      <c r="K660" s="73"/>
      <c r="L660" s="73"/>
      <c r="M660" s="73"/>
      <c r="N660" s="73"/>
      <c r="O660" s="73"/>
      <c r="P660" s="73"/>
      <c r="Q660" s="73"/>
      <c r="R660" s="73"/>
      <c r="S660" s="73"/>
      <c r="T660" s="73"/>
      <c r="U660" s="73"/>
      <c r="V660" s="73"/>
      <c r="W660" s="73"/>
      <c r="X660" s="73"/>
      <c r="Y660" s="73"/>
      <c r="Z660" s="73"/>
    </row>
    <row r="661">
      <c r="A661" s="73"/>
      <c r="B661" s="73"/>
      <c r="C661" s="73"/>
      <c r="D661" s="73"/>
      <c r="E661" s="73"/>
      <c r="F661" s="73"/>
      <c r="G661" s="73"/>
      <c r="H661" s="73"/>
      <c r="I661" s="73"/>
      <c r="J661" s="73"/>
      <c r="K661" s="73"/>
      <c r="L661" s="73"/>
      <c r="M661" s="73"/>
      <c r="N661" s="73"/>
      <c r="O661" s="73"/>
      <c r="P661" s="73"/>
      <c r="Q661" s="73"/>
      <c r="R661" s="73"/>
      <c r="S661" s="73"/>
      <c r="T661" s="73"/>
      <c r="U661" s="73"/>
      <c r="V661" s="73"/>
      <c r="W661" s="73"/>
      <c r="X661" s="73"/>
      <c r="Y661" s="73"/>
      <c r="Z661" s="73"/>
    </row>
    <row r="662">
      <c r="A662" s="73"/>
      <c r="B662" s="73"/>
      <c r="C662" s="73"/>
      <c r="D662" s="73"/>
      <c r="E662" s="73"/>
      <c r="F662" s="73"/>
      <c r="G662" s="73"/>
      <c r="H662" s="73"/>
      <c r="I662" s="73"/>
      <c r="J662" s="73"/>
      <c r="K662" s="73"/>
      <c r="L662" s="73"/>
      <c r="M662" s="73"/>
      <c r="N662" s="73"/>
      <c r="O662" s="73"/>
      <c r="P662" s="73"/>
      <c r="Q662" s="73"/>
      <c r="R662" s="73"/>
      <c r="S662" s="73"/>
      <c r="T662" s="73"/>
      <c r="U662" s="73"/>
      <c r="V662" s="73"/>
      <c r="W662" s="73"/>
      <c r="X662" s="73"/>
      <c r="Y662" s="73"/>
      <c r="Z662" s="73"/>
    </row>
    <row r="663">
      <c r="A663" s="73"/>
      <c r="B663" s="73"/>
      <c r="C663" s="73"/>
      <c r="D663" s="73"/>
      <c r="E663" s="73"/>
      <c r="F663" s="73"/>
      <c r="G663" s="73"/>
      <c r="H663" s="73"/>
      <c r="I663" s="73"/>
      <c r="J663" s="73"/>
      <c r="K663" s="73"/>
      <c r="L663" s="73"/>
      <c r="M663" s="73"/>
      <c r="N663" s="73"/>
      <c r="O663" s="73"/>
      <c r="P663" s="73"/>
      <c r="Q663" s="73"/>
      <c r="R663" s="73"/>
      <c r="S663" s="73"/>
      <c r="T663" s="73"/>
      <c r="U663" s="73"/>
      <c r="V663" s="73"/>
      <c r="W663" s="73"/>
      <c r="X663" s="73"/>
      <c r="Y663" s="73"/>
      <c r="Z663" s="73"/>
    </row>
    <row r="664">
      <c r="A664" s="73"/>
      <c r="B664" s="73"/>
      <c r="C664" s="73"/>
      <c r="D664" s="73"/>
      <c r="E664" s="73"/>
      <c r="F664" s="73"/>
      <c r="G664" s="73"/>
      <c r="H664" s="73"/>
      <c r="I664" s="73"/>
      <c r="J664" s="73"/>
      <c r="K664" s="73"/>
      <c r="L664" s="73"/>
      <c r="M664" s="73"/>
      <c r="N664" s="73"/>
      <c r="O664" s="73"/>
      <c r="P664" s="73"/>
      <c r="Q664" s="73"/>
      <c r="R664" s="73"/>
      <c r="S664" s="73"/>
      <c r="T664" s="73"/>
      <c r="U664" s="73"/>
      <c r="V664" s="73"/>
      <c r="W664" s="73"/>
      <c r="X664" s="73"/>
      <c r="Y664" s="73"/>
      <c r="Z664" s="73"/>
    </row>
    <row r="665">
      <c r="A665" s="73"/>
      <c r="B665" s="73"/>
      <c r="C665" s="73"/>
      <c r="D665" s="73"/>
      <c r="E665" s="73"/>
      <c r="F665" s="73"/>
      <c r="G665" s="73"/>
      <c r="H665" s="73"/>
      <c r="I665" s="73"/>
      <c r="J665" s="73"/>
      <c r="K665" s="73"/>
      <c r="L665" s="73"/>
      <c r="M665" s="73"/>
      <c r="N665" s="73"/>
      <c r="O665" s="73"/>
      <c r="P665" s="73"/>
      <c r="Q665" s="73"/>
      <c r="R665" s="73"/>
      <c r="S665" s="73"/>
      <c r="T665" s="73"/>
      <c r="U665" s="73"/>
      <c r="V665" s="73"/>
      <c r="W665" s="73"/>
      <c r="X665" s="73"/>
      <c r="Y665" s="73"/>
      <c r="Z665" s="73"/>
    </row>
    <row r="666">
      <c r="A666" s="73"/>
      <c r="B666" s="73"/>
      <c r="C666" s="73"/>
      <c r="D666" s="73"/>
      <c r="E666" s="73"/>
      <c r="F666" s="73"/>
      <c r="G666" s="73"/>
      <c r="H666" s="73"/>
      <c r="I666" s="73"/>
      <c r="J666" s="73"/>
      <c r="K666" s="73"/>
      <c r="L666" s="73"/>
      <c r="M666" s="73"/>
      <c r="N666" s="73"/>
      <c r="O666" s="73"/>
      <c r="P666" s="73"/>
      <c r="Q666" s="73"/>
      <c r="R666" s="73"/>
      <c r="S666" s="73"/>
      <c r="T666" s="73"/>
      <c r="U666" s="73"/>
      <c r="V666" s="73"/>
      <c r="W666" s="73"/>
      <c r="X666" s="73"/>
      <c r="Y666" s="73"/>
      <c r="Z666" s="73"/>
    </row>
    <row r="667">
      <c r="A667" s="73"/>
      <c r="B667" s="73"/>
      <c r="C667" s="73"/>
      <c r="D667" s="73"/>
      <c r="E667" s="73"/>
      <c r="F667" s="73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73"/>
      <c r="V667" s="73"/>
      <c r="W667" s="73"/>
      <c r="X667" s="73"/>
      <c r="Y667" s="73"/>
      <c r="Z667" s="73"/>
    </row>
    <row r="668">
      <c r="A668" s="73"/>
      <c r="B668" s="73"/>
      <c r="C668" s="73"/>
      <c r="D668" s="73"/>
      <c r="E668" s="73"/>
      <c r="F668" s="73"/>
      <c r="G668" s="73"/>
      <c r="H668" s="73"/>
      <c r="I668" s="73"/>
      <c r="J668" s="73"/>
      <c r="K668" s="73"/>
      <c r="L668" s="73"/>
      <c r="M668" s="73"/>
      <c r="N668" s="73"/>
      <c r="O668" s="73"/>
      <c r="P668" s="73"/>
      <c r="Q668" s="73"/>
      <c r="R668" s="73"/>
      <c r="S668" s="73"/>
      <c r="T668" s="73"/>
      <c r="U668" s="73"/>
      <c r="V668" s="73"/>
      <c r="W668" s="73"/>
      <c r="X668" s="73"/>
      <c r="Y668" s="73"/>
      <c r="Z668" s="73"/>
    </row>
    <row r="669">
      <c r="A669" s="73"/>
      <c r="B669" s="73"/>
      <c r="C669" s="73"/>
      <c r="D669" s="73"/>
      <c r="E669" s="73"/>
      <c r="F669" s="73"/>
      <c r="G669" s="73"/>
      <c r="H669" s="73"/>
      <c r="I669" s="73"/>
      <c r="J669" s="73"/>
      <c r="K669" s="73"/>
      <c r="L669" s="73"/>
      <c r="M669" s="73"/>
      <c r="N669" s="73"/>
      <c r="O669" s="73"/>
      <c r="P669" s="73"/>
      <c r="Q669" s="73"/>
      <c r="R669" s="73"/>
      <c r="S669" s="73"/>
      <c r="T669" s="73"/>
      <c r="U669" s="73"/>
      <c r="V669" s="73"/>
      <c r="W669" s="73"/>
      <c r="X669" s="73"/>
      <c r="Y669" s="73"/>
      <c r="Z669" s="73"/>
    </row>
    <row r="670">
      <c r="A670" s="73"/>
      <c r="B670" s="73"/>
      <c r="C670" s="73"/>
      <c r="D670" s="73"/>
      <c r="E670" s="73"/>
      <c r="F670" s="73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73"/>
      <c r="V670" s="73"/>
      <c r="W670" s="73"/>
      <c r="X670" s="73"/>
      <c r="Y670" s="73"/>
      <c r="Z670" s="73"/>
    </row>
    <row r="671">
      <c r="A671" s="73"/>
      <c r="B671" s="73"/>
      <c r="C671" s="73"/>
      <c r="D671" s="73"/>
      <c r="E671" s="73"/>
      <c r="F671" s="73"/>
      <c r="G671" s="73"/>
      <c r="H671" s="73"/>
      <c r="I671" s="73"/>
      <c r="J671" s="73"/>
      <c r="K671" s="73"/>
      <c r="L671" s="73"/>
      <c r="M671" s="73"/>
      <c r="N671" s="73"/>
      <c r="O671" s="73"/>
      <c r="P671" s="73"/>
      <c r="Q671" s="73"/>
      <c r="R671" s="73"/>
      <c r="S671" s="73"/>
      <c r="T671" s="73"/>
      <c r="U671" s="73"/>
      <c r="V671" s="73"/>
      <c r="W671" s="73"/>
      <c r="X671" s="73"/>
      <c r="Y671" s="73"/>
      <c r="Z671" s="73"/>
    </row>
    <row r="672">
      <c r="A672" s="73"/>
      <c r="B672" s="73"/>
      <c r="C672" s="73"/>
      <c r="D672" s="73"/>
      <c r="E672" s="73"/>
      <c r="F672" s="73"/>
      <c r="G672" s="73"/>
      <c r="H672" s="73"/>
      <c r="I672" s="73"/>
      <c r="J672" s="73"/>
      <c r="K672" s="73"/>
      <c r="L672" s="73"/>
      <c r="M672" s="73"/>
      <c r="N672" s="73"/>
      <c r="O672" s="73"/>
      <c r="P672" s="73"/>
      <c r="Q672" s="73"/>
      <c r="R672" s="73"/>
      <c r="S672" s="73"/>
      <c r="T672" s="73"/>
      <c r="U672" s="73"/>
      <c r="V672" s="73"/>
      <c r="W672" s="73"/>
      <c r="X672" s="73"/>
      <c r="Y672" s="73"/>
      <c r="Z672" s="73"/>
    </row>
    <row r="673">
      <c r="A673" s="73"/>
      <c r="B673" s="73"/>
      <c r="C673" s="73"/>
      <c r="D673" s="73"/>
      <c r="E673" s="73"/>
      <c r="F673" s="73"/>
      <c r="G673" s="73"/>
      <c r="H673" s="73"/>
      <c r="I673" s="73"/>
      <c r="J673" s="73"/>
      <c r="K673" s="73"/>
      <c r="L673" s="73"/>
      <c r="M673" s="73"/>
      <c r="N673" s="73"/>
      <c r="O673" s="73"/>
      <c r="P673" s="73"/>
      <c r="Q673" s="73"/>
      <c r="R673" s="73"/>
      <c r="S673" s="73"/>
      <c r="T673" s="73"/>
      <c r="U673" s="73"/>
      <c r="V673" s="73"/>
      <c r="W673" s="73"/>
      <c r="X673" s="73"/>
      <c r="Y673" s="73"/>
      <c r="Z673" s="73"/>
    </row>
    <row r="674">
      <c r="A674" s="73"/>
      <c r="B674" s="73"/>
      <c r="C674" s="73"/>
      <c r="D674" s="73"/>
      <c r="E674" s="73"/>
      <c r="F674" s="73"/>
      <c r="G674" s="73"/>
      <c r="H674" s="73"/>
      <c r="I674" s="73"/>
      <c r="J674" s="73"/>
      <c r="K674" s="73"/>
      <c r="L674" s="73"/>
      <c r="M674" s="73"/>
      <c r="N674" s="73"/>
      <c r="O674" s="73"/>
      <c r="P674" s="73"/>
      <c r="Q674" s="73"/>
      <c r="R674" s="73"/>
      <c r="S674" s="73"/>
      <c r="T674" s="73"/>
      <c r="U674" s="73"/>
      <c r="V674" s="73"/>
      <c r="W674" s="73"/>
      <c r="X674" s="73"/>
      <c r="Y674" s="73"/>
      <c r="Z674" s="73"/>
    </row>
    <row r="675">
      <c r="A675" s="73"/>
      <c r="B675" s="73"/>
      <c r="C675" s="73"/>
      <c r="D675" s="73"/>
      <c r="E675" s="73"/>
      <c r="F675" s="73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73"/>
      <c r="V675" s="73"/>
      <c r="W675" s="73"/>
      <c r="X675" s="73"/>
      <c r="Y675" s="73"/>
      <c r="Z675" s="73"/>
    </row>
    <row r="676">
      <c r="A676" s="73"/>
      <c r="B676" s="73"/>
      <c r="C676" s="73"/>
      <c r="D676" s="73"/>
      <c r="E676" s="73"/>
      <c r="F676" s="73"/>
      <c r="G676" s="73"/>
      <c r="H676" s="73"/>
      <c r="I676" s="73"/>
      <c r="J676" s="73"/>
      <c r="K676" s="73"/>
      <c r="L676" s="73"/>
      <c r="M676" s="73"/>
      <c r="N676" s="73"/>
      <c r="O676" s="73"/>
      <c r="P676" s="73"/>
      <c r="Q676" s="73"/>
      <c r="R676" s="73"/>
      <c r="S676" s="73"/>
      <c r="T676" s="73"/>
      <c r="U676" s="73"/>
      <c r="V676" s="73"/>
      <c r="W676" s="73"/>
      <c r="X676" s="73"/>
      <c r="Y676" s="73"/>
      <c r="Z676" s="73"/>
    </row>
    <row r="677">
      <c r="A677" s="73"/>
      <c r="B677" s="73"/>
      <c r="C677" s="73"/>
      <c r="D677" s="73"/>
      <c r="E677" s="73"/>
      <c r="F677" s="73"/>
      <c r="G677" s="73"/>
      <c r="H677" s="73"/>
      <c r="I677" s="73"/>
      <c r="J677" s="73"/>
      <c r="K677" s="73"/>
      <c r="L677" s="73"/>
      <c r="M677" s="73"/>
      <c r="N677" s="73"/>
      <c r="O677" s="73"/>
      <c r="P677" s="73"/>
      <c r="Q677" s="73"/>
      <c r="R677" s="73"/>
      <c r="S677" s="73"/>
      <c r="T677" s="73"/>
      <c r="U677" s="73"/>
      <c r="V677" s="73"/>
      <c r="W677" s="73"/>
      <c r="X677" s="73"/>
      <c r="Y677" s="73"/>
      <c r="Z677" s="73"/>
    </row>
    <row r="678">
      <c r="A678" s="73"/>
      <c r="B678" s="73"/>
      <c r="C678" s="73"/>
      <c r="D678" s="73"/>
      <c r="E678" s="73"/>
      <c r="F678" s="73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73"/>
      <c r="V678" s="73"/>
      <c r="W678" s="73"/>
      <c r="X678" s="73"/>
      <c r="Y678" s="73"/>
      <c r="Z678" s="73"/>
    </row>
    <row r="679">
      <c r="A679" s="73"/>
      <c r="B679" s="73"/>
      <c r="C679" s="73"/>
      <c r="D679" s="73"/>
      <c r="E679" s="73"/>
      <c r="F679" s="73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73"/>
      <c r="V679" s="73"/>
      <c r="W679" s="73"/>
      <c r="X679" s="73"/>
      <c r="Y679" s="73"/>
      <c r="Z679" s="73"/>
    </row>
    <row r="680">
      <c r="A680" s="73"/>
      <c r="B680" s="73"/>
      <c r="C680" s="73"/>
      <c r="D680" s="73"/>
      <c r="E680" s="73"/>
      <c r="F680" s="73"/>
      <c r="G680" s="73"/>
      <c r="H680" s="73"/>
      <c r="I680" s="73"/>
      <c r="J680" s="73"/>
      <c r="K680" s="73"/>
      <c r="L680" s="73"/>
      <c r="M680" s="73"/>
      <c r="N680" s="73"/>
      <c r="O680" s="73"/>
      <c r="P680" s="73"/>
      <c r="Q680" s="73"/>
      <c r="R680" s="73"/>
      <c r="S680" s="73"/>
      <c r="T680" s="73"/>
      <c r="U680" s="73"/>
      <c r="V680" s="73"/>
      <c r="W680" s="73"/>
      <c r="X680" s="73"/>
      <c r="Y680" s="73"/>
      <c r="Z680" s="73"/>
    </row>
    <row r="681">
      <c r="A681" s="73"/>
      <c r="B681" s="73"/>
      <c r="C681" s="73"/>
      <c r="D681" s="73"/>
      <c r="E681" s="73"/>
      <c r="F681" s="73"/>
      <c r="G681" s="73"/>
      <c r="H681" s="73"/>
      <c r="I681" s="73"/>
      <c r="J681" s="73"/>
      <c r="K681" s="73"/>
      <c r="L681" s="73"/>
      <c r="M681" s="73"/>
      <c r="N681" s="73"/>
      <c r="O681" s="73"/>
      <c r="P681" s="73"/>
      <c r="Q681" s="73"/>
      <c r="R681" s="73"/>
      <c r="S681" s="73"/>
      <c r="T681" s="73"/>
      <c r="U681" s="73"/>
      <c r="V681" s="73"/>
      <c r="W681" s="73"/>
      <c r="X681" s="73"/>
      <c r="Y681" s="73"/>
      <c r="Z681" s="73"/>
    </row>
    <row r="682">
      <c r="A682" s="73"/>
      <c r="B682" s="73"/>
      <c r="C682" s="73"/>
      <c r="D682" s="73"/>
      <c r="E682" s="73"/>
      <c r="F682" s="73"/>
      <c r="G682" s="73"/>
      <c r="H682" s="73"/>
      <c r="I682" s="73"/>
      <c r="J682" s="73"/>
      <c r="K682" s="73"/>
      <c r="L682" s="73"/>
      <c r="M682" s="73"/>
      <c r="N682" s="73"/>
      <c r="O682" s="73"/>
      <c r="P682" s="73"/>
      <c r="Q682" s="73"/>
      <c r="R682" s="73"/>
      <c r="S682" s="73"/>
      <c r="T682" s="73"/>
      <c r="U682" s="73"/>
      <c r="V682" s="73"/>
      <c r="W682" s="73"/>
      <c r="X682" s="73"/>
      <c r="Y682" s="73"/>
      <c r="Z682" s="73"/>
    </row>
    <row r="683">
      <c r="A683" s="73"/>
      <c r="B683" s="73"/>
      <c r="C683" s="73"/>
      <c r="D683" s="73"/>
      <c r="E683" s="73"/>
      <c r="F683" s="73"/>
      <c r="G683" s="73"/>
      <c r="H683" s="73"/>
      <c r="I683" s="73"/>
      <c r="J683" s="73"/>
      <c r="K683" s="73"/>
      <c r="L683" s="73"/>
      <c r="M683" s="73"/>
      <c r="N683" s="73"/>
      <c r="O683" s="73"/>
      <c r="P683" s="73"/>
      <c r="Q683" s="73"/>
      <c r="R683" s="73"/>
      <c r="S683" s="73"/>
      <c r="T683" s="73"/>
      <c r="U683" s="73"/>
      <c r="V683" s="73"/>
      <c r="W683" s="73"/>
      <c r="X683" s="73"/>
      <c r="Y683" s="73"/>
      <c r="Z683" s="73"/>
    </row>
    <row r="684">
      <c r="A684" s="73"/>
      <c r="B684" s="73"/>
      <c r="C684" s="73"/>
      <c r="D684" s="73"/>
      <c r="E684" s="73"/>
      <c r="F684" s="73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73"/>
      <c r="V684" s="73"/>
      <c r="W684" s="73"/>
      <c r="X684" s="73"/>
      <c r="Y684" s="73"/>
      <c r="Z684" s="73"/>
    </row>
    <row r="685">
      <c r="A685" s="73"/>
      <c r="B685" s="73"/>
      <c r="C685" s="73"/>
      <c r="D685" s="73"/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3"/>
    </row>
    <row r="686">
      <c r="A686" s="73"/>
      <c r="B686" s="73"/>
      <c r="C686" s="73"/>
      <c r="D686" s="73"/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</row>
    <row r="687">
      <c r="A687" s="73"/>
      <c r="B687" s="73"/>
      <c r="C687" s="73"/>
      <c r="D687" s="73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</row>
    <row r="688">
      <c r="A688" s="73"/>
      <c r="B688" s="73"/>
      <c r="C688" s="73"/>
      <c r="D688" s="73"/>
      <c r="E688" s="73"/>
      <c r="F688" s="73"/>
      <c r="G688" s="73"/>
      <c r="H688" s="73"/>
      <c r="I688" s="73"/>
      <c r="J688" s="73"/>
      <c r="K688" s="73"/>
      <c r="L688" s="73"/>
      <c r="M688" s="73"/>
      <c r="N688" s="73"/>
      <c r="O688" s="73"/>
      <c r="P688" s="73"/>
      <c r="Q688" s="73"/>
      <c r="R688" s="73"/>
      <c r="S688" s="73"/>
      <c r="T688" s="73"/>
      <c r="U688" s="73"/>
      <c r="V688" s="73"/>
      <c r="W688" s="73"/>
      <c r="X688" s="73"/>
      <c r="Y688" s="73"/>
      <c r="Z688" s="73"/>
    </row>
    <row r="689">
      <c r="A689" s="73"/>
      <c r="B689" s="73"/>
      <c r="C689" s="73"/>
      <c r="D689" s="73"/>
      <c r="E689" s="73"/>
      <c r="F689" s="73"/>
      <c r="G689" s="73"/>
      <c r="H689" s="73"/>
      <c r="I689" s="73"/>
      <c r="J689" s="73"/>
      <c r="K689" s="73"/>
      <c r="L689" s="73"/>
      <c r="M689" s="73"/>
      <c r="N689" s="73"/>
      <c r="O689" s="73"/>
      <c r="P689" s="73"/>
      <c r="Q689" s="73"/>
      <c r="R689" s="73"/>
      <c r="S689" s="73"/>
      <c r="T689" s="73"/>
      <c r="U689" s="73"/>
      <c r="V689" s="73"/>
      <c r="W689" s="73"/>
      <c r="X689" s="73"/>
      <c r="Y689" s="73"/>
      <c r="Z689" s="73"/>
    </row>
    <row r="690">
      <c r="A690" s="73"/>
      <c r="B690" s="73"/>
      <c r="C690" s="73"/>
      <c r="D690" s="73"/>
      <c r="E690" s="73"/>
      <c r="F690" s="73"/>
      <c r="G690" s="73"/>
      <c r="H690" s="73"/>
      <c r="I690" s="73"/>
      <c r="J690" s="73"/>
      <c r="K690" s="73"/>
      <c r="L690" s="73"/>
      <c r="M690" s="73"/>
      <c r="N690" s="73"/>
      <c r="O690" s="73"/>
      <c r="P690" s="73"/>
      <c r="Q690" s="73"/>
      <c r="R690" s="73"/>
      <c r="S690" s="73"/>
      <c r="T690" s="73"/>
      <c r="U690" s="73"/>
      <c r="V690" s="73"/>
      <c r="W690" s="73"/>
      <c r="X690" s="73"/>
      <c r="Y690" s="73"/>
      <c r="Z690" s="73"/>
    </row>
    <row r="691">
      <c r="A691" s="73"/>
      <c r="B691" s="73"/>
      <c r="C691" s="73"/>
      <c r="D691" s="73"/>
      <c r="E691" s="73"/>
      <c r="F691" s="73"/>
      <c r="G691" s="73"/>
      <c r="H691" s="73"/>
      <c r="I691" s="73"/>
      <c r="J691" s="73"/>
      <c r="K691" s="73"/>
      <c r="L691" s="73"/>
      <c r="M691" s="73"/>
      <c r="N691" s="73"/>
      <c r="O691" s="73"/>
      <c r="P691" s="73"/>
      <c r="Q691" s="73"/>
      <c r="R691" s="73"/>
      <c r="S691" s="73"/>
      <c r="T691" s="73"/>
      <c r="U691" s="73"/>
      <c r="V691" s="73"/>
      <c r="W691" s="73"/>
      <c r="X691" s="73"/>
      <c r="Y691" s="73"/>
      <c r="Z691" s="73"/>
    </row>
    <row r="692">
      <c r="A692" s="73"/>
      <c r="B692" s="73"/>
      <c r="C692" s="73"/>
      <c r="D692" s="73"/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73"/>
      <c r="X692" s="73"/>
      <c r="Y692" s="73"/>
      <c r="Z692" s="73"/>
    </row>
    <row r="693">
      <c r="A693" s="73"/>
      <c r="B693" s="73"/>
      <c r="C693" s="73"/>
      <c r="D693" s="73"/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</row>
    <row r="694">
      <c r="A694" s="73"/>
      <c r="B694" s="73"/>
      <c r="C694" s="73"/>
      <c r="D694" s="73"/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</row>
    <row r="695">
      <c r="A695" s="73"/>
      <c r="B695" s="73"/>
      <c r="C695" s="73"/>
      <c r="D695" s="73"/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</row>
    <row r="696">
      <c r="A696" s="73"/>
      <c r="B696" s="73"/>
      <c r="C696" s="73"/>
      <c r="D696" s="73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</row>
    <row r="697">
      <c r="A697" s="73"/>
      <c r="B697" s="73"/>
      <c r="C697" s="73"/>
      <c r="D697" s="73"/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</row>
    <row r="698">
      <c r="A698" s="73"/>
      <c r="B698" s="73"/>
      <c r="C698" s="73"/>
      <c r="D698" s="73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</row>
    <row r="699">
      <c r="A699" s="73"/>
      <c r="B699" s="73"/>
      <c r="C699" s="73"/>
      <c r="D699" s="73"/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</row>
    <row r="700">
      <c r="A700" s="73"/>
      <c r="B700" s="73"/>
      <c r="C700" s="73"/>
      <c r="D700" s="73"/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</row>
    <row r="701">
      <c r="A701" s="73"/>
      <c r="B701" s="73"/>
      <c r="C701" s="73"/>
      <c r="D701" s="73"/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</row>
    <row r="702">
      <c r="A702" s="73"/>
      <c r="B702" s="73"/>
      <c r="C702" s="73"/>
      <c r="D702" s="73"/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</row>
    <row r="703">
      <c r="A703" s="73"/>
      <c r="B703" s="73"/>
      <c r="C703" s="73"/>
      <c r="D703" s="73"/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73"/>
      <c r="V703" s="73"/>
      <c r="W703" s="73"/>
      <c r="X703" s="73"/>
      <c r="Y703" s="73"/>
      <c r="Z703" s="73"/>
    </row>
    <row r="704">
      <c r="A704" s="73"/>
      <c r="B704" s="73"/>
      <c r="C704" s="73"/>
      <c r="D704" s="73"/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73"/>
      <c r="V704" s="73"/>
      <c r="W704" s="73"/>
      <c r="X704" s="73"/>
      <c r="Y704" s="73"/>
      <c r="Z704" s="73"/>
    </row>
    <row r="705">
      <c r="A705" s="73"/>
      <c r="B705" s="73"/>
      <c r="C705" s="73"/>
      <c r="D705" s="73"/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</row>
    <row r="706">
      <c r="A706" s="73"/>
      <c r="B706" s="73"/>
      <c r="C706" s="73"/>
      <c r="D706" s="73"/>
      <c r="E706" s="73"/>
      <c r="F706" s="73"/>
      <c r="G706" s="73"/>
      <c r="H706" s="73"/>
      <c r="I706" s="73"/>
      <c r="J706" s="73"/>
      <c r="K706" s="73"/>
      <c r="L706" s="73"/>
      <c r="M706" s="73"/>
      <c r="N706" s="73"/>
      <c r="O706" s="73"/>
      <c r="P706" s="73"/>
      <c r="Q706" s="73"/>
      <c r="R706" s="73"/>
      <c r="S706" s="73"/>
      <c r="T706" s="73"/>
      <c r="U706" s="73"/>
      <c r="V706" s="73"/>
      <c r="W706" s="73"/>
      <c r="X706" s="73"/>
      <c r="Y706" s="73"/>
      <c r="Z706" s="73"/>
    </row>
    <row r="707">
      <c r="A707" s="73"/>
      <c r="B707" s="73"/>
      <c r="C707" s="73"/>
      <c r="D707" s="73"/>
      <c r="E707" s="73"/>
      <c r="F707" s="73"/>
      <c r="G707" s="73"/>
      <c r="H707" s="73"/>
      <c r="I707" s="73"/>
      <c r="J707" s="73"/>
      <c r="K707" s="73"/>
      <c r="L707" s="73"/>
      <c r="M707" s="73"/>
      <c r="N707" s="73"/>
      <c r="O707" s="73"/>
      <c r="P707" s="73"/>
      <c r="Q707" s="73"/>
      <c r="R707" s="73"/>
      <c r="S707" s="73"/>
      <c r="T707" s="73"/>
      <c r="U707" s="73"/>
      <c r="V707" s="73"/>
      <c r="W707" s="73"/>
      <c r="X707" s="73"/>
      <c r="Y707" s="73"/>
      <c r="Z707" s="73"/>
    </row>
    <row r="708">
      <c r="A708" s="73"/>
      <c r="B708" s="73"/>
      <c r="C708" s="73"/>
      <c r="D708" s="73"/>
      <c r="E708" s="73"/>
      <c r="F708" s="73"/>
      <c r="G708" s="73"/>
      <c r="H708" s="73"/>
      <c r="I708" s="73"/>
      <c r="J708" s="73"/>
      <c r="K708" s="73"/>
      <c r="L708" s="73"/>
      <c r="M708" s="73"/>
      <c r="N708" s="73"/>
      <c r="O708" s="73"/>
      <c r="P708" s="73"/>
      <c r="Q708" s="73"/>
      <c r="R708" s="73"/>
      <c r="S708" s="73"/>
      <c r="T708" s="73"/>
      <c r="U708" s="73"/>
      <c r="V708" s="73"/>
      <c r="W708" s="73"/>
      <c r="X708" s="73"/>
      <c r="Y708" s="73"/>
      <c r="Z708" s="73"/>
    </row>
    <row r="709">
      <c r="A709" s="73"/>
      <c r="B709" s="73"/>
      <c r="C709" s="73"/>
      <c r="D709" s="73"/>
      <c r="E709" s="73"/>
      <c r="F709" s="73"/>
      <c r="G709" s="73"/>
      <c r="H709" s="73"/>
      <c r="I709" s="73"/>
      <c r="J709" s="73"/>
      <c r="K709" s="73"/>
      <c r="L709" s="73"/>
      <c r="M709" s="73"/>
      <c r="N709" s="73"/>
      <c r="O709" s="73"/>
      <c r="P709" s="73"/>
      <c r="Q709" s="73"/>
      <c r="R709" s="73"/>
      <c r="S709" s="73"/>
      <c r="T709" s="73"/>
      <c r="U709" s="73"/>
      <c r="V709" s="73"/>
      <c r="W709" s="73"/>
      <c r="X709" s="73"/>
      <c r="Y709" s="73"/>
      <c r="Z709" s="73"/>
    </row>
    <row r="710">
      <c r="A710" s="73"/>
      <c r="B710" s="73"/>
      <c r="C710" s="73"/>
      <c r="D710" s="73"/>
      <c r="E710" s="73"/>
      <c r="F710" s="73"/>
      <c r="G710" s="73"/>
      <c r="H710" s="73"/>
      <c r="I710" s="73"/>
      <c r="J710" s="73"/>
      <c r="K710" s="73"/>
      <c r="L710" s="73"/>
      <c r="M710" s="73"/>
      <c r="N710" s="73"/>
      <c r="O710" s="73"/>
      <c r="P710" s="73"/>
      <c r="Q710" s="73"/>
      <c r="R710" s="73"/>
      <c r="S710" s="73"/>
      <c r="T710" s="73"/>
      <c r="U710" s="73"/>
      <c r="V710" s="73"/>
      <c r="W710" s="73"/>
      <c r="X710" s="73"/>
      <c r="Y710" s="73"/>
      <c r="Z710" s="73"/>
    </row>
    <row r="711">
      <c r="A711" s="73"/>
      <c r="B711" s="73"/>
      <c r="C711" s="73"/>
      <c r="D711" s="73"/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  <c r="V711" s="73"/>
      <c r="W711" s="73"/>
      <c r="X711" s="73"/>
      <c r="Y711" s="73"/>
      <c r="Z711" s="73"/>
    </row>
    <row r="712">
      <c r="A712" s="73"/>
      <c r="B712" s="73"/>
      <c r="C712" s="73"/>
      <c r="D712" s="73"/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</row>
    <row r="713">
      <c r="A713" s="73"/>
      <c r="B713" s="73"/>
      <c r="C713" s="73"/>
      <c r="D713" s="73"/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</row>
    <row r="714">
      <c r="A714" s="73"/>
      <c r="B714" s="73"/>
      <c r="C714" s="73"/>
      <c r="D714" s="73"/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</row>
    <row r="715">
      <c r="A715" s="73"/>
      <c r="B715" s="73"/>
      <c r="C715" s="73"/>
      <c r="D715" s="73"/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</row>
    <row r="716">
      <c r="A716" s="73"/>
      <c r="B716" s="73"/>
      <c r="C716" s="73"/>
      <c r="D716" s="73"/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</row>
    <row r="717">
      <c r="A717" s="73"/>
      <c r="B717" s="73"/>
      <c r="C717" s="73"/>
      <c r="D717" s="73"/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73"/>
      <c r="V717" s="73"/>
      <c r="W717" s="73"/>
      <c r="X717" s="73"/>
      <c r="Y717" s="73"/>
      <c r="Z717" s="73"/>
    </row>
    <row r="718">
      <c r="A718" s="73"/>
      <c r="B718" s="73"/>
      <c r="C718" s="73"/>
      <c r="D718" s="73"/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73"/>
      <c r="V718" s="73"/>
      <c r="W718" s="73"/>
      <c r="X718" s="73"/>
      <c r="Y718" s="73"/>
      <c r="Z718" s="73"/>
    </row>
    <row r="719">
      <c r="A719" s="73"/>
      <c r="B719" s="73"/>
      <c r="C719" s="73"/>
      <c r="D719" s="73"/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73"/>
      <c r="V719" s="73"/>
      <c r="W719" s="73"/>
      <c r="X719" s="73"/>
      <c r="Y719" s="73"/>
      <c r="Z719" s="73"/>
    </row>
    <row r="720">
      <c r="A720" s="73"/>
      <c r="B720" s="73"/>
      <c r="C720" s="73"/>
      <c r="D720" s="73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73"/>
      <c r="U720" s="73"/>
      <c r="V720" s="73"/>
      <c r="W720" s="73"/>
      <c r="X720" s="73"/>
      <c r="Y720" s="73"/>
      <c r="Z720" s="73"/>
    </row>
    <row r="721">
      <c r="A721" s="73"/>
      <c r="B721" s="73"/>
      <c r="C721" s="73"/>
      <c r="D721" s="73"/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</row>
    <row r="722">
      <c r="A722" s="73"/>
      <c r="B722" s="73"/>
      <c r="C722" s="73"/>
      <c r="D722" s="73"/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</row>
    <row r="723">
      <c r="A723" s="73"/>
      <c r="B723" s="73"/>
      <c r="C723" s="73"/>
      <c r="D723" s="73"/>
      <c r="E723" s="73"/>
      <c r="F723" s="73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73"/>
      <c r="U723" s="73"/>
      <c r="V723" s="73"/>
      <c r="W723" s="73"/>
      <c r="X723" s="73"/>
      <c r="Y723" s="73"/>
      <c r="Z723" s="73"/>
    </row>
    <row r="724">
      <c r="A724" s="73"/>
      <c r="B724" s="73"/>
      <c r="C724" s="73"/>
      <c r="D724" s="73"/>
      <c r="E724" s="73"/>
      <c r="F724" s="73"/>
      <c r="G724" s="73"/>
      <c r="H724" s="73"/>
      <c r="I724" s="73"/>
      <c r="J724" s="73"/>
      <c r="K724" s="73"/>
      <c r="L724" s="73"/>
      <c r="M724" s="73"/>
      <c r="N724" s="73"/>
      <c r="O724" s="73"/>
      <c r="P724" s="73"/>
      <c r="Q724" s="73"/>
      <c r="R724" s="73"/>
      <c r="S724" s="73"/>
      <c r="T724" s="73"/>
      <c r="U724" s="73"/>
      <c r="V724" s="73"/>
      <c r="W724" s="73"/>
      <c r="X724" s="73"/>
      <c r="Y724" s="73"/>
      <c r="Z724" s="73"/>
    </row>
    <row r="725">
      <c r="A725" s="73"/>
      <c r="B725" s="73"/>
      <c r="C725" s="73"/>
      <c r="D725" s="73"/>
      <c r="E725" s="73"/>
      <c r="F725" s="73"/>
      <c r="G725" s="73"/>
      <c r="H725" s="73"/>
      <c r="I725" s="73"/>
      <c r="J725" s="73"/>
      <c r="K725" s="73"/>
      <c r="L725" s="73"/>
      <c r="M725" s="73"/>
      <c r="N725" s="73"/>
      <c r="O725" s="73"/>
      <c r="P725" s="73"/>
      <c r="Q725" s="73"/>
      <c r="R725" s="73"/>
      <c r="S725" s="73"/>
      <c r="T725" s="73"/>
      <c r="U725" s="73"/>
      <c r="V725" s="73"/>
      <c r="W725" s="73"/>
      <c r="X725" s="73"/>
      <c r="Y725" s="73"/>
      <c r="Z725" s="73"/>
    </row>
    <row r="726">
      <c r="A726" s="73"/>
      <c r="B726" s="73"/>
      <c r="C726" s="73"/>
      <c r="D726" s="73"/>
      <c r="E726" s="73"/>
      <c r="F726" s="73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73"/>
      <c r="U726" s="73"/>
      <c r="V726" s="73"/>
      <c r="W726" s="73"/>
      <c r="X726" s="73"/>
      <c r="Y726" s="73"/>
      <c r="Z726" s="73"/>
    </row>
    <row r="727">
      <c r="A727" s="73"/>
      <c r="B727" s="73"/>
      <c r="C727" s="73"/>
      <c r="D727" s="73"/>
      <c r="E727" s="73"/>
      <c r="F727" s="73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73"/>
      <c r="U727" s="73"/>
      <c r="V727" s="73"/>
      <c r="W727" s="73"/>
      <c r="X727" s="73"/>
      <c r="Y727" s="73"/>
      <c r="Z727" s="73"/>
    </row>
    <row r="728">
      <c r="A728" s="73"/>
      <c r="B728" s="73"/>
      <c r="C728" s="73"/>
      <c r="D728" s="73"/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</row>
    <row r="729">
      <c r="A729" s="73"/>
      <c r="B729" s="73"/>
      <c r="C729" s="73"/>
      <c r="D729" s="73"/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</row>
    <row r="730">
      <c r="A730" s="73"/>
      <c r="B730" s="73"/>
      <c r="C730" s="73"/>
      <c r="D730" s="73"/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</row>
    <row r="731">
      <c r="A731" s="73"/>
      <c r="B731" s="73"/>
      <c r="C731" s="73"/>
      <c r="D731" s="73"/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</row>
    <row r="732">
      <c r="A732" s="73"/>
      <c r="B732" s="73"/>
      <c r="C732" s="73"/>
      <c r="D732" s="73"/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</row>
    <row r="733">
      <c r="A733" s="73"/>
      <c r="B733" s="73"/>
      <c r="C733" s="73"/>
      <c r="D733" s="73"/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</row>
    <row r="734">
      <c r="A734" s="73"/>
      <c r="B734" s="73"/>
      <c r="C734" s="73"/>
      <c r="D734" s="73"/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</row>
    <row r="735">
      <c r="A735" s="73"/>
      <c r="B735" s="73"/>
      <c r="C735" s="73"/>
      <c r="D735" s="73"/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</row>
    <row r="736">
      <c r="A736" s="73"/>
      <c r="B736" s="73"/>
      <c r="C736" s="73"/>
      <c r="D736" s="73"/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</row>
    <row r="737">
      <c r="A737" s="73"/>
      <c r="B737" s="73"/>
      <c r="C737" s="73"/>
      <c r="D737" s="73"/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</row>
    <row r="738">
      <c r="A738" s="73"/>
      <c r="B738" s="73"/>
      <c r="C738" s="73"/>
      <c r="D738" s="73"/>
      <c r="E738" s="73"/>
      <c r="F738" s="73"/>
      <c r="G738" s="73"/>
      <c r="H738" s="73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73"/>
      <c r="U738" s="73"/>
      <c r="V738" s="73"/>
      <c r="W738" s="73"/>
      <c r="X738" s="73"/>
      <c r="Y738" s="73"/>
      <c r="Z738" s="73"/>
    </row>
    <row r="739">
      <c r="A739" s="73"/>
      <c r="B739" s="73"/>
      <c r="C739" s="73"/>
      <c r="D739" s="73"/>
      <c r="E739" s="73"/>
      <c r="F739" s="73"/>
      <c r="G739" s="73"/>
      <c r="H739" s="73"/>
      <c r="I739" s="73"/>
      <c r="J739" s="73"/>
      <c r="K739" s="73"/>
      <c r="L739" s="73"/>
      <c r="M739" s="73"/>
      <c r="N739" s="73"/>
      <c r="O739" s="73"/>
      <c r="P739" s="73"/>
      <c r="Q739" s="73"/>
      <c r="R739" s="73"/>
      <c r="S739" s="73"/>
      <c r="T739" s="73"/>
      <c r="U739" s="73"/>
      <c r="V739" s="73"/>
      <c r="W739" s="73"/>
      <c r="X739" s="73"/>
      <c r="Y739" s="73"/>
      <c r="Z739" s="73"/>
    </row>
    <row r="740">
      <c r="A740" s="73"/>
      <c r="B740" s="73"/>
      <c r="C740" s="73"/>
      <c r="D740" s="73"/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</row>
    <row r="741">
      <c r="A741" s="73"/>
      <c r="B741" s="73"/>
      <c r="C741" s="73"/>
      <c r="D741" s="73"/>
      <c r="E741" s="73"/>
      <c r="F741" s="73"/>
      <c r="G741" s="73"/>
      <c r="H741" s="73"/>
      <c r="I741" s="73"/>
      <c r="J741" s="73"/>
      <c r="K741" s="73"/>
      <c r="L741" s="73"/>
      <c r="M741" s="73"/>
      <c r="N741" s="73"/>
      <c r="O741" s="73"/>
      <c r="P741" s="73"/>
      <c r="Q741" s="73"/>
      <c r="R741" s="73"/>
      <c r="S741" s="73"/>
      <c r="T741" s="73"/>
      <c r="U741" s="73"/>
      <c r="V741" s="73"/>
      <c r="W741" s="73"/>
      <c r="X741" s="73"/>
      <c r="Y741" s="73"/>
      <c r="Z741" s="73"/>
    </row>
    <row r="742">
      <c r="A742" s="73"/>
      <c r="B742" s="73"/>
      <c r="C742" s="73"/>
      <c r="D742" s="73"/>
      <c r="E742" s="73"/>
      <c r="F742" s="73"/>
      <c r="G742" s="73"/>
      <c r="H742" s="73"/>
      <c r="I742" s="73"/>
      <c r="J742" s="73"/>
      <c r="K742" s="73"/>
      <c r="L742" s="73"/>
      <c r="M742" s="73"/>
      <c r="N742" s="73"/>
      <c r="O742" s="73"/>
      <c r="P742" s="73"/>
      <c r="Q742" s="73"/>
      <c r="R742" s="73"/>
      <c r="S742" s="73"/>
      <c r="T742" s="73"/>
      <c r="U742" s="73"/>
      <c r="V742" s="73"/>
      <c r="W742" s="73"/>
      <c r="X742" s="73"/>
      <c r="Y742" s="73"/>
      <c r="Z742" s="73"/>
    </row>
    <row r="743">
      <c r="A743" s="73"/>
      <c r="B743" s="73"/>
      <c r="C743" s="73"/>
      <c r="D743" s="73"/>
      <c r="E743" s="73"/>
      <c r="F743" s="73"/>
      <c r="G743" s="73"/>
      <c r="H743" s="73"/>
      <c r="I743" s="73"/>
      <c r="J743" s="73"/>
      <c r="K743" s="73"/>
      <c r="L743" s="73"/>
      <c r="M743" s="73"/>
      <c r="N743" s="73"/>
      <c r="O743" s="73"/>
      <c r="P743" s="73"/>
      <c r="Q743" s="73"/>
      <c r="R743" s="73"/>
      <c r="S743" s="73"/>
      <c r="T743" s="73"/>
      <c r="U743" s="73"/>
      <c r="V743" s="73"/>
      <c r="W743" s="73"/>
      <c r="X743" s="73"/>
      <c r="Y743" s="73"/>
      <c r="Z743" s="73"/>
    </row>
    <row r="744">
      <c r="A744" s="73"/>
      <c r="B744" s="73"/>
      <c r="C744" s="73"/>
      <c r="D744" s="73"/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73"/>
      <c r="U744" s="73"/>
      <c r="V744" s="73"/>
      <c r="W744" s="73"/>
      <c r="X744" s="73"/>
      <c r="Y744" s="73"/>
      <c r="Z744" s="73"/>
    </row>
    <row r="745">
      <c r="A745" s="73"/>
      <c r="B745" s="73"/>
      <c r="C745" s="73"/>
      <c r="D745" s="73"/>
      <c r="E745" s="73"/>
      <c r="F745" s="73"/>
      <c r="G745" s="73"/>
      <c r="H745" s="73"/>
      <c r="I745" s="73"/>
      <c r="J745" s="73"/>
      <c r="K745" s="73"/>
      <c r="L745" s="73"/>
      <c r="M745" s="73"/>
      <c r="N745" s="73"/>
      <c r="O745" s="73"/>
      <c r="P745" s="73"/>
      <c r="Q745" s="73"/>
      <c r="R745" s="73"/>
      <c r="S745" s="73"/>
      <c r="T745" s="73"/>
      <c r="U745" s="73"/>
      <c r="V745" s="73"/>
      <c r="W745" s="73"/>
      <c r="X745" s="73"/>
      <c r="Y745" s="73"/>
      <c r="Z745" s="73"/>
    </row>
    <row r="746">
      <c r="A746" s="73"/>
      <c r="B746" s="73"/>
      <c r="C746" s="73"/>
      <c r="D746" s="73"/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</row>
    <row r="747">
      <c r="A747" s="73"/>
      <c r="B747" s="73"/>
      <c r="C747" s="73"/>
      <c r="D747" s="73"/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</row>
    <row r="748">
      <c r="A748" s="73"/>
      <c r="B748" s="73"/>
      <c r="C748" s="73"/>
      <c r="D748" s="73"/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</row>
    <row r="749">
      <c r="A749" s="73"/>
      <c r="B749" s="73"/>
      <c r="C749" s="73"/>
      <c r="D749" s="73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</row>
    <row r="750">
      <c r="A750" s="73"/>
      <c r="B750" s="73"/>
      <c r="C750" s="73"/>
      <c r="D750" s="73"/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</row>
    <row r="751">
      <c r="A751" s="73"/>
      <c r="B751" s="73"/>
      <c r="C751" s="73"/>
      <c r="D751" s="73"/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</row>
    <row r="752">
      <c r="A752" s="73"/>
      <c r="B752" s="73"/>
      <c r="C752" s="73"/>
      <c r="D752" s="73"/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</row>
    <row r="753">
      <c r="A753" s="73"/>
      <c r="B753" s="73"/>
      <c r="C753" s="73"/>
      <c r="D753" s="73"/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</row>
    <row r="754">
      <c r="A754" s="73"/>
      <c r="B754" s="73"/>
      <c r="C754" s="73"/>
      <c r="D754" s="73"/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</row>
    <row r="755">
      <c r="A755" s="73"/>
      <c r="B755" s="73"/>
      <c r="C755" s="73"/>
      <c r="D755" s="73"/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73"/>
      <c r="U755" s="73"/>
      <c r="V755" s="73"/>
      <c r="W755" s="73"/>
      <c r="X755" s="73"/>
      <c r="Y755" s="73"/>
      <c r="Z755" s="73"/>
    </row>
    <row r="756">
      <c r="A756" s="73"/>
      <c r="B756" s="73"/>
      <c r="C756" s="73"/>
      <c r="D756" s="73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73"/>
      <c r="V756" s="73"/>
      <c r="W756" s="73"/>
      <c r="X756" s="73"/>
      <c r="Y756" s="73"/>
      <c r="Z756" s="73"/>
    </row>
    <row r="757">
      <c r="A757" s="73"/>
      <c r="B757" s="73"/>
      <c r="C757" s="73"/>
      <c r="D757" s="73"/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73"/>
      <c r="U757" s="73"/>
      <c r="V757" s="73"/>
      <c r="W757" s="73"/>
      <c r="X757" s="73"/>
      <c r="Y757" s="73"/>
      <c r="Z757" s="73"/>
    </row>
    <row r="758">
      <c r="A758" s="73"/>
      <c r="B758" s="73"/>
      <c r="C758" s="73"/>
      <c r="D758" s="73"/>
      <c r="E758" s="73"/>
      <c r="F758" s="73"/>
      <c r="G758" s="73"/>
      <c r="H758" s="73"/>
      <c r="I758" s="73"/>
      <c r="J758" s="73"/>
      <c r="K758" s="73"/>
      <c r="L758" s="73"/>
      <c r="M758" s="73"/>
      <c r="N758" s="73"/>
      <c r="O758" s="73"/>
      <c r="P758" s="73"/>
      <c r="Q758" s="73"/>
      <c r="R758" s="73"/>
      <c r="S758" s="73"/>
      <c r="T758" s="73"/>
      <c r="U758" s="73"/>
      <c r="V758" s="73"/>
      <c r="W758" s="73"/>
      <c r="X758" s="73"/>
      <c r="Y758" s="73"/>
      <c r="Z758" s="73"/>
    </row>
    <row r="759">
      <c r="A759" s="73"/>
      <c r="B759" s="73"/>
      <c r="C759" s="73"/>
      <c r="D759" s="73"/>
      <c r="E759" s="73"/>
      <c r="F759" s="73"/>
      <c r="G759" s="73"/>
      <c r="H759" s="73"/>
      <c r="I759" s="73"/>
      <c r="J759" s="73"/>
      <c r="K759" s="73"/>
      <c r="L759" s="73"/>
      <c r="M759" s="73"/>
      <c r="N759" s="73"/>
      <c r="O759" s="73"/>
      <c r="P759" s="73"/>
      <c r="Q759" s="73"/>
      <c r="R759" s="73"/>
      <c r="S759" s="73"/>
      <c r="T759" s="73"/>
      <c r="U759" s="73"/>
      <c r="V759" s="73"/>
      <c r="W759" s="73"/>
      <c r="X759" s="73"/>
      <c r="Y759" s="73"/>
      <c r="Z759" s="73"/>
    </row>
    <row r="760">
      <c r="A760" s="73"/>
      <c r="B760" s="73"/>
      <c r="C760" s="73"/>
      <c r="D760" s="73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73"/>
      <c r="U760" s="73"/>
      <c r="V760" s="73"/>
      <c r="W760" s="73"/>
      <c r="X760" s="73"/>
      <c r="Y760" s="73"/>
      <c r="Z760" s="73"/>
    </row>
    <row r="761">
      <c r="A761" s="73"/>
      <c r="B761" s="73"/>
      <c r="C761" s="73"/>
      <c r="D761" s="73"/>
      <c r="E761" s="73"/>
      <c r="F761" s="73"/>
      <c r="G761" s="73"/>
      <c r="H761" s="73"/>
      <c r="I761" s="73"/>
      <c r="J761" s="73"/>
      <c r="K761" s="73"/>
      <c r="L761" s="73"/>
      <c r="M761" s="73"/>
      <c r="N761" s="73"/>
      <c r="O761" s="73"/>
      <c r="P761" s="73"/>
      <c r="Q761" s="73"/>
      <c r="R761" s="73"/>
      <c r="S761" s="73"/>
      <c r="T761" s="73"/>
      <c r="U761" s="73"/>
      <c r="V761" s="73"/>
      <c r="W761" s="73"/>
      <c r="X761" s="73"/>
      <c r="Y761" s="73"/>
      <c r="Z761" s="73"/>
    </row>
    <row r="762">
      <c r="A762" s="73"/>
      <c r="B762" s="73"/>
      <c r="C762" s="73"/>
      <c r="D762" s="73"/>
      <c r="E762" s="73"/>
      <c r="F762" s="73"/>
      <c r="G762" s="73"/>
      <c r="H762" s="73"/>
      <c r="I762" s="73"/>
      <c r="J762" s="73"/>
      <c r="K762" s="73"/>
      <c r="L762" s="73"/>
      <c r="M762" s="73"/>
      <c r="N762" s="73"/>
      <c r="O762" s="73"/>
      <c r="P762" s="73"/>
      <c r="Q762" s="73"/>
      <c r="R762" s="73"/>
      <c r="S762" s="73"/>
      <c r="T762" s="73"/>
      <c r="U762" s="73"/>
      <c r="V762" s="73"/>
      <c r="W762" s="73"/>
      <c r="X762" s="73"/>
      <c r="Y762" s="73"/>
      <c r="Z762" s="73"/>
    </row>
    <row r="763">
      <c r="A763" s="73"/>
      <c r="B763" s="73"/>
      <c r="C763" s="73"/>
      <c r="D763" s="73"/>
      <c r="E763" s="73"/>
      <c r="F763" s="73"/>
      <c r="G763" s="73"/>
      <c r="H763" s="73"/>
      <c r="I763" s="73"/>
      <c r="J763" s="73"/>
      <c r="K763" s="73"/>
      <c r="L763" s="73"/>
      <c r="M763" s="73"/>
      <c r="N763" s="73"/>
      <c r="O763" s="73"/>
      <c r="P763" s="73"/>
      <c r="Q763" s="73"/>
      <c r="R763" s="73"/>
      <c r="S763" s="73"/>
      <c r="T763" s="73"/>
      <c r="U763" s="73"/>
      <c r="V763" s="73"/>
      <c r="W763" s="73"/>
      <c r="X763" s="73"/>
      <c r="Y763" s="73"/>
      <c r="Z763" s="73"/>
    </row>
    <row r="764">
      <c r="A764" s="73"/>
      <c r="B764" s="73"/>
      <c r="C764" s="73"/>
      <c r="D764" s="73"/>
      <c r="E764" s="73"/>
      <c r="F764" s="73"/>
      <c r="G764" s="73"/>
      <c r="H764" s="73"/>
      <c r="I764" s="73"/>
      <c r="J764" s="73"/>
      <c r="K764" s="73"/>
      <c r="L764" s="73"/>
      <c r="M764" s="73"/>
      <c r="N764" s="73"/>
      <c r="O764" s="73"/>
      <c r="P764" s="73"/>
      <c r="Q764" s="73"/>
      <c r="R764" s="73"/>
      <c r="S764" s="73"/>
      <c r="T764" s="73"/>
      <c r="U764" s="73"/>
      <c r="V764" s="73"/>
      <c r="W764" s="73"/>
      <c r="X764" s="73"/>
      <c r="Y764" s="73"/>
      <c r="Z764" s="73"/>
    </row>
    <row r="765">
      <c r="A765" s="73"/>
      <c r="B765" s="73"/>
      <c r="C765" s="73"/>
      <c r="D765" s="73"/>
      <c r="E765" s="73"/>
      <c r="F765" s="73"/>
      <c r="G765" s="73"/>
      <c r="H765" s="73"/>
      <c r="I765" s="73"/>
      <c r="J765" s="73"/>
      <c r="K765" s="73"/>
      <c r="L765" s="73"/>
      <c r="M765" s="73"/>
      <c r="N765" s="73"/>
      <c r="O765" s="73"/>
      <c r="P765" s="73"/>
      <c r="Q765" s="73"/>
      <c r="R765" s="73"/>
      <c r="S765" s="73"/>
      <c r="T765" s="73"/>
      <c r="U765" s="73"/>
      <c r="V765" s="73"/>
      <c r="W765" s="73"/>
      <c r="X765" s="73"/>
      <c r="Y765" s="73"/>
      <c r="Z765" s="73"/>
    </row>
    <row r="766">
      <c r="A766" s="73"/>
      <c r="B766" s="73"/>
      <c r="C766" s="73"/>
      <c r="D766" s="73"/>
      <c r="E766" s="73"/>
      <c r="F766" s="73"/>
      <c r="G766" s="73"/>
      <c r="H766" s="73"/>
      <c r="I766" s="73"/>
      <c r="J766" s="73"/>
      <c r="K766" s="73"/>
      <c r="L766" s="73"/>
      <c r="M766" s="73"/>
      <c r="N766" s="73"/>
      <c r="O766" s="73"/>
      <c r="P766" s="73"/>
      <c r="Q766" s="73"/>
      <c r="R766" s="73"/>
      <c r="S766" s="73"/>
      <c r="T766" s="73"/>
      <c r="U766" s="73"/>
      <c r="V766" s="73"/>
      <c r="W766" s="73"/>
      <c r="X766" s="73"/>
      <c r="Y766" s="73"/>
      <c r="Z766" s="73"/>
    </row>
    <row r="767">
      <c r="A767" s="73"/>
      <c r="B767" s="73"/>
      <c r="C767" s="73"/>
      <c r="D767" s="73"/>
      <c r="E767" s="73"/>
      <c r="F767" s="73"/>
      <c r="G767" s="73"/>
      <c r="H767" s="73"/>
      <c r="I767" s="73"/>
      <c r="J767" s="73"/>
      <c r="K767" s="73"/>
      <c r="L767" s="73"/>
      <c r="M767" s="73"/>
      <c r="N767" s="73"/>
      <c r="O767" s="73"/>
      <c r="P767" s="73"/>
      <c r="Q767" s="73"/>
      <c r="R767" s="73"/>
      <c r="S767" s="73"/>
      <c r="T767" s="73"/>
      <c r="U767" s="73"/>
      <c r="V767" s="73"/>
      <c r="W767" s="73"/>
      <c r="X767" s="73"/>
      <c r="Y767" s="73"/>
      <c r="Z767" s="73"/>
    </row>
    <row r="768">
      <c r="A768" s="73"/>
      <c r="B768" s="73"/>
      <c r="C768" s="73"/>
      <c r="D768" s="73"/>
      <c r="E768" s="73"/>
      <c r="F768" s="73"/>
      <c r="G768" s="73"/>
      <c r="H768" s="73"/>
      <c r="I768" s="73"/>
      <c r="J768" s="73"/>
      <c r="K768" s="73"/>
      <c r="L768" s="73"/>
      <c r="M768" s="73"/>
      <c r="N768" s="73"/>
      <c r="O768" s="73"/>
      <c r="P768" s="73"/>
      <c r="Q768" s="73"/>
      <c r="R768" s="73"/>
      <c r="S768" s="73"/>
      <c r="T768" s="73"/>
      <c r="U768" s="73"/>
      <c r="V768" s="73"/>
      <c r="W768" s="73"/>
      <c r="X768" s="73"/>
      <c r="Y768" s="73"/>
      <c r="Z768" s="73"/>
    </row>
    <row r="769">
      <c r="A769" s="73"/>
      <c r="B769" s="73"/>
      <c r="C769" s="73"/>
      <c r="D769" s="73"/>
      <c r="E769" s="73"/>
      <c r="F769" s="73"/>
      <c r="G769" s="73"/>
      <c r="H769" s="73"/>
      <c r="I769" s="73"/>
      <c r="J769" s="73"/>
      <c r="K769" s="73"/>
      <c r="L769" s="73"/>
      <c r="M769" s="73"/>
      <c r="N769" s="73"/>
      <c r="O769" s="73"/>
      <c r="P769" s="73"/>
      <c r="Q769" s="73"/>
      <c r="R769" s="73"/>
      <c r="S769" s="73"/>
      <c r="T769" s="73"/>
      <c r="U769" s="73"/>
      <c r="V769" s="73"/>
      <c r="W769" s="73"/>
      <c r="X769" s="73"/>
      <c r="Y769" s="73"/>
      <c r="Z769" s="73"/>
    </row>
    <row r="770">
      <c r="A770" s="73"/>
      <c r="B770" s="73"/>
      <c r="C770" s="73"/>
      <c r="D770" s="73"/>
      <c r="E770" s="73"/>
      <c r="F770" s="73"/>
      <c r="G770" s="73"/>
      <c r="H770" s="73"/>
      <c r="I770" s="73"/>
      <c r="J770" s="73"/>
      <c r="K770" s="73"/>
      <c r="L770" s="73"/>
      <c r="M770" s="73"/>
      <c r="N770" s="73"/>
      <c r="O770" s="73"/>
      <c r="P770" s="73"/>
      <c r="Q770" s="73"/>
      <c r="R770" s="73"/>
      <c r="S770" s="73"/>
      <c r="T770" s="73"/>
      <c r="U770" s="73"/>
      <c r="V770" s="73"/>
      <c r="W770" s="73"/>
      <c r="X770" s="73"/>
      <c r="Y770" s="73"/>
      <c r="Z770" s="73"/>
    </row>
    <row r="771">
      <c r="A771" s="73"/>
      <c r="B771" s="73"/>
      <c r="C771" s="73"/>
      <c r="D771" s="73"/>
      <c r="E771" s="73"/>
      <c r="F771" s="73"/>
      <c r="G771" s="73"/>
      <c r="H771" s="73"/>
      <c r="I771" s="73"/>
      <c r="J771" s="73"/>
      <c r="K771" s="73"/>
      <c r="L771" s="73"/>
      <c r="M771" s="73"/>
      <c r="N771" s="73"/>
      <c r="O771" s="73"/>
      <c r="P771" s="73"/>
      <c r="Q771" s="73"/>
      <c r="R771" s="73"/>
      <c r="S771" s="73"/>
      <c r="T771" s="73"/>
      <c r="U771" s="73"/>
      <c r="V771" s="73"/>
      <c r="W771" s="73"/>
      <c r="X771" s="73"/>
      <c r="Y771" s="73"/>
      <c r="Z771" s="73"/>
    </row>
    <row r="772">
      <c r="A772" s="73"/>
      <c r="B772" s="73"/>
      <c r="C772" s="73"/>
      <c r="D772" s="73"/>
      <c r="E772" s="73"/>
      <c r="F772" s="73"/>
      <c r="G772" s="73"/>
      <c r="H772" s="73"/>
      <c r="I772" s="73"/>
      <c r="J772" s="73"/>
      <c r="K772" s="73"/>
      <c r="L772" s="73"/>
      <c r="M772" s="73"/>
      <c r="N772" s="73"/>
      <c r="O772" s="73"/>
      <c r="P772" s="73"/>
      <c r="Q772" s="73"/>
      <c r="R772" s="73"/>
      <c r="S772" s="73"/>
      <c r="T772" s="73"/>
      <c r="U772" s="73"/>
      <c r="V772" s="73"/>
      <c r="W772" s="73"/>
      <c r="X772" s="73"/>
      <c r="Y772" s="73"/>
      <c r="Z772" s="73"/>
    </row>
    <row r="773">
      <c r="A773" s="73"/>
      <c r="B773" s="73"/>
      <c r="C773" s="73"/>
      <c r="D773" s="73"/>
      <c r="E773" s="73"/>
      <c r="F773" s="73"/>
      <c r="G773" s="73"/>
      <c r="H773" s="73"/>
      <c r="I773" s="73"/>
      <c r="J773" s="73"/>
      <c r="K773" s="73"/>
      <c r="L773" s="73"/>
      <c r="M773" s="73"/>
      <c r="N773" s="73"/>
      <c r="O773" s="73"/>
      <c r="P773" s="73"/>
      <c r="Q773" s="73"/>
      <c r="R773" s="73"/>
      <c r="S773" s="73"/>
      <c r="T773" s="73"/>
      <c r="U773" s="73"/>
      <c r="V773" s="73"/>
      <c r="W773" s="73"/>
      <c r="X773" s="73"/>
      <c r="Y773" s="73"/>
      <c r="Z773" s="73"/>
    </row>
    <row r="774">
      <c r="A774" s="73"/>
      <c r="B774" s="73"/>
      <c r="C774" s="73"/>
      <c r="D774" s="73"/>
      <c r="E774" s="73"/>
      <c r="F774" s="73"/>
      <c r="G774" s="73"/>
      <c r="H774" s="73"/>
      <c r="I774" s="73"/>
      <c r="J774" s="73"/>
      <c r="K774" s="73"/>
      <c r="L774" s="73"/>
      <c r="M774" s="73"/>
      <c r="N774" s="73"/>
      <c r="O774" s="73"/>
      <c r="P774" s="73"/>
      <c r="Q774" s="73"/>
      <c r="R774" s="73"/>
      <c r="S774" s="73"/>
      <c r="T774" s="73"/>
      <c r="U774" s="73"/>
      <c r="V774" s="73"/>
      <c r="W774" s="73"/>
      <c r="X774" s="73"/>
      <c r="Y774" s="73"/>
      <c r="Z774" s="73"/>
    </row>
    <row r="775">
      <c r="A775" s="73"/>
      <c r="B775" s="73"/>
      <c r="C775" s="73"/>
      <c r="D775" s="73"/>
      <c r="E775" s="73"/>
      <c r="F775" s="73"/>
      <c r="G775" s="73"/>
      <c r="H775" s="73"/>
      <c r="I775" s="73"/>
      <c r="J775" s="73"/>
      <c r="K775" s="73"/>
      <c r="L775" s="73"/>
      <c r="M775" s="73"/>
      <c r="N775" s="73"/>
      <c r="O775" s="73"/>
      <c r="P775" s="73"/>
      <c r="Q775" s="73"/>
      <c r="R775" s="73"/>
      <c r="S775" s="73"/>
      <c r="T775" s="73"/>
      <c r="U775" s="73"/>
      <c r="V775" s="73"/>
      <c r="W775" s="73"/>
      <c r="X775" s="73"/>
      <c r="Y775" s="73"/>
      <c r="Z775" s="73"/>
    </row>
    <row r="776">
      <c r="A776" s="73"/>
      <c r="B776" s="73"/>
      <c r="C776" s="73"/>
      <c r="D776" s="73"/>
      <c r="E776" s="73"/>
      <c r="F776" s="73"/>
      <c r="G776" s="73"/>
      <c r="H776" s="73"/>
      <c r="I776" s="73"/>
      <c r="J776" s="73"/>
      <c r="K776" s="73"/>
      <c r="L776" s="73"/>
      <c r="M776" s="73"/>
      <c r="N776" s="73"/>
      <c r="O776" s="73"/>
      <c r="P776" s="73"/>
      <c r="Q776" s="73"/>
      <c r="R776" s="73"/>
      <c r="S776" s="73"/>
      <c r="T776" s="73"/>
      <c r="U776" s="73"/>
      <c r="V776" s="73"/>
      <c r="W776" s="73"/>
      <c r="X776" s="73"/>
      <c r="Y776" s="73"/>
      <c r="Z776" s="73"/>
    </row>
    <row r="777">
      <c r="A777" s="73"/>
      <c r="B777" s="73"/>
      <c r="C777" s="73"/>
      <c r="D777" s="73"/>
      <c r="E777" s="73"/>
      <c r="F777" s="73"/>
      <c r="G777" s="73"/>
      <c r="H777" s="73"/>
      <c r="I777" s="73"/>
      <c r="J777" s="73"/>
      <c r="K777" s="73"/>
      <c r="L777" s="73"/>
      <c r="M777" s="73"/>
      <c r="N777" s="73"/>
      <c r="O777" s="73"/>
      <c r="P777" s="73"/>
      <c r="Q777" s="73"/>
      <c r="R777" s="73"/>
      <c r="S777" s="73"/>
      <c r="T777" s="73"/>
      <c r="U777" s="73"/>
      <c r="V777" s="73"/>
      <c r="W777" s="73"/>
      <c r="X777" s="73"/>
      <c r="Y777" s="73"/>
      <c r="Z777" s="73"/>
    </row>
    <row r="778">
      <c r="A778" s="73"/>
      <c r="B778" s="73"/>
      <c r="C778" s="73"/>
      <c r="D778" s="73"/>
      <c r="E778" s="73"/>
      <c r="F778" s="73"/>
      <c r="G778" s="73"/>
      <c r="H778" s="73"/>
      <c r="I778" s="73"/>
      <c r="J778" s="73"/>
      <c r="K778" s="73"/>
      <c r="L778" s="73"/>
      <c r="M778" s="73"/>
      <c r="N778" s="73"/>
      <c r="O778" s="73"/>
      <c r="P778" s="73"/>
      <c r="Q778" s="73"/>
      <c r="R778" s="73"/>
      <c r="S778" s="73"/>
      <c r="T778" s="73"/>
      <c r="U778" s="73"/>
      <c r="V778" s="73"/>
      <c r="W778" s="73"/>
      <c r="X778" s="73"/>
      <c r="Y778" s="73"/>
      <c r="Z778" s="73"/>
    </row>
    <row r="779">
      <c r="A779" s="73"/>
      <c r="B779" s="73"/>
      <c r="C779" s="73"/>
      <c r="D779" s="73"/>
      <c r="E779" s="73"/>
      <c r="F779" s="73"/>
      <c r="G779" s="73"/>
      <c r="H779" s="73"/>
      <c r="I779" s="73"/>
      <c r="J779" s="73"/>
      <c r="K779" s="73"/>
      <c r="L779" s="73"/>
      <c r="M779" s="73"/>
      <c r="N779" s="73"/>
      <c r="O779" s="73"/>
      <c r="P779" s="73"/>
      <c r="Q779" s="73"/>
      <c r="R779" s="73"/>
      <c r="S779" s="73"/>
      <c r="T779" s="73"/>
      <c r="U779" s="73"/>
      <c r="V779" s="73"/>
      <c r="W779" s="73"/>
      <c r="X779" s="73"/>
      <c r="Y779" s="73"/>
      <c r="Z779" s="73"/>
    </row>
    <row r="780">
      <c r="A780" s="73"/>
      <c r="B780" s="73"/>
      <c r="C780" s="73"/>
      <c r="D780" s="73"/>
      <c r="E780" s="73"/>
      <c r="F780" s="73"/>
      <c r="G780" s="73"/>
      <c r="H780" s="73"/>
      <c r="I780" s="73"/>
      <c r="J780" s="73"/>
      <c r="K780" s="73"/>
      <c r="L780" s="73"/>
      <c r="M780" s="73"/>
      <c r="N780" s="73"/>
      <c r="O780" s="73"/>
      <c r="P780" s="73"/>
      <c r="Q780" s="73"/>
      <c r="R780" s="73"/>
      <c r="S780" s="73"/>
      <c r="T780" s="73"/>
      <c r="U780" s="73"/>
      <c r="V780" s="73"/>
      <c r="W780" s="73"/>
      <c r="X780" s="73"/>
      <c r="Y780" s="73"/>
      <c r="Z780" s="73"/>
    </row>
    <row r="781">
      <c r="A781" s="73"/>
      <c r="B781" s="73"/>
      <c r="C781" s="73"/>
      <c r="D781" s="73"/>
      <c r="E781" s="73"/>
      <c r="F781" s="73"/>
      <c r="G781" s="73"/>
      <c r="H781" s="73"/>
      <c r="I781" s="73"/>
      <c r="J781" s="73"/>
      <c r="K781" s="73"/>
      <c r="L781" s="73"/>
      <c r="M781" s="73"/>
      <c r="N781" s="73"/>
      <c r="O781" s="73"/>
      <c r="P781" s="73"/>
      <c r="Q781" s="73"/>
      <c r="R781" s="73"/>
      <c r="S781" s="73"/>
      <c r="T781" s="73"/>
      <c r="U781" s="73"/>
      <c r="V781" s="73"/>
      <c r="W781" s="73"/>
      <c r="X781" s="73"/>
      <c r="Y781" s="73"/>
      <c r="Z781" s="73"/>
    </row>
    <row r="782">
      <c r="A782" s="73"/>
      <c r="B782" s="73"/>
      <c r="C782" s="73"/>
      <c r="D782" s="73"/>
      <c r="E782" s="73"/>
      <c r="F782" s="73"/>
      <c r="G782" s="73"/>
      <c r="H782" s="73"/>
      <c r="I782" s="73"/>
      <c r="J782" s="73"/>
      <c r="K782" s="73"/>
      <c r="L782" s="73"/>
      <c r="M782" s="73"/>
      <c r="N782" s="73"/>
      <c r="O782" s="73"/>
      <c r="P782" s="73"/>
      <c r="Q782" s="73"/>
      <c r="R782" s="73"/>
      <c r="S782" s="73"/>
      <c r="T782" s="73"/>
      <c r="U782" s="73"/>
      <c r="V782" s="73"/>
      <c r="W782" s="73"/>
      <c r="X782" s="73"/>
      <c r="Y782" s="73"/>
      <c r="Z782" s="73"/>
    </row>
    <row r="783">
      <c r="A783" s="73"/>
      <c r="B783" s="73"/>
      <c r="C783" s="73"/>
      <c r="D783" s="73"/>
      <c r="E783" s="73"/>
      <c r="F783" s="73"/>
      <c r="G783" s="73"/>
      <c r="H783" s="73"/>
      <c r="I783" s="73"/>
      <c r="J783" s="73"/>
      <c r="K783" s="73"/>
      <c r="L783" s="73"/>
      <c r="M783" s="73"/>
      <c r="N783" s="73"/>
      <c r="O783" s="73"/>
      <c r="P783" s="73"/>
      <c r="Q783" s="73"/>
      <c r="R783" s="73"/>
      <c r="S783" s="73"/>
      <c r="T783" s="73"/>
      <c r="U783" s="73"/>
      <c r="V783" s="73"/>
      <c r="W783" s="73"/>
      <c r="X783" s="73"/>
      <c r="Y783" s="73"/>
      <c r="Z783" s="73"/>
    </row>
    <row r="784">
      <c r="A784" s="73"/>
      <c r="B784" s="73"/>
      <c r="C784" s="73"/>
      <c r="D784" s="73"/>
      <c r="E784" s="73"/>
      <c r="F784" s="73"/>
      <c r="G784" s="73"/>
      <c r="H784" s="73"/>
      <c r="I784" s="73"/>
      <c r="J784" s="73"/>
      <c r="K784" s="73"/>
      <c r="L784" s="73"/>
      <c r="M784" s="73"/>
      <c r="N784" s="73"/>
      <c r="O784" s="73"/>
      <c r="P784" s="73"/>
      <c r="Q784" s="73"/>
      <c r="R784" s="73"/>
      <c r="S784" s="73"/>
      <c r="T784" s="73"/>
      <c r="U784" s="73"/>
      <c r="V784" s="73"/>
      <c r="W784" s="73"/>
      <c r="X784" s="73"/>
      <c r="Y784" s="73"/>
      <c r="Z784" s="73"/>
    </row>
    <row r="785">
      <c r="A785" s="73"/>
      <c r="B785" s="73"/>
      <c r="C785" s="73"/>
      <c r="D785" s="73"/>
      <c r="E785" s="73"/>
      <c r="F785" s="73"/>
      <c r="G785" s="73"/>
      <c r="H785" s="73"/>
      <c r="I785" s="73"/>
      <c r="J785" s="73"/>
      <c r="K785" s="73"/>
      <c r="L785" s="73"/>
      <c r="M785" s="73"/>
      <c r="N785" s="73"/>
      <c r="O785" s="73"/>
      <c r="P785" s="73"/>
      <c r="Q785" s="73"/>
      <c r="R785" s="73"/>
      <c r="S785" s="73"/>
      <c r="T785" s="73"/>
      <c r="U785" s="73"/>
      <c r="V785" s="73"/>
      <c r="W785" s="73"/>
      <c r="X785" s="73"/>
      <c r="Y785" s="73"/>
      <c r="Z785" s="73"/>
    </row>
    <row r="786">
      <c r="A786" s="73"/>
      <c r="B786" s="73"/>
      <c r="C786" s="73"/>
      <c r="D786" s="73"/>
      <c r="E786" s="73"/>
      <c r="F786" s="73"/>
      <c r="G786" s="73"/>
      <c r="H786" s="73"/>
      <c r="I786" s="73"/>
      <c r="J786" s="73"/>
      <c r="K786" s="73"/>
      <c r="L786" s="73"/>
      <c r="M786" s="73"/>
      <c r="N786" s="73"/>
      <c r="O786" s="73"/>
      <c r="P786" s="73"/>
      <c r="Q786" s="73"/>
      <c r="R786" s="73"/>
      <c r="S786" s="73"/>
      <c r="T786" s="73"/>
      <c r="U786" s="73"/>
      <c r="V786" s="73"/>
      <c r="W786" s="73"/>
      <c r="X786" s="73"/>
      <c r="Y786" s="73"/>
      <c r="Z786" s="73"/>
    </row>
    <row r="787">
      <c r="A787" s="73"/>
      <c r="B787" s="73"/>
      <c r="C787" s="73"/>
      <c r="D787" s="73"/>
      <c r="E787" s="73"/>
      <c r="F787" s="73"/>
      <c r="G787" s="73"/>
      <c r="H787" s="73"/>
      <c r="I787" s="73"/>
      <c r="J787" s="73"/>
      <c r="K787" s="73"/>
      <c r="L787" s="73"/>
      <c r="M787" s="73"/>
      <c r="N787" s="73"/>
      <c r="O787" s="73"/>
      <c r="P787" s="73"/>
      <c r="Q787" s="73"/>
      <c r="R787" s="73"/>
      <c r="S787" s="73"/>
      <c r="T787" s="73"/>
      <c r="U787" s="73"/>
      <c r="V787" s="73"/>
      <c r="W787" s="73"/>
      <c r="X787" s="73"/>
      <c r="Y787" s="73"/>
      <c r="Z787" s="73"/>
    </row>
    <row r="788">
      <c r="A788" s="73"/>
      <c r="B788" s="73"/>
      <c r="C788" s="73"/>
      <c r="D788" s="73"/>
      <c r="E788" s="73"/>
      <c r="F788" s="73"/>
      <c r="G788" s="73"/>
      <c r="H788" s="73"/>
      <c r="I788" s="73"/>
      <c r="J788" s="73"/>
      <c r="K788" s="73"/>
      <c r="L788" s="73"/>
      <c r="M788" s="73"/>
      <c r="N788" s="73"/>
      <c r="O788" s="73"/>
      <c r="P788" s="73"/>
      <c r="Q788" s="73"/>
      <c r="R788" s="73"/>
      <c r="S788" s="73"/>
      <c r="T788" s="73"/>
      <c r="U788" s="73"/>
      <c r="V788" s="73"/>
      <c r="W788" s="73"/>
      <c r="X788" s="73"/>
      <c r="Y788" s="73"/>
      <c r="Z788" s="73"/>
    </row>
    <row r="789">
      <c r="A789" s="73"/>
      <c r="B789" s="73"/>
      <c r="C789" s="73"/>
      <c r="D789" s="73"/>
      <c r="E789" s="73"/>
      <c r="F789" s="73"/>
      <c r="G789" s="73"/>
      <c r="H789" s="73"/>
      <c r="I789" s="73"/>
      <c r="J789" s="73"/>
      <c r="K789" s="73"/>
      <c r="L789" s="73"/>
      <c r="M789" s="73"/>
      <c r="N789" s="73"/>
      <c r="O789" s="73"/>
      <c r="P789" s="73"/>
      <c r="Q789" s="73"/>
      <c r="R789" s="73"/>
      <c r="S789" s="73"/>
      <c r="T789" s="73"/>
      <c r="U789" s="73"/>
      <c r="V789" s="73"/>
      <c r="W789" s="73"/>
      <c r="X789" s="73"/>
      <c r="Y789" s="73"/>
      <c r="Z789" s="73"/>
    </row>
    <row r="790">
      <c r="A790" s="73"/>
      <c r="B790" s="73"/>
      <c r="C790" s="73"/>
      <c r="D790" s="73"/>
      <c r="E790" s="73"/>
      <c r="F790" s="73"/>
      <c r="G790" s="73"/>
      <c r="H790" s="73"/>
      <c r="I790" s="73"/>
      <c r="J790" s="73"/>
      <c r="K790" s="73"/>
      <c r="L790" s="73"/>
      <c r="M790" s="73"/>
      <c r="N790" s="73"/>
      <c r="O790" s="73"/>
      <c r="P790" s="73"/>
      <c r="Q790" s="73"/>
      <c r="R790" s="73"/>
      <c r="S790" s="73"/>
      <c r="T790" s="73"/>
      <c r="U790" s="73"/>
      <c r="V790" s="73"/>
      <c r="W790" s="73"/>
      <c r="X790" s="73"/>
      <c r="Y790" s="73"/>
      <c r="Z790" s="73"/>
    </row>
    <row r="791">
      <c r="A791" s="73"/>
      <c r="B791" s="73"/>
      <c r="C791" s="73"/>
      <c r="D791" s="73"/>
      <c r="E791" s="73"/>
      <c r="F791" s="73"/>
      <c r="G791" s="73"/>
      <c r="H791" s="73"/>
      <c r="I791" s="73"/>
      <c r="J791" s="73"/>
      <c r="K791" s="73"/>
      <c r="L791" s="73"/>
      <c r="M791" s="73"/>
      <c r="N791" s="73"/>
      <c r="O791" s="73"/>
      <c r="P791" s="73"/>
      <c r="Q791" s="73"/>
      <c r="R791" s="73"/>
      <c r="S791" s="73"/>
      <c r="T791" s="73"/>
      <c r="U791" s="73"/>
      <c r="V791" s="73"/>
      <c r="W791" s="73"/>
      <c r="X791" s="73"/>
      <c r="Y791" s="73"/>
      <c r="Z791" s="73"/>
    </row>
    <row r="792">
      <c r="A792" s="73"/>
      <c r="B792" s="73"/>
      <c r="C792" s="73"/>
      <c r="D792" s="73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73"/>
      <c r="V792" s="73"/>
      <c r="W792" s="73"/>
      <c r="X792" s="73"/>
      <c r="Y792" s="73"/>
      <c r="Z792" s="73"/>
    </row>
    <row r="793">
      <c r="A793" s="73"/>
      <c r="B793" s="73"/>
      <c r="C793" s="73"/>
      <c r="D793" s="73"/>
      <c r="E793" s="73"/>
      <c r="F793" s="73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73"/>
      <c r="U793" s="73"/>
      <c r="V793" s="73"/>
      <c r="W793" s="73"/>
      <c r="X793" s="73"/>
      <c r="Y793" s="73"/>
      <c r="Z793" s="73"/>
    </row>
    <row r="794">
      <c r="A794" s="73"/>
      <c r="B794" s="73"/>
      <c r="C794" s="73"/>
      <c r="D794" s="73"/>
      <c r="E794" s="73"/>
      <c r="F794" s="73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73"/>
      <c r="U794" s="73"/>
      <c r="V794" s="73"/>
      <c r="W794" s="73"/>
      <c r="X794" s="73"/>
      <c r="Y794" s="73"/>
      <c r="Z794" s="73"/>
    </row>
    <row r="795">
      <c r="A795" s="73"/>
      <c r="B795" s="73"/>
      <c r="C795" s="73"/>
      <c r="D795" s="73"/>
      <c r="E795" s="73"/>
      <c r="F795" s="73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73"/>
      <c r="U795" s="73"/>
      <c r="V795" s="73"/>
      <c r="W795" s="73"/>
      <c r="X795" s="73"/>
      <c r="Y795" s="73"/>
      <c r="Z795" s="73"/>
    </row>
    <row r="796">
      <c r="A796" s="73"/>
      <c r="B796" s="73"/>
      <c r="C796" s="73"/>
      <c r="D796" s="73"/>
      <c r="E796" s="73"/>
      <c r="F796" s="73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73"/>
      <c r="U796" s="73"/>
      <c r="V796" s="73"/>
      <c r="W796" s="73"/>
      <c r="X796" s="73"/>
      <c r="Y796" s="73"/>
      <c r="Z796" s="73"/>
    </row>
    <row r="797">
      <c r="A797" s="73"/>
      <c r="B797" s="73"/>
      <c r="C797" s="73"/>
      <c r="D797" s="73"/>
      <c r="E797" s="73"/>
      <c r="F797" s="73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73"/>
      <c r="U797" s="73"/>
      <c r="V797" s="73"/>
      <c r="W797" s="73"/>
      <c r="X797" s="73"/>
      <c r="Y797" s="73"/>
      <c r="Z797" s="73"/>
    </row>
    <row r="798">
      <c r="A798" s="73"/>
      <c r="B798" s="73"/>
      <c r="C798" s="73"/>
      <c r="D798" s="73"/>
      <c r="E798" s="73"/>
      <c r="F798" s="73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73"/>
      <c r="U798" s="73"/>
      <c r="V798" s="73"/>
      <c r="W798" s="73"/>
      <c r="X798" s="73"/>
      <c r="Y798" s="73"/>
      <c r="Z798" s="73"/>
    </row>
    <row r="799">
      <c r="A799" s="73"/>
      <c r="B799" s="73"/>
      <c r="C799" s="73"/>
      <c r="D799" s="73"/>
      <c r="E799" s="73"/>
      <c r="F799" s="73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73"/>
      <c r="U799" s="73"/>
      <c r="V799" s="73"/>
      <c r="W799" s="73"/>
      <c r="X799" s="73"/>
      <c r="Y799" s="73"/>
      <c r="Z799" s="73"/>
    </row>
    <row r="800">
      <c r="A800" s="73"/>
      <c r="B800" s="73"/>
      <c r="C800" s="73"/>
      <c r="D800" s="73"/>
      <c r="E800" s="73"/>
      <c r="F800" s="73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73"/>
      <c r="U800" s="73"/>
      <c r="V800" s="73"/>
      <c r="W800" s="73"/>
      <c r="X800" s="73"/>
      <c r="Y800" s="73"/>
      <c r="Z800" s="73"/>
    </row>
    <row r="801">
      <c r="A801" s="73"/>
      <c r="B801" s="73"/>
      <c r="C801" s="73"/>
      <c r="D801" s="73"/>
      <c r="E801" s="73"/>
      <c r="F801" s="73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73"/>
      <c r="U801" s="73"/>
      <c r="V801" s="73"/>
      <c r="W801" s="73"/>
      <c r="X801" s="73"/>
      <c r="Y801" s="73"/>
      <c r="Z801" s="73"/>
    </row>
    <row r="802">
      <c r="A802" s="73"/>
      <c r="B802" s="73"/>
      <c r="C802" s="73"/>
      <c r="D802" s="73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73"/>
      <c r="U802" s="73"/>
      <c r="V802" s="73"/>
      <c r="W802" s="73"/>
      <c r="X802" s="73"/>
      <c r="Y802" s="73"/>
      <c r="Z802" s="73"/>
    </row>
    <row r="803">
      <c r="A803" s="73"/>
      <c r="B803" s="73"/>
      <c r="C803" s="73"/>
      <c r="D803" s="73"/>
      <c r="E803" s="73"/>
      <c r="F803" s="73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73"/>
      <c r="U803" s="73"/>
      <c r="V803" s="73"/>
      <c r="W803" s="73"/>
      <c r="X803" s="73"/>
      <c r="Y803" s="73"/>
      <c r="Z803" s="73"/>
    </row>
    <row r="804">
      <c r="A804" s="73"/>
      <c r="B804" s="73"/>
      <c r="C804" s="73"/>
      <c r="D804" s="73"/>
      <c r="E804" s="73"/>
      <c r="F804" s="73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73"/>
      <c r="U804" s="73"/>
      <c r="V804" s="73"/>
      <c r="W804" s="73"/>
      <c r="X804" s="73"/>
      <c r="Y804" s="73"/>
      <c r="Z804" s="73"/>
    </row>
    <row r="805">
      <c r="A805" s="73"/>
      <c r="B805" s="73"/>
      <c r="C805" s="73"/>
      <c r="D805" s="73"/>
      <c r="E805" s="73"/>
      <c r="F805" s="73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73"/>
      <c r="U805" s="73"/>
      <c r="V805" s="73"/>
      <c r="W805" s="73"/>
      <c r="X805" s="73"/>
      <c r="Y805" s="73"/>
      <c r="Z805" s="73"/>
    </row>
    <row r="806">
      <c r="A806" s="73"/>
      <c r="B806" s="73"/>
      <c r="C806" s="73"/>
      <c r="D806" s="73"/>
      <c r="E806" s="73"/>
      <c r="F806" s="73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73"/>
      <c r="U806" s="73"/>
      <c r="V806" s="73"/>
      <c r="W806" s="73"/>
      <c r="X806" s="73"/>
      <c r="Y806" s="73"/>
      <c r="Z806" s="73"/>
    </row>
    <row r="807">
      <c r="A807" s="73"/>
      <c r="B807" s="73"/>
      <c r="C807" s="73"/>
      <c r="D807" s="73"/>
      <c r="E807" s="73"/>
      <c r="F807" s="73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73"/>
      <c r="U807" s="73"/>
      <c r="V807" s="73"/>
      <c r="W807" s="73"/>
      <c r="X807" s="73"/>
      <c r="Y807" s="73"/>
      <c r="Z807" s="73"/>
    </row>
    <row r="808">
      <c r="A808" s="73"/>
      <c r="B808" s="73"/>
      <c r="C808" s="73"/>
      <c r="D808" s="73"/>
      <c r="E808" s="73"/>
      <c r="F808" s="73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73"/>
      <c r="U808" s="73"/>
      <c r="V808" s="73"/>
      <c r="W808" s="73"/>
      <c r="X808" s="73"/>
      <c r="Y808" s="73"/>
      <c r="Z808" s="73"/>
    </row>
    <row r="809">
      <c r="A809" s="73"/>
      <c r="B809" s="73"/>
      <c r="C809" s="73"/>
      <c r="D809" s="73"/>
      <c r="E809" s="73"/>
      <c r="F809" s="73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73"/>
      <c r="U809" s="73"/>
      <c r="V809" s="73"/>
      <c r="W809" s="73"/>
      <c r="X809" s="73"/>
      <c r="Y809" s="73"/>
      <c r="Z809" s="73"/>
    </row>
    <row r="810">
      <c r="A810" s="73"/>
      <c r="B810" s="73"/>
      <c r="C810" s="73"/>
      <c r="D810" s="73"/>
      <c r="E810" s="73"/>
      <c r="F810" s="73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73"/>
      <c r="U810" s="73"/>
      <c r="V810" s="73"/>
      <c r="W810" s="73"/>
      <c r="X810" s="73"/>
      <c r="Y810" s="73"/>
      <c r="Z810" s="73"/>
    </row>
    <row r="811">
      <c r="A811" s="73"/>
      <c r="B811" s="73"/>
      <c r="C811" s="73"/>
      <c r="D811" s="73"/>
      <c r="E811" s="73"/>
      <c r="F811" s="73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73"/>
      <c r="U811" s="73"/>
      <c r="V811" s="73"/>
      <c r="W811" s="73"/>
      <c r="X811" s="73"/>
      <c r="Y811" s="73"/>
      <c r="Z811" s="73"/>
    </row>
    <row r="812">
      <c r="A812" s="73"/>
      <c r="B812" s="73"/>
      <c r="C812" s="73"/>
      <c r="D812" s="73"/>
      <c r="E812" s="73"/>
      <c r="F812" s="73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73"/>
      <c r="U812" s="73"/>
      <c r="V812" s="73"/>
      <c r="W812" s="73"/>
      <c r="X812" s="73"/>
      <c r="Y812" s="73"/>
      <c r="Z812" s="73"/>
    </row>
    <row r="813">
      <c r="A813" s="73"/>
      <c r="B813" s="73"/>
      <c r="C813" s="73"/>
      <c r="D813" s="73"/>
      <c r="E813" s="73"/>
      <c r="F813" s="73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73"/>
      <c r="U813" s="73"/>
      <c r="V813" s="73"/>
      <c r="W813" s="73"/>
      <c r="X813" s="73"/>
      <c r="Y813" s="73"/>
      <c r="Z813" s="73"/>
    </row>
    <row r="814">
      <c r="A814" s="73"/>
      <c r="B814" s="73"/>
      <c r="C814" s="73"/>
      <c r="D814" s="73"/>
      <c r="E814" s="73"/>
      <c r="F814" s="73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73"/>
      <c r="U814" s="73"/>
      <c r="V814" s="73"/>
      <c r="W814" s="73"/>
      <c r="X814" s="73"/>
      <c r="Y814" s="73"/>
      <c r="Z814" s="73"/>
    </row>
    <row r="815">
      <c r="A815" s="73"/>
      <c r="B815" s="73"/>
      <c r="C815" s="73"/>
      <c r="D815" s="73"/>
      <c r="E815" s="73"/>
      <c r="F815" s="73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73"/>
      <c r="U815" s="73"/>
      <c r="V815" s="73"/>
      <c r="W815" s="73"/>
      <c r="X815" s="73"/>
      <c r="Y815" s="73"/>
      <c r="Z815" s="73"/>
    </row>
    <row r="816">
      <c r="A816" s="73"/>
      <c r="B816" s="73"/>
      <c r="C816" s="73"/>
      <c r="D816" s="73"/>
      <c r="E816" s="73"/>
      <c r="F816" s="73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73"/>
      <c r="U816" s="73"/>
      <c r="V816" s="73"/>
      <c r="W816" s="73"/>
      <c r="X816" s="73"/>
      <c r="Y816" s="73"/>
      <c r="Z816" s="73"/>
    </row>
    <row r="817">
      <c r="A817" s="73"/>
      <c r="B817" s="73"/>
      <c r="C817" s="73"/>
      <c r="D817" s="73"/>
      <c r="E817" s="73"/>
      <c r="F817" s="73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73"/>
      <c r="U817" s="73"/>
      <c r="V817" s="73"/>
      <c r="W817" s="73"/>
      <c r="X817" s="73"/>
      <c r="Y817" s="73"/>
      <c r="Z817" s="73"/>
    </row>
    <row r="818">
      <c r="A818" s="73"/>
      <c r="B818" s="73"/>
      <c r="C818" s="73"/>
      <c r="D818" s="73"/>
      <c r="E818" s="73"/>
      <c r="F818" s="73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73"/>
      <c r="U818" s="73"/>
      <c r="V818" s="73"/>
      <c r="W818" s="73"/>
      <c r="X818" s="73"/>
      <c r="Y818" s="73"/>
      <c r="Z818" s="73"/>
    </row>
    <row r="819">
      <c r="A819" s="73"/>
      <c r="B819" s="73"/>
      <c r="C819" s="73"/>
      <c r="D819" s="73"/>
      <c r="E819" s="73"/>
      <c r="F819" s="73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73"/>
      <c r="U819" s="73"/>
      <c r="V819" s="73"/>
      <c r="W819" s="73"/>
      <c r="X819" s="73"/>
      <c r="Y819" s="73"/>
      <c r="Z819" s="73"/>
    </row>
    <row r="820">
      <c r="A820" s="73"/>
      <c r="B820" s="73"/>
      <c r="C820" s="73"/>
      <c r="D820" s="73"/>
      <c r="E820" s="73"/>
      <c r="F820" s="73"/>
      <c r="G820" s="73"/>
      <c r="H820" s="73"/>
      <c r="I820" s="73"/>
      <c r="J820" s="73"/>
      <c r="K820" s="73"/>
      <c r="L820" s="73"/>
      <c r="M820" s="73"/>
      <c r="N820" s="73"/>
      <c r="O820" s="73"/>
      <c r="P820" s="73"/>
      <c r="Q820" s="73"/>
      <c r="R820" s="73"/>
      <c r="S820" s="73"/>
      <c r="T820" s="73"/>
      <c r="U820" s="73"/>
      <c r="V820" s="73"/>
      <c r="W820" s="73"/>
      <c r="X820" s="73"/>
      <c r="Y820" s="73"/>
      <c r="Z820" s="73"/>
    </row>
    <row r="821">
      <c r="A821" s="73"/>
      <c r="B821" s="73"/>
      <c r="C821" s="73"/>
      <c r="D821" s="73"/>
      <c r="E821" s="73"/>
      <c r="F821" s="73"/>
      <c r="G821" s="73"/>
      <c r="H821" s="73"/>
      <c r="I821" s="73"/>
      <c r="J821" s="73"/>
      <c r="K821" s="73"/>
      <c r="L821" s="73"/>
      <c r="M821" s="73"/>
      <c r="N821" s="73"/>
      <c r="O821" s="73"/>
      <c r="P821" s="73"/>
      <c r="Q821" s="73"/>
      <c r="R821" s="73"/>
      <c r="S821" s="73"/>
      <c r="T821" s="73"/>
      <c r="U821" s="73"/>
      <c r="V821" s="73"/>
      <c r="W821" s="73"/>
      <c r="X821" s="73"/>
      <c r="Y821" s="73"/>
      <c r="Z821" s="73"/>
    </row>
    <row r="822">
      <c r="A822" s="73"/>
      <c r="B822" s="73"/>
      <c r="C822" s="73"/>
      <c r="D822" s="73"/>
      <c r="E822" s="73"/>
      <c r="F822" s="73"/>
      <c r="G822" s="73"/>
      <c r="H822" s="73"/>
      <c r="I822" s="73"/>
      <c r="J822" s="73"/>
      <c r="K822" s="73"/>
      <c r="L822" s="73"/>
      <c r="M822" s="73"/>
      <c r="N822" s="73"/>
      <c r="O822" s="73"/>
      <c r="P822" s="73"/>
      <c r="Q822" s="73"/>
      <c r="R822" s="73"/>
      <c r="S822" s="73"/>
      <c r="T822" s="73"/>
      <c r="U822" s="73"/>
      <c r="V822" s="73"/>
      <c r="W822" s="73"/>
      <c r="X822" s="73"/>
      <c r="Y822" s="73"/>
      <c r="Z822" s="73"/>
    </row>
    <row r="823">
      <c r="A823" s="73"/>
      <c r="B823" s="73"/>
      <c r="C823" s="73"/>
      <c r="D823" s="73"/>
      <c r="E823" s="73"/>
      <c r="F823" s="73"/>
      <c r="G823" s="73"/>
      <c r="H823" s="73"/>
      <c r="I823" s="73"/>
      <c r="J823" s="73"/>
      <c r="K823" s="73"/>
      <c r="L823" s="73"/>
      <c r="M823" s="73"/>
      <c r="N823" s="73"/>
      <c r="O823" s="73"/>
      <c r="P823" s="73"/>
      <c r="Q823" s="73"/>
      <c r="R823" s="73"/>
      <c r="S823" s="73"/>
      <c r="T823" s="73"/>
      <c r="U823" s="73"/>
      <c r="V823" s="73"/>
      <c r="W823" s="73"/>
      <c r="X823" s="73"/>
      <c r="Y823" s="73"/>
      <c r="Z823" s="73"/>
    </row>
    <row r="824">
      <c r="A824" s="73"/>
      <c r="B824" s="73"/>
      <c r="C824" s="73"/>
      <c r="D824" s="73"/>
      <c r="E824" s="73"/>
      <c r="F824" s="73"/>
      <c r="G824" s="73"/>
      <c r="H824" s="73"/>
      <c r="I824" s="73"/>
      <c r="J824" s="73"/>
      <c r="K824" s="73"/>
      <c r="L824" s="73"/>
      <c r="M824" s="73"/>
      <c r="N824" s="73"/>
      <c r="O824" s="73"/>
      <c r="P824" s="73"/>
      <c r="Q824" s="73"/>
      <c r="R824" s="73"/>
      <c r="S824" s="73"/>
      <c r="T824" s="73"/>
      <c r="U824" s="73"/>
      <c r="V824" s="73"/>
      <c r="W824" s="73"/>
      <c r="X824" s="73"/>
      <c r="Y824" s="73"/>
      <c r="Z824" s="73"/>
    </row>
    <row r="825">
      <c r="A825" s="73"/>
      <c r="B825" s="73"/>
      <c r="C825" s="73"/>
      <c r="D825" s="73"/>
      <c r="E825" s="73"/>
      <c r="F825" s="73"/>
      <c r="G825" s="73"/>
      <c r="H825" s="73"/>
      <c r="I825" s="73"/>
      <c r="J825" s="73"/>
      <c r="K825" s="73"/>
      <c r="L825" s="73"/>
      <c r="M825" s="73"/>
      <c r="N825" s="73"/>
      <c r="O825" s="73"/>
      <c r="P825" s="73"/>
      <c r="Q825" s="73"/>
      <c r="R825" s="73"/>
      <c r="S825" s="73"/>
      <c r="T825" s="73"/>
      <c r="U825" s="73"/>
      <c r="V825" s="73"/>
      <c r="W825" s="73"/>
      <c r="X825" s="73"/>
      <c r="Y825" s="73"/>
      <c r="Z825" s="73"/>
    </row>
    <row r="826">
      <c r="A826" s="73"/>
      <c r="B826" s="73"/>
      <c r="C826" s="73"/>
      <c r="D826" s="73"/>
      <c r="E826" s="73"/>
      <c r="F826" s="73"/>
      <c r="G826" s="73"/>
      <c r="H826" s="73"/>
      <c r="I826" s="73"/>
      <c r="J826" s="73"/>
      <c r="K826" s="73"/>
      <c r="L826" s="73"/>
      <c r="M826" s="73"/>
      <c r="N826" s="73"/>
      <c r="O826" s="73"/>
      <c r="P826" s="73"/>
      <c r="Q826" s="73"/>
      <c r="R826" s="73"/>
      <c r="S826" s="73"/>
      <c r="T826" s="73"/>
      <c r="U826" s="73"/>
      <c r="V826" s="73"/>
      <c r="W826" s="73"/>
      <c r="X826" s="73"/>
      <c r="Y826" s="73"/>
      <c r="Z826" s="73"/>
    </row>
    <row r="827">
      <c r="A827" s="73"/>
      <c r="B827" s="73"/>
      <c r="C827" s="73"/>
      <c r="D827" s="73"/>
      <c r="E827" s="73"/>
      <c r="F827" s="73"/>
      <c r="G827" s="73"/>
      <c r="H827" s="73"/>
      <c r="I827" s="73"/>
      <c r="J827" s="73"/>
      <c r="K827" s="73"/>
      <c r="L827" s="73"/>
      <c r="M827" s="73"/>
      <c r="N827" s="73"/>
      <c r="O827" s="73"/>
      <c r="P827" s="73"/>
      <c r="Q827" s="73"/>
      <c r="R827" s="73"/>
      <c r="S827" s="73"/>
      <c r="T827" s="73"/>
      <c r="U827" s="73"/>
      <c r="V827" s="73"/>
      <c r="W827" s="73"/>
      <c r="X827" s="73"/>
      <c r="Y827" s="73"/>
      <c r="Z827" s="73"/>
    </row>
    <row r="828">
      <c r="A828" s="73"/>
      <c r="B828" s="73"/>
      <c r="C828" s="73"/>
      <c r="D828" s="73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  <c r="Z828" s="73"/>
    </row>
    <row r="829">
      <c r="A829" s="73"/>
      <c r="B829" s="73"/>
      <c r="C829" s="73"/>
      <c r="D829" s="73"/>
      <c r="E829" s="73"/>
      <c r="F829" s="73"/>
      <c r="G829" s="73"/>
      <c r="H829" s="73"/>
      <c r="I829" s="73"/>
      <c r="J829" s="73"/>
      <c r="K829" s="73"/>
      <c r="L829" s="73"/>
      <c r="M829" s="73"/>
      <c r="N829" s="73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3"/>
      <c r="Z829" s="73"/>
    </row>
    <row r="830">
      <c r="A830" s="73"/>
      <c r="B830" s="73"/>
      <c r="C830" s="73"/>
      <c r="D830" s="73"/>
      <c r="E830" s="73"/>
      <c r="F830" s="73"/>
      <c r="G830" s="73"/>
      <c r="H830" s="73"/>
      <c r="I830" s="73"/>
      <c r="J830" s="73"/>
      <c r="K830" s="73"/>
      <c r="L830" s="73"/>
      <c r="M830" s="73"/>
      <c r="N830" s="73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3"/>
      <c r="Z830" s="73"/>
    </row>
    <row r="831">
      <c r="A831" s="73"/>
      <c r="B831" s="73"/>
      <c r="C831" s="73"/>
      <c r="D831" s="73"/>
      <c r="E831" s="73"/>
      <c r="F831" s="73"/>
      <c r="G831" s="73"/>
      <c r="H831" s="73"/>
      <c r="I831" s="73"/>
      <c r="J831" s="73"/>
      <c r="K831" s="73"/>
      <c r="L831" s="73"/>
      <c r="M831" s="73"/>
      <c r="N831" s="73"/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3"/>
      <c r="Z831" s="73"/>
    </row>
    <row r="832">
      <c r="A832" s="73"/>
      <c r="B832" s="73"/>
      <c r="C832" s="73"/>
      <c r="D832" s="73"/>
      <c r="E832" s="73"/>
      <c r="F832" s="73"/>
      <c r="G832" s="73"/>
      <c r="H832" s="73"/>
      <c r="I832" s="73"/>
      <c r="J832" s="73"/>
      <c r="K832" s="73"/>
      <c r="L832" s="73"/>
      <c r="M832" s="73"/>
      <c r="N832" s="73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3"/>
      <c r="Z832" s="73"/>
    </row>
    <row r="833">
      <c r="A833" s="73"/>
      <c r="B833" s="73"/>
      <c r="C833" s="73"/>
      <c r="D833" s="73"/>
      <c r="E833" s="73"/>
      <c r="F833" s="73"/>
      <c r="G833" s="73"/>
      <c r="H833" s="73"/>
      <c r="I833" s="73"/>
      <c r="J833" s="73"/>
      <c r="K833" s="73"/>
      <c r="L833" s="73"/>
      <c r="M833" s="73"/>
      <c r="N833" s="73"/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3"/>
      <c r="Z833" s="73"/>
    </row>
    <row r="834">
      <c r="A834" s="73"/>
      <c r="B834" s="73"/>
      <c r="C834" s="73"/>
      <c r="D834" s="73"/>
      <c r="E834" s="73"/>
      <c r="F834" s="73"/>
      <c r="G834" s="73"/>
      <c r="H834" s="73"/>
      <c r="I834" s="73"/>
      <c r="J834" s="73"/>
      <c r="K834" s="73"/>
      <c r="L834" s="73"/>
      <c r="M834" s="73"/>
      <c r="N834" s="73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3"/>
      <c r="Z834" s="73"/>
    </row>
    <row r="835">
      <c r="A835" s="73"/>
      <c r="B835" s="73"/>
      <c r="C835" s="73"/>
      <c r="D835" s="73"/>
      <c r="E835" s="73"/>
      <c r="F835" s="73"/>
      <c r="G835" s="73"/>
      <c r="H835" s="73"/>
      <c r="I835" s="73"/>
      <c r="J835" s="73"/>
      <c r="K835" s="73"/>
      <c r="L835" s="73"/>
      <c r="M835" s="73"/>
      <c r="N835" s="73"/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3"/>
      <c r="Z835" s="73"/>
    </row>
    <row r="836">
      <c r="A836" s="73"/>
      <c r="B836" s="73"/>
      <c r="C836" s="73"/>
      <c r="D836" s="73"/>
      <c r="E836" s="73"/>
      <c r="F836" s="73"/>
      <c r="G836" s="73"/>
      <c r="H836" s="73"/>
      <c r="I836" s="73"/>
      <c r="J836" s="73"/>
      <c r="K836" s="73"/>
      <c r="L836" s="73"/>
      <c r="M836" s="73"/>
      <c r="N836" s="73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3"/>
      <c r="Z836" s="73"/>
    </row>
    <row r="837">
      <c r="A837" s="73"/>
      <c r="B837" s="73"/>
      <c r="C837" s="73"/>
      <c r="D837" s="73"/>
      <c r="E837" s="73"/>
      <c r="F837" s="73"/>
      <c r="G837" s="73"/>
      <c r="H837" s="73"/>
      <c r="I837" s="73"/>
      <c r="J837" s="73"/>
      <c r="K837" s="73"/>
      <c r="L837" s="73"/>
      <c r="M837" s="73"/>
      <c r="N837" s="73"/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3"/>
      <c r="Z837" s="73"/>
    </row>
    <row r="838">
      <c r="A838" s="73"/>
      <c r="B838" s="73"/>
      <c r="C838" s="73"/>
      <c r="D838" s="73"/>
      <c r="E838" s="73"/>
      <c r="F838" s="73"/>
      <c r="G838" s="73"/>
      <c r="H838" s="73"/>
      <c r="I838" s="73"/>
      <c r="J838" s="73"/>
      <c r="K838" s="73"/>
      <c r="L838" s="73"/>
      <c r="M838" s="73"/>
      <c r="N838" s="73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3"/>
      <c r="Z838" s="73"/>
    </row>
    <row r="839">
      <c r="A839" s="73"/>
      <c r="B839" s="73"/>
      <c r="C839" s="73"/>
      <c r="D839" s="73"/>
      <c r="E839" s="73"/>
      <c r="F839" s="73"/>
      <c r="G839" s="73"/>
      <c r="H839" s="73"/>
      <c r="I839" s="73"/>
      <c r="J839" s="73"/>
      <c r="K839" s="73"/>
      <c r="L839" s="73"/>
      <c r="M839" s="73"/>
      <c r="N839" s="73"/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3"/>
      <c r="Z839" s="73"/>
    </row>
    <row r="840">
      <c r="A840" s="73"/>
      <c r="B840" s="73"/>
      <c r="C840" s="73"/>
      <c r="D840" s="73"/>
      <c r="E840" s="73"/>
      <c r="F840" s="73"/>
      <c r="G840" s="73"/>
      <c r="H840" s="73"/>
      <c r="I840" s="73"/>
      <c r="J840" s="73"/>
      <c r="K840" s="73"/>
      <c r="L840" s="73"/>
      <c r="M840" s="73"/>
      <c r="N840" s="73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3"/>
      <c r="Z840" s="73"/>
    </row>
    <row r="841">
      <c r="A841" s="73"/>
      <c r="B841" s="73"/>
      <c r="C841" s="73"/>
      <c r="D841" s="73"/>
      <c r="E841" s="73"/>
      <c r="F841" s="73"/>
      <c r="G841" s="73"/>
      <c r="H841" s="73"/>
      <c r="I841" s="73"/>
      <c r="J841" s="73"/>
      <c r="K841" s="73"/>
      <c r="L841" s="73"/>
      <c r="M841" s="73"/>
      <c r="N841" s="73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3"/>
      <c r="Z841" s="73"/>
    </row>
    <row r="842">
      <c r="A842" s="73"/>
      <c r="B842" s="73"/>
      <c r="C842" s="73"/>
      <c r="D842" s="73"/>
      <c r="E842" s="73"/>
      <c r="F842" s="73"/>
      <c r="G842" s="73"/>
      <c r="H842" s="73"/>
      <c r="I842" s="73"/>
      <c r="J842" s="73"/>
      <c r="K842" s="73"/>
      <c r="L842" s="73"/>
      <c r="M842" s="73"/>
      <c r="N842" s="73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3"/>
      <c r="Z842" s="73"/>
    </row>
    <row r="843">
      <c r="A843" s="73"/>
      <c r="B843" s="73"/>
      <c r="C843" s="73"/>
      <c r="D843" s="73"/>
      <c r="E843" s="73"/>
      <c r="F843" s="73"/>
      <c r="G843" s="73"/>
      <c r="H843" s="73"/>
      <c r="I843" s="73"/>
      <c r="J843" s="73"/>
      <c r="K843" s="73"/>
      <c r="L843" s="73"/>
      <c r="M843" s="73"/>
      <c r="N843" s="7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3"/>
      <c r="Z843" s="73"/>
    </row>
    <row r="844">
      <c r="A844" s="73"/>
      <c r="B844" s="73"/>
      <c r="C844" s="73"/>
      <c r="D844" s="73"/>
      <c r="E844" s="73"/>
      <c r="F844" s="73"/>
      <c r="G844" s="73"/>
      <c r="H844" s="73"/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</row>
    <row r="845">
      <c r="A845" s="73"/>
      <c r="B845" s="73"/>
      <c r="C845" s="73"/>
      <c r="D845" s="73"/>
      <c r="E845" s="73"/>
      <c r="F845" s="73"/>
      <c r="G845" s="73"/>
      <c r="H845" s="73"/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</row>
    <row r="846">
      <c r="A846" s="73"/>
      <c r="B846" s="73"/>
      <c r="C846" s="73"/>
      <c r="D846" s="73"/>
      <c r="E846" s="73"/>
      <c r="F846" s="73"/>
      <c r="G846" s="73"/>
      <c r="H846" s="73"/>
      <c r="I846" s="73"/>
      <c r="J846" s="73"/>
      <c r="K846" s="73"/>
      <c r="L846" s="73"/>
      <c r="M846" s="73"/>
      <c r="N846" s="73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3"/>
      <c r="Z846" s="73"/>
    </row>
    <row r="847">
      <c r="A847" s="73"/>
      <c r="B847" s="73"/>
      <c r="C847" s="73"/>
      <c r="D847" s="73"/>
      <c r="E847" s="73"/>
      <c r="F847" s="73"/>
      <c r="G847" s="73"/>
      <c r="H847" s="73"/>
      <c r="I847" s="73"/>
      <c r="J847" s="73"/>
      <c r="K847" s="73"/>
      <c r="L847" s="73"/>
      <c r="M847" s="73"/>
      <c r="N847" s="73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3"/>
      <c r="Z847" s="73"/>
    </row>
    <row r="848">
      <c r="A848" s="73"/>
      <c r="B848" s="73"/>
      <c r="C848" s="73"/>
      <c r="D848" s="73"/>
      <c r="E848" s="73"/>
      <c r="F848" s="73"/>
      <c r="G848" s="73"/>
      <c r="H848" s="73"/>
      <c r="I848" s="73"/>
      <c r="J848" s="73"/>
      <c r="K848" s="73"/>
      <c r="L848" s="73"/>
      <c r="M848" s="73"/>
      <c r="N848" s="73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3"/>
      <c r="Z848" s="73"/>
    </row>
    <row r="849">
      <c r="A849" s="73"/>
      <c r="B849" s="73"/>
      <c r="C849" s="73"/>
      <c r="D849" s="73"/>
      <c r="E849" s="73"/>
      <c r="F849" s="73"/>
      <c r="G849" s="73"/>
      <c r="H849" s="73"/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</row>
    <row r="850">
      <c r="A850" s="73"/>
      <c r="B850" s="73"/>
      <c r="C850" s="73"/>
      <c r="D850" s="73"/>
      <c r="E850" s="73"/>
      <c r="F850" s="73"/>
      <c r="G850" s="73"/>
      <c r="H850" s="73"/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</row>
    <row r="851">
      <c r="A851" s="73"/>
      <c r="B851" s="73"/>
      <c r="C851" s="73"/>
      <c r="D851" s="73"/>
      <c r="E851" s="73"/>
      <c r="F851" s="73"/>
      <c r="G851" s="73"/>
      <c r="H851" s="73"/>
      <c r="I851" s="73"/>
      <c r="J851" s="73"/>
      <c r="K851" s="73"/>
      <c r="L851" s="73"/>
      <c r="M851" s="73"/>
      <c r="N851" s="73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3"/>
      <c r="Z851" s="73"/>
    </row>
    <row r="852">
      <c r="A852" s="73"/>
      <c r="B852" s="73"/>
      <c r="C852" s="73"/>
      <c r="D852" s="73"/>
      <c r="E852" s="73"/>
      <c r="F852" s="73"/>
      <c r="G852" s="73"/>
      <c r="H852" s="73"/>
      <c r="I852" s="73"/>
      <c r="J852" s="73"/>
      <c r="K852" s="73"/>
      <c r="L852" s="73"/>
      <c r="M852" s="73"/>
      <c r="N852" s="73"/>
      <c r="O852" s="73"/>
      <c r="P852" s="73"/>
      <c r="Q852" s="73"/>
      <c r="R852" s="73"/>
      <c r="S852" s="73"/>
      <c r="T852" s="73"/>
      <c r="U852" s="73"/>
      <c r="V852" s="73"/>
      <c r="W852" s="73"/>
      <c r="X852" s="73"/>
      <c r="Y852" s="73"/>
      <c r="Z852" s="73"/>
    </row>
    <row r="853">
      <c r="A853" s="73"/>
      <c r="B853" s="73"/>
      <c r="C853" s="73"/>
      <c r="D853" s="73"/>
      <c r="E853" s="73"/>
      <c r="F853" s="73"/>
      <c r="G853" s="73"/>
      <c r="H853" s="73"/>
      <c r="I853" s="73"/>
      <c r="J853" s="73"/>
      <c r="K853" s="73"/>
      <c r="L853" s="73"/>
      <c r="M853" s="73"/>
      <c r="N853" s="73"/>
      <c r="O853" s="73"/>
      <c r="P853" s="73"/>
      <c r="Q853" s="73"/>
      <c r="R853" s="73"/>
      <c r="S853" s="73"/>
      <c r="T853" s="73"/>
      <c r="U853" s="73"/>
      <c r="V853" s="73"/>
      <c r="W853" s="73"/>
      <c r="X853" s="73"/>
      <c r="Y853" s="73"/>
      <c r="Z853" s="73"/>
    </row>
    <row r="854">
      <c r="A854" s="73"/>
      <c r="B854" s="73"/>
      <c r="C854" s="73"/>
      <c r="D854" s="73"/>
      <c r="E854" s="73"/>
      <c r="F854" s="73"/>
      <c r="G854" s="73"/>
      <c r="H854" s="73"/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3"/>
      <c r="Z854" s="73"/>
    </row>
    <row r="855">
      <c r="A855" s="73"/>
      <c r="B855" s="73"/>
      <c r="C855" s="73"/>
      <c r="D855" s="73"/>
      <c r="E855" s="73"/>
      <c r="F855" s="73"/>
      <c r="G855" s="73"/>
      <c r="H855" s="73"/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3"/>
      <c r="Z855" s="73"/>
    </row>
    <row r="856">
      <c r="A856" s="73"/>
      <c r="B856" s="73"/>
      <c r="C856" s="73"/>
      <c r="D856" s="73"/>
      <c r="E856" s="73"/>
      <c r="F856" s="73"/>
      <c r="G856" s="73"/>
      <c r="H856" s="73"/>
      <c r="I856" s="73"/>
      <c r="J856" s="73"/>
      <c r="K856" s="73"/>
      <c r="L856" s="73"/>
      <c r="M856" s="73"/>
      <c r="N856" s="73"/>
      <c r="O856" s="73"/>
      <c r="P856" s="73"/>
      <c r="Q856" s="73"/>
      <c r="R856" s="73"/>
      <c r="S856" s="73"/>
      <c r="T856" s="73"/>
      <c r="U856" s="73"/>
      <c r="V856" s="73"/>
      <c r="W856" s="73"/>
      <c r="X856" s="73"/>
      <c r="Y856" s="73"/>
      <c r="Z856" s="73"/>
    </row>
    <row r="857">
      <c r="A857" s="73"/>
      <c r="B857" s="73"/>
      <c r="C857" s="73"/>
      <c r="D857" s="73"/>
      <c r="E857" s="73"/>
      <c r="F857" s="73"/>
      <c r="G857" s="73"/>
      <c r="H857" s="73"/>
      <c r="I857" s="73"/>
      <c r="J857" s="73"/>
      <c r="K857" s="73"/>
      <c r="L857" s="73"/>
      <c r="M857" s="73"/>
      <c r="N857" s="73"/>
      <c r="O857" s="73"/>
      <c r="P857" s="73"/>
      <c r="Q857" s="73"/>
      <c r="R857" s="73"/>
      <c r="S857" s="73"/>
      <c r="T857" s="73"/>
      <c r="U857" s="73"/>
      <c r="V857" s="73"/>
      <c r="W857" s="73"/>
      <c r="X857" s="73"/>
      <c r="Y857" s="73"/>
      <c r="Z857" s="73"/>
    </row>
    <row r="858">
      <c r="A858" s="73"/>
      <c r="B858" s="73"/>
      <c r="C858" s="73"/>
      <c r="D858" s="73"/>
      <c r="E858" s="73"/>
      <c r="F858" s="73"/>
      <c r="G858" s="73"/>
      <c r="H858" s="73"/>
      <c r="I858" s="73"/>
      <c r="J858" s="73"/>
      <c r="K858" s="73"/>
      <c r="L858" s="73"/>
      <c r="M858" s="73"/>
      <c r="N858" s="73"/>
      <c r="O858" s="73"/>
      <c r="P858" s="73"/>
      <c r="Q858" s="73"/>
      <c r="R858" s="73"/>
      <c r="S858" s="73"/>
      <c r="T858" s="73"/>
      <c r="U858" s="73"/>
      <c r="V858" s="73"/>
      <c r="W858" s="73"/>
      <c r="X858" s="73"/>
      <c r="Y858" s="73"/>
      <c r="Z858" s="73"/>
    </row>
    <row r="859">
      <c r="A859" s="73"/>
      <c r="B859" s="73"/>
      <c r="C859" s="73"/>
      <c r="D859" s="73"/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3"/>
      <c r="Z859" s="73"/>
    </row>
    <row r="860">
      <c r="A860" s="73"/>
      <c r="B860" s="73"/>
      <c r="C860" s="73"/>
      <c r="D860" s="73"/>
      <c r="E860" s="73"/>
      <c r="F860" s="73"/>
      <c r="G860" s="73"/>
      <c r="H860" s="73"/>
      <c r="I860" s="73"/>
      <c r="J860" s="73"/>
      <c r="K860" s="73"/>
      <c r="L860" s="73"/>
      <c r="M860" s="73"/>
      <c r="N860" s="73"/>
      <c r="O860" s="73"/>
      <c r="P860" s="73"/>
      <c r="Q860" s="73"/>
      <c r="R860" s="73"/>
      <c r="S860" s="73"/>
      <c r="T860" s="73"/>
      <c r="U860" s="73"/>
      <c r="V860" s="73"/>
      <c r="W860" s="73"/>
      <c r="X860" s="73"/>
      <c r="Y860" s="73"/>
      <c r="Z860" s="73"/>
    </row>
    <row r="861">
      <c r="A861" s="73"/>
      <c r="B861" s="73"/>
      <c r="C861" s="73"/>
      <c r="D861" s="73"/>
      <c r="E861" s="73"/>
      <c r="F861" s="73"/>
      <c r="G861" s="73"/>
      <c r="H861" s="73"/>
      <c r="I861" s="73"/>
      <c r="J861" s="73"/>
      <c r="K861" s="73"/>
      <c r="L861" s="73"/>
      <c r="M861" s="73"/>
      <c r="N861" s="73"/>
      <c r="O861" s="73"/>
      <c r="P861" s="73"/>
      <c r="Q861" s="73"/>
      <c r="R861" s="73"/>
      <c r="S861" s="73"/>
      <c r="T861" s="73"/>
      <c r="U861" s="73"/>
      <c r="V861" s="73"/>
      <c r="W861" s="73"/>
      <c r="X861" s="73"/>
      <c r="Y861" s="73"/>
      <c r="Z861" s="73"/>
    </row>
    <row r="862">
      <c r="A862" s="73"/>
      <c r="B862" s="73"/>
      <c r="C862" s="73"/>
      <c r="D862" s="73"/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3"/>
      <c r="Z862" s="73"/>
    </row>
    <row r="863">
      <c r="A863" s="73"/>
      <c r="B863" s="73"/>
      <c r="C863" s="73"/>
      <c r="D863" s="73"/>
      <c r="E863" s="73"/>
      <c r="F863" s="73"/>
      <c r="G863" s="73"/>
      <c r="H863" s="73"/>
      <c r="I863" s="73"/>
      <c r="J863" s="73"/>
      <c r="K863" s="73"/>
      <c r="L863" s="73"/>
      <c r="M863" s="73"/>
      <c r="N863" s="73"/>
      <c r="O863" s="73"/>
      <c r="P863" s="73"/>
      <c r="Q863" s="73"/>
      <c r="R863" s="73"/>
      <c r="S863" s="73"/>
      <c r="T863" s="73"/>
      <c r="U863" s="73"/>
      <c r="V863" s="73"/>
      <c r="W863" s="73"/>
      <c r="X863" s="73"/>
      <c r="Y863" s="73"/>
      <c r="Z863" s="73"/>
    </row>
    <row r="864">
      <c r="A864" s="73"/>
      <c r="B864" s="73"/>
      <c r="C864" s="73"/>
      <c r="D864" s="73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  <c r="Z864" s="73"/>
    </row>
    <row r="865">
      <c r="A865" s="73"/>
      <c r="B865" s="73"/>
      <c r="C865" s="73"/>
      <c r="D865" s="73"/>
      <c r="E865" s="73"/>
      <c r="F865" s="73"/>
      <c r="G865" s="73"/>
      <c r="H865" s="73"/>
      <c r="I865" s="73"/>
      <c r="J865" s="73"/>
      <c r="K865" s="73"/>
      <c r="L865" s="73"/>
      <c r="M865" s="73"/>
      <c r="N865" s="73"/>
      <c r="O865" s="73"/>
      <c r="P865" s="73"/>
      <c r="Q865" s="73"/>
      <c r="R865" s="73"/>
      <c r="S865" s="73"/>
      <c r="T865" s="73"/>
      <c r="U865" s="73"/>
      <c r="V865" s="73"/>
      <c r="W865" s="73"/>
      <c r="X865" s="73"/>
      <c r="Y865" s="73"/>
      <c r="Z865" s="73"/>
    </row>
    <row r="866">
      <c r="A866" s="73"/>
      <c r="B866" s="73"/>
      <c r="C866" s="73"/>
      <c r="D866" s="73"/>
      <c r="E866" s="73"/>
      <c r="F866" s="73"/>
      <c r="G866" s="73"/>
      <c r="H866" s="73"/>
      <c r="I866" s="73"/>
      <c r="J866" s="73"/>
      <c r="K866" s="73"/>
      <c r="L866" s="73"/>
      <c r="M866" s="73"/>
      <c r="N866" s="73"/>
      <c r="O866" s="73"/>
      <c r="P866" s="73"/>
      <c r="Q866" s="73"/>
      <c r="R866" s="73"/>
      <c r="S866" s="73"/>
      <c r="T866" s="73"/>
      <c r="U866" s="73"/>
      <c r="V866" s="73"/>
      <c r="W866" s="73"/>
      <c r="X866" s="73"/>
      <c r="Y866" s="73"/>
      <c r="Z866" s="73"/>
    </row>
    <row r="867">
      <c r="A867" s="73"/>
      <c r="B867" s="73"/>
      <c r="C867" s="73"/>
      <c r="D867" s="73"/>
      <c r="E867" s="73"/>
      <c r="F867" s="73"/>
      <c r="G867" s="73"/>
      <c r="H867" s="73"/>
      <c r="I867" s="73"/>
      <c r="J867" s="73"/>
      <c r="K867" s="73"/>
      <c r="L867" s="73"/>
      <c r="M867" s="73"/>
      <c r="N867" s="73"/>
      <c r="O867" s="73"/>
      <c r="P867" s="73"/>
      <c r="Q867" s="73"/>
      <c r="R867" s="73"/>
      <c r="S867" s="73"/>
      <c r="T867" s="73"/>
      <c r="U867" s="73"/>
      <c r="V867" s="73"/>
      <c r="W867" s="73"/>
      <c r="X867" s="73"/>
      <c r="Y867" s="73"/>
      <c r="Z867" s="73"/>
    </row>
    <row r="868">
      <c r="A868" s="73"/>
      <c r="B868" s="73"/>
      <c r="C868" s="73"/>
      <c r="D868" s="73"/>
      <c r="E868" s="73"/>
      <c r="F868" s="73"/>
      <c r="G868" s="73"/>
      <c r="H868" s="73"/>
      <c r="I868" s="73"/>
      <c r="J868" s="73"/>
      <c r="K868" s="73"/>
      <c r="L868" s="73"/>
      <c r="M868" s="73"/>
      <c r="N868" s="73"/>
      <c r="O868" s="73"/>
      <c r="P868" s="73"/>
      <c r="Q868" s="73"/>
      <c r="R868" s="73"/>
      <c r="S868" s="73"/>
      <c r="T868" s="73"/>
      <c r="U868" s="73"/>
      <c r="V868" s="73"/>
      <c r="W868" s="73"/>
      <c r="X868" s="73"/>
      <c r="Y868" s="73"/>
      <c r="Z868" s="73"/>
    </row>
    <row r="869">
      <c r="A869" s="73"/>
      <c r="B869" s="73"/>
      <c r="C869" s="73"/>
      <c r="D869" s="73"/>
      <c r="E869" s="73"/>
      <c r="F869" s="73"/>
      <c r="G869" s="73"/>
      <c r="H869" s="73"/>
      <c r="I869" s="73"/>
      <c r="J869" s="73"/>
      <c r="K869" s="73"/>
      <c r="L869" s="73"/>
      <c r="M869" s="73"/>
      <c r="N869" s="73"/>
      <c r="O869" s="73"/>
      <c r="P869" s="73"/>
      <c r="Q869" s="73"/>
      <c r="R869" s="73"/>
      <c r="S869" s="73"/>
      <c r="T869" s="73"/>
      <c r="U869" s="73"/>
      <c r="V869" s="73"/>
      <c r="W869" s="73"/>
      <c r="X869" s="73"/>
      <c r="Y869" s="73"/>
      <c r="Z869" s="73"/>
    </row>
    <row r="870">
      <c r="A870" s="73"/>
      <c r="B870" s="73"/>
      <c r="C870" s="73"/>
      <c r="D870" s="73"/>
      <c r="E870" s="73"/>
      <c r="F870" s="73"/>
      <c r="G870" s="73"/>
      <c r="H870" s="73"/>
      <c r="I870" s="73"/>
      <c r="J870" s="73"/>
      <c r="K870" s="73"/>
      <c r="L870" s="73"/>
      <c r="M870" s="73"/>
      <c r="N870" s="73"/>
      <c r="O870" s="73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</row>
    <row r="871">
      <c r="A871" s="73"/>
      <c r="B871" s="73"/>
      <c r="C871" s="73"/>
      <c r="D871" s="73"/>
      <c r="E871" s="73"/>
      <c r="F871" s="73"/>
      <c r="G871" s="73"/>
      <c r="H871" s="73"/>
      <c r="I871" s="73"/>
      <c r="J871" s="73"/>
      <c r="K871" s="73"/>
      <c r="L871" s="73"/>
      <c r="M871" s="73"/>
      <c r="N871" s="73"/>
      <c r="O871" s="73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</row>
    <row r="872">
      <c r="A872" s="73"/>
      <c r="B872" s="73"/>
      <c r="C872" s="73"/>
      <c r="D872" s="73"/>
      <c r="E872" s="73"/>
      <c r="F872" s="73"/>
      <c r="G872" s="73"/>
      <c r="H872" s="73"/>
      <c r="I872" s="73"/>
      <c r="J872" s="73"/>
      <c r="K872" s="73"/>
      <c r="L872" s="73"/>
      <c r="M872" s="73"/>
      <c r="N872" s="73"/>
      <c r="O872" s="73"/>
      <c r="P872" s="73"/>
      <c r="Q872" s="73"/>
      <c r="R872" s="73"/>
      <c r="S872" s="73"/>
      <c r="T872" s="73"/>
      <c r="U872" s="73"/>
      <c r="V872" s="73"/>
      <c r="W872" s="73"/>
      <c r="X872" s="73"/>
      <c r="Y872" s="73"/>
      <c r="Z872" s="73"/>
    </row>
    <row r="873">
      <c r="A873" s="73"/>
      <c r="B873" s="73"/>
      <c r="C873" s="73"/>
      <c r="D873" s="73"/>
      <c r="E873" s="73"/>
      <c r="F873" s="73"/>
      <c r="G873" s="73"/>
      <c r="H873" s="73"/>
      <c r="I873" s="73"/>
      <c r="J873" s="73"/>
      <c r="K873" s="73"/>
      <c r="L873" s="73"/>
      <c r="M873" s="73"/>
      <c r="N873" s="73"/>
      <c r="O873" s="73"/>
      <c r="P873" s="73"/>
      <c r="Q873" s="73"/>
      <c r="R873" s="73"/>
      <c r="S873" s="73"/>
      <c r="T873" s="73"/>
      <c r="U873" s="73"/>
      <c r="V873" s="73"/>
      <c r="W873" s="73"/>
      <c r="X873" s="73"/>
      <c r="Y873" s="73"/>
      <c r="Z873" s="73"/>
    </row>
    <row r="874">
      <c r="A874" s="73"/>
      <c r="B874" s="73"/>
      <c r="C874" s="73"/>
      <c r="D874" s="73"/>
      <c r="E874" s="73"/>
      <c r="F874" s="73"/>
      <c r="G874" s="73"/>
      <c r="H874" s="73"/>
      <c r="I874" s="73"/>
      <c r="J874" s="73"/>
      <c r="K874" s="73"/>
      <c r="L874" s="73"/>
      <c r="M874" s="73"/>
      <c r="N874" s="73"/>
      <c r="O874" s="73"/>
      <c r="P874" s="73"/>
      <c r="Q874" s="73"/>
      <c r="R874" s="73"/>
      <c r="S874" s="73"/>
      <c r="T874" s="73"/>
      <c r="U874" s="73"/>
      <c r="V874" s="73"/>
      <c r="W874" s="73"/>
      <c r="X874" s="73"/>
      <c r="Y874" s="73"/>
      <c r="Z874" s="73"/>
    </row>
    <row r="875">
      <c r="A875" s="73"/>
      <c r="B875" s="73"/>
      <c r="C875" s="73"/>
      <c r="D875" s="73"/>
      <c r="E875" s="73"/>
      <c r="F875" s="73"/>
      <c r="G875" s="73"/>
      <c r="H875" s="73"/>
      <c r="I875" s="73"/>
      <c r="J875" s="73"/>
      <c r="K875" s="73"/>
      <c r="L875" s="73"/>
      <c r="M875" s="73"/>
      <c r="N875" s="73"/>
      <c r="O875" s="73"/>
      <c r="P875" s="73"/>
      <c r="Q875" s="73"/>
      <c r="R875" s="73"/>
      <c r="S875" s="73"/>
      <c r="T875" s="73"/>
      <c r="U875" s="73"/>
      <c r="V875" s="73"/>
      <c r="W875" s="73"/>
      <c r="X875" s="73"/>
      <c r="Y875" s="73"/>
      <c r="Z875" s="73"/>
    </row>
    <row r="876">
      <c r="A876" s="73"/>
      <c r="B876" s="73"/>
      <c r="C876" s="73"/>
      <c r="D876" s="73"/>
      <c r="E876" s="73"/>
      <c r="F876" s="73"/>
      <c r="G876" s="73"/>
      <c r="H876" s="73"/>
      <c r="I876" s="73"/>
      <c r="J876" s="73"/>
      <c r="K876" s="73"/>
      <c r="L876" s="73"/>
      <c r="M876" s="73"/>
      <c r="N876" s="73"/>
      <c r="O876" s="73"/>
      <c r="P876" s="73"/>
      <c r="Q876" s="73"/>
      <c r="R876" s="73"/>
      <c r="S876" s="73"/>
      <c r="T876" s="73"/>
      <c r="U876" s="73"/>
      <c r="V876" s="73"/>
      <c r="W876" s="73"/>
      <c r="X876" s="73"/>
      <c r="Y876" s="73"/>
      <c r="Z876" s="73"/>
    </row>
    <row r="877">
      <c r="A877" s="73"/>
      <c r="B877" s="73"/>
      <c r="C877" s="73"/>
      <c r="D877" s="73"/>
      <c r="E877" s="73"/>
      <c r="F877" s="73"/>
      <c r="G877" s="73"/>
      <c r="H877" s="73"/>
      <c r="I877" s="73"/>
      <c r="J877" s="73"/>
      <c r="K877" s="73"/>
      <c r="L877" s="73"/>
      <c r="M877" s="73"/>
      <c r="N877" s="73"/>
      <c r="O877" s="73"/>
      <c r="P877" s="73"/>
      <c r="Q877" s="73"/>
      <c r="R877" s="73"/>
      <c r="S877" s="73"/>
      <c r="T877" s="73"/>
      <c r="U877" s="73"/>
      <c r="V877" s="73"/>
      <c r="W877" s="73"/>
      <c r="X877" s="73"/>
      <c r="Y877" s="73"/>
      <c r="Z877" s="73"/>
    </row>
    <row r="878">
      <c r="A878" s="73"/>
      <c r="B878" s="73"/>
      <c r="C878" s="73"/>
      <c r="D878" s="73"/>
      <c r="E878" s="73"/>
      <c r="F878" s="73"/>
      <c r="G878" s="73"/>
      <c r="H878" s="73"/>
      <c r="I878" s="73"/>
      <c r="J878" s="73"/>
      <c r="K878" s="73"/>
      <c r="L878" s="73"/>
      <c r="M878" s="73"/>
      <c r="N878" s="73"/>
      <c r="O878" s="73"/>
      <c r="P878" s="73"/>
      <c r="Q878" s="73"/>
      <c r="R878" s="73"/>
      <c r="S878" s="73"/>
      <c r="T878" s="73"/>
      <c r="U878" s="73"/>
      <c r="V878" s="73"/>
      <c r="W878" s="73"/>
      <c r="X878" s="73"/>
      <c r="Y878" s="73"/>
      <c r="Z878" s="73"/>
    </row>
    <row r="879">
      <c r="A879" s="73"/>
      <c r="B879" s="73"/>
      <c r="C879" s="73"/>
      <c r="D879" s="73"/>
      <c r="E879" s="73"/>
      <c r="F879" s="73"/>
      <c r="G879" s="73"/>
      <c r="H879" s="73"/>
      <c r="I879" s="73"/>
      <c r="J879" s="73"/>
      <c r="K879" s="73"/>
      <c r="L879" s="73"/>
      <c r="M879" s="73"/>
      <c r="N879" s="73"/>
      <c r="O879" s="73"/>
      <c r="P879" s="73"/>
      <c r="Q879" s="73"/>
      <c r="R879" s="73"/>
      <c r="S879" s="73"/>
      <c r="T879" s="73"/>
      <c r="U879" s="73"/>
      <c r="V879" s="73"/>
      <c r="W879" s="73"/>
      <c r="X879" s="73"/>
      <c r="Y879" s="73"/>
      <c r="Z879" s="73"/>
    </row>
    <row r="880">
      <c r="A880" s="73"/>
      <c r="B880" s="73"/>
      <c r="C880" s="73"/>
      <c r="D880" s="73"/>
      <c r="E880" s="73"/>
      <c r="F880" s="73"/>
      <c r="G880" s="73"/>
      <c r="H880" s="73"/>
      <c r="I880" s="73"/>
      <c r="J880" s="73"/>
      <c r="K880" s="73"/>
      <c r="L880" s="73"/>
      <c r="M880" s="73"/>
      <c r="N880" s="73"/>
      <c r="O880" s="73"/>
      <c r="P880" s="73"/>
      <c r="Q880" s="73"/>
      <c r="R880" s="73"/>
      <c r="S880" s="73"/>
      <c r="T880" s="73"/>
      <c r="U880" s="73"/>
      <c r="V880" s="73"/>
      <c r="W880" s="73"/>
      <c r="X880" s="73"/>
      <c r="Y880" s="73"/>
      <c r="Z880" s="73"/>
    </row>
    <row r="881">
      <c r="A881" s="73"/>
      <c r="B881" s="73"/>
      <c r="C881" s="73"/>
      <c r="D881" s="73"/>
      <c r="E881" s="73"/>
      <c r="F881" s="73"/>
      <c r="G881" s="73"/>
      <c r="H881" s="73"/>
      <c r="I881" s="73"/>
      <c r="J881" s="73"/>
      <c r="K881" s="73"/>
      <c r="L881" s="73"/>
      <c r="M881" s="73"/>
      <c r="N881" s="73"/>
      <c r="O881" s="73"/>
      <c r="P881" s="73"/>
      <c r="Q881" s="73"/>
      <c r="R881" s="73"/>
      <c r="S881" s="73"/>
      <c r="T881" s="73"/>
      <c r="U881" s="73"/>
      <c r="V881" s="73"/>
      <c r="W881" s="73"/>
      <c r="X881" s="73"/>
      <c r="Y881" s="73"/>
      <c r="Z881" s="73"/>
    </row>
    <row r="882">
      <c r="A882" s="73"/>
      <c r="B882" s="73"/>
      <c r="C882" s="73"/>
      <c r="D882" s="73"/>
      <c r="E882" s="73"/>
      <c r="F882" s="73"/>
      <c r="G882" s="73"/>
      <c r="H882" s="73"/>
      <c r="I882" s="73"/>
      <c r="J882" s="73"/>
      <c r="K882" s="73"/>
      <c r="L882" s="73"/>
      <c r="M882" s="73"/>
      <c r="N882" s="73"/>
      <c r="O882" s="73"/>
      <c r="P882" s="73"/>
      <c r="Q882" s="73"/>
      <c r="R882" s="73"/>
      <c r="S882" s="73"/>
      <c r="T882" s="73"/>
      <c r="U882" s="73"/>
      <c r="V882" s="73"/>
      <c r="W882" s="73"/>
      <c r="X882" s="73"/>
      <c r="Y882" s="73"/>
      <c r="Z882" s="73"/>
    </row>
    <row r="883">
      <c r="A883" s="73"/>
      <c r="B883" s="73"/>
      <c r="C883" s="73"/>
      <c r="D883" s="73"/>
      <c r="E883" s="73"/>
      <c r="F883" s="73"/>
      <c r="G883" s="73"/>
      <c r="H883" s="73"/>
      <c r="I883" s="73"/>
      <c r="J883" s="73"/>
      <c r="K883" s="73"/>
      <c r="L883" s="73"/>
      <c r="M883" s="73"/>
      <c r="N883" s="73"/>
      <c r="O883" s="73"/>
      <c r="P883" s="73"/>
      <c r="Q883" s="73"/>
      <c r="R883" s="73"/>
      <c r="S883" s="73"/>
      <c r="T883" s="73"/>
      <c r="U883" s="73"/>
      <c r="V883" s="73"/>
      <c r="W883" s="73"/>
      <c r="X883" s="73"/>
      <c r="Y883" s="73"/>
      <c r="Z883" s="73"/>
    </row>
    <row r="884">
      <c r="A884" s="73"/>
      <c r="B884" s="73"/>
      <c r="C884" s="73"/>
      <c r="D884" s="73"/>
      <c r="E884" s="73"/>
      <c r="F884" s="73"/>
      <c r="G884" s="73"/>
      <c r="H884" s="73"/>
      <c r="I884" s="73"/>
      <c r="J884" s="73"/>
      <c r="K884" s="73"/>
      <c r="L884" s="73"/>
      <c r="M884" s="73"/>
      <c r="N884" s="73"/>
      <c r="O884" s="73"/>
      <c r="P884" s="73"/>
      <c r="Q884" s="73"/>
      <c r="R884" s="73"/>
      <c r="S884" s="73"/>
      <c r="T884" s="73"/>
      <c r="U884" s="73"/>
      <c r="V884" s="73"/>
      <c r="W884" s="73"/>
      <c r="X884" s="73"/>
      <c r="Y884" s="73"/>
      <c r="Z884" s="73"/>
    </row>
    <row r="885">
      <c r="A885" s="73"/>
      <c r="B885" s="73"/>
      <c r="C885" s="73"/>
      <c r="D885" s="73"/>
      <c r="E885" s="73"/>
      <c r="F885" s="73"/>
      <c r="G885" s="73"/>
      <c r="H885" s="73"/>
      <c r="I885" s="73"/>
      <c r="J885" s="73"/>
      <c r="K885" s="73"/>
      <c r="L885" s="73"/>
      <c r="M885" s="73"/>
      <c r="N885" s="73"/>
      <c r="O885" s="73"/>
      <c r="P885" s="73"/>
      <c r="Q885" s="73"/>
      <c r="R885" s="73"/>
      <c r="S885" s="73"/>
      <c r="T885" s="73"/>
      <c r="U885" s="73"/>
      <c r="V885" s="73"/>
      <c r="W885" s="73"/>
      <c r="X885" s="73"/>
      <c r="Y885" s="73"/>
      <c r="Z885" s="73"/>
    </row>
    <row r="886">
      <c r="A886" s="73"/>
      <c r="B886" s="73"/>
      <c r="C886" s="73"/>
      <c r="D886" s="73"/>
      <c r="E886" s="73"/>
      <c r="F886" s="73"/>
      <c r="G886" s="73"/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73"/>
      <c r="U886" s="73"/>
      <c r="V886" s="73"/>
      <c r="W886" s="73"/>
      <c r="X886" s="73"/>
      <c r="Y886" s="73"/>
      <c r="Z886" s="73"/>
    </row>
    <row r="887">
      <c r="A887" s="73"/>
      <c r="B887" s="73"/>
      <c r="C887" s="73"/>
      <c r="D887" s="73"/>
      <c r="E887" s="73"/>
      <c r="F887" s="73"/>
      <c r="G887" s="73"/>
      <c r="H887" s="73"/>
      <c r="I887" s="73"/>
      <c r="J887" s="73"/>
      <c r="K887" s="73"/>
      <c r="L887" s="73"/>
      <c r="M887" s="73"/>
      <c r="N887" s="73"/>
      <c r="O887" s="73"/>
      <c r="P887" s="73"/>
      <c r="Q887" s="73"/>
      <c r="R887" s="73"/>
      <c r="S887" s="73"/>
      <c r="T887" s="73"/>
      <c r="U887" s="73"/>
      <c r="V887" s="73"/>
      <c r="W887" s="73"/>
      <c r="X887" s="73"/>
      <c r="Y887" s="73"/>
      <c r="Z887" s="73"/>
    </row>
    <row r="888">
      <c r="A888" s="73"/>
      <c r="B888" s="73"/>
      <c r="C888" s="73"/>
      <c r="D888" s="73"/>
      <c r="E888" s="73"/>
      <c r="F888" s="73"/>
      <c r="G888" s="73"/>
      <c r="H888" s="73"/>
      <c r="I888" s="73"/>
      <c r="J888" s="73"/>
      <c r="K888" s="73"/>
      <c r="L888" s="73"/>
      <c r="M888" s="73"/>
      <c r="N888" s="73"/>
      <c r="O888" s="73"/>
      <c r="P888" s="73"/>
      <c r="Q888" s="73"/>
      <c r="R888" s="73"/>
      <c r="S888" s="73"/>
      <c r="T888" s="73"/>
      <c r="U888" s="73"/>
      <c r="V888" s="73"/>
      <c r="W888" s="73"/>
      <c r="X888" s="73"/>
      <c r="Y888" s="73"/>
      <c r="Z888" s="73"/>
    </row>
    <row r="889">
      <c r="A889" s="73"/>
      <c r="B889" s="73"/>
      <c r="C889" s="73"/>
      <c r="D889" s="73"/>
      <c r="E889" s="73"/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3"/>
      <c r="Z889" s="73"/>
    </row>
    <row r="890">
      <c r="A890" s="73"/>
      <c r="B890" s="73"/>
      <c r="C890" s="73"/>
      <c r="D890" s="73"/>
      <c r="E890" s="73"/>
      <c r="F890" s="73"/>
      <c r="G890" s="73"/>
      <c r="H890" s="73"/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</row>
    <row r="891">
      <c r="A891" s="73"/>
      <c r="B891" s="73"/>
      <c r="C891" s="73"/>
      <c r="D891" s="73"/>
      <c r="E891" s="73"/>
      <c r="F891" s="73"/>
      <c r="G891" s="73"/>
      <c r="H891" s="73"/>
      <c r="I891" s="73"/>
      <c r="J891" s="73"/>
      <c r="K891" s="73"/>
      <c r="L891" s="73"/>
      <c r="M891" s="73"/>
      <c r="N891" s="73"/>
      <c r="O891" s="73"/>
      <c r="P891" s="73"/>
      <c r="Q891" s="73"/>
      <c r="R891" s="73"/>
      <c r="S891" s="73"/>
      <c r="T891" s="73"/>
      <c r="U891" s="73"/>
      <c r="V891" s="73"/>
      <c r="W891" s="73"/>
      <c r="X891" s="73"/>
      <c r="Y891" s="73"/>
      <c r="Z891" s="73"/>
    </row>
    <row r="892">
      <c r="A892" s="73"/>
      <c r="B892" s="73"/>
      <c r="C892" s="73"/>
      <c r="D892" s="73"/>
      <c r="E892" s="73"/>
      <c r="F892" s="73"/>
      <c r="G892" s="73"/>
      <c r="H892" s="73"/>
      <c r="I892" s="73"/>
      <c r="J892" s="73"/>
      <c r="K892" s="73"/>
      <c r="L892" s="73"/>
      <c r="M892" s="73"/>
      <c r="N892" s="73"/>
      <c r="O892" s="73"/>
      <c r="P892" s="73"/>
      <c r="Q892" s="73"/>
      <c r="R892" s="73"/>
      <c r="S892" s="73"/>
      <c r="T892" s="73"/>
      <c r="U892" s="73"/>
      <c r="V892" s="73"/>
      <c r="W892" s="73"/>
      <c r="X892" s="73"/>
      <c r="Y892" s="73"/>
      <c r="Z892" s="73"/>
    </row>
    <row r="893">
      <c r="A893" s="73"/>
      <c r="B893" s="73"/>
      <c r="C893" s="73"/>
      <c r="D893" s="73"/>
      <c r="E893" s="73"/>
      <c r="F893" s="73"/>
      <c r="G893" s="73"/>
      <c r="H893" s="73"/>
      <c r="I893" s="73"/>
      <c r="J893" s="73"/>
      <c r="K893" s="73"/>
      <c r="L893" s="73"/>
      <c r="M893" s="73"/>
      <c r="N893" s="73"/>
      <c r="O893" s="73"/>
      <c r="P893" s="73"/>
      <c r="Q893" s="73"/>
      <c r="R893" s="73"/>
      <c r="S893" s="73"/>
      <c r="T893" s="73"/>
      <c r="U893" s="73"/>
      <c r="V893" s="73"/>
      <c r="W893" s="73"/>
      <c r="X893" s="73"/>
      <c r="Y893" s="73"/>
      <c r="Z893" s="73"/>
    </row>
    <row r="894">
      <c r="A894" s="73"/>
      <c r="B894" s="73"/>
      <c r="C894" s="73"/>
      <c r="D894" s="73"/>
      <c r="E894" s="73"/>
      <c r="F894" s="73"/>
      <c r="G894" s="73"/>
      <c r="H894" s="73"/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3"/>
      <c r="Z894" s="73"/>
    </row>
    <row r="895">
      <c r="A895" s="73"/>
      <c r="B895" s="73"/>
      <c r="C895" s="73"/>
      <c r="D895" s="73"/>
      <c r="E895" s="73"/>
      <c r="F895" s="73"/>
      <c r="G895" s="73"/>
      <c r="H895" s="73"/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3"/>
      <c r="Z895" s="73"/>
    </row>
    <row r="896">
      <c r="A896" s="73"/>
      <c r="B896" s="73"/>
      <c r="C896" s="73"/>
      <c r="D896" s="73"/>
      <c r="E896" s="73"/>
      <c r="F896" s="73"/>
      <c r="G896" s="73"/>
      <c r="H896" s="73"/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3"/>
      <c r="Z896" s="73"/>
    </row>
    <row r="897">
      <c r="A897" s="73"/>
      <c r="B897" s="73"/>
      <c r="C897" s="73"/>
      <c r="D897" s="73"/>
      <c r="E897" s="73"/>
      <c r="F897" s="73"/>
      <c r="G897" s="73"/>
      <c r="H897" s="73"/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3"/>
      <c r="Z897" s="73"/>
    </row>
    <row r="898">
      <c r="A898" s="73"/>
      <c r="B898" s="73"/>
      <c r="C898" s="73"/>
      <c r="D898" s="73"/>
      <c r="E898" s="73"/>
      <c r="F898" s="73"/>
      <c r="G898" s="73"/>
      <c r="H898" s="73"/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3"/>
      <c r="Z898" s="73"/>
    </row>
    <row r="899">
      <c r="A899" s="73"/>
      <c r="B899" s="73"/>
      <c r="C899" s="73"/>
      <c r="D899" s="73"/>
      <c r="E899" s="73"/>
      <c r="F899" s="73"/>
      <c r="G899" s="73"/>
      <c r="H899" s="73"/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3"/>
      <c r="Z899" s="73"/>
    </row>
    <row r="900">
      <c r="A900" s="73"/>
      <c r="B900" s="73"/>
      <c r="C900" s="73"/>
      <c r="D900" s="73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  <c r="Z900" s="73"/>
    </row>
    <row r="901">
      <c r="A901" s="73"/>
      <c r="B901" s="73"/>
      <c r="C901" s="73"/>
      <c r="D901" s="73"/>
      <c r="E901" s="73"/>
      <c r="F901" s="73"/>
      <c r="G901" s="73"/>
      <c r="H901" s="73"/>
      <c r="I901" s="73"/>
      <c r="J901" s="73"/>
      <c r="K901" s="73"/>
      <c r="L901" s="73"/>
      <c r="M901" s="73"/>
      <c r="N901" s="73"/>
      <c r="O901" s="73"/>
      <c r="P901" s="73"/>
      <c r="Q901" s="73"/>
      <c r="R901" s="73"/>
      <c r="S901" s="73"/>
      <c r="T901" s="73"/>
      <c r="U901" s="73"/>
      <c r="V901" s="73"/>
      <c r="W901" s="73"/>
      <c r="X901" s="73"/>
      <c r="Y901" s="73"/>
      <c r="Z901" s="73"/>
    </row>
    <row r="902">
      <c r="A902" s="73"/>
      <c r="B902" s="73"/>
      <c r="C902" s="73"/>
      <c r="D902" s="73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3"/>
      <c r="Z902" s="73"/>
    </row>
    <row r="903">
      <c r="A903" s="73"/>
      <c r="B903" s="73"/>
      <c r="C903" s="73"/>
      <c r="D903" s="73"/>
      <c r="E903" s="73"/>
      <c r="F903" s="73"/>
      <c r="G903" s="73"/>
      <c r="H903" s="73"/>
      <c r="I903" s="73"/>
      <c r="J903" s="73"/>
      <c r="K903" s="73"/>
      <c r="L903" s="73"/>
      <c r="M903" s="73"/>
      <c r="N903" s="73"/>
      <c r="O903" s="73"/>
      <c r="P903" s="73"/>
      <c r="Q903" s="73"/>
      <c r="R903" s="73"/>
      <c r="S903" s="73"/>
      <c r="T903" s="73"/>
      <c r="U903" s="73"/>
      <c r="V903" s="73"/>
      <c r="W903" s="73"/>
      <c r="X903" s="73"/>
      <c r="Y903" s="73"/>
      <c r="Z903" s="73"/>
    </row>
    <row r="904">
      <c r="A904" s="73"/>
      <c r="B904" s="73"/>
      <c r="C904" s="73"/>
      <c r="D904" s="73"/>
      <c r="E904" s="73"/>
      <c r="F904" s="73"/>
      <c r="G904" s="73"/>
      <c r="H904" s="73"/>
      <c r="I904" s="73"/>
      <c r="J904" s="73"/>
      <c r="K904" s="73"/>
      <c r="L904" s="73"/>
      <c r="M904" s="73"/>
      <c r="N904" s="73"/>
      <c r="O904" s="73"/>
      <c r="P904" s="73"/>
      <c r="Q904" s="73"/>
      <c r="R904" s="73"/>
      <c r="S904" s="73"/>
      <c r="T904" s="73"/>
      <c r="U904" s="73"/>
      <c r="V904" s="73"/>
      <c r="W904" s="73"/>
      <c r="X904" s="73"/>
      <c r="Y904" s="73"/>
      <c r="Z904" s="73"/>
    </row>
    <row r="905">
      <c r="A905" s="73"/>
      <c r="B905" s="73"/>
      <c r="C905" s="73"/>
      <c r="D905" s="73"/>
      <c r="E905" s="73"/>
      <c r="F905" s="73"/>
      <c r="G905" s="73"/>
      <c r="H905" s="73"/>
      <c r="I905" s="73"/>
      <c r="J905" s="73"/>
      <c r="K905" s="73"/>
      <c r="L905" s="73"/>
      <c r="M905" s="73"/>
      <c r="N905" s="73"/>
      <c r="O905" s="73"/>
      <c r="P905" s="73"/>
      <c r="Q905" s="73"/>
      <c r="R905" s="73"/>
      <c r="S905" s="73"/>
      <c r="T905" s="73"/>
      <c r="U905" s="73"/>
      <c r="V905" s="73"/>
      <c r="W905" s="73"/>
      <c r="X905" s="73"/>
      <c r="Y905" s="73"/>
      <c r="Z905" s="73"/>
    </row>
    <row r="906">
      <c r="A906" s="73"/>
      <c r="B906" s="73"/>
      <c r="C906" s="73"/>
      <c r="D906" s="73"/>
      <c r="E906" s="73"/>
      <c r="F906" s="73"/>
      <c r="G906" s="73"/>
      <c r="H906" s="73"/>
      <c r="I906" s="73"/>
      <c r="J906" s="73"/>
      <c r="K906" s="73"/>
      <c r="L906" s="73"/>
      <c r="M906" s="73"/>
      <c r="N906" s="73"/>
      <c r="O906" s="73"/>
      <c r="P906" s="73"/>
      <c r="Q906" s="73"/>
      <c r="R906" s="73"/>
      <c r="S906" s="73"/>
      <c r="T906" s="73"/>
      <c r="U906" s="73"/>
      <c r="V906" s="73"/>
      <c r="W906" s="73"/>
      <c r="X906" s="73"/>
      <c r="Y906" s="73"/>
      <c r="Z906" s="73"/>
    </row>
    <row r="907">
      <c r="A907" s="73"/>
      <c r="B907" s="73"/>
      <c r="C907" s="73"/>
      <c r="D907" s="73"/>
      <c r="E907" s="73"/>
      <c r="F907" s="73"/>
      <c r="G907" s="73"/>
      <c r="H907" s="73"/>
      <c r="I907" s="73"/>
      <c r="J907" s="73"/>
      <c r="K907" s="73"/>
      <c r="L907" s="73"/>
      <c r="M907" s="73"/>
      <c r="N907" s="73"/>
      <c r="O907" s="73"/>
      <c r="P907" s="73"/>
      <c r="Q907" s="73"/>
      <c r="R907" s="73"/>
      <c r="S907" s="73"/>
      <c r="T907" s="73"/>
      <c r="U907" s="73"/>
      <c r="V907" s="73"/>
      <c r="W907" s="73"/>
      <c r="X907" s="73"/>
      <c r="Y907" s="73"/>
      <c r="Z907" s="73"/>
    </row>
    <row r="908">
      <c r="A908" s="73"/>
      <c r="B908" s="73"/>
      <c r="C908" s="73"/>
      <c r="D908" s="73"/>
      <c r="E908" s="73"/>
      <c r="F908" s="73"/>
      <c r="G908" s="73"/>
      <c r="H908" s="73"/>
      <c r="I908" s="73"/>
      <c r="J908" s="73"/>
      <c r="K908" s="73"/>
      <c r="L908" s="73"/>
      <c r="M908" s="73"/>
      <c r="N908" s="73"/>
      <c r="O908" s="73"/>
      <c r="P908" s="73"/>
      <c r="Q908" s="73"/>
      <c r="R908" s="73"/>
      <c r="S908" s="73"/>
      <c r="T908" s="73"/>
      <c r="U908" s="73"/>
      <c r="V908" s="73"/>
      <c r="W908" s="73"/>
      <c r="X908" s="73"/>
      <c r="Y908" s="73"/>
      <c r="Z908" s="73"/>
    </row>
    <row r="909">
      <c r="A909" s="73"/>
      <c r="B909" s="73"/>
      <c r="C909" s="73"/>
      <c r="D909" s="73"/>
      <c r="E909" s="73"/>
      <c r="F909" s="73"/>
      <c r="G909" s="73"/>
      <c r="H909" s="73"/>
      <c r="I909" s="73"/>
      <c r="J909" s="73"/>
      <c r="K909" s="73"/>
      <c r="L909" s="73"/>
      <c r="M909" s="73"/>
      <c r="N909" s="73"/>
      <c r="O909" s="73"/>
      <c r="P909" s="73"/>
      <c r="Q909" s="73"/>
      <c r="R909" s="73"/>
      <c r="S909" s="73"/>
      <c r="T909" s="73"/>
      <c r="U909" s="73"/>
      <c r="V909" s="73"/>
      <c r="W909" s="73"/>
      <c r="X909" s="73"/>
      <c r="Y909" s="73"/>
      <c r="Z909" s="73"/>
    </row>
    <row r="910">
      <c r="A910" s="73"/>
      <c r="B910" s="73"/>
      <c r="C910" s="73"/>
      <c r="D910" s="73"/>
      <c r="E910" s="73"/>
      <c r="F910" s="73"/>
      <c r="G910" s="73"/>
      <c r="H910" s="73"/>
      <c r="I910" s="73"/>
      <c r="J910" s="73"/>
      <c r="K910" s="73"/>
      <c r="L910" s="73"/>
      <c r="M910" s="73"/>
      <c r="N910" s="73"/>
      <c r="O910" s="73"/>
      <c r="P910" s="73"/>
      <c r="Q910" s="73"/>
      <c r="R910" s="73"/>
      <c r="S910" s="73"/>
      <c r="T910" s="73"/>
      <c r="U910" s="73"/>
      <c r="V910" s="73"/>
      <c r="W910" s="73"/>
      <c r="X910" s="73"/>
      <c r="Y910" s="73"/>
      <c r="Z910" s="73"/>
    </row>
    <row r="911">
      <c r="A911" s="73"/>
      <c r="B911" s="73"/>
      <c r="C911" s="73"/>
      <c r="D911" s="73"/>
      <c r="E911" s="73"/>
      <c r="F911" s="73"/>
      <c r="G911" s="73"/>
      <c r="H911" s="73"/>
      <c r="I911" s="73"/>
      <c r="J911" s="73"/>
      <c r="K911" s="73"/>
      <c r="L911" s="73"/>
      <c r="M911" s="73"/>
      <c r="N911" s="73"/>
      <c r="O911" s="73"/>
      <c r="P911" s="73"/>
      <c r="Q911" s="73"/>
      <c r="R911" s="73"/>
      <c r="S911" s="73"/>
      <c r="T911" s="73"/>
      <c r="U911" s="73"/>
      <c r="V911" s="73"/>
      <c r="W911" s="73"/>
      <c r="X911" s="73"/>
      <c r="Y911" s="73"/>
      <c r="Z911" s="73"/>
    </row>
    <row r="912">
      <c r="A912" s="73"/>
      <c r="B912" s="73"/>
      <c r="C912" s="73"/>
      <c r="D912" s="73"/>
      <c r="E912" s="73"/>
      <c r="F912" s="73"/>
      <c r="G912" s="73"/>
      <c r="H912" s="73"/>
      <c r="I912" s="73"/>
      <c r="J912" s="73"/>
      <c r="K912" s="73"/>
      <c r="L912" s="73"/>
      <c r="M912" s="73"/>
      <c r="N912" s="73"/>
      <c r="O912" s="73"/>
      <c r="P912" s="73"/>
      <c r="Q912" s="73"/>
      <c r="R912" s="73"/>
      <c r="S912" s="73"/>
      <c r="T912" s="73"/>
      <c r="U912" s="73"/>
      <c r="V912" s="73"/>
      <c r="W912" s="73"/>
      <c r="X912" s="73"/>
      <c r="Y912" s="73"/>
      <c r="Z912" s="73"/>
    </row>
    <row r="913">
      <c r="A913" s="73"/>
      <c r="B913" s="73"/>
      <c r="C913" s="73"/>
      <c r="D913" s="73"/>
      <c r="E913" s="73"/>
      <c r="F913" s="73"/>
      <c r="G913" s="73"/>
      <c r="H913" s="73"/>
      <c r="I913" s="73"/>
      <c r="J913" s="73"/>
      <c r="K913" s="73"/>
      <c r="L913" s="73"/>
      <c r="M913" s="73"/>
      <c r="N913" s="73"/>
      <c r="O913" s="73"/>
      <c r="P913" s="73"/>
      <c r="Q913" s="73"/>
      <c r="R913" s="73"/>
      <c r="S913" s="73"/>
      <c r="T913" s="73"/>
      <c r="U913" s="73"/>
      <c r="V913" s="73"/>
      <c r="W913" s="73"/>
      <c r="X913" s="73"/>
      <c r="Y913" s="73"/>
      <c r="Z913" s="73"/>
    </row>
    <row r="914">
      <c r="A914" s="73"/>
      <c r="B914" s="73"/>
      <c r="C914" s="73"/>
      <c r="D914" s="73"/>
      <c r="E914" s="73"/>
      <c r="F914" s="73"/>
      <c r="G914" s="73"/>
      <c r="H914" s="73"/>
      <c r="I914" s="73"/>
      <c r="J914" s="73"/>
      <c r="K914" s="73"/>
      <c r="L914" s="73"/>
      <c r="M914" s="73"/>
      <c r="N914" s="73"/>
      <c r="O914" s="73"/>
      <c r="P914" s="73"/>
      <c r="Q914" s="73"/>
      <c r="R914" s="73"/>
      <c r="S914" s="73"/>
      <c r="T914" s="73"/>
      <c r="U914" s="73"/>
      <c r="V914" s="73"/>
      <c r="W914" s="73"/>
      <c r="X914" s="73"/>
      <c r="Y914" s="73"/>
      <c r="Z914" s="73"/>
    </row>
    <row r="915">
      <c r="A915" s="73"/>
      <c r="B915" s="73"/>
      <c r="C915" s="73"/>
      <c r="D915" s="73"/>
      <c r="E915" s="73"/>
      <c r="F915" s="73"/>
      <c r="G915" s="73"/>
      <c r="H915" s="73"/>
      <c r="I915" s="73"/>
      <c r="J915" s="73"/>
      <c r="K915" s="73"/>
      <c r="L915" s="73"/>
      <c r="M915" s="73"/>
      <c r="N915" s="73"/>
      <c r="O915" s="73"/>
      <c r="P915" s="73"/>
      <c r="Q915" s="73"/>
      <c r="R915" s="73"/>
      <c r="S915" s="73"/>
      <c r="T915" s="73"/>
      <c r="U915" s="73"/>
      <c r="V915" s="73"/>
      <c r="W915" s="73"/>
      <c r="X915" s="73"/>
      <c r="Y915" s="73"/>
      <c r="Z915" s="73"/>
    </row>
    <row r="916">
      <c r="A916" s="73"/>
      <c r="B916" s="73"/>
      <c r="C916" s="73"/>
      <c r="D916" s="73"/>
      <c r="E916" s="73"/>
      <c r="F916" s="73"/>
      <c r="G916" s="73"/>
      <c r="H916" s="73"/>
      <c r="I916" s="73"/>
      <c r="J916" s="73"/>
      <c r="K916" s="73"/>
      <c r="L916" s="73"/>
      <c r="M916" s="73"/>
      <c r="N916" s="73"/>
      <c r="O916" s="73"/>
      <c r="P916" s="73"/>
      <c r="Q916" s="73"/>
      <c r="R916" s="73"/>
      <c r="S916" s="73"/>
      <c r="T916" s="73"/>
      <c r="U916" s="73"/>
      <c r="V916" s="73"/>
      <c r="W916" s="73"/>
      <c r="X916" s="73"/>
      <c r="Y916" s="73"/>
      <c r="Z916" s="73"/>
    </row>
    <row r="917">
      <c r="A917" s="73"/>
      <c r="B917" s="73"/>
      <c r="C917" s="73"/>
      <c r="D917" s="73"/>
      <c r="E917" s="73"/>
      <c r="F917" s="73"/>
      <c r="G917" s="73"/>
      <c r="H917" s="73"/>
      <c r="I917" s="73"/>
      <c r="J917" s="73"/>
      <c r="K917" s="73"/>
      <c r="L917" s="73"/>
      <c r="M917" s="73"/>
      <c r="N917" s="73"/>
      <c r="O917" s="73"/>
      <c r="P917" s="73"/>
      <c r="Q917" s="73"/>
      <c r="R917" s="73"/>
      <c r="S917" s="73"/>
      <c r="T917" s="73"/>
      <c r="U917" s="73"/>
      <c r="V917" s="73"/>
      <c r="W917" s="73"/>
      <c r="X917" s="73"/>
      <c r="Y917" s="73"/>
      <c r="Z917" s="73"/>
    </row>
    <row r="918">
      <c r="A918" s="73"/>
      <c r="B918" s="73"/>
      <c r="C918" s="73"/>
      <c r="D918" s="73"/>
      <c r="E918" s="73"/>
      <c r="F918" s="73"/>
      <c r="G918" s="73"/>
      <c r="H918" s="73"/>
      <c r="I918" s="73"/>
      <c r="J918" s="73"/>
      <c r="K918" s="73"/>
      <c r="L918" s="73"/>
      <c r="M918" s="73"/>
      <c r="N918" s="73"/>
      <c r="O918" s="73"/>
      <c r="P918" s="73"/>
      <c r="Q918" s="73"/>
      <c r="R918" s="73"/>
      <c r="S918" s="73"/>
      <c r="T918" s="73"/>
      <c r="U918" s="73"/>
      <c r="V918" s="73"/>
      <c r="W918" s="73"/>
      <c r="X918" s="73"/>
      <c r="Y918" s="73"/>
      <c r="Z918" s="73"/>
    </row>
    <row r="919">
      <c r="A919" s="73"/>
      <c r="B919" s="73"/>
      <c r="C919" s="73"/>
      <c r="D919" s="73"/>
      <c r="E919" s="73"/>
      <c r="F919" s="73"/>
      <c r="G919" s="73"/>
      <c r="H919" s="73"/>
      <c r="I919" s="73"/>
      <c r="J919" s="73"/>
      <c r="K919" s="73"/>
      <c r="L919" s="73"/>
      <c r="M919" s="73"/>
      <c r="N919" s="73"/>
      <c r="O919" s="73"/>
      <c r="P919" s="73"/>
      <c r="Q919" s="73"/>
      <c r="R919" s="73"/>
      <c r="S919" s="73"/>
      <c r="T919" s="73"/>
      <c r="U919" s="73"/>
      <c r="V919" s="73"/>
      <c r="W919" s="73"/>
      <c r="X919" s="73"/>
      <c r="Y919" s="73"/>
      <c r="Z919" s="73"/>
    </row>
    <row r="920">
      <c r="A920" s="73"/>
      <c r="B920" s="73"/>
      <c r="C920" s="73"/>
      <c r="D920" s="73"/>
      <c r="E920" s="73"/>
      <c r="F920" s="73"/>
      <c r="G920" s="73"/>
      <c r="H920" s="73"/>
      <c r="I920" s="73"/>
      <c r="J920" s="73"/>
      <c r="K920" s="73"/>
      <c r="L920" s="73"/>
      <c r="M920" s="73"/>
      <c r="N920" s="73"/>
      <c r="O920" s="73"/>
      <c r="P920" s="73"/>
      <c r="Q920" s="73"/>
      <c r="R920" s="73"/>
      <c r="S920" s="73"/>
      <c r="T920" s="73"/>
      <c r="U920" s="73"/>
      <c r="V920" s="73"/>
      <c r="W920" s="73"/>
      <c r="X920" s="73"/>
      <c r="Y920" s="73"/>
      <c r="Z920" s="73"/>
    </row>
    <row r="921">
      <c r="A921" s="73"/>
      <c r="B921" s="73"/>
      <c r="C921" s="73"/>
      <c r="D921" s="73"/>
      <c r="E921" s="73"/>
      <c r="F921" s="73"/>
      <c r="G921" s="73"/>
      <c r="H921" s="73"/>
      <c r="I921" s="73"/>
      <c r="J921" s="73"/>
      <c r="K921" s="73"/>
      <c r="L921" s="73"/>
      <c r="M921" s="73"/>
      <c r="N921" s="73"/>
      <c r="O921" s="73"/>
      <c r="P921" s="73"/>
      <c r="Q921" s="73"/>
      <c r="R921" s="73"/>
      <c r="S921" s="73"/>
      <c r="T921" s="73"/>
      <c r="U921" s="73"/>
      <c r="V921" s="73"/>
      <c r="W921" s="73"/>
      <c r="X921" s="73"/>
      <c r="Y921" s="73"/>
      <c r="Z921" s="73"/>
    </row>
    <row r="922">
      <c r="A922" s="73"/>
      <c r="B922" s="73"/>
      <c r="C922" s="73"/>
      <c r="D922" s="73"/>
      <c r="E922" s="73"/>
      <c r="F922" s="73"/>
      <c r="G922" s="73"/>
      <c r="H922" s="73"/>
      <c r="I922" s="73"/>
      <c r="J922" s="73"/>
      <c r="K922" s="73"/>
      <c r="L922" s="73"/>
      <c r="M922" s="73"/>
      <c r="N922" s="73"/>
      <c r="O922" s="73"/>
      <c r="P922" s="73"/>
      <c r="Q922" s="73"/>
      <c r="R922" s="73"/>
      <c r="S922" s="73"/>
      <c r="T922" s="73"/>
      <c r="U922" s="73"/>
      <c r="V922" s="73"/>
      <c r="W922" s="73"/>
      <c r="X922" s="73"/>
      <c r="Y922" s="73"/>
      <c r="Z922" s="73"/>
    </row>
    <row r="923">
      <c r="A923" s="73"/>
      <c r="B923" s="73"/>
      <c r="C923" s="73"/>
      <c r="D923" s="73"/>
      <c r="E923" s="73"/>
      <c r="F923" s="73"/>
      <c r="G923" s="73"/>
      <c r="H923" s="73"/>
      <c r="I923" s="73"/>
      <c r="J923" s="73"/>
      <c r="K923" s="73"/>
      <c r="L923" s="73"/>
      <c r="M923" s="73"/>
      <c r="N923" s="73"/>
      <c r="O923" s="73"/>
      <c r="P923" s="73"/>
      <c r="Q923" s="73"/>
      <c r="R923" s="73"/>
      <c r="S923" s="73"/>
      <c r="T923" s="73"/>
      <c r="U923" s="73"/>
      <c r="V923" s="73"/>
      <c r="W923" s="73"/>
      <c r="X923" s="73"/>
      <c r="Y923" s="73"/>
      <c r="Z923" s="73"/>
    </row>
    <row r="924">
      <c r="A924" s="73"/>
      <c r="B924" s="73"/>
      <c r="C924" s="73"/>
      <c r="D924" s="73"/>
      <c r="E924" s="73"/>
      <c r="F924" s="73"/>
      <c r="G924" s="73"/>
      <c r="H924" s="73"/>
      <c r="I924" s="73"/>
      <c r="J924" s="73"/>
      <c r="K924" s="73"/>
      <c r="L924" s="73"/>
      <c r="M924" s="73"/>
      <c r="N924" s="73"/>
      <c r="O924" s="73"/>
      <c r="P924" s="73"/>
      <c r="Q924" s="73"/>
      <c r="R924" s="73"/>
      <c r="S924" s="73"/>
      <c r="T924" s="73"/>
      <c r="U924" s="73"/>
      <c r="V924" s="73"/>
      <c r="W924" s="73"/>
      <c r="X924" s="73"/>
      <c r="Y924" s="73"/>
      <c r="Z924" s="73"/>
    </row>
    <row r="925">
      <c r="A925" s="73"/>
      <c r="B925" s="73"/>
      <c r="C925" s="73"/>
      <c r="D925" s="73"/>
      <c r="E925" s="73"/>
      <c r="F925" s="73"/>
      <c r="G925" s="73"/>
      <c r="H925" s="73"/>
      <c r="I925" s="73"/>
      <c r="J925" s="73"/>
      <c r="K925" s="73"/>
      <c r="L925" s="73"/>
      <c r="M925" s="73"/>
      <c r="N925" s="73"/>
      <c r="O925" s="73"/>
      <c r="P925" s="73"/>
      <c r="Q925" s="73"/>
      <c r="R925" s="73"/>
      <c r="S925" s="73"/>
      <c r="T925" s="73"/>
      <c r="U925" s="73"/>
      <c r="V925" s="73"/>
      <c r="W925" s="73"/>
      <c r="X925" s="73"/>
      <c r="Y925" s="73"/>
      <c r="Z925" s="73"/>
    </row>
    <row r="926">
      <c r="A926" s="73"/>
      <c r="B926" s="73"/>
      <c r="C926" s="73"/>
      <c r="D926" s="73"/>
      <c r="E926" s="73"/>
      <c r="F926" s="73"/>
      <c r="G926" s="73"/>
      <c r="H926" s="73"/>
      <c r="I926" s="73"/>
      <c r="J926" s="73"/>
      <c r="K926" s="73"/>
      <c r="L926" s="73"/>
      <c r="M926" s="73"/>
      <c r="N926" s="73"/>
      <c r="O926" s="73"/>
      <c r="P926" s="73"/>
      <c r="Q926" s="73"/>
      <c r="R926" s="73"/>
      <c r="S926" s="73"/>
      <c r="T926" s="73"/>
      <c r="U926" s="73"/>
      <c r="V926" s="73"/>
      <c r="W926" s="73"/>
      <c r="X926" s="73"/>
      <c r="Y926" s="73"/>
      <c r="Z926" s="73"/>
    </row>
    <row r="927">
      <c r="A927" s="73"/>
      <c r="B927" s="73"/>
      <c r="C927" s="73"/>
      <c r="D927" s="73"/>
      <c r="E927" s="73"/>
      <c r="F927" s="73"/>
      <c r="G927" s="73"/>
      <c r="H927" s="73"/>
      <c r="I927" s="73"/>
      <c r="J927" s="73"/>
      <c r="K927" s="73"/>
      <c r="L927" s="73"/>
      <c r="M927" s="73"/>
      <c r="N927" s="73"/>
      <c r="O927" s="73"/>
      <c r="P927" s="73"/>
      <c r="Q927" s="73"/>
      <c r="R927" s="73"/>
      <c r="S927" s="73"/>
      <c r="T927" s="73"/>
      <c r="U927" s="73"/>
      <c r="V927" s="73"/>
      <c r="W927" s="73"/>
      <c r="X927" s="73"/>
      <c r="Y927" s="73"/>
      <c r="Z927" s="73"/>
    </row>
    <row r="928">
      <c r="A928" s="73"/>
      <c r="B928" s="73"/>
      <c r="C928" s="73"/>
      <c r="D928" s="73"/>
      <c r="E928" s="73"/>
      <c r="F928" s="73"/>
      <c r="G928" s="73"/>
      <c r="H928" s="73"/>
      <c r="I928" s="73"/>
      <c r="J928" s="73"/>
      <c r="K928" s="73"/>
      <c r="L928" s="73"/>
      <c r="M928" s="73"/>
      <c r="N928" s="73"/>
      <c r="O928" s="73"/>
      <c r="P928" s="73"/>
      <c r="Q928" s="73"/>
      <c r="R928" s="73"/>
      <c r="S928" s="73"/>
      <c r="T928" s="73"/>
      <c r="U928" s="73"/>
      <c r="V928" s="73"/>
      <c r="W928" s="73"/>
      <c r="X928" s="73"/>
      <c r="Y928" s="73"/>
      <c r="Z928" s="73"/>
    </row>
    <row r="929">
      <c r="A929" s="73"/>
      <c r="B929" s="73"/>
      <c r="C929" s="73"/>
      <c r="D929" s="73"/>
      <c r="E929" s="73"/>
      <c r="F929" s="73"/>
      <c r="G929" s="73"/>
      <c r="H929" s="73"/>
      <c r="I929" s="73"/>
      <c r="J929" s="73"/>
      <c r="K929" s="73"/>
      <c r="L929" s="73"/>
      <c r="M929" s="73"/>
      <c r="N929" s="73"/>
      <c r="O929" s="73"/>
      <c r="P929" s="73"/>
      <c r="Q929" s="73"/>
      <c r="R929" s="73"/>
      <c r="S929" s="73"/>
      <c r="T929" s="73"/>
      <c r="U929" s="73"/>
      <c r="V929" s="73"/>
      <c r="W929" s="73"/>
      <c r="X929" s="73"/>
      <c r="Y929" s="73"/>
      <c r="Z929" s="73"/>
    </row>
    <row r="930">
      <c r="A930" s="73"/>
      <c r="B930" s="73"/>
      <c r="C930" s="73"/>
      <c r="D930" s="73"/>
      <c r="E930" s="73"/>
      <c r="F930" s="73"/>
      <c r="G930" s="73"/>
      <c r="H930" s="73"/>
      <c r="I930" s="73"/>
      <c r="J930" s="73"/>
      <c r="K930" s="73"/>
      <c r="L930" s="73"/>
      <c r="M930" s="73"/>
      <c r="N930" s="73"/>
      <c r="O930" s="73"/>
      <c r="P930" s="73"/>
      <c r="Q930" s="73"/>
      <c r="R930" s="73"/>
      <c r="S930" s="73"/>
      <c r="T930" s="73"/>
      <c r="U930" s="73"/>
      <c r="V930" s="73"/>
      <c r="W930" s="73"/>
      <c r="X930" s="73"/>
      <c r="Y930" s="73"/>
      <c r="Z930" s="73"/>
    </row>
    <row r="931">
      <c r="A931" s="73"/>
      <c r="B931" s="73"/>
      <c r="C931" s="73"/>
      <c r="D931" s="73"/>
      <c r="E931" s="73"/>
      <c r="F931" s="73"/>
      <c r="G931" s="73"/>
      <c r="H931" s="73"/>
      <c r="I931" s="73"/>
      <c r="J931" s="73"/>
      <c r="K931" s="73"/>
      <c r="L931" s="73"/>
      <c r="M931" s="73"/>
      <c r="N931" s="73"/>
      <c r="O931" s="73"/>
      <c r="P931" s="73"/>
      <c r="Q931" s="73"/>
      <c r="R931" s="73"/>
      <c r="S931" s="73"/>
      <c r="T931" s="73"/>
      <c r="U931" s="73"/>
      <c r="V931" s="73"/>
      <c r="W931" s="73"/>
      <c r="X931" s="73"/>
      <c r="Y931" s="73"/>
      <c r="Z931" s="73"/>
    </row>
    <row r="932">
      <c r="A932" s="73"/>
      <c r="B932" s="73"/>
      <c r="C932" s="73"/>
      <c r="D932" s="73"/>
      <c r="E932" s="73"/>
      <c r="F932" s="73"/>
      <c r="G932" s="73"/>
      <c r="H932" s="73"/>
      <c r="I932" s="73"/>
      <c r="J932" s="73"/>
      <c r="K932" s="73"/>
      <c r="L932" s="73"/>
      <c r="M932" s="73"/>
      <c r="N932" s="73"/>
      <c r="O932" s="73"/>
      <c r="P932" s="73"/>
      <c r="Q932" s="73"/>
      <c r="R932" s="73"/>
      <c r="S932" s="73"/>
      <c r="T932" s="73"/>
      <c r="U932" s="73"/>
      <c r="V932" s="73"/>
      <c r="W932" s="73"/>
      <c r="X932" s="73"/>
      <c r="Y932" s="73"/>
      <c r="Z932" s="73"/>
    </row>
    <row r="933">
      <c r="A933" s="73"/>
      <c r="B933" s="73"/>
      <c r="C933" s="73"/>
      <c r="D933" s="73"/>
      <c r="E933" s="73"/>
      <c r="F933" s="73"/>
      <c r="G933" s="73"/>
      <c r="H933" s="73"/>
      <c r="I933" s="73"/>
      <c r="J933" s="73"/>
      <c r="K933" s="73"/>
      <c r="L933" s="73"/>
      <c r="M933" s="73"/>
      <c r="N933" s="73"/>
      <c r="O933" s="73"/>
      <c r="P933" s="73"/>
      <c r="Q933" s="73"/>
      <c r="R933" s="73"/>
      <c r="S933" s="73"/>
      <c r="T933" s="73"/>
      <c r="U933" s="73"/>
      <c r="V933" s="73"/>
      <c r="W933" s="73"/>
      <c r="X933" s="73"/>
      <c r="Y933" s="73"/>
      <c r="Z933" s="73"/>
    </row>
    <row r="934">
      <c r="A934" s="73"/>
      <c r="B934" s="73"/>
      <c r="C934" s="73"/>
      <c r="D934" s="73"/>
      <c r="E934" s="73"/>
      <c r="F934" s="73"/>
      <c r="G934" s="73"/>
      <c r="H934" s="73"/>
      <c r="I934" s="73"/>
      <c r="J934" s="73"/>
      <c r="K934" s="73"/>
      <c r="L934" s="73"/>
      <c r="M934" s="73"/>
      <c r="N934" s="73"/>
      <c r="O934" s="73"/>
      <c r="P934" s="73"/>
      <c r="Q934" s="73"/>
      <c r="R934" s="73"/>
      <c r="S934" s="73"/>
      <c r="T934" s="73"/>
      <c r="U934" s="73"/>
      <c r="V934" s="73"/>
      <c r="W934" s="73"/>
      <c r="X934" s="73"/>
      <c r="Y934" s="73"/>
      <c r="Z934" s="73"/>
    </row>
    <row r="935">
      <c r="A935" s="73"/>
      <c r="B935" s="73"/>
      <c r="C935" s="73"/>
      <c r="D935" s="73"/>
      <c r="E935" s="73"/>
      <c r="F935" s="73"/>
      <c r="G935" s="73"/>
      <c r="H935" s="73"/>
      <c r="I935" s="73"/>
      <c r="J935" s="73"/>
      <c r="K935" s="73"/>
      <c r="L935" s="73"/>
      <c r="M935" s="73"/>
      <c r="N935" s="73"/>
      <c r="O935" s="73"/>
      <c r="P935" s="73"/>
      <c r="Q935" s="73"/>
      <c r="R935" s="73"/>
      <c r="S935" s="73"/>
      <c r="T935" s="73"/>
      <c r="U935" s="73"/>
      <c r="V935" s="73"/>
      <c r="W935" s="73"/>
      <c r="X935" s="73"/>
      <c r="Y935" s="73"/>
      <c r="Z935" s="73"/>
    </row>
    <row r="936">
      <c r="A936" s="73"/>
      <c r="B936" s="73"/>
      <c r="C936" s="73"/>
      <c r="D936" s="73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  <c r="Z936" s="73"/>
    </row>
    <row r="937">
      <c r="A937" s="73"/>
      <c r="B937" s="73"/>
      <c r="C937" s="73"/>
      <c r="D937" s="73"/>
      <c r="E937" s="73"/>
      <c r="F937" s="73"/>
      <c r="G937" s="73"/>
      <c r="H937" s="73"/>
      <c r="I937" s="73"/>
      <c r="J937" s="73"/>
      <c r="K937" s="73"/>
      <c r="L937" s="73"/>
      <c r="M937" s="73"/>
      <c r="N937" s="73"/>
      <c r="O937" s="73"/>
      <c r="P937" s="73"/>
      <c r="Q937" s="73"/>
      <c r="R937" s="73"/>
      <c r="S937" s="73"/>
      <c r="T937" s="73"/>
      <c r="U937" s="73"/>
      <c r="V937" s="73"/>
      <c r="W937" s="73"/>
      <c r="X937" s="73"/>
      <c r="Y937" s="73"/>
      <c r="Z937" s="73"/>
    </row>
    <row r="938">
      <c r="A938" s="73"/>
      <c r="B938" s="73"/>
      <c r="C938" s="73"/>
      <c r="D938" s="73"/>
      <c r="E938" s="73"/>
      <c r="F938" s="73"/>
      <c r="G938" s="73"/>
      <c r="H938" s="73"/>
      <c r="I938" s="73"/>
      <c r="J938" s="73"/>
      <c r="K938" s="73"/>
      <c r="L938" s="73"/>
      <c r="M938" s="73"/>
      <c r="N938" s="73"/>
      <c r="O938" s="73"/>
      <c r="P938" s="73"/>
      <c r="Q938" s="73"/>
      <c r="R938" s="73"/>
      <c r="S938" s="73"/>
      <c r="T938" s="73"/>
      <c r="U938" s="73"/>
      <c r="V938" s="73"/>
      <c r="W938" s="73"/>
      <c r="X938" s="73"/>
      <c r="Y938" s="73"/>
      <c r="Z938" s="73"/>
    </row>
    <row r="939">
      <c r="A939" s="73"/>
      <c r="B939" s="73"/>
      <c r="C939" s="73"/>
      <c r="D939" s="73"/>
      <c r="E939" s="73"/>
      <c r="F939" s="73"/>
      <c r="G939" s="73"/>
      <c r="H939" s="73"/>
      <c r="I939" s="73"/>
      <c r="J939" s="73"/>
      <c r="K939" s="73"/>
      <c r="L939" s="73"/>
      <c r="M939" s="73"/>
      <c r="N939" s="73"/>
      <c r="O939" s="73"/>
      <c r="P939" s="73"/>
      <c r="Q939" s="73"/>
      <c r="R939" s="73"/>
      <c r="S939" s="73"/>
      <c r="T939" s="73"/>
      <c r="U939" s="73"/>
      <c r="V939" s="73"/>
      <c r="W939" s="73"/>
      <c r="X939" s="73"/>
      <c r="Y939" s="73"/>
      <c r="Z939" s="73"/>
    </row>
    <row r="940">
      <c r="A940" s="73"/>
      <c r="B940" s="73"/>
      <c r="C940" s="73"/>
      <c r="D940" s="73"/>
      <c r="E940" s="73"/>
      <c r="F940" s="73"/>
      <c r="G940" s="73"/>
      <c r="H940" s="73"/>
      <c r="I940" s="73"/>
      <c r="J940" s="73"/>
      <c r="K940" s="73"/>
      <c r="L940" s="73"/>
      <c r="M940" s="73"/>
      <c r="N940" s="73"/>
      <c r="O940" s="73"/>
      <c r="P940" s="73"/>
      <c r="Q940" s="73"/>
      <c r="R940" s="73"/>
      <c r="S940" s="73"/>
      <c r="T940" s="73"/>
      <c r="U940" s="73"/>
      <c r="V940" s="73"/>
      <c r="W940" s="73"/>
      <c r="X940" s="73"/>
      <c r="Y940" s="73"/>
      <c r="Z940" s="73"/>
    </row>
    <row r="941">
      <c r="A941" s="73"/>
      <c r="B941" s="73"/>
      <c r="C941" s="73"/>
      <c r="D941" s="73"/>
      <c r="E941" s="73"/>
      <c r="F941" s="73"/>
      <c r="G941" s="73"/>
      <c r="H941" s="73"/>
      <c r="I941" s="73"/>
      <c r="J941" s="73"/>
      <c r="K941" s="73"/>
      <c r="L941" s="73"/>
      <c r="M941" s="73"/>
      <c r="N941" s="73"/>
      <c r="O941" s="73"/>
      <c r="P941" s="73"/>
      <c r="Q941" s="73"/>
      <c r="R941" s="73"/>
      <c r="S941" s="73"/>
      <c r="T941" s="73"/>
      <c r="U941" s="73"/>
      <c r="V941" s="73"/>
      <c r="W941" s="73"/>
      <c r="X941" s="73"/>
      <c r="Y941" s="73"/>
      <c r="Z941" s="73"/>
    </row>
    <row r="942">
      <c r="A942" s="73"/>
      <c r="B942" s="73"/>
      <c r="C942" s="73"/>
      <c r="D942" s="73"/>
      <c r="E942" s="73"/>
      <c r="F942" s="73"/>
      <c r="G942" s="73"/>
      <c r="H942" s="73"/>
      <c r="I942" s="73"/>
      <c r="J942" s="73"/>
      <c r="K942" s="73"/>
      <c r="L942" s="73"/>
      <c r="M942" s="73"/>
      <c r="N942" s="73"/>
      <c r="O942" s="73"/>
      <c r="P942" s="73"/>
      <c r="Q942" s="73"/>
      <c r="R942" s="73"/>
      <c r="S942" s="73"/>
      <c r="T942" s="73"/>
      <c r="U942" s="73"/>
      <c r="V942" s="73"/>
      <c r="W942" s="73"/>
      <c r="X942" s="73"/>
      <c r="Y942" s="73"/>
      <c r="Z942" s="73"/>
    </row>
    <row r="943">
      <c r="A943" s="73"/>
      <c r="B943" s="73"/>
      <c r="C943" s="73"/>
      <c r="D943" s="73"/>
      <c r="E943" s="73"/>
      <c r="F943" s="73"/>
      <c r="G943" s="73"/>
      <c r="H943" s="73"/>
      <c r="I943" s="73"/>
      <c r="J943" s="73"/>
      <c r="K943" s="73"/>
      <c r="L943" s="73"/>
      <c r="M943" s="73"/>
      <c r="N943" s="73"/>
      <c r="O943" s="73"/>
      <c r="P943" s="73"/>
      <c r="Q943" s="73"/>
      <c r="R943" s="73"/>
      <c r="S943" s="73"/>
      <c r="T943" s="73"/>
      <c r="U943" s="73"/>
      <c r="V943" s="73"/>
      <c r="W943" s="73"/>
      <c r="X943" s="73"/>
      <c r="Y943" s="73"/>
      <c r="Z943" s="73"/>
    </row>
    <row r="944">
      <c r="A944" s="73"/>
      <c r="B944" s="73"/>
      <c r="C944" s="73"/>
      <c r="D944" s="73"/>
      <c r="E944" s="73"/>
      <c r="F944" s="73"/>
      <c r="G944" s="73"/>
      <c r="H944" s="73"/>
      <c r="I944" s="73"/>
      <c r="J944" s="73"/>
      <c r="K944" s="73"/>
      <c r="L944" s="73"/>
      <c r="M944" s="73"/>
      <c r="N944" s="73"/>
      <c r="O944" s="73"/>
      <c r="P944" s="73"/>
      <c r="Q944" s="73"/>
      <c r="R944" s="73"/>
      <c r="S944" s="73"/>
      <c r="T944" s="73"/>
      <c r="U944" s="73"/>
      <c r="V944" s="73"/>
      <c r="W944" s="73"/>
      <c r="X944" s="73"/>
      <c r="Y944" s="73"/>
      <c r="Z944" s="73"/>
    </row>
    <row r="945">
      <c r="A945" s="73"/>
      <c r="B945" s="73"/>
      <c r="C945" s="73"/>
      <c r="D945" s="73"/>
      <c r="E945" s="73"/>
      <c r="F945" s="73"/>
      <c r="G945" s="73"/>
      <c r="H945" s="73"/>
      <c r="I945" s="73"/>
      <c r="J945" s="73"/>
      <c r="K945" s="73"/>
      <c r="L945" s="73"/>
      <c r="M945" s="73"/>
      <c r="N945" s="73"/>
      <c r="O945" s="73"/>
      <c r="P945" s="73"/>
      <c r="Q945" s="73"/>
      <c r="R945" s="73"/>
      <c r="S945" s="73"/>
      <c r="T945" s="73"/>
      <c r="U945" s="73"/>
      <c r="V945" s="73"/>
      <c r="W945" s="73"/>
      <c r="X945" s="73"/>
      <c r="Y945" s="73"/>
      <c r="Z945" s="73"/>
    </row>
    <row r="946">
      <c r="A946" s="73"/>
      <c r="B946" s="73"/>
      <c r="C946" s="73"/>
      <c r="D946" s="73"/>
      <c r="E946" s="73"/>
      <c r="F946" s="73"/>
      <c r="G946" s="73"/>
      <c r="H946" s="73"/>
      <c r="I946" s="73"/>
      <c r="J946" s="73"/>
      <c r="K946" s="73"/>
      <c r="L946" s="73"/>
      <c r="M946" s="73"/>
      <c r="N946" s="73"/>
      <c r="O946" s="73"/>
      <c r="P946" s="73"/>
      <c r="Q946" s="73"/>
      <c r="R946" s="73"/>
      <c r="S946" s="73"/>
      <c r="T946" s="73"/>
      <c r="U946" s="73"/>
      <c r="V946" s="73"/>
      <c r="W946" s="73"/>
      <c r="X946" s="73"/>
      <c r="Y946" s="73"/>
      <c r="Z946" s="73"/>
    </row>
    <row r="947">
      <c r="A947" s="73"/>
      <c r="B947" s="73"/>
      <c r="C947" s="73"/>
      <c r="D947" s="73"/>
      <c r="E947" s="73"/>
      <c r="F947" s="73"/>
      <c r="G947" s="73"/>
      <c r="H947" s="73"/>
      <c r="I947" s="73"/>
      <c r="J947" s="73"/>
      <c r="K947" s="73"/>
      <c r="L947" s="73"/>
      <c r="M947" s="73"/>
      <c r="N947" s="73"/>
      <c r="O947" s="73"/>
      <c r="P947" s="73"/>
      <c r="Q947" s="73"/>
      <c r="R947" s="73"/>
      <c r="S947" s="73"/>
      <c r="T947" s="73"/>
      <c r="U947" s="73"/>
      <c r="V947" s="73"/>
      <c r="W947" s="73"/>
      <c r="X947" s="73"/>
      <c r="Y947" s="73"/>
      <c r="Z947" s="73"/>
    </row>
    <row r="948">
      <c r="A948" s="73"/>
      <c r="B948" s="73"/>
      <c r="C948" s="73"/>
      <c r="D948" s="73"/>
      <c r="E948" s="73"/>
      <c r="F948" s="73"/>
      <c r="G948" s="73"/>
      <c r="H948" s="73"/>
      <c r="I948" s="73"/>
      <c r="J948" s="73"/>
      <c r="K948" s="73"/>
      <c r="L948" s="73"/>
      <c r="M948" s="73"/>
      <c r="N948" s="73"/>
      <c r="O948" s="73"/>
      <c r="P948" s="73"/>
      <c r="Q948" s="73"/>
      <c r="R948" s="73"/>
      <c r="S948" s="73"/>
      <c r="T948" s="73"/>
      <c r="U948" s="73"/>
      <c r="V948" s="73"/>
      <c r="W948" s="73"/>
      <c r="X948" s="73"/>
      <c r="Y948" s="73"/>
      <c r="Z948" s="73"/>
    </row>
    <row r="949">
      <c r="A949" s="73"/>
      <c r="B949" s="73"/>
      <c r="C949" s="73"/>
      <c r="D949" s="73"/>
      <c r="E949" s="73"/>
      <c r="F949" s="73"/>
      <c r="G949" s="73"/>
      <c r="H949" s="73"/>
      <c r="I949" s="73"/>
      <c r="J949" s="73"/>
      <c r="K949" s="73"/>
      <c r="L949" s="73"/>
      <c r="M949" s="73"/>
      <c r="N949" s="73"/>
      <c r="O949" s="73"/>
      <c r="P949" s="73"/>
      <c r="Q949" s="73"/>
      <c r="R949" s="73"/>
      <c r="S949" s="73"/>
      <c r="T949" s="73"/>
      <c r="U949" s="73"/>
      <c r="V949" s="73"/>
      <c r="W949" s="73"/>
      <c r="X949" s="73"/>
      <c r="Y949" s="73"/>
      <c r="Z949" s="73"/>
    </row>
    <row r="950">
      <c r="A950" s="73"/>
      <c r="B950" s="73"/>
      <c r="C950" s="73"/>
      <c r="D950" s="73"/>
      <c r="E950" s="73"/>
      <c r="F950" s="73"/>
      <c r="G950" s="73"/>
      <c r="H950" s="73"/>
      <c r="I950" s="73"/>
      <c r="J950" s="73"/>
      <c r="K950" s="73"/>
      <c r="L950" s="73"/>
      <c r="M950" s="73"/>
      <c r="N950" s="73"/>
      <c r="O950" s="73"/>
      <c r="P950" s="73"/>
      <c r="Q950" s="73"/>
      <c r="R950" s="73"/>
      <c r="S950" s="73"/>
      <c r="T950" s="73"/>
      <c r="U950" s="73"/>
      <c r="V950" s="73"/>
      <c r="W950" s="73"/>
      <c r="X950" s="73"/>
      <c r="Y950" s="73"/>
      <c r="Z950" s="73"/>
    </row>
    <row r="951">
      <c r="A951" s="73"/>
      <c r="B951" s="73"/>
      <c r="C951" s="73"/>
      <c r="D951" s="73"/>
      <c r="E951" s="73"/>
      <c r="F951" s="73"/>
      <c r="G951" s="73"/>
      <c r="H951" s="73"/>
      <c r="I951" s="73"/>
      <c r="J951" s="73"/>
      <c r="K951" s="73"/>
      <c r="L951" s="73"/>
      <c r="M951" s="73"/>
      <c r="N951" s="73"/>
      <c r="O951" s="73"/>
      <c r="P951" s="73"/>
      <c r="Q951" s="73"/>
      <c r="R951" s="73"/>
      <c r="S951" s="73"/>
      <c r="T951" s="73"/>
      <c r="U951" s="73"/>
      <c r="V951" s="73"/>
      <c r="W951" s="73"/>
      <c r="X951" s="73"/>
      <c r="Y951" s="73"/>
      <c r="Z951" s="73"/>
    </row>
    <row r="952">
      <c r="A952" s="73"/>
      <c r="B952" s="73"/>
      <c r="C952" s="73"/>
      <c r="D952" s="73"/>
      <c r="E952" s="73"/>
      <c r="F952" s="73"/>
      <c r="G952" s="73"/>
      <c r="H952" s="73"/>
      <c r="I952" s="73"/>
      <c r="J952" s="73"/>
      <c r="K952" s="73"/>
      <c r="L952" s="73"/>
      <c r="M952" s="73"/>
      <c r="N952" s="73"/>
      <c r="O952" s="73"/>
      <c r="P952" s="73"/>
      <c r="Q952" s="73"/>
      <c r="R952" s="73"/>
      <c r="S952" s="73"/>
      <c r="T952" s="73"/>
      <c r="U952" s="73"/>
      <c r="V952" s="73"/>
      <c r="W952" s="73"/>
      <c r="X952" s="73"/>
      <c r="Y952" s="73"/>
      <c r="Z952" s="73"/>
    </row>
    <row r="953">
      <c r="A953" s="73"/>
      <c r="B953" s="73"/>
      <c r="C953" s="73"/>
      <c r="D953" s="73"/>
      <c r="E953" s="73"/>
      <c r="F953" s="73"/>
      <c r="G953" s="73"/>
      <c r="H953" s="73"/>
      <c r="I953" s="73"/>
      <c r="J953" s="73"/>
      <c r="K953" s="73"/>
      <c r="L953" s="73"/>
      <c r="M953" s="73"/>
      <c r="N953" s="73"/>
      <c r="O953" s="73"/>
      <c r="P953" s="73"/>
      <c r="Q953" s="73"/>
      <c r="R953" s="73"/>
      <c r="S953" s="73"/>
      <c r="T953" s="73"/>
      <c r="U953" s="73"/>
      <c r="V953" s="73"/>
      <c r="W953" s="73"/>
      <c r="X953" s="73"/>
      <c r="Y953" s="73"/>
      <c r="Z953" s="73"/>
    </row>
    <row r="954">
      <c r="A954" s="73"/>
      <c r="B954" s="73"/>
      <c r="C954" s="73"/>
      <c r="D954" s="73"/>
      <c r="E954" s="73"/>
      <c r="F954" s="73"/>
      <c r="G954" s="73"/>
      <c r="H954" s="73"/>
      <c r="I954" s="73"/>
      <c r="J954" s="73"/>
      <c r="K954" s="73"/>
      <c r="L954" s="73"/>
      <c r="M954" s="73"/>
      <c r="N954" s="73"/>
      <c r="O954" s="73"/>
      <c r="P954" s="73"/>
      <c r="Q954" s="73"/>
      <c r="R954" s="73"/>
      <c r="S954" s="73"/>
      <c r="T954" s="73"/>
      <c r="U954" s="73"/>
      <c r="V954" s="73"/>
      <c r="W954" s="73"/>
      <c r="X954" s="73"/>
      <c r="Y954" s="73"/>
      <c r="Z954" s="73"/>
    </row>
    <row r="955">
      <c r="A955" s="73"/>
      <c r="B955" s="73"/>
      <c r="C955" s="73"/>
      <c r="D955" s="73"/>
      <c r="E955" s="73"/>
      <c r="F955" s="73"/>
      <c r="G955" s="73"/>
      <c r="H955" s="73"/>
      <c r="I955" s="73"/>
      <c r="J955" s="73"/>
      <c r="K955" s="73"/>
      <c r="L955" s="73"/>
      <c r="M955" s="73"/>
      <c r="N955" s="73"/>
      <c r="O955" s="73"/>
      <c r="P955" s="73"/>
      <c r="Q955" s="73"/>
      <c r="R955" s="73"/>
      <c r="S955" s="73"/>
      <c r="T955" s="73"/>
      <c r="U955" s="73"/>
      <c r="V955" s="73"/>
      <c r="W955" s="73"/>
      <c r="X955" s="73"/>
      <c r="Y955" s="73"/>
      <c r="Z955" s="73"/>
    </row>
    <row r="956">
      <c r="A956" s="73"/>
      <c r="B956" s="73"/>
      <c r="C956" s="73"/>
      <c r="D956" s="73"/>
      <c r="E956" s="73"/>
      <c r="F956" s="73"/>
      <c r="G956" s="73"/>
      <c r="H956" s="73"/>
      <c r="I956" s="73"/>
      <c r="J956" s="73"/>
      <c r="K956" s="73"/>
      <c r="L956" s="73"/>
      <c r="M956" s="73"/>
      <c r="N956" s="73"/>
      <c r="O956" s="73"/>
      <c r="P956" s="73"/>
      <c r="Q956" s="73"/>
      <c r="R956" s="73"/>
      <c r="S956" s="73"/>
      <c r="T956" s="73"/>
      <c r="U956" s="73"/>
      <c r="V956" s="73"/>
      <c r="W956" s="73"/>
      <c r="X956" s="73"/>
      <c r="Y956" s="73"/>
      <c r="Z956" s="73"/>
    </row>
    <row r="957">
      <c r="A957" s="73"/>
      <c r="B957" s="73"/>
      <c r="C957" s="73"/>
      <c r="D957" s="73"/>
      <c r="E957" s="73"/>
      <c r="F957" s="73"/>
      <c r="G957" s="73"/>
      <c r="H957" s="73"/>
      <c r="I957" s="73"/>
      <c r="J957" s="73"/>
      <c r="K957" s="73"/>
      <c r="L957" s="73"/>
      <c r="M957" s="73"/>
      <c r="N957" s="73"/>
      <c r="O957" s="73"/>
      <c r="P957" s="73"/>
      <c r="Q957" s="73"/>
      <c r="R957" s="73"/>
      <c r="S957" s="73"/>
      <c r="T957" s="73"/>
      <c r="U957" s="73"/>
      <c r="V957" s="73"/>
      <c r="W957" s="73"/>
      <c r="X957" s="73"/>
      <c r="Y957" s="73"/>
      <c r="Z957" s="73"/>
    </row>
    <row r="958">
      <c r="A958" s="73"/>
      <c r="B958" s="73"/>
      <c r="C958" s="73"/>
      <c r="D958" s="73"/>
      <c r="E958" s="73"/>
      <c r="F958" s="73"/>
      <c r="G958" s="73"/>
      <c r="H958" s="73"/>
      <c r="I958" s="73"/>
      <c r="J958" s="73"/>
      <c r="K958" s="73"/>
      <c r="L958" s="73"/>
      <c r="M958" s="73"/>
      <c r="N958" s="73"/>
      <c r="O958" s="73"/>
      <c r="P958" s="73"/>
      <c r="Q958" s="73"/>
      <c r="R958" s="73"/>
      <c r="S958" s="73"/>
      <c r="T958" s="73"/>
      <c r="U958" s="73"/>
      <c r="V958" s="73"/>
      <c r="W958" s="73"/>
      <c r="X958" s="73"/>
      <c r="Y958" s="73"/>
      <c r="Z958" s="73"/>
    </row>
    <row r="959">
      <c r="A959" s="73"/>
      <c r="B959" s="73"/>
      <c r="C959" s="73"/>
      <c r="D959" s="73"/>
      <c r="E959" s="73"/>
      <c r="F959" s="73"/>
      <c r="G959" s="73"/>
      <c r="H959" s="73"/>
      <c r="I959" s="73"/>
      <c r="J959" s="73"/>
      <c r="K959" s="73"/>
      <c r="L959" s="73"/>
      <c r="M959" s="73"/>
      <c r="N959" s="73"/>
      <c r="O959" s="73"/>
      <c r="P959" s="73"/>
      <c r="Q959" s="73"/>
      <c r="R959" s="73"/>
      <c r="S959" s="73"/>
      <c r="T959" s="73"/>
      <c r="U959" s="73"/>
      <c r="V959" s="73"/>
      <c r="W959" s="73"/>
      <c r="X959" s="73"/>
      <c r="Y959" s="73"/>
      <c r="Z959" s="73"/>
    </row>
    <row r="960">
      <c r="A960" s="73"/>
      <c r="B960" s="73"/>
      <c r="C960" s="73"/>
      <c r="D960" s="73"/>
      <c r="E960" s="73"/>
      <c r="F960" s="73"/>
      <c r="G960" s="73"/>
      <c r="H960" s="73"/>
      <c r="I960" s="73"/>
      <c r="J960" s="73"/>
      <c r="K960" s="73"/>
      <c r="L960" s="73"/>
      <c r="M960" s="73"/>
      <c r="N960" s="73"/>
      <c r="O960" s="73"/>
      <c r="P960" s="73"/>
      <c r="Q960" s="73"/>
      <c r="R960" s="73"/>
      <c r="S960" s="73"/>
      <c r="T960" s="73"/>
      <c r="U960" s="73"/>
      <c r="V960" s="73"/>
      <c r="W960" s="73"/>
      <c r="X960" s="73"/>
      <c r="Y960" s="73"/>
      <c r="Z960" s="73"/>
    </row>
    <row r="961">
      <c r="A961" s="73"/>
      <c r="B961" s="73"/>
      <c r="C961" s="73"/>
      <c r="D961" s="73"/>
      <c r="E961" s="73"/>
      <c r="F961" s="73"/>
      <c r="G961" s="73"/>
      <c r="H961" s="73"/>
      <c r="I961" s="73"/>
      <c r="J961" s="73"/>
      <c r="K961" s="73"/>
      <c r="L961" s="73"/>
      <c r="M961" s="73"/>
      <c r="N961" s="73"/>
      <c r="O961" s="73"/>
      <c r="P961" s="73"/>
      <c r="Q961" s="73"/>
      <c r="R961" s="73"/>
      <c r="S961" s="73"/>
      <c r="T961" s="73"/>
      <c r="U961" s="73"/>
      <c r="V961" s="73"/>
      <c r="W961" s="73"/>
      <c r="X961" s="73"/>
      <c r="Y961" s="73"/>
      <c r="Z961" s="73"/>
    </row>
    <row r="962">
      <c r="A962" s="73"/>
      <c r="B962" s="73"/>
      <c r="C962" s="73"/>
      <c r="D962" s="73"/>
      <c r="E962" s="73"/>
      <c r="F962" s="73"/>
      <c r="G962" s="73"/>
      <c r="H962" s="73"/>
      <c r="I962" s="73"/>
      <c r="J962" s="73"/>
      <c r="K962" s="73"/>
      <c r="L962" s="73"/>
      <c r="M962" s="73"/>
      <c r="N962" s="73"/>
      <c r="O962" s="73"/>
      <c r="P962" s="73"/>
      <c r="Q962" s="73"/>
      <c r="R962" s="73"/>
      <c r="S962" s="73"/>
      <c r="T962" s="73"/>
      <c r="U962" s="73"/>
      <c r="V962" s="73"/>
      <c r="W962" s="73"/>
      <c r="X962" s="73"/>
      <c r="Y962" s="73"/>
      <c r="Z962" s="73"/>
    </row>
    <row r="963">
      <c r="A963" s="73"/>
      <c r="B963" s="73"/>
      <c r="C963" s="73"/>
      <c r="D963" s="73"/>
      <c r="E963" s="73"/>
      <c r="F963" s="73"/>
      <c r="G963" s="73"/>
      <c r="H963" s="73"/>
      <c r="I963" s="73"/>
      <c r="J963" s="73"/>
      <c r="K963" s="73"/>
      <c r="L963" s="73"/>
      <c r="M963" s="73"/>
      <c r="N963" s="73"/>
      <c r="O963" s="73"/>
      <c r="P963" s="73"/>
      <c r="Q963" s="73"/>
      <c r="R963" s="73"/>
      <c r="S963" s="73"/>
      <c r="T963" s="73"/>
      <c r="U963" s="73"/>
      <c r="V963" s="73"/>
      <c r="W963" s="73"/>
      <c r="X963" s="73"/>
      <c r="Y963" s="73"/>
      <c r="Z963" s="73"/>
    </row>
    <row r="964">
      <c r="A964" s="73"/>
      <c r="B964" s="73"/>
      <c r="C964" s="73"/>
      <c r="D964" s="73"/>
      <c r="E964" s="73"/>
      <c r="F964" s="73"/>
      <c r="G964" s="73"/>
      <c r="H964" s="73"/>
      <c r="I964" s="73"/>
      <c r="J964" s="73"/>
      <c r="K964" s="73"/>
      <c r="L964" s="73"/>
      <c r="M964" s="73"/>
      <c r="N964" s="73"/>
      <c r="O964" s="73"/>
      <c r="P964" s="73"/>
      <c r="Q964" s="73"/>
      <c r="R964" s="73"/>
      <c r="S964" s="73"/>
      <c r="T964" s="73"/>
      <c r="U964" s="73"/>
      <c r="V964" s="73"/>
      <c r="W964" s="73"/>
      <c r="X964" s="73"/>
      <c r="Y964" s="73"/>
      <c r="Z964" s="73"/>
    </row>
    <row r="965">
      <c r="A965" s="73"/>
      <c r="B965" s="73"/>
      <c r="C965" s="73"/>
      <c r="D965" s="73"/>
      <c r="E965" s="73"/>
      <c r="F965" s="73"/>
      <c r="G965" s="73"/>
      <c r="H965" s="73"/>
      <c r="I965" s="73"/>
      <c r="J965" s="73"/>
      <c r="K965" s="73"/>
      <c r="L965" s="73"/>
      <c r="M965" s="73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73"/>
      <c r="Y965" s="73"/>
      <c r="Z965" s="73"/>
    </row>
    <row r="966">
      <c r="A966" s="73"/>
      <c r="B966" s="73"/>
      <c r="C966" s="73"/>
      <c r="D966" s="73"/>
      <c r="E966" s="73"/>
      <c r="F966" s="73"/>
      <c r="G966" s="73"/>
      <c r="H966" s="73"/>
      <c r="I966" s="73"/>
      <c r="J966" s="73"/>
      <c r="K966" s="73"/>
      <c r="L966" s="73"/>
      <c r="M966" s="73"/>
      <c r="N966" s="73"/>
      <c r="O966" s="73"/>
      <c r="P966" s="73"/>
      <c r="Q966" s="73"/>
      <c r="R966" s="73"/>
      <c r="S966" s="73"/>
      <c r="T966" s="73"/>
      <c r="U966" s="73"/>
      <c r="V966" s="73"/>
      <c r="W966" s="73"/>
      <c r="X966" s="73"/>
      <c r="Y966" s="73"/>
      <c r="Z966" s="73"/>
    </row>
    <row r="967">
      <c r="A967" s="73"/>
      <c r="B967" s="73"/>
      <c r="C967" s="73"/>
      <c r="D967" s="73"/>
      <c r="E967" s="73"/>
      <c r="F967" s="73"/>
      <c r="G967" s="73"/>
      <c r="H967" s="73"/>
      <c r="I967" s="73"/>
      <c r="J967" s="73"/>
      <c r="K967" s="73"/>
      <c r="L967" s="73"/>
      <c r="M967" s="73"/>
      <c r="N967" s="73"/>
      <c r="O967" s="73"/>
      <c r="P967" s="73"/>
      <c r="Q967" s="73"/>
      <c r="R967" s="73"/>
      <c r="S967" s="73"/>
      <c r="T967" s="73"/>
      <c r="U967" s="73"/>
      <c r="V967" s="73"/>
      <c r="W967" s="73"/>
      <c r="X967" s="73"/>
      <c r="Y967" s="73"/>
      <c r="Z967" s="73"/>
    </row>
    <row r="968">
      <c r="A968" s="73"/>
      <c r="B968" s="73"/>
      <c r="C968" s="73"/>
      <c r="D968" s="73"/>
      <c r="E968" s="73"/>
      <c r="F968" s="73"/>
      <c r="G968" s="73"/>
      <c r="H968" s="73"/>
      <c r="I968" s="73"/>
      <c r="J968" s="73"/>
      <c r="K968" s="73"/>
      <c r="L968" s="73"/>
      <c r="M968" s="73"/>
      <c r="N968" s="73"/>
      <c r="O968" s="73"/>
      <c r="P968" s="73"/>
      <c r="Q968" s="73"/>
      <c r="R968" s="73"/>
      <c r="S968" s="73"/>
      <c r="T968" s="73"/>
      <c r="U968" s="73"/>
      <c r="V968" s="73"/>
      <c r="W968" s="73"/>
      <c r="X968" s="73"/>
      <c r="Y968" s="73"/>
      <c r="Z968" s="73"/>
    </row>
    <row r="969">
      <c r="A969" s="73"/>
      <c r="B969" s="73"/>
      <c r="C969" s="73"/>
      <c r="D969" s="73"/>
      <c r="E969" s="73"/>
      <c r="F969" s="73"/>
      <c r="G969" s="73"/>
      <c r="H969" s="73"/>
      <c r="I969" s="73"/>
      <c r="J969" s="73"/>
      <c r="K969" s="73"/>
      <c r="L969" s="73"/>
      <c r="M969" s="73"/>
      <c r="N969" s="73"/>
      <c r="O969" s="73"/>
      <c r="P969" s="73"/>
      <c r="Q969" s="73"/>
      <c r="R969" s="73"/>
      <c r="S969" s="73"/>
      <c r="T969" s="73"/>
      <c r="U969" s="73"/>
      <c r="V969" s="73"/>
      <c r="W969" s="73"/>
      <c r="X969" s="73"/>
      <c r="Y969" s="73"/>
      <c r="Z969" s="73"/>
    </row>
    <row r="970">
      <c r="A970" s="73"/>
      <c r="B970" s="73"/>
      <c r="C970" s="73"/>
      <c r="D970" s="73"/>
      <c r="E970" s="73"/>
      <c r="F970" s="73"/>
      <c r="G970" s="73"/>
      <c r="H970" s="73"/>
      <c r="I970" s="73"/>
      <c r="J970" s="73"/>
      <c r="K970" s="73"/>
      <c r="L970" s="73"/>
      <c r="M970" s="73"/>
      <c r="N970" s="73"/>
      <c r="O970" s="73"/>
      <c r="P970" s="73"/>
      <c r="Q970" s="73"/>
      <c r="R970" s="73"/>
      <c r="S970" s="73"/>
      <c r="T970" s="73"/>
      <c r="U970" s="73"/>
      <c r="V970" s="73"/>
      <c r="W970" s="73"/>
      <c r="X970" s="73"/>
      <c r="Y970" s="73"/>
      <c r="Z970" s="73"/>
    </row>
    <row r="971">
      <c r="A971" s="73"/>
      <c r="B971" s="73"/>
      <c r="C971" s="73"/>
      <c r="D971" s="73"/>
      <c r="E971" s="73"/>
      <c r="F971" s="73"/>
      <c r="G971" s="73"/>
      <c r="H971" s="73"/>
      <c r="I971" s="73"/>
      <c r="J971" s="73"/>
      <c r="K971" s="73"/>
      <c r="L971" s="73"/>
      <c r="M971" s="73"/>
      <c r="N971" s="73"/>
      <c r="O971" s="73"/>
      <c r="P971" s="73"/>
      <c r="Q971" s="73"/>
      <c r="R971" s="73"/>
      <c r="S971" s="73"/>
      <c r="T971" s="73"/>
      <c r="U971" s="73"/>
      <c r="V971" s="73"/>
      <c r="W971" s="73"/>
      <c r="X971" s="73"/>
      <c r="Y971" s="73"/>
      <c r="Z971" s="73"/>
    </row>
    <row r="972">
      <c r="A972" s="73"/>
      <c r="B972" s="73"/>
      <c r="C972" s="73"/>
      <c r="D972" s="73"/>
      <c r="E972" s="73"/>
      <c r="F972" s="73"/>
      <c r="G972" s="73"/>
      <c r="H972" s="73"/>
      <c r="I972" s="73"/>
      <c r="J972" s="73"/>
      <c r="K972" s="73"/>
      <c r="L972" s="73"/>
      <c r="M972" s="73"/>
      <c r="N972" s="73"/>
      <c r="O972" s="73"/>
      <c r="P972" s="73"/>
      <c r="Q972" s="73"/>
      <c r="R972" s="73"/>
      <c r="S972" s="73"/>
      <c r="T972" s="73"/>
      <c r="U972" s="73"/>
      <c r="V972" s="73"/>
      <c r="W972" s="73"/>
      <c r="X972" s="73"/>
      <c r="Y972" s="73"/>
      <c r="Z972" s="73"/>
    </row>
    <row r="973">
      <c r="A973" s="73"/>
      <c r="B973" s="73"/>
      <c r="C973" s="73"/>
      <c r="D973" s="73"/>
      <c r="E973" s="73"/>
      <c r="F973" s="73"/>
      <c r="G973" s="73"/>
      <c r="H973" s="73"/>
      <c r="I973" s="73"/>
      <c r="J973" s="73"/>
      <c r="K973" s="73"/>
      <c r="L973" s="73"/>
      <c r="M973" s="73"/>
      <c r="N973" s="73"/>
      <c r="O973" s="73"/>
      <c r="P973" s="73"/>
      <c r="Q973" s="73"/>
      <c r="R973" s="73"/>
      <c r="S973" s="73"/>
      <c r="T973" s="73"/>
      <c r="U973" s="73"/>
      <c r="V973" s="73"/>
      <c r="W973" s="73"/>
      <c r="X973" s="73"/>
      <c r="Y973" s="73"/>
      <c r="Z973" s="73"/>
    </row>
    <row r="974">
      <c r="A974" s="73"/>
      <c r="B974" s="73"/>
      <c r="C974" s="73"/>
      <c r="D974" s="73"/>
      <c r="E974" s="73"/>
      <c r="F974" s="73"/>
      <c r="G974" s="73"/>
      <c r="H974" s="73"/>
      <c r="I974" s="73"/>
      <c r="J974" s="73"/>
      <c r="K974" s="73"/>
      <c r="L974" s="73"/>
      <c r="M974" s="73"/>
      <c r="N974" s="73"/>
      <c r="O974" s="73"/>
      <c r="P974" s="73"/>
      <c r="Q974" s="73"/>
      <c r="R974" s="73"/>
      <c r="S974" s="73"/>
      <c r="T974" s="73"/>
      <c r="U974" s="73"/>
      <c r="V974" s="73"/>
      <c r="W974" s="73"/>
      <c r="X974" s="73"/>
      <c r="Y974" s="73"/>
      <c r="Z974" s="73"/>
    </row>
    <row r="975">
      <c r="A975" s="73"/>
      <c r="B975" s="73"/>
      <c r="C975" s="73"/>
      <c r="D975" s="73"/>
      <c r="E975" s="73"/>
      <c r="F975" s="73"/>
      <c r="G975" s="73"/>
      <c r="H975" s="73"/>
      <c r="I975" s="73"/>
      <c r="J975" s="73"/>
      <c r="K975" s="73"/>
      <c r="L975" s="73"/>
      <c r="M975" s="73"/>
      <c r="N975" s="73"/>
      <c r="O975" s="73"/>
      <c r="P975" s="73"/>
      <c r="Q975" s="73"/>
      <c r="R975" s="73"/>
      <c r="S975" s="73"/>
      <c r="T975" s="73"/>
      <c r="U975" s="73"/>
      <c r="V975" s="73"/>
      <c r="W975" s="73"/>
      <c r="X975" s="73"/>
      <c r="Y975" s="73"/>
      <c r="Z975" s="73"/>
    </row>
    <row r="976">
      <c r="A976" s="73"/>
      <c r="B976" s="73"/>
      <c r="C976" s="73"/>
      <c r="D976" s="73"/>
      <c r="E976" s="73"/>
      <c r="F976" s="73"/>
      <c r="G976" s="73"/>
      <c r="H976" s="73"/>
      <c r="I976" s="73"/>
      <c r="J976" s="73"/>
      <c r="K976" s="73"/>
      <c r="L976" s="73"/>
      <c r="M976" s="73"/>
      <c r="N976" s="73"/>
      <c r="O976" s="73"/>
      <c r="P976" s="73"/>
      <c r="Q976" s="73"/>
      <c r="R976" s="73"/>
      <c r="S976" s="73"/>
      <c r="T976" s="73"/>
      <c r="U976" s="73"/>
      <c r="V976" s="73"/>
      <c r="W976" s="73"/>
      <c r="X976" s="73"/>
      <c r="Y976" s="73"/>
      <c r="Z976" s="73"/>
    </row>
    <row r="977">
      <c r="A977" s="73"/>
      <c r="B977" s="73"/>
      <c r="C977" s="73"/>
      <c r="D977" s="73"/>
      <c r="E977" s="73"/>
      <c r="F977" s="73"/>
      <c r="G977" s="73"/>
      <c r="H977" s="73"/>
      <c r="I977" s="73"/>
      <c r="J977" s="73"/>
      <c r="K977" s="73"/>
      <c r="L977" s="73"/>
      <c r="M977" s="73"/>
      <c r="N977" s="73"/>
      <c r="O977" s="73"/>
      <c r="P977" s="73"/>
      <c r="Q977" s="73"/>
      <c r="R977" s="73"/>
      <c r="S977" s="73"/>
      <c r="T977" s="73"/>
      <c r="U977" s="73"/>
      <c r="V977" s="73"/>
      <c r="W977" s="73"/>
      <c r="X977" s="73"/>
      <c r="Y977" s="73"/>
      <c r="Z977" s="73"/>
    </row>
    <row r="978">
      <c r="A978" s="73"/>
      <c r="B978" s="73"/>
      <c r="C978" s="73"/>
      <c r="D978" s="73"/>
      <c r="E978" s="73"/>
      <c r="F978" s="73"/>
      <c r="G978" s="73"/>
      <c r="H978" s="73"/>
      <c r="I978" s="73"/>
      <c r="J978" s="73"/>
      <c r="K978" s="73"/>
      <c r="L978" s="73"/>
      <c r="M978" s="73"/>
      <c r="N978" s="73"/>
      <c r="O978" s="73"/>
      <c r="P978" s="73"/>
      <c r="Q978" s="73"/>
      <c r="R978" s="73"/>
      <c r="S978" s="73"/>
      <c r="T978" s="73"/>
      <c r="U978" s="73"/>
      <c r="V978" s="73"/>
      <c r="W978" s="73"/>
      <c r="X978" s="73"/>
      <c r="Y978" s="73"/>
      <c r="Z978" s="73"/>
    </row>
    <row r="979">
      <c r="A979" s="73"/>
      <c r="B979" s="73"/>
      <c r="C979" s="73"/>
      <c r="D979" s="73"/>
      <c r="E979" s="73"/>
      <c r="F979" s="73"/>
      <c r="G979" s="73"/>
      <c r="H979" s="73"/>
      <c r="I979" s="73"/>
      <c r="J979" s="73"/>
      <c r="K979" s="73"/>
      <c r="L979" s="73"/>
      <c r="M979" s="73"/>
      <c r="N979" s="73"/>
      <c r="O979" s="73"/>
      <c r="P979" s="73"/>
      <c r="Q979" s="73"/>
      <c r="R979" s="73"/>
      <c r="S979" s="73"/>
      <c r="T979" s="73"/>
      <c r="U979" s="73"/>
      <c r="V979" s="73"/>
      <c r="W979" s="73"/>
      <c r="X979" s="73"/>
      <c r="Y979" s="73"/>
      <c r="Z979" s="73"/>
    </row>
    <row r="980">
      <c r="A980" s="73"/>
      <c r="B980" s="73"/>
      <c r="C980" s="73"/>
      <c r="D980" s="73"/>
      <c r="E980" s="73"/>
      <c r="F980" s="73"/>
      <c r="G980" s="73"/>
      <c r="H980" s="73"/>
      <c r="I980" s="73"/>
      <c r="J980" s="73"/>
      <c r="K980" s="73"/>
      <c r="L980" s="73"/>
      <c r="M980" s="73"/>
      <c r="N980" s="73"/>
      <c r="O980" s="73"/>
      <c r="P980" s="73"/>
      <c r="Q980" s="73"/>
      <c r="R980" s="73"/>
      <c r="S980" s="73"/>
      <c r="T980" s="73"/>
      <c r="U980" s="73"/>
      <c r="V980" s="73"/>
      <c r="W980" s="73"/>
      <c r="X980" s="73"/>
      <c r="Y980" s="73"/>
      <c r="Z980" s="73"/>
    </row>
    <row r="981">
      <c r="A981" s="73"/>
      <c r="B981" s="73"/>
      <c r="C981" s="73"/>
      <c r="D981" s="73"/>
      <c r="E981" s="73"/>
      <c r="F981" s="73"/>
      <c r="G981" s="73"/>
      <c r="H981" s="73"/>
      <c r="I981" s="73"/>
      <c r="J981" s="73"/>
      <c r="K981" s="73"/>
      <c r="L981" s="73"/>
      <c r="M981" s="73"/>
      <c r="N981" s="73"/>
      <c r="O981" s="73"/>
      <c r="P981" s="73"/>
      <c r="Q981" s="73"/>
      <c r="R981" s="73"/>
      <c r="S981" s="73"/>
      <c r="T981" s="73"/>
      <c r="U981" s="73"/>
      <c r="V981" s="73"/>
      <c r="W981" s="73"/>
      <c r="X981" s="73"/>
      <c r="Y981" s="73"/>
      <c r="Z981" s="73"/>
    </row>
    <row r="982">
      <c r="A982" s="73"/>
      <c r="B982" s="73"/>
      <c r="C982" s="73"/>
      <c r="D982" s="73"/>
      <c r="E982" s="73"/>
      <c r="F982" s="73"/>
      <c r="G982" s="73"/>
      <c r="H982" s="73"/>
      <c r="I982" s="73"/>
      <c r="J982" s="73"/>
      <c r="K982" s="73"/>
      <c r="L982" s="73"/>
      <c r="M982" s="73"/>
      <c r="N982" s="73"/>
      <c r="O982" s="73"/>
      <c r="P982" s="73"/>
      <c r="Q982" s="73"/>
      <c r="R982" s="73"/>
      <c r="S982" s="73"/>
      <c r="T982" s="73"/>
      <c r="U982" s="73"/>
      <c r="V982" s="73"/>
      <c r="W982" s="73"/>
      <c r="X982" s="73"/>
      <c r="Y982" s="73"/>
      <c r="Z982" s="73"/>
    </row>
    <row r="983">
      <c r="A983" s="73"/>
      <c r="B983" s="73"/>
      <c r="C983" s="73"/>
      <c r="D983" s="73"/>
      <c r="E983" s="73"/>
      <c r="F983" s="73"/>
      <c r="G983" s="73"/>
      <c r="H983" s="73"/>
      <c r="I983" s="73"/>
      <c r="J983" s="73"/>
      <c r="K983" s="73"/>
      <c r="L983" s="73"/>
      <c r="M983" s="73"/>
      <c r="N983" s="73"/>
      <c r="O983" s="73"/>
      <c r="P983" s="73"/>
      <c r="Q983" s="73"/>
      <c r="R983" s="73"/>
      <c r="S983" s="73"/>
      <c r="T983" s="73"/>
      <c r="U983" s="73"/>
      <c r="V983" s="73"/>
      <c r="W983" s="73"/>
      <c r="X983" s="73"/>
      <c r="Y983" s="73"/>
      <c r="Z983" s="73"/>
    </row>
    <row r="984">
      <c r="A984" s="73"/>
      <c r="B984" s="73"/>
      <c r="C984" s="73"/>
      <c r="D984" s="73"/>
      <c r="E984" s="73"/>
      <c r="F984" s="73"/>
      <c r="G984" s="73"/>
      <c r="H984" s="73"/>
      <c r="I984" s="73"/>
      <c r="J984" s="73"/>
      <c r="K984" s="73"/>
      <c r="L984" s="73"/>
      <c r="M984" s="73"/>
      <c r="N984" s="73"/>
      <c r="O984" s="73"/>
      <c r="P984" s="73"/>
      <c r="Q984" s="73"/>
      <c r="R984" s="73"/>
      <c r="S984" s="73"/>
      <c r="T984" s="73"/>
      <c r="U984" s="73"/>
      <c r="V984" s="73"/>
      <c r="W984" s="73"/>
      <c r="X984" s="73"/>
      <c r="Y984" s="73"/>
      <c r="Z984" s="73"/>
    </row>
    <row r="985">
      <c r="A985" s="73"/>
      <c r="B985" s="73"/>
      <c r="C985" s="73"/>
      <c r="D985" s="73"/>
      <c r="E985" s="73"/>
      <c r="F985" s="73"/>
      <c r="G985" s="73"/>
      <c r="H985" s="73"/>
      <c r="I985" s="73"/>
      <c r="J985" s="73"/>
      <c r="K985" s="73"/>
      <c r="L985" s="73"/>
      <c r="M985" s="73"/>
      <c r="N985" s="73"/>
      <c r="O985" s="73"/>
      <c r="P985" s="73"/>
      <c r="Q985" s="73"/>
      <c r="R985" s="73"/>
      <c r="S985" s="73"/>
      <c r="T985" s="73"/>
      <c r="U985" s="73"/>
      <c r="V985" s="73"/>
      <c r="W985" s="73"/>
      <c r="X985" s="73"/>
      <c r="Y985" s="73"/>
      <c r="Z985" s="73"/>
    </row>
    <row r="986">
      <c r="A986" s="73"/>
      <c r="B986" s="73"/>
      <c r="C986" s="73"/>
      <c r="D986" s="73"/>
      <c r="E986" s="73"/>
      <c r="F986" s="73"/>
      <c r="G986" s="73"/>
      <c r="H986" s="73"/>
      <c r="I986" s="73"/>
      <c r="J986" s="73"/>
      <c r="K986" s="73"/>
      <c r="L986" s="73"/>
      <c r="M986" s="73"/>
      <c r="N986" s="73"/>
      <c r="O986" s="73"/>
      <c r="P986" s="73"/>
      <c r="Q986" s="73"/>
      <c r="R986" s="73"/>
      <c r="S986" s="73"/>
      <c r="T986" s="73"/>
      <c r="U986" s="73"/>
      <c r="V986" s="73"/>
      <c r="W986" s="73"/>
      <c r="X986" s="73"/>
      <c r="Y986" s="73"/>
      <c r="Z986" s="73"/>
    </row>
    <row r="987">
      <c r="A987" s="73"/>
      <c r="B987" s="73"/>
      <c r="C987" s="73"/>
      <c r="D987" s="73"/>
      <c r="E987" s="73"/>
      <c r="F987" s="73"/>
      <c r="G987" s="73"/>
      <c r="H987" s="73"/>
      <c r="I987" s="73"/>
      <c r="J987" s="73"/>
      <c r="K987" s="73"/>
      <c r="L987" s="73"/>
      <c r="M987" s="73"/>
      <c r="N987" s="73"/>
      <c r="O987" s="73"/>
      <c r="P987" s="73"/>
      <c r="Q987" s="73"/>
      <c r="R987" s="73"/>
      <c r="S987" s="73"/>
      <c r="T987" s="73"/>
      <c r="U987" s="73"/>
      <c r="V987" s="73"/>
      <c r="W987" s="73"/>
      <c r="X987" s="73"/>
      <c r="Y987" s="73"/>
      <c r="Z987" s="73"/>
    </row>
    <row r="988">
      <c r="A988" s="73"/>
      <c r="B988" s="73"/>
      <c r="C988" s="73"/>
      <c r="D988" s="73"/>
      <c r="E988" s="73"/>
      <c r="F988" s="73"/>
      <c r="G988" s="73"/>
      <c r="H988" s="73"/>
      <c r="I988" s="73"/>
      <c r="J988" s="73"/>
      <c r="K988" s="73"/>
      <c r="L988" s="73"/>
      <c r="M988" s="73"/>
      <c r="N988" s="73"/>
      <c r="O988" s="73"/>
      <c r="P988" s="73"/>
      <c r="Q988" s="73"/>
      <c r="R988" s="73"/>
      <c r="S988" s="73"/>
      <c r="T988" s="73"/>
      <c r="U988" s="73"/>
      <c r="V988" s="73"/>
      <c r="W988" s="73"/>
      <c r="X988" s="73"/>
      <c r="Y988" s="73"/>
      <c r="Z988" s="73"/>
    </row>
    <row r="989">
      <c r="A989" s="73"/>
      <c r="B989" s="73"/>
      <c r="C989" s="73"/>
      <c r="D989" s="73"/>
      <c r="E989" s="73"/>
      <c r="F989" s="73"/>
      <c r="G989" s="73"/>
      <c r="H989" s="73"/>
      <c r="I989" s="73"/>
      <c r="J989" s="73"/>
      <c r="K989" s="73"/>
      <c r="L989" s="73"/>
      <c r="M989" s="73"/>
      <c r="N989" s="73"/>
      <c r="O989" s="73"/>
      <c r="P989" s="73"/>
      <c r="Q989" s="73"/>
      <c r="R989" s="73"/>
      <c r="S989" s="73"/>
      <c r="T989" s="73"/>
      <c r="U989" s="73"/>
      <c r="V989" s="73"/>
      <c r="W989" s="73"/>
      <c r="X989" s="73"/>
      <c r="Y989" s="73"/>
      <c r="Z989" s="73"/>
    </row>
    <row r="990">
      <c r="A990" s="73"/>
      <c r="B990" s="73"/>
      <c r="C990" s="73"/>
      <c r="D990" s="73"/>
      <c r="E990" s="73"/>
      <c r="F990" s="73"/>
      <c r="G990" s="73"/>
      <c r="H990" s="73"/>
      <c r="I990" s="73"/>
      <c r="J990" s="73"/>
      <c r="K990" s="73"/>
      <c r="L990" s="73"/>
      <c r="M990" s="73"/>
      <c r="N990" s="73"/>
      <c r="O990" s="73"/>
      <c r="P990" s="73"/>
      <c r="Q990" s="73"/>
      <c r="R990" s="73"/>
      <c r="S990" s="73"/>
      <c r="T990" s="73"/>
      <c r="U990" s="73"/>
      <c r="V990" s="73"/>
      <c r="W990" s="73"/>
      <c r="X990" s="73"/>
      <c r="Y990" s="73"/>
      <c r="Z990" s="73"/>
    </row>
    <row r="991">
      <c r="A991" s="73"/>
      <c r="B991" s="73"/>
      <c r="C991" s="73"/>
      <c r="D991" s="73"/>
      <c r="E991" s="73"/>
      <c r="F991" s="73"/>
      <c r="G991" s="73"/>
      <c r="H991" s="73"/>
      <c r="I991" s="73"/>
      <c r="J991" s="73"/>
      <c r="K991" s="73"/>
      <c r="L991" s="73"/>
      <c r="M991" s="73"/>
      <c r="N991" s="73"/>
      <c r="O991" s="73"/>
      <c r="P991" s="73"/>
      <c r="Q991" s="73"/>
      <c r="R991" s="73"/>
      <c r="S991" s="73"/>
      <c r="T991" s="73"/>
      <c r="U991" s="73"/>
      <c r="V991" s="73"/>
      <c r="W991" s="73"/>
      <c r="X991" s="73"/>
      <c r="Y991" s="73"/>
      <c r="Z991" s="73"/>
    </row>
    <row r="992">
      <c r="A992" s="73"/>
      <c r="B992" s="73"/>
      <c r="C992" s="73"/>
      <c r="D992" s="73"/>
      <c r="E992" s="73"/>
      <c r="F992" s="73"/>
      <c r="G992" s="73"/>
      <c r="H992" s="73"/>
      <c r="I992" s="73"/>
      <c r="J992" s="73"/>
      <c r="K992" s="73"/>
      <c r="L992" s="73"/>
      <c r="M992" s="73"/>
      <c r="N992" s="73"/>
      <c r="O992" s="73"/>
      <c r="P992" s="73"/>
      <c r="Q992" s="73"/>
      <c r="R992" s="73"/>
      <c r="S992" s="73"/>
      <c r="T992" s="73"/>
      <c r="U992" s="73"/>
      <c r="V992" s="73"/>
      <c r="W992" s="73"/>
      <c r="X992" s="73"/>
      <c r="Y992" s="73"/>
      <c r="Z992" s="73"/>
    </row>
    <row r="993">
      <c r="A993" s="73"/>
      <c r="B993" s="73"/>
      <c r="C993" s="73"/>
      <c r="D993" s="73"/>
      <c r="E993" s="73"/>
      <c r="F993" s="73"/>
      <c r="G993" s="73"/>
      <c r="H993" s="73"/>
      <c r="I993" s="73"/>
      <c r="J993" s="73"/>
      <c r="K993" s="73"/>
      <c r="L993" s="73"/>
      <c r="M993" s="73"/>
      <c r="N993" s="73"/>
      <c r="O993" s="73"/>
      <c r="P993" s="73"/>
      <c r="Q993" s="73"/>
      <c r="R993" s="73"/>
      <c r="S993" s="73"/>
      <c r="T993" s="73"/>
      <c r="U993" s="73"/>
      <c r="V993" s="73"/>
      <c r="W993" s="73"/>
      <c r="X993" s="73"/>
      <c r="Y993" s="73"/>
      <c r="Z993" s="73"/>
    </row>
    <row r="994">
      <c r="A994" s="73"/>
      <c r="B994" s="73"/>
      <c r="C994" s="73"/>
      <c r="D994" s="73"/>
      <c r="E994" s="73"/>
      <c r="F994" s="73"/>
      <c r="G994" s="73"/>
      <c r="H994" s="73"/>
      <c r="I994" s="73"/>
      <c r="J994" s="73"/>
      <c r="K994" s="73"/>
      <c r="L994" s="73"/>
      <c r="M994" s="73"/>
      <c r="N994" s="73"/>
      <c r="O994" s="73"/>
      <c r="P994" s="73"/>
      <c r="Q994" s="73"/>
      <c r="R994" s="73"/>
      <c r="S994" s="73"/>
      <c r="T994" s="73"/>
      <c r="U994" s="73"/>
      <c r="V994" s="73"/>
      <c r="W994" s="73"/>
      <c r="X994" s="73"/>
      <c r="Y994" s="73"/>
      <c r="Z994" s="73"/>
    </row>
    <row r="995">
      <c r="A995" s="73"/>
      <c r="B995" s="73"/>
      <c r="C995" s="73"/>
      <c r="D995" s="73"/>
      <c r="E995" s="73"/>
      <c r="F995" s="73"/>
      <c r="G995" s="73"/>
      <c r="H995" s="73"/>
      <c r="I995" s="73"/>
      <c r="J995" s="73"/>
      <c r="K995" s="73"/>
      <c r="L995" s="73"/>
      <c r="M995" s="73"/>
      <c r="N995" s="73"/>
      <c r="O995" s="73"/>
      <c r="P995" s="73"/>
      <c r="Q995" s="73"/>
      <c r="R995" s="73"/>
      <c r="S995" s="73"/>
      <c r="T995" s="73"/>
      <c r="U995" s="73"/>
      <c r="V995" s="73"/>
      <c r="W995" s="73"/>
      <c r="X995" s="73"/>
      <c r="Y995" s="73"/>
      <c r="Z995" s="73"/>
    </row>
    <row r="996">
      <c r="A996" s="73"/>
      <c r="B996" s="73"/>
      <c r="C996" s="73"/>
      <c r="D996" s="73"/>
      <c r="E996" s="73"/>
      <c r="F996" s="73"/>
      <c r="G996" s="73"/>
      <c r="H996" s="73"/>
      <c r="I996" s="73"/>
      <c r="J996" s="73"/>
      <c r="K996" s="73"/>
      <c r="L996" s="73"/>
      <c r="M996" s="73"/>
      <c r="N996" s="73"/>
      <c r="O996" s="73"/>
      <c r="P996" s="73"/>
      <c r="Q996" s="73"/>
      <c r="R996" s="73"/>
      <c r="S996" s="73"/>
      <c r="T996" s="73"/>
      <c r="U996" s="73"/>
      <c r="V996" s="73"/>
      <c r="W996" s="73"/>
      <c r="X996" s="73"/>
      <c r="Y996" s="73"/>
      <c r="Z996" s="73"/>
    </row>
    <row r="997">
      <c r="A997" s="73"/>
      <c r="B997" s="73"/>
      <c r="C997" s="73"/>
      <c r="D997" s="73"/>
      <c r="E997" s="73"/>
      <c r="F997" s="73"/>
      <c r="G997" s="73"/>
      <c r="H997" s="73"/>
      <c r="I997" s="73"/>
      <c r="J997" s="73"/>
      <c r="K997" s="73"/>
      <c r="L997" s="73"/>
      <c r="M997" s="73"/>
      <c r="N997" s="73"/>
      <c r="O997" s="73"/>
      <c r="P997" s="73"/>
      <c r="Q997" s="73"/>
      <c r="R997" s="73"/>
      <c r="S997" s="73"/>
      <c r="T997" s="73"/>
      <c r="U997" s="73"/>
      <c r="V997" s="73"/>
      <c r="W997" s="73"/>
      <c r="X997" s="73"/>
      <c r="Y997" s="73"/>
      <c r="Z997" s="73"/>
    </row>
    <row r="998">
      <c r="A998" s="73"/>
      <c r="B998" s="73"/>
      <c r="C998" s="73"/>
      <c r="D998" s="73"/>
      <c r="E998" s="73"/>
      <c r="F998" s="73"/>
      <c r="G998" s="73"/>
      <c r="H998" s="73"/>
      <c r="I998" s="73"/>
      <c r="J998" s="73"/>
      <c r="K998" s="73"/>
      <c r="L998" s="73"/>
      <c r="M998" s="73"/>
      <c r="N998" s="73"/>
      <c r="O998" s="73"/>
      <c r="P998" s="73"/>
      <c r="Q998" s="73"/>
      <c r="R998" s="73"/>
      <c r="S998" s="73"/>
      <c r="T998" s="73"/>
      <c r="U998" s="73"/>
      <c r="V998" s="73"/>
      <c r="W998" s="73"/>
      <c r="X998" s="73"/>
      <c r="Y998" s="73"/>
      <c r="Z998" s="73"/>
    </row>
    <row r="999">
      <c r="A999" s="73"/>
      <c r="B999" s="73"/>
      <c r="C999" s="73"/>
      <c r="D999" s="73"/>
      <c r="E999" s="73"/>
      <c r="F999" s="73"/>
      <c r="G999" s="73"/>
      <c r="H999" s="73"/>
      <c r="I999" s="73"/>
      <c r="J999" s="73"/>
      <c r="K999" s="73"/>
      <c r="L999" s="73"/>
      <c r="M999" s="73"/>
      <c r="N999" s="73"/>
      <c r="O999" s="73"/>
      <c r="P999" s="73"/>
      <c r="Q999" s="73"/>
      <c r="R999" s="73"/>
      <c r="S999" s="73"/>
      <c r="T999" s="73"/>
      <c r="U999" s="73"/>
      <c r="V999" s="73"/>
      <c r="W999" s="73"/>
      <c r="X999" s="73"/>
      <c r="Y999" s="73"/>
      <c r="Z999" s="73"/>
    </row>
    <row r="1000">
      <c r="A1000" s="73"/>
      <c r="B1000" s="73"/>
      <c r="C1000" s="73"/>
      <c r="D1000" s="73"/>
      <c r="E1000" s="73"/>
      <c r="F1000" s="73"/>
      <c r="G1000" s="73"/>
      <c r="H1000" s="73"/>
      <c r="I1000" s="73"/>
      <c r="J1000" s="73"/>
      <c r="K1000" s="73"/>
      <c r="L1000" s="73"/>
      <c r="M1000" s="73"/>
      <c r="N1000" s="73"/>
      <c r="O1000" s="73"/>
      <c r="P1000" s="73"/>
      <c r="Q1000" s="73"/>
      <c r="R1000" s="73"/>
      <c r="S1000" s="73"/>
      <c r="T1000" s="73"/>
      <c r="U1000" s="73"/>
      <c r="V1000" s="73"/>
      <c r="W1000" s="73"/>
      <c r="X1000" s="73"/>
      <c r="Y1000" s="73"/>
      <c r="Z1000" s="73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04" t="s">
        <v>2639</v>
      </c>
    </row>
    <row r="2">
      <c r="B2" s="205" t="s">
        <v>2635</v>
      </c>
      <c r="C2" s="207">
        <v>0.12</v>
      </c>
    </row>
    <row r="3">
      <c r="B3" s="205" t="s">
        <v>2640</v>
      </c>
      <c r="C3" s="207">
        <v>0.08</v>
      </c>
      <c r="K3" s="211"/>
      <c r="L3" s="211"/>
      <c r="M3" s="212"/>
    </row>
    <row r="4">
      <c r="B4" s="209" t="s">
        <v>2615</v>
      </c>
      <c r="C4" s="210" t="s">
        <v>2616</v>
      </c>
      <c r="I4" s="208"/>
      <c r="K4" s="216"/>
      <c r="L4" s="216"/>
      <c r="M4" s="217"/>
    </row>
    <row r="5">
      <c r="A5" s="248"/>
      <c r="B5" s="214" t="s">
        <v>2633</v>
      </c>
      <c r="C5" s="310">
        <v>0.5249</v>
      </c>
      <c r="I5" s="211"/>
      <c r="J5" s="211"/>
      <c r="K5" s="216"/>
      <c r="L5" s="216"/>
      <c r="M5" s="217"/>
    </row>
    <row r="6">
      <c r="A6" s="251"/>
      <c r="B6" s="214" t="s">
        <v>2637</v>
      </c>
      <c r="C6" s="310">
        <v>0.0535</v>
      </c>
      <c r="I6" s="216"/>
      <c r="J6" s="216"/>
      <c r="K6" s="366" t="s">
        <v>2605</v>
      </c>
      <c r="L6" s="366" t="s">
        <v>2615</v>
      </c>
      <c r="M6" s="367" t="s">
        <v>2616</v>
      </c>
    </row>
    <row r="7">
      <c r="A7" s="269"/>
      <c r="B7" s="214" t="s">
        <v>2584</v>
      </c>
      <c r="C7" s="310">
        <v>0.0932</v>
      </c>
      <c r="I7" s="216"/>
      <c r="J7" s="216"/>
      <c r="K7" s="299" t="s">
        <v>2058</v>
      </c>
      <c r="L7" s="299" t="s">
        <v>2641</v>
      </c>
      <c r="M7" s="300" t="s">
        <v>2769</v>
      </c>
    </row>
    <row r="8">
      <c r="A8" s="302"/>
      <c r="B8" s="214" t="s">
        <v>2647</v>
      </c>
      <c r="C8" s="310">
        <v>0.0168</v>
      </c>
      <c r="I8" s="216"/>
      <c r="J8" s="216"/>
      <c r="K8" s="299" t="s">
        <v>2056</v>
      </c>
      <c r="L8" s="299" t="s">
        <v>2643</v>
      </c>
      <c r="M8" s="300" t="s">
        <v>2770</v>
      </c>
    </row>
    <row r="9">
      <c r="A9" s="318"/>
      <c r="B9" s="232" t="s">
        <v>2665</v>
      </c>
      <c r="C9" s="310">
        <v>0.0847</v>
      </c>
      <c r="K9" s="299" t="s">
        <v>654</v>
      </c>
      <c r="L9" s="299" t="s">
        <v>2648</v>
      </c>
      <c r="M9" s="300" t="s">
        <v>2771</v>
      </c>
    </row>
    <row r="10">
      <c r="A10" s="318"/>
      <c r="B10" s="232" t="s">
        <v>2667</v>
      </c>
      <c r="C10" s="310">
        <v>0.0526</v>
      </c>
      <c r="K10" s="299" t="s">
        <v>2060</v>
      </c>
      <c r="L10" s="299" t="s">
        <v>2645</v>
      </c>
      <c r="M10" s="300" t="s">
        <v>2772</v>
      </c>
    </row>
    <row r="11">
      <c r="A11" s="318"/>
      <c r="B11" s="1" t="s">
        <v>2773</v>
      </c>
      <c r="C11" s="310">
        <v>0.0039</v>
      </c>
      <c r="K11" s="299" t="s">
        <v>2668</v>
      </c>
      <c r="L11" s="299" t="s">
        <v>2669</v>
      </c>
      <c r="M11" s="300" t="s">
        <v>2774</v>
      </c>
    </row>
    <row r="12">
      <c r="A12" s="318"/>
      <c r="B12" s="232" t="s">
        <v>2671</v>
      </c>
      <c r="C12" s="310">
        <v>0.0493</v>
      </c>
      <c r="K12" s="299" t="s">
        <v>812</v>
      </c>
      <c r="L12" s="299" t="s">
        <v>2672</v>
      </c>
      <c r="M12" s="300" t="s">
        <v>2775</v>
      </c>
    </row>
    <row r="13">
      <c r="A13" s="318"/>
      <c r="B13" s="232" t="s">
        <v>2548</v>
      </c>
      <c r="C13" s="310">
        <v>0.0973</v>
      </c>
      <c r="K13" s="299" t="s">
        <v>1478</v>
      </c>
      <c r="L13" s="299" t="s">
        <v>2776</v>
      </c>
      <c r="M13" s="300" t="s">
        <v>2777</v>
      </c>
    </row>
    <row r="14">
      <c r="A14" s="319"/>
      <c r="B14" s="232" t="s">
        <v>2676</v>
      </c>
      <c r="C14" s="310">
        <v>0.0238</v>
      </c>
      <c r="K14" s="299" t="s">
        <v>545</v>
      </c>
      <c r="L14" s="299" t="s">
        <v>2674</v>
      </c>
      <c r="M14" s="300" t="s">
        <v>2778</v>
      </c>
    </row>
    <row r="15">
      <c r="K15" s="299" t="s">
        <v>2677</v>
      </c>
      <c r="L15" s="299" t="s">
        <v>2678</v>
      </c>
      <c r="M15" s="300" t="s">
        <v>2779</v>
      </c>
    </row>
    <row r="16">
      <c r="K16" s="299" t="s">
        <v>1897</v>
      </c>
      <c r="L16" s="299" t="s">
        <v>2680</v>
      </c>
      <c r="M16" s="300" t="s">
        <v>2780</v>
      </c>
    </row>
    <row r="17">
      <c r="B17" s="216"/>
      <c r="C17" s="219"/>
    </row>
    <row r="19">
      <c r="A19" s="220" t="s">
        <v>2619</v>
      </c>
      <c r="B19" s="221" t="s">
        <v>2620</v>
      </c>
      <c r="C19" s="222" t="s">
        <v>2621</v>
      </c>
      <c r="D19" s="223" t="s">
        <v>2622</v>
      </c>
    </row>
    <row r="20">
      <c r="A20" s="224" t="str">
        <f t="shared" ref="A20:B20" si="1">B5</f>
        <v>ONs</v>
      </c>
      <c r="B20" s="225">
        <f t="shared" si="1"/>
        <v>0.5249</v>
      </c>
      <c r="C20" s="226">
        <v>-0.08</v>
      </c>
      <c r="D20" s="227">
        <f t="shared" ref="D20:D29" si="3">B20+C20</f>
        <v>0.4449</v>
      </c>
    </row>
    <row r="21">
      <c r="A21" s="224" t="str">
        <f t="shared" ref="A21:B21" si="2">B6</f>
        <v>Soberanos Hard Dollar</v>
      </c>
      <c r="B21" s="225">
        <f t="shared" si="2"/>
        <v>0.0535</v>
      </c>
      <c r="C21" s="226">
        <v>0.0</v>
      </c>
      <c r="D21" s="227">
        <f t="shared" si="3"/>
        <v>0.0535</v>
      </c>
      <c r="G21" s="205"/>
    </row>
    <row r="22">
      <c r="A22" s="224" t="str">
        <f t="shared" ref="A22:B22" si="4">B7</f>
        <v>Oro</v>
      </c>
      <c r="B22" s="225">
        <f t="shared" si="4"/>
        <v>0.0932</v>
      </c>
      <c r="C22" s="226">
        <v>-0.04</v>
      </c>
      <c r="D22" s="227">
        <f t="shared" si="3"/>
        <v>0.0532</v>
      </c>
      <c r="H22" s="235"/>
    </row>
    <row r="23">
      <c r="A23" s="224" t="str">
        <f t="shared" ref="A23:B23" si="5">B8</f>
        <v>Soberanos pesos</v>
      </c>
      <c r="B23" s="225">
        <f t="shared" si="5"/>
        <v>0.0168</v>
      </c>
      <c r="C23" s="226">
        <f>3%+6.39%</f>
        <v>0.0939</v>
      </c>
      <c r="D23" s="227">
        <f t="shared" si="3"/>
        <v>0.1107</v>
      </c>
      <c r="E23" s="192"/>
    </row>
    <row r="24">
      <c r="A24" s="224" t="str">
        <f t="shared" ref="A24:B24" si="6">B9</f>
        <v>Desarrollados ex US</v>
      </c>
      <c r="B24" s="225">
        <f t="shared" si="6"/>
        <v>0.0847</v>
      </c>
      <c r="C24" s="226">
        <v>0.0</v>
      </c>
      <c r="D24" s="227">
        <f t="shared" si="3"/>
        <v>0.0847</v>
      </c>
      <c r="E24" s="192"/>
    </row>
    <row r="25">
      <c r="A25" s="224" t="str">
        <f t="shared" ref="A25:B25" si="7">B10</f>
        <v>US small cap</v>
      </c>
      <c r="B25" s="225">
        <f t="shared" si="7"/>
        <v>0.0526</v>
      </c>
      <c r="C25" s="226">
        <v>-0.01</v>
      </c>
      <c r="D25" s="227">
        <f t="shared" si="3"/>
        <v>0.0426</v>
      </c>
      <c r="E25" s="192"/>
    </row>
    <row r="26">
      <c r="A26" s="224" t="str">
        <f t="shared" ref="A26:B26" si="8">B11</f>
        <v>US large</v>
      </c>
      <c r="B26" s="225">
        <f t="shared" si="8"/>
        <v>0.0039</v>
      </c>
      <c r="C26" s="226">
        <v>-0.0039</v>
      </c>
      <c r="D26" s="227">
        <f t="shared" si="3"/>
        <v>0</v>
      </c>
      <c r="E26" s="192"/>
    </row>
    <row r="27">
      <c r="A27" s="224" t="str">
        <f t="shared" ref="A27:B27" si="9">B12</f>
        <v>Emergentes</v>
      </c>
      <c r="B27" s="225">
        <f t="shared" si="9"/>
        <v>0.0493</v>
      </c>
      <c r="C27" s="226">
        <v>0.0</v>
      </c>
      <c r="D27" s="227">
        <f t="shared" si="3"/>
        <v>0.0493</v>
      </c>
      <c r="E27" s="192"/>
    </row>
    <row r="28">
      <c r="A28" s="224" t="str">
        <f t="shared" ref="A28:B28" si="10">B13</f>
        <v>Argentina</v>
      </c>
      <c r="B28" s="225">
        <f t="shared" si="10"/>
        <v>0.0973</v>
      </c>
      <c r="C28" s="226">
        <v>0.04</v>
      </c>
      <c r="D28" s="227">
        <f t="shared" si="3"/>
        <v>0.1373</v>
      </c>
      <c r="E28" s="192"/>
    </row>
    <row r="29">
      <c r="A29" s="224" t="str">
        <f t="shared" ref="A29:B29" si="11">B14</f>
        <v>Sector inmobiliario US</v>
      </c>
      <c r="B29" s="225">
        <f t="shared" si="11"/>
        <v>0.0238</v>
      </c>
      <c r="C29" s="226">
        <v>0.0</v>
      </c>
      <c r="D29" s="227">
        <f t="shared" si="3"/>
        <v>0.0238</v>
      </c>
      <c r="E29" s="192"/>
    </row>
    <row r="30">
      <c r="A30" s="228"/>
      <c r="B30" s="229">
        <f>SUM(Tactical_11[Modelo])</f>
        <v>1</v>
      </c>
      <c r="C30" s="230">
        <f>SUM(Tactical_11[Corredor +/- 10%])</f>
        <v>0</v>
      </c>
      <c r="D30" s="231">
        <f>SUM(Tactical_11[TAA])</f>
        <v>1</v>
      </c>
      <c r="E30" s="1"/>
      <c r="F30" s="1"/>
      <c r="G30" s="1"/>
    </row>
    <row r="31">
      <c r="B31" s="216"/>
      <c r="C31" s="219"/>
      <c r="E31" s="1"/>
      <c r="F31" s="1"/>
      <c r="G31" s="1"/>
    </row>
    <row r="32">
      <c r="E32" s="1"/>
      <c r="F32" s="1"/>
      <c r="G32" s="1"/>
    </row>
    <row r="33">
      <c r="C33" s="1" t="s">
        <v>2559</v>
      </c>
      <c r="E33" s="1"/>
      <c r="F33" s="1"/>
      <c r="G33" s="1"/>
    </row>
    <row r="34">
      <c r="A34" s="314"/>
      <c r="B34" s="232" t="str">
        <f>Ons!B6</f>
        <v>TLCPD</v>
      </c>
      <c r="C34" s="233">
        <f>$D$20*Ons!G6</f>
        <v>0.173019998</v>
      </c>
      <c r="E34" s="1"/>
      <c r="F34" s="1"/>
      <c r="G34" s="1"/>
    </row>
    <row r="35">
      <c r="A35" s="314"/>
      <c r="B35" s="232" t="str">
        <f>Ons!B7</f>
        <v>BACGD</v>
      </c>
      <c r="C35" s="233">
        <f>$D$20*Ons!G7</f>
        <v>0.271880002</v>
      </c>
      <c r="E35" s="1"/>
      <c r="F35" s="1"/>
      <c r="G35" s="1"/>
    </row>
    <row r="36">
      <c r="A36" s="314"/>
      <c r="B36" s="232" t="str">
        <f>Ons!B8</f>
        <v/>
      </c>
      <c r="C36" s="233">
        <f>$D$20*Ons!G8</f>
        <v>0</v>
      </c>
    </row>
    <row r="37">
      <c r="A37" s="314"/>
      <c r="B37" s="232" t="str">
        <f>Ons!B9</f>
        <v/>
      </c>
      <c r="C37" s="233">
        <f>$D$20*Ons!G9</f>
        <v>0</v>
      </c>
      <c r="D37" s="192"/>
    </row>
    <row r="38">
      <c r="A38" s="314"/>
      <c r="B38" s="232" t="str">
        <f>Ons!B10</f>
        <v/>
      </c>
      <c r="C38" s="234"/>
      <c r="D38" s="1"/>
      <c r="J38" s="238"/>
    </row>
    <row r="39">
      <c r="A39" s="314"/>
      <c r="B39" s="232" t="str">
        <f>Ons!B11</f>
        <v/>
      </c>
      <c r="C39" s="234"/>
      <c r="D39" s="1"/>
    </row>
    <row r="40">
      <c r="A40" s="333"/>
      <c r="B40" s="254" t="str">
        <f>Soberanos!B28</f>
        <v>BPO8D</v>
      </c>
      <c r="C40" s="234"/>
      <c r="J40" s="238"/>
    </row>
    <row r="41">
      <c r="A41" s="333"/>
      <c r="B41" s="232" t="str">
        <f>Soberanos!B29</f>
        <v>AL30D</v>
      </c>
      <c r="C41" s="233">
        <f>$D$21*Soberanos!F29</f>
        <v>0.02369206858</v>
      </c>
      <c r="J41" s="238"/>
    </row>
    <row r="42">
      <c r="A42" s="333"/>
      <c r="B42" s="232" t="str">
        <f>Soberanos!B30</f>
        <v>AE38D</v>
      </c>
      <c r="C42" s="233">
        <f>$D$21*Soberanos!F30</f>
        <v>0.01112506532</v>
      </c>
      <c r="J42" s="238"/>
    </row>
    <row r="43">
      <c r="A43" s="334"/>
      <c r="B43" s="232" t="s">
        <v>654</v>
      </c>
      <c r="C43" s="237">
        <f>D22</f>
        <v>0.0532</v>
      </c>
      <c r="E43" s="245"/>
      <c r="K43" s="243"/>
      <c r="L43" s="244"/>
    </row>
    <row r="44">
      <c r="A44" s="302"/>
      <c r="B44" s="232" t="str">
        <f>Soberanos!B14</f>
        <v>S10N5</v>
      </c>
      <c r="C44" s="233">
        <f>Soberanos!F14*$D$23</f>
        <v>0.01197861663</v>
      </c>
      <c r="E44" s="245"/>
      <c r="F44" s="1"/>
      <c r="G44" s="1"/>
      <c r="H44" s="1"/>
      <c r="I44" s="1"/>
      <c r="J44" s="1"/>
      <c r="K44" s="243"/>
      <c r="L44" s="244"/>
    </row>
    <row r="45">
      <c r="A45" s="302"/>
      <c r="B45" s="232" t="str">
        <f>Soberanos!B15</f>
        <v/>
      </c>
      <c r="C45" s="233">
        <f>Soberanos!F15*$D$23</f>
        <v>0</v>
      </c>
      <c r="E45" s="245"/>
      <c r="F45" s="1"/>
      <c r="G45" s="1"/>
      <c r="H45" s="1"/>
      <c r="I45" s="1"/>
      <c r="J45" s="1"/>
      <c r="K45" s="243"/>
      <c r="L45" s="244"/>
    </row>
    <row r="46">
      <c r="A46" s="302"/>
      <c r="B46" s="232" t="str">
        <f>Soberanos!B16</f>
        <v>TZXD7</v>
      </c>
      <c r="C46" s="233">
        <f>Soberanos!F16*$D$23</f>
        <v>0.09872138337</v>
      </c>
      <c r="E46" s="245"/>
      <c r="F46" s="1"/>
      <c r="G46" s="1"/>
      <c r="H46" s="1"/>
      <c r="I46" s="1"/>
      <c r="J46" s="1"/>
      <c r="K46" s="243"/>
      <c r="L46" s="244"/>
    </row>
    <row r="47">
      <c r="A47" s="302"/>
      <c r="B47" s="232" t="str">
        <f>Soberanos!B17</f>
        <v/>
      </c>
      <c r="C47" s="233">
        <f>Soberanos!F17*$D$23</f>
        <v>0</v>
      </c>
      <c r="E47" s="245"/>
      <c r="F47" s="1"/>
      <c r="G47" s="1"/>
      <c r="H47" s="1"/>
      <c r="I47" s="1"/>
      <c r="J47" s="1"/>
      <c r="K47" s="243"/>
      <c r="L47" s="244"/>
    </row>
    <row r="48">
      <c r="A48" s="321"/>
      <c r="B48" s="232" t="s">
        <v>1800</v>
      </c>
      <c r="C48" s="253">
        <f t="shared" ref="C48:C49" si="12">$D$24/2</f>
        <v>0.04235</v>
      </c>
      <c r="E48" s="245"/>
      <c r="F48" s="1"/>
      <c r="G48" s="1"/>
      <c r="H48" s="1"/>
      <c r="I48" s="1"/>
      <c r="J48" s="1"/>
      <c r="K48" s="243"/>
      <c r="L48" s="244"/>
    </row>
    <row r="49">
      <c r="A49" s="321"/>
      <c r="B49" s="232" t="s">
        <v>766</v>
      </c>
      <c r="C49" s="253">
        <f t="shared" si="12"/>
        <v>0.04235</v>
      </c>
      <c r="E49" s="245"/>
      <c r="F49" s="1"/>
      <c r="G49" s="1"/>
      <c r="H49" s="1"/>
      <c r="I49" s="1"/>
      <c r="J49" s="1"/>
      <c r="K49" s="243"/>
      <c r="L49" s="244"/>
    </row>
    <row r="50">
      <c r="A50" s="321"/>
      <c r="B50" s="232" t="s">
        <v>812</v>
      </c>
      <c r="C50" s="237">
        <f>D25</f>
        <v>0.0426</v>
      </c>
      <c r="E50" s="245"/>
      <c r="F50" s="1"/>
      <c r="G50" s="1"/>
      <c r="H50" s="1"/>
      <c r="I50" s="1"/>
      <c r="J50" s="1"/>
      <c r="K50" s="243"/>
      <c r="L50" s="244"/>
    </row>
    <row r="51">
      <c r="A51" s="321"/>
      <c r="B51" s="232" t="s">
        <v>545</v>
      </c>
      <c r="C51" s="237">
        <f t="shared" ref="C51:C53" si="13">D27</f>
        <v>0.0493</v>
      </c>
      <c r="E51" s="245"/>
      <c r="F51" s="1"/>
      <c r="G51" s="1"/>
      <c r="H51" s="1"/>
      <c r="I51" s="1"/>
      <c r="J51" s="1"/>
      <c r="K51" s="243"/>
      <c r="L51" s="244"/>
    </row>
    <row r="52">
      <c r="A52" s="321"/>
      <c r="B52" s="378" t="s">
        <v>2053</v>
      </c>
      <c r="C52" s="237">
        <f t="shared" si="13"/>
        <v>0.1373</v>
      </c>
      <c r="E52" s="245"/>
      <c r="F52" s="1"/>
      <c r="G52" s="1"/>
      <c r="H52" s="1"/>
      <c r="I52" s="1"/>
      <c r="J52" s="1"/>
      <c r="K52" s="243"/>
      <c r="L52" s="244"/>
    </row>
    <row r="53">
      <c r="A53" s="322"/>
      <c r="B53" s="232" t="s">
        <v>1897</v>
      </c>
      <c r="C53" s="237">
        <f t="shared" si="13"/>
        <v>0.0238</v>
      </c>
      <c r="E53" s="245"/>
      <c r="F53" s="1"/>
      <c r="G53" s="1"/>
      <c r="H53" s="1"/>
      <c r="I53" s="1"/>
      <c r="J53" s="1"/>
      <c r="K53" s="243"/>
      <c r="L53" s="244"/>
    </row>
    <row r="54">
      <c r="A54" s="234"/>
      <c r="B54" s="234"/>
      <c r="C54" s="233">
        <f>SUM(C34:C53)</f>
        <v>0.9813171339</v>
      </c>
      <c r="E54" s="245"/>
      <c r="F54" s="1"/>
      <c r="G54" s="1"/>
      <c r="H54" s="1"/>
      <c r="I54" s="1"/>
      <c r="J54" s="1"/>
      <c r="K54" s="243"/>
      <c r="L54" s="244"/>
    </row>
    <row r="55">
      <c r="E55" s="245"/>
      <c r="K55" s="243"/>
      <c r="L55" s="244"/>
    </row>
    <row r="56">
      <c r="D56" s="239"/>
      <c r="E56" s="245"/>
      <c r="K56" s="243"/>
      <c r="L56" s="244"/>
    </row>
    <row r="57">
      <c r="D57" s="239"/>
      <c r="E57" s="245"/>
      <c r="K57" s="246"/>
      <c r="L57" s="244"/>
    </row>
    <row r="58">
      <c r="D58" s="239"/>
      <c r="E58" s="245"/>
      <c r="K58" s="246"/>
      <c r="L58" s="244"/>
    </row>
    <row r="59">
      <c r="D59" s="239"/>
      <c r="E59" s="245"/>
      <c r="K59" s="246"/>
      <c r="L59" s="244"/>
    </row>
    <row r="60">
      <c r="E60" s="245"/>
      <c r="F60" s="1"/>
      <c r="G60" s="1"/>
      <c r="H60" s="1"/>
      <c r="I60" s="1"/>
      <c r="J60" s="1"/>
      <c r="K60" s="246"/>
      <c r="L60" s="244"/>
    </row>
    <row r="61">
      <c r="E61" s="245"/>
      <c r="K61" s="246"/>
      <c r="L61" s="244"/>
    </row>
    <row r="62">
      <c r="C62" s="1"/>
      <c r="D62" s="1"/>
      <c r="E62" s="245"/>
      <c r="K62" s="246"/>
      <c r="L62" s="244"/>
    </row>
    <row r="63">
      <c r="E63" s="245"/>
      <c r="K63" s="246"/>
      <c r="L63" s="244"/>
    </row>
    <row r="64">
      <c r="E64" s="245"/>
      <c r="F64" s="1"/>
      <c r="G64" s="1"/>
      <c r="H64" s="1"/>
      <c r="I64" s="1"/>
      <c r="J64" s="1"/>
      <c r="K64" s="246"/>
      <c r="L64" s="244"/>
    </row>
    <row r="65">
      <c r="E65" s="245"/>
      <c r="F65" s="1"/>
      <c r="G65" s="1"/>
      <c r="H65" s="1"/>
      <c r="I65" s="1"/>
      <c r="J65" s="1"/>
      <c r="K65" s="246"/>
      <c r="L65" s="244"/>
    </row>
    <row r="66">
      <c r="E66" s="245"/>
      <c r="K66" s="246"/>
      <c r="L66" s="244"/>
    </row>
    <row r="67">
      <c r="E67" s="245"/>
      <c r="F67" s="1"/>
      <c r="G67" s="1"/>
      <c r="H67" s="1"/>
      <c r="I67" s="1"/>
      <c r="J67" s="1"/>
      <c r="K67" s="246"/>
      <c r="L67" s="244"/>
    </row>
    <row r="68">
      <c r="E68" s="245"/>
      <c r="F68" s="1"/>
      <c r="G68" s="1"/>
      <c r="H68" s="1"/>
      <c r="I68" s="1"/>
      <c r="J68" s="1"/>
      <c r="K68" s="246"/>
      <c r="L68" s="244"/>
    </row>
    <row r="69">
      <c r="E69" s="245"/>
      <c r="K69" s="246"/>
      <c r="L69" s="244"/>
    </row>
    <row r="70">
      <c r="E70" s="245"/>
      <c r="F70" s="1"/>
      <c r="G70" s="1"/>
      <c r="H70" s="1"/>
      <c r="I70" s="1"/>
      <c r="J70" s="1"/>
      <c r="K70" s="246"/>
      <c r="L70" s="244"/>
    </row>
    <row r="71">
      <c r="E71" s="245"/>
      <c r="K71" s="246"/>
      <c r="L71" s="244"/>
    </row>
    <row r="72">
      <c r="E72" s="245"/>
      <c r="K72" s="246"/>
      <c r="L72" s="244"/>
    </row>
    <row r="73">
      <c r="E73" s="245"/>
      <c r="K73" s="246"/>
      <c r="L73" s="244"/>
    </row>
    <row r="74">
      <c r="E74" s="245"/>
      <c r="F74" s="1"/>
      <c r="G74" s="1"/>
      <c r="H74" s="1"/>
      <c r="I74" s="1"/>
      <c r="J74" s="1"/>
      <c r="K74" s="246"/>
      <c r="L74" s="244"/>
    </row>
    <row r="1012">
      <c r="A1012" s="321"/>
      <c r="M1012" s="236"/>
    </row>
  </sheetData>
  <dataValidations>
    <dataValidation type="custom" allowBlank="1" showDropDown="1" sqref="B20:D29">
      <formula1>AND(ISNUMBER(B20),(NOT(OR(NOT(ISERROR(DATEVALUE(B20))), AND(ISNUMBER(B20), LEFT(CELL("format", B20))="D")))))</formula1>
    </dataValidation>
  </dataValidations>
  <hyperlinks>
    <hyperlink display="Merval + VIST" location="'Merval + VIST'!A1" ref="B52"/>
  </hyperlinks>
  <drawing r:id="rId1"/>
  <tableParts count="1">
    <tablePart r:id="rId3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30.88"/>
    <col customWidth="1" min="3" max="3" width="36.38"/>
    <col customWidth="1" min="4" max="4" width="20.38"/>
    <col customWidth="1" min="5" max="5" width="19.75"/>
  </cols>
  <sheetData>
    <row r="1">
      <c r="B1" s="341" t="s">
        <v>2781</v>
      </c>
    </row>
    <row r="2">
      <c r="B2" s="211"/>
      <c r="C2" s="209" t="s">
        <v>2615</v>
      </c>
      <c r="D2" s="210" t="s">
        <v>2616</v>
      </c>
    </row>
    <row r="3">
      <c r="B3" s="216"/>
      <c r="C3" s="214" t="s">
        <v>2782</v>
      </c>
      <c r="D3" s="215">
        <v>0.0076</v>
      </c>
    </row>
    <row r="4">
      <c r="B4" s="216"/>
      <c r="C4" s="214" t="s">
        <v>2783</v>
      </c>
      <c r="D4" s="215">
        <v>0.0092</v>
      </c>
    </row>
    <row r="5">
      <c r="B5" s="216"/>
      <c r="C5" s="214" t="s">
        <v>2667</v>
      </c>
      <c r="D5" s="215">
        <v>0.0091</v>
      </c>
    </row>
    <row r="6">
      <c r="B6" s="216"/>
      <c r="C6" s="214" t="s">
        <v>2548</v>
      </c>
      <c r="D6" s="215">
        <v>0.0085</v>
      </c>
    </row>
    <row r="7">
      <c r="B7" s="216"/>
      <c r="C7" s="214" t="s">
        <v>2784</v>
      </c>
      <c r="D7" s="215">
        <v>0.0041</v>
      </c>
    </row>
    <row r="8">
      <c r="B8" s="216"/>
      <c r="C8" s="214" t="s">
        <v>2785</v>
      </c>
      <c r="D8" s="215">
        <v>0.0791</v>
      </c>
    </row>
    <row r="9">
      <c r="B9" s="216"/>
      <c r="C9" s="214" t="s">
        <v>2786</v>
      </c>
      <c r="D9" s="215">
        <v>0.1817</v>
      </c>
    </row>
    <row r="10">
      <c r="B10" s="216"/>
      <c r="C10" s="214" t="s">
        <v>2787</v>
      </c>
      <c r="D10" s="215">
        <v>0.2334</v>
      </c>
    </row>
    <row r="11">
      <c r="B11" s="216"/>
      <c r="C11" s="214" t="s">
        <v>2788</v>
      </c>
      <c r="D11" s="215">
        <v>0.3395</v>
      </c>
    </row>
    <row r="12">
      <c r="B12" s="216"/>
      <c r="C12" s="214" t="s">
        <v>2789</v>
      </c>
      <c r="D12" s="215">
        <v>0.0309</v>
      </c>
    </row>
    <row r="13">
      <c r="B13" s="216"/>
      <c r="C13" s="214" t="s">
        <v>2790</v>
      </c>
      <c r="D13" s="215">
        <v>0.0969</v>
      </c>
    </row>
    <row r="18">
      <c r="B18" s="220" t="s">
        <v>2619</v>
      </c>
      <c r="C18" s="221" t="s">
        <v>2620</v>
      </c>
      <c r="D18" s="222" t="s">
        <v>2621</v>
      </c>
      <c r="E18" s="223" t="s">
        <v>2622</v>
      </c>
    </row>
    <row r="19">
      <c r="B19" s="224" t="str">
        <f t="shared" ref="B19:C19" si="1">C3</f>
        <v>Desarrollados</v>
      </c>
      <c r="C19" s="225">
        <f t="shared" si="1"/>
        <v>0.0076</v>
      </c>
      <c r="D19" s="226">
        <v>0.0218</v>
      </c>
      <c r="E19" s="227">
        <f t="shared" ref="E19:E29" si="3">D19+C19</f>
        <v>0.0294</v>
      </c>
      <c r="H19" s="232" t="s">
        <v>1800</v>
      </c>
      <c r="I19" s="253">
        <f t="shared" ref="I19:I20" si="4">$E$19/2</f>
        <v>0.0147</v>
      </c>
    </row>
    <row r="20">
      <c r="B20" s="224" t="str">
        <f t="shared" ref="B20:C20" si="2">C4</f>
        <v>Mercados Emergentes</v>
      </c>
      <c r="C20" s="225">
        <f t="shared" si="2"/>
        <v>0.0092</v>
      </c>
      <c r="D20" s="226">
        <v>-0.0092</v>
      </c>
      <c r="E20" s="227">
        <f t="shared" si="3"/>
        <v>0</v>
      </c>
      <c r="H20" s="232" t="s">
        <v>766</v>
      </c>
      <c r="I20" s="253">
        <f t="shared" si="4"/>
        <v>0.0147</v>
      </c>
    </row>
    <row r="21">
      <c r="B21" s="224" t="str">
        <f t="shared" ref="B21:C21" si="5">C5</f>
        <v>US small cap</v>
      </c>
      <c r="C21" s="225">
        <f t="shared" si="5"/>
        <v>0.0091</v>
      </c>
      <c r="D21" s="226">
        <f>3.09%</f>
        <v>0.0309</v>
      </c>
      <c r="E21" s="227">
        <f t="shared" si="3"/>
        <v>0.04</v>
      </c>
      <c r="H21" s="232" t="s">
        <v>812</v>
      </c>
      <c r="I21" s="237">
        <f>E21</f>
        <v>0.04</v>
      </c>
    </row>
    <row r="22">
      <c r="B22" s="224" t="str">
        <f t="shared" ref="B22:C22" si="6">C6</f>
        <v>Argentina</v>
      </c>
      <c r="C22" s="225">
        <f t="shared" si="6"/>
        <v>0.0085</v>
      </c>
      <c r="D22" s="226">
        <v>-0.0085</v>
      </c>
      <c r="E22" s="227">
        <f t="shared" si="3"/>
        <v>0</v>
      </c>
      <c r="H22" s="232" t="s">
        <v>1693</v>
      </c>
      <c r="I22" s="237">
        <f>C24</f>
        <v>0.0791</v>
      </c>
    </row>
    <row r="23">
      <c r="B23" s="224" t="str">
        <f t="shared" ref="B23:C23" si="7">C7</f>
        <v>Sector inmobiliario de US</v>
      </c>
      <c r="C23" s="225">
        <f t="shared" si="7"/>
        <v>0.0041</v>
      </c>
      <c r="D23" s="226">
        <v>-0.0041</v>
      </c>
      <c r="E23" s="227">
        <f t="shared" si="3"/>
        <v>0</v>
      </c>
      <c r="H23" s="232" t="s">
        <v>67</v>
      </c>
      <c r="I23" s="237">
        <f t="shared" ref="I23:I24" si="9">$E$25/2</f>
        <v>0.09085</v>
      </c>
    </row>
    <row r="24">
      <c r="B24" s="224" t="str">
        <f t="shared" ref="B24:C24" si="8">C8</f>
        <v>Bono en moneda local</v>
      </c>
      <c r="C24" s="225">
        <f t="shared" si="8"/>
        <v>0.0791</v>
      </c>
      <c r="D24" s="226">
        <v>0.0</v>
      </c>
      <c r="E24" s="227">
        <f t="shared" si="3"/>
        <v>0.0791</v>
      </c>
      <c r="H24" s="232" t="s">
        <v>271</v>
      </c>
      <c r="I24" s="237">
        <f t="shared" si="9"/>
        <v>0.09085</v>
      </c>
    </row>
    <row r="25">
      <c r="B25" s="224" t="str">
        <f t="shared" ref="B25:C25" si="10">C9</f>
        <v>Bono en USD</v>
      </c>
      <c r="C25" s="225">
        <f t="shared" si="10"/>
        <v>0.1817</v>
      </c>
      <c r="D25" s="226">
        <v>0.0</v>
      </c>
      <c r="E25" s="227">
        <f t="shared" si="3"/>
        <v>0.1817</v>
      </c>
      <c r="H25" s="232" t="s">
        <v>2791</v>
      </c>
      <c r="I25" s="379">
        <v>0.2334</v>
      </c>
    </row>
    <row r="26">
      <c r="B26" s="224" t="str">
        <f t="shared" ref="B26:C26" si="11">C10</f>
        <v>ON</v>
      </c>
      <c r="C26" s="225">
        <f t="shared" si="11"/>
        <v>0.2334</v>
      </c>
      <c r="D26" s="226">
        <v>0.0</v>
      </c>
      <c r="E26" s="227">
        <f t="shared" si="3"/>
        <v>0.2334</v>
      </c>
      <c r="H26" s="232" t="s">
        <v>2792</v>
      </c>
      <c r="I26" s="233">
        <f t="shared" ref="I26:I27" si="13">$E$27/2</f>
        <v>0.16975</v>
      </c>
    </row>
    <row r="27">
      <c r="B27" s="224" t="str">
        <f t="shared" ref="B27:C27" si="12">C11</f>
        <v>Lecap a muy corto plazo</v>
      </c>
      <c r="C27" s="225">
        <f t="shared" si="12"/>
        <v>0.3395</v>
      </c>
      <c r="D27" s="226">
        <v>0.0</v>
      </c>
      <c r="E27" s="227">
        <f t="shared" si="3"/>
        <v>0.3395</v>
      </c>
      <c r="H27" s="232" t="s">
        <v>2793</v>
      </c>
      <c r="I27" s="233">
        <f t="shared" si="13"/>
        <v>0.16975</v>
      </c>
    </row>
    <row r="28">
      <c r="B28" s="224" t="str">
        <f t="shared" ref="B28:C28" si="14">C12</f>
        <v>Cripto</v>
      </c>
      <c r="C28" s="225">
        <f t="shared" si="14"/>
        <v>0.0309</v>
      </c>
      <c r="D28" s="226">
        <v>-0.0309</v>
      </c>
      <c r="E28" s="227">
        <f t="shared" si="3"/>
        <v>0</v>
      </c>
      <c r="H28" s="232" t="s">
        <v>654</v>
      </c>
      <c r="I28" s="253">
        <f t="shared" ref="I28:I32" si="16">$E$29/5</f>
        <v>0.01938</v>
      </c>
    </row>
    <row r="29">
      <c r="B29" s="224" t="str">
        <f t="shared" ref="B29:C29" si="15">C13</f>
        <v>Materias primas</v>
      </c>
      <c r="C29" s="225">
        <f t="shared" si="15"/>
        <v>0.0969</v>
      </c>
      <c r="D29" s="226">
        <v>0.0</v>
      </c>
      <c r="E29" s="227">
        <f t="shared" si="3"/>
        <v>0.0969</v>
      </c>
      <c r="H29" s="232" t="s">
        <v>191</v>
      </c>
      <c r="I29" s="253">
        <f t="shared" si="16"/>
        <v>0.01938</v>
      </c>
    </row>
    <row r="30">
      <c r="B30" s="228"/>
      <c r="C30" s="229">
        <f>SUM(Tabla_2[Modelo])</f>
        <v>1</v>
      </c>
      <c r="D30" s="230">
        <f>SUM(Tabla_2[Corredor +/- 10%])</f>
        <v>0</v>
      </c>
      <c r="E30" s="231">
        <f>SUM(Tabla_2[TAA])</f>
        <v>1</v>
      </c>
      <c r="H30" s="232" t="s">
        <v>1092</v>
      </c>
      <c r="I30" s="253">
        <f t="shared" si="16"/>
        <v>0.01938</v>
      </c>
    </row>
    <row r="31">
      <c r="H31" s="232" t="s">
        <v>1805</v>
      </c>
      <c r="I31" s="253">
        <f t="shared" si="16"/>
        <v>0.01938</v>
      </c>
    </row>
    <row r="32">
      <c r="H32" s="232" t="s">
        <v>56</v>
      </c>
      <c r="I32" s="253">
        <f t="shared" si="16"/>
        <v>0.01938</v>
      </c>
    </row>
  </sheetData>
  <dataValidations>
    <dataValidation type="custom" allowBlank="1" showDropDown="1" sqref="C19:E29">
      <formula1>AND(ISNUMBER(C19),(NOT(OR(NOT(ISERROR(DATEVALUE(C19))), AND(ISNUMBER(C19), LEFT(CELL("format", C19))="D")))))</formula1>
    </dataValidation>
  </dataValidations>
  <hyperlinks>
    <hyperlink r:id="rId1" ref="B1"/>
  </hyperlinks>
  <drawing r:id="rId2"/>
  <tableParts count="1">
    <tablePart r:id="rId4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5.88"/>
    <col customWidth="1" min="5" max="5" width="25.0"/>
    <col customWidth="1" min="7" max="7" width="17.63"/>
  </cols>
  <sheetData>
    <row r="1">
      <c r="B1" s="204" t="s">
        <v>2639</v>
      </c>
    </row>
    <row r="2">
      <c r="B2" s="205" t="s">
        <v>2635</v>
      </c>
      <c r="C2" s="207">
        <v>0.186</v>
      </c>
    </row>
    <row r="3">
      <c r="B3" s="205" t="s">
        <v>2640</v>
      </c>
      <c r="C3" s="207">
        <v>0.1</v>
      </c>
      <c r="K3" s="299"/>
      <c r="L3" s="299"/>
      <c r="M3" s="300"/>
    </row>
    <row r="4">
      <c r="B4" s="209" t="s">
        <v>2615</v>
      </c>
      <c r="C4" s="210" t="s">
        <v>2616</v>
      </c>
      <c r="I4" s="208"/>
      <c r="K4" s="299" t="s">
        <v>2058</v>
      </c>
      <c r="L4" s="299" t="s">
        <v>2641</v>
      </c>
      <c r="M4" s="300" t="s">
        <v>2794</v>
      </c>
    </row>
    <row r="5">
      <c r="A5" s="248"/>
      <c r="B5" s="299" t="s">
        <v>2795</v>
      </c>
      <c r="C5" s="310">
        <v>0.1875</v>
      </c>
      <c r="I5" s="211"/>
      <c r="J5" s="211"/>
      <c r="K5" s="299" t="s">
        <v>654</v>
      </c>
      <c r="L5" s="299" t="s">
        <v>2648</v>
      </c>
      <c r="M5" s="300" t="s">
        <v>2796</v>
      </c>
    </row>
    <row r="6">
      <c r="A6" s="269"/>
      <c r="B6" s="299" t="s">
        <v>2584</v>
      </c>
      <c r="C6" s="310">
        <v>0.0791</v>
      </c>
      <c r="I6" s="216"/>
      <c r="J6" s="216"/>
      <c r="K6" s="299" t="s">
        <v>2668</v>
      </c>
      <c r="L6" s="299" t="s">
        <v>2669</v>
      </c>
      <c r="M6" s="300" t="s">
        <v>2797</v>
      </c>
    </row>
    <row r="7">
      <c r="A7" s="318"/>
      <c r="B7" s="299" t="s">
        <v>2798</v>
      </c>
      <c r="C7" s="310">
        <v>0.1221</v>
      </c>
      <c r="I7" s="216"/>
      <c r="J7" s="216"/>
      <c r="K7" s="299" t="s">
        <v>545</v>
      </c>
      <c r="L7" s="299" t="s">
        <v>2674</v>
      </c>
      <c r="M7" s="300" t="s">
        <v>2799</v>
      </c>
    </row>
    <row r="8">
      <c r="A8" s="318"/>
      <c r="B8" s="299" t="s">
        <v>2800</v>
      </c>
      <c r="C8" s="380">
        <v>0.18</v>
      </c>
      <c r="I8" s="216"/>
      <c r="J8" s="216"/>
      <c r="K8" s="299" t="s">
        <v>812</v>
      </c>
      <c r="L8" s="299" t="s">
        <v>2672</v>
      </c>
      <c r="M8" s="300" t="s">
        <v>2801</v>
      </c>
    </row>
    <row r="9">
      <c r="A9" s="318"/>
      <c r="B9" s="299" t="s">
        <v>2667</v>
      </c>
      <c r="C9" s="310">
        <v>0.1039</v>
      </c>
      <c r="K9" s="299" t="s">
        <v>1897</v>
      </c>
      <c r="L9" s="299" t="s">
        <v>2680</v>
      </c>
      <c r="M9" s="300" t="s">
        <v>2802</v>
      </c>
    </row>
    <row r="10">
      <c r="A10" s="319"/>
      <c r="B10" s="299" t="s">
        <v>2758</v>
      </c>
      <c r="C10" s="310">
        <v>0.0409</v>
      </c>
      <c r="K10" s="299" t="s">
        <v>2677</v>
      </c>
      <c r="L10" s="299" t="s">
        <v>2678</v>
      </c>
      <c r="M10" s="300" t="s">
        <v>2803</v>
      </c>
    </row>
    <row r="11">
      <c r="A11" s="318"/>
      <c r="B11" s="299" t="s">
        <v>2548</v>
      </c>
      <c r="C11" s="310">
        <v>0.2865</v>
      </c>
      <c r="K11" s="299"/>
      <c r="L11" s="299"/>
      <c r="M11" s="300"/>
    </row>
    <row r="12">
      <c r="B12" s="232"/>
      <c r="C12" s="310"/>
      <c r="K12" s="216"/>
      <c r="L12" s="216"/>
      <c r="M12" s="217"/>
    </row>
    <row r="13">
      <c r="B13" s="232"/>
      <c r="C13" s="310"/>
      <c r="K13" s="216"/>
      <c r="L13" s="216"/>
      <c r="M13" s="217"/>
    </row>
    <row r="17">
      <c r="B17" s="216"/>
      <c r="C17" s="219"/>
    </row>
    <row r="19">
      <c r="A19" s="220" t="s">
        <v>2619</v>
      </c>
      <c r="B19" s="221" t="s">
        <v>2620</v>
      </c>
      <c r="C19" s="222" t="s">
        <v>2621</v>
      </c>
      <c r="D19" s="223" t="s">
        <v>2622</v>
      </c>
    </row>
    <row r="20">
      <c r="A20" s="224" t="str">
        <f t="shared" ref="A20:B20" si="1">B5</f>
        <v>Bonos corporativos emergentes</v>
      </c>
      <c r="B20" s="225">
        <f t="shared" si="1"/>
        <v>0.1875</v>
      </c>
      <c r="C20" s="226">
        <v>0.0</v>
      </c>
      <c r="D20" s="227">
        <f t="shared" ref="D20:D26" si="3">C20+B20</f>
        <v>0.1875</v>
      </c>
    </row>
    <row r="21">
      <c r="A21" s="224" t="str">
        <f t="shared" ref="A21:B21" si="2">B6</f>
        <v>Oro</v>
      </c>
      <c r="B21" s="225">
        <f t="shared" si="2"/>
        <v>0.0791</v>
      </c>
      <c r="C21" s="226">
        <v>0.0</v>
      </c>
      <c r="D21" s="227">
        <f t="shared" si="3"/>
        <v>0.0791</v>
      </c>
      <c r="G21" s="205"/>
    </row>
    <row r="22">
      <c r="A22" s="224" t="str">
        <f t="shared" ref="A22:B22" si="4">B7</f>
        <v>Mercados desarrollados ex USA</v>
      </c>
      <c r="B22" s="225">
        <f t="shared" si="4"/>
        <v>0.1221</v>
      </c>
      <c r="C22" s="226">
        <v>0.0</v>
      </c>
      <c r="D22" s="227">
        <f t="shared" si="3"/>
        <v>0.1221</v>
      </c>
      <c r="H22" s="235"/>
    </row>
    <row r="23">
      <c r="A23" s="224" t="str">
        <f t="shared" ref="A23:B23" si="5">B8</f>
        <v>Mercados emergentes</v>
      </c>
      <c r="B23" s="225">
        <f t="shared" si="5"/>
        <v>0.18</v>
      </c>
      <c r="C23" s="226">
        <v>0.0</v>
      </c>
      <c r="D23" s="227">
        <f t="shared" si="3"/>
        <v>0.18</v>
      </c>
      <c r="E23" s="192"/>
    </row>
    <row r="24">
      <c r="A24" s="224" t="str">
        <f t="shared" ref="A24:B24" si="6">B9</f>
        <v>US small cap</v>
      </c>
      <c r="B24" s="225">
        <f t="shared" si="6"/>
        <v>0.1039</v>
      </c>
      <c r="C24" s="226">
        <v>0.0</v>
      </c>
      <c r="D24" s="320">
        <f t="shared" si="3"/>
        <v>0.1039</v>
      </c>
      <c r="E24" s="192"/>
    </row>
    <row r="25">
      <c r="A25" s="224" t="str">
        <f t="shared" ref="A25:B25" si="7">B10</f>
        <v>Sector inmobiliario</v>
      </c>
      <c r="B25" s="225">
        <f t="shared" si="7"/>
        <v>0.0409</v>
      </c>
      <c r="C25" s="226">
        <v>0.0</v>
      </c>
      <c r="D25" s="320">
        <f t="shared" si="3"/>
        <v>0.0409</v>
      </c>
      <c r="E25" s="192"/>
    </row>
    <row r="26">
      <c r="A26" s="224" t="str">
        <f t="shared" ref="A26:B26" si="8">B11</f>
        <v>Argentina</v>
      </c>
      <c r="B26" s="225">
        <f t="shared" si="8"/>
        <v>0.2865</v>
      </c>
      <c r="C26" s="226">
        <v>0.0</v>
      </c>
      <c r="D26" s="320">
        <f t="shared" si="3"/>
        <v>0.2865</v>
      </c>
      <c r="E26" s="192"/>
    </row>
    <row r="27">
      <c r="A27" s="228"/>
      <c r="B27" s="229">
        <f>SUM(Tactical_14[Modelo])</f>
        <v>1</v>
      </c>
      <c r="C27" s="230">
        <f>SUM(Tactical_14[Corredor +/- 10%])</f>
        <v>0</v>
      </c>
      <c r="D27" s="231">
        <f>SUM(Tactical_14[TAA])</f>
        <v>1</v>
      </c>
      <c r="E27" s="1"/>
      <c r="F27" s="1"/>
      <c r="G27" s="1"/>
    </row>
    <row r="28">
      <c r="B28" s="216"/>
      <c r="C28" s="219"/>
      <c r="E28" s="1"/>
      <c r="F28" s="1"/>
      <c r="G28" s="1"/>
    </row>
    <row r="29">
      <c r="E29" s="1"/>
      <c r="F29" s="1"/>
      <c r="G29" s="1"/>
    </row>
    <row r="30">
      <c r="C30" s="1" t="s">
        <v>2559</v>
      </c>
      <c r="E30" s="1"/>
      <c r="F30" s="1"/>
      <c r="G30" s="1"/>
    </row>
    <row r="31">
      <c r="A31" s="314"/>
      <c r="B31" s="232" t="s">
        <v>2058</v>
      </c>
      <c r="C31" s="381">
        <v>0.1</v>
      </c>
      <c r="D31" s="1" t="s">
        <v>2804</v>
      </c>
      <c r="J31" s="238"/>
    </row>
    <row r="32">
      <c r="A32" s="382"/>
      <c r="B32" s="232" t="s">
        <v>606</v>
      </c>
      <c r="C32" s="379">
        <v>0.08</v>
      </c>
      <c r="D32" s="1" t="s">
        <v>2805</v>
      </c>
      <c r="J32" s="238"/>
    </row>
    <row r="33">
      <c r="A33" s="316"/>
      <c r="B33" s="232" t="s">
        <v>654</v>
      </c>
      <c r="C33" s="237">
        <f>D21</f>
        <v>0.0791</v>
      </c>
      <c r="D33" s="1" t="s">
        <v>2806</v>
      </c>
      <c r="J33" s="238"/>
    </row>
    <row r="34">
      <c r="A34" s="321"/>
      <c r="B34" s="232" t="s">
        <v>1800</v>
      </c>
      <c r="C34" s="379">
        <v>0.06</v>
      </c>
      <c r="D34" s="1" t="s">
        <v>2807</v>
      </c>
      <c r="E34" s="245"/>
      <c r="K34" s="243"/>
      <c r="L34" s="244"/>
    </row>
    <row r="35">
      <c r="A35" s="321"/>
      <c r="B35" s="232" t="s">
        <v>766</v>
      </c>
      <c r="C35" s="379">
        <v>0.06</v>
      </c>
      <c r="D35" s="1" t="s">
        <v>2808</v>
      </c>
      <c r="E35" s="245"/>
      <c r="F35" s="1"/>
      <c r="G35" s="1"/>
      <c r="H35" s="1"/>
      <c r="I35" s="1"/>
      <c r="J35" s="1"/>
      <c r="K35" s="243"/>
      <c r="L35" s="244"/>
    </row>
    <row r="36">
      <c r="A36" s="321"/>
      <c r="B36" s="232" t="s">
        <v>2809</v>
      </c>
      <c r="C36" s="233">
        <f>$D$23*D56</f>
        <v>0.1577822777</v>
      </c>
      <c r="D36" s="1" t="s">
        <v>2810</v>
      </c>
      <c r="E36" s="245"/>
      <c r="F36" s="1"/>
      <c r="G36" s="1"/>
      <c r="H36" s="1"/>
      <c r="I36" s="1"/>
      <c r="J36" s="1"/>
      <c r="K36" s="243"/>
      <c r="L36" s="244"/>
    </row>
    <row r="37">
      <c r="A37" s="383"/>
      <c r="B37" s="232" t="s">
        <v>757</v>
      </c>
      <c r="C37" s="381">
        <v>0.04</v>
      </c>
      <c r="D37" s="1" t="s">
        <v>2811</v>
      </c>
      <c r="E37" s="245"/>
      <c r="F37" s="1"/>
      <c r="G37" s="1"/>
      <c r="H37" s="1"/>
      <c r="I37" s="1"/>
      <c r="J37" s="1"/>
      <c r="K37" s="243"/>
      <c r="L37" s="244"/>
    </row>
    <row r="38">
      <c r="A38" s="321"/>
      <c r="B38" s="232" t="s">
        <v>812</v>
      </c>
      <c r="C38" s="384">
        <v>0.1</v>
      </c>
      <c r="D38" s="1" t="s">
        <v>2812</v>
      </c>
      <c r="E38" s="245"/>
      <c r="F38" s="1"/>
      <c r="G38" s="1"/>
      <c r="H38" s="1"/>
      <c r="I38" s="1"/>
      <c r="J38" s="1"/>
      <c r="K38" s="243"/>
      <c r="L38" s="244"/>
    </row>
    <row r="39">
      <c r="A39" s="385"/>
      <c r="B39" s="232" t="s">
        <v>1897</v>
      </c>
      <c r="C39" s="253">
        <f>D25</f>
        <v>0.0409</v>
      </c>
      <c r="D39" s="1" t="s">
        <v>2813</v>
      </c>
      <c r="E39" s="245"/>
      <c r="F39" s="1"/>
      <c r="G39" s="1"/>
      <c r="H39" s="1"/>
      <c r="I39" s="1"/>
      <c r="J39" s="1"/>
      <c r="K39" s="243"/>
      <c r="L39" s="244"/>
    </row>
    <row r="40">
      <c r="A40" s="321"/>
      <c r="B40" s="386" t="s">
        <v>2814</v>
      </c>
      <c r="C40" s="381">
        <v>0.05</v>
      </c>
      <c r="D40" s="1" t="s">
        <v>2766</v>
      </c>
      <c r="E40" s="245"/>
      <c r="F40" s="1"/>
      <c r="G40" s="1"/>
      <c r="H40" s="1"/>
      <c r="I40" s="1"/>
      <c r="J40" s="1"/>
      <c r="K40" s="243"/>
      <c r="L40" s="244"/>
    </row>
    <row r="41">
      <c r="A41" s="321"/>
      <c r="B41" s="232" t="s">
        <v>1805</v>
      </c>
      <c r="C41" s="381">
        <v>0.05</v>
      </c>
      <c r="D41" s="1" t="s">
        <v>2815</v>
      </c>
      <c r="E41" s="245"/>
      <c r="F41" s="1"/>
      <c r="G41" s="1"/>
      <c r="H41" s="1"/>
      <c r="I41" s="1"/>
      <c r="J41" s="1"/>
      <c r="K41" s="243"/>
      <c r="L41" s="244"/>
    </row>
    <row r="42">
      <c r="A42" s="321"/>
      <c r="B42" s="232" t="s">
        <v>1630</v>
      </c>
      <c r="C42" s="381">
        <v>0.03</v>
      </c>
      <c r="D42" s="1" t="s">
        <v>2816</v>
      </c>
      <c r="E42" s="245"/>
      <c r="F42" s="1"/>
      <c r="G42" s="1"/>
      <c r="H42" s="1"/>
      <c r="I42" s="1"/>
      <c r="J42" s="1"/>
      <c r="K42" s="243"/>
      <c r="L42" s="244"/>
    </row>
    <row r="43">
      <c r="A43" s="321"/>
      <c r="B43" s="232" t="s">
        <v>2817</v>
      </c>
      <c r="C43" s="381">
        <v>0.03</v>
      </c>
      <c r="D43" s="1" t="s">
        <v>2818</v>
      </c>
      <c r="E43" s="245"/>
      <c r="F43" s="1"/>
      <c r="G43" s="1"/>
      <c r="H43" s="1"/>
      <c r="I43" s="1"/>
      <c r="J43" s="1"/>
      <c r="K43" s="243"/>
      <c r="L43" s="244"/>
    </row>
    <row r="44">
      <c r="A44" s="321"/>
      <c r="B44" s="232" t="s">
        <v>2819</v>
      </c>
      <c r="C44" s="381">
        <v>0.03</v>
      </c>
      <c r="D44" s="1" t="s">
        <v>2820</v>
      </c>
      <c r="E44" s="245"/>
      <c r="F44" s="1"/>
      <c r="G44" s="1"/>
      <c r="H44" s="1"/>
      <c r="I44" s="1"/>
      <c r="J44" s="1"/>
      <c r="K44" s="243"/>
      <c r="L44" s="244"/>
    </row>
    <row r="45">
      <c r="A45" s="321"/>
      <c r="B45" s="232" t="s">
        <v>828</v>
      </c>
      <c r="C45" s="381">
        <v>0.03</v>
      </c>
      <c r="D45" s="1" t="s">
        <v>2821</v>
      </c>
      <c r="E45" s="245"/>
      <c r="F45" s="1"/>
      <c r="G45" s="1"/>
      <c r="H45" s="1"/>
      <c r="I45" s="1"/>
      <c r="J45" s="1"/>
      <c r="K45" s="243"/>
      <c r="L45" s="244"/>
    </row>
    <row r="46">
      <c r="A46" s="321"/>
      <c r="B46" s="387" t="s">
        <v>2822</v>
      </c>
      <c r="C46" s="381">
        <v>0.03</v>
      </c>
      <c r="D46" s="1" t="s">
        <v>2823</v>
      </c>
      <c r="E46" s="245"/>
      <c r="K46" s="243"/>
      <c r="L46" s="244"/>
    </row>
    <row r="47">
      <c r="A47" s="321"/>
      <c r="B47" s="388" t="s">
        <v>2824</v>
      </c>
      <c r="C47" s="381">
        <v>0.03</v>
      </c>
      <c r="D47" s="1" t="s">
        <v>2825</v>
      </c>
      <c r="E47" s="245"/>
      <c r="K47" s="243"/>
      <c r="L47" s="244"/>
    </row>
    <row r="48">
      <c r="C48" s="233">
        <f>SUM(C31:C47)</f>
        <v>0.9977822777</v>
      </c>
      <c r="D48" s="239"/>
      <c r="E48" s="245"/>
      <c r="K48" s="246"/>
      <c r="L48" s="244"/>
    </row>
    <row r="49">
      <c r="E49" s="245"/>
      <c r="K49" s="246"/>
      <c r="L49" s="244"/>
    </row>
    <row r="50">
      <c r="E50" s="245"/>
      <c r="K50" s="246"/>
      <c r="L50" s="244"/>
    </row>
    <row r="51">
      <c r="E51" s="245"/>
      <c r="F51" s="1"/>
      <c r="G51" s="1"/>
      <c r="H51" s="1"/>
      <c r="I51" s="1"/>
      <c r="J51" s="1"/>
      <c r="K51" s="246"/>
      <c r="L51" s="244"/>
    </row>
    <row r="52">
      <c r="E52" s="245"/>
      <c r="K52" s="246"/>
      <c r="L52" s="244"/>
    </row>
    <row r="53">
      <c r="C53" s="1"/>
      <c r="D53" s="1"/>
      <c r="E53" s="245"/>
      <c r="K53" s="246"/>
      <c r="L53" s="244"/>
    </row>
    <row r="54">
      <c r="E54" s="245"/>
      <c r="K54" s="246"/>
      <c r="L54" s="244"/>
    </row>
    <row r="55">
      <c r="E55" s="245"/>
      <c r="F55" s="1"/>
      <c r="G55" s="1"/>
      <c r="H55" s="1"/>
      <c r="I55" s="1"/>
      <c r="J55" s="1"/>
      <c r="K55" s="246"/>
      <c r="L55" s="244"/>
    </row>
    <row r="56">
      <c r="B56" s="1" t="s">
        <v>2486</v>
      </c>
      <c r="C56" s="1">
        <v>2457499.06</v>
      </c>
      <c r="D56" s="239">
        <f t="shared" ref="D56:D57" si="9">C56/$C$58</f>
        <v>0.8765682092</v>
      </c>
      <c r="E56" s="245"/>
      <c r="F56" s="1"/>
      <c r="G56" s="1"/>
      <c r="H56" s="1"/>
      <c r="I56" s="1"/>
      <c r="J56" s="1"/>
      <c r="K56" s="246"/>
      <c r="L56" s="244"/>
    </row>
    <row r="57">
      <c r="B57" s="1" t="s">
        <v>2483</v>
      </c>
      <c r="C57" s="1">
        <v>346046.67</v>
      </c>
      <c r="D57" s="239">
        <f t="shared" si="9"/>
        <v>0.1234317908</v>
      </c>
      <c r="E57" s="245"/>
      <c r="K57" s="246"/>
      <c r="L57" s="244"/>
    </row>
    <row r="58">
      <c r="C58" s="197">
        <f>SUM(C56:C57)</f>
        <v>2803545.73</v>
      </c>
      <c r="E58" s="245"/>
      <c r="F58" s="1"/>
      <c r="G58" s="1"/>
      <c r="H58" s="1"/>
      <c r="I58" s="1"/>
      <c r="J58" s="1"/>
      <c r="K58" s="246"/>
      <c r="L58" s="244"/>
    </row>
    <row r="59">
      <c r="E59" s="245"/>
      <c r="F59" s="1"/>
      <c r="G59" s="1"/>
      <c r="H59" s="1"/>
      <c r="I59" s="1"/>
      <c r="J59" s="1"/>
      <c r="K59" s="246"/>
      <c r="L59" s="244"/>
    </row>
    <row r="60">
      <c r="E60" s="245"/>
      <c r="K60" s="246"/>
      <c r="L60" s="244"/>
    </row>
    <row r="61">
      <c r="E61" s="245"/>
      <c r="F61" s="1"/>
      <c r="G61" s="1"/>
      <c r="H61" s="1"/>
      <c r="I61" s="1"/>
      <c r="J61" s="1"/>
      <c r="K61" s="246"/>
      <c r="L61" s="244"/>
    </row>
    <row r="62">
      <c r="E62" s="245"/>
      <c r="K62" s="246"/>
      <c r="L62" s="244"/>
    </row>
    <row r="63">
      <c r="E63" s="245"/>
      <c r="K63" s="246"/>
      <c r="L63" s="244"/>
    </row>
    <row r="64">
      <c r="E64" s="245"/>
      <c r="K64" s="246"/>
      <c r="L64" s="244"/>
    </row>
    <row r="65">
      <c r="E65" s="245"/>
      <c r="F65" s="1"/>
      <c r="G65" s="1"/>
      <c r="H65" s="1"/>
      <c r="I65" s="1"/>
      <c r="J65" s="1"/>
      <c r="K65" s="246"/>
      <c r="L65" s="244"/>
    </row>
    <row r="1003">
      <c r="A1003" s="321"/>
      <c r="M1003" s="236"/>
    </row>
  </sheetData>
  <dataValidations>
    <dataValidation type="custom" allowBlank="1" showDropDown="1" sqref="B20:D26">
      <formula1>AND(ISNUMBER(B20),(NOT(OR(NOT(ISERROR(DATEVALUE(B20))), AND(ISNUMBER(B20), LEFT(CELL("format", B20))="D")))))</formula1>
    </dataValidation>
  </dataValidations>
  <hyperlinks>
    <hyperlink r:id="rId1" ref="B46"/>
  </hyperlinks>
  <drawing r:id="rId2"/>
  <tableParts count="1">
    <tablePart r:id="rId4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6" max="6" width="16.25"/>
    <col customWidth="1" min="7" max="7" width="17.63"/>
  </cols>
  <sheetData>
    <row r="1">
      <c r="B1" s="204" t="s">
        <v>2639</v>
      </c>
    </row>
    <row r="2">
      <c r="B2" s="205" t="s">
        <v>2635</v>
      </c>
      <c r="C2" s="207">
        <v>0.1476</v>
      </c>
    </row>
    <row r="3">
      <c r="B3" s="205" t="s">
        <v>2640</v>
      </c>
      <c r="C3" s="207">
        <v>0.0785</v>
      </c>
    </row>
    <row r="4">
      <c r="B4" s="209" t="s">
        <v>2615</v>
      </c>
      <c r="C4" s="210" t="s">
        <v>2616</v>
      </c>
      <c r="I4" s="208"/>
      <c r="J4" s="299"/>
      <c r="K4" s="299"/>
      <c r="L4" s="300"/>
    </row>
    <row r="5">
      <c r="A5" s="248"/>
      <c r="B5" s="214" t="s">
        <v>2633</v>
      </c>
      <c r="C5" s="301">
        <v>0.5175</v>
      </c>
      <c r="I5" s="211"/>
      <c r="J5" s="299"/>
      <c r="K5" s="299"/>
      <c r="L5" s="300"/>
    </row>
    <row r="6">
      <c r="A6" s="251"/>
      <c r="B6" s="214" t="s">
        <v>2637</v>
      </c>
      <c r="C6" s="301">
        <v>0.2723</v>
      </c>
      <c r="I6" s="216"/>
      <c r="J6" s="299"/>
      <c r="K6" s="299"/>
      <c r="L6" s="300"/>
    </row>
    <row r="7">
      <c r="A7" s="302"/>
      <c r="B7" s="214" t="s">
        <v>2647</v>
      </c>
      <c r="C7" s="301">
        <v>0.0813</v>
      </c>
      <c r="I7" s="216"/>
      <c r="J7" s="299"/>
      <c r="K7" s="299"/>
      <c r="L7" s="300"/>
    </row>
    <row r="8">
      <c r="A8" s="269"/>
      <c r="B8" s="214" t="s">
        <v>2584</v>
      </c>
      <c r="C8" s="301">
        <v>0.0887</v>
      </c>
      <c r="I8" s="216"/>
      <c r="J8" s="299"/>
      <c r="K8" s="299"/>
      <c r="L8" s="300"/>
    </row>
    <row r="9">
      <c r="A9" s="303"/>
      <c r="B9" s="304" t="s">
        <v>2652</v>
      </c>
      <c r="C9" s="301">
        <v>0.0401</v>
      </c>
    </row>
    <row r="10">
      <c r="B10" s="216"/>
      <c r="C10" s="219"/>
    </row>
    <row r="12">
      <c r="A12" s="220" t="s">
        <v>2619</v>
      </c>
      <c r="B12" s="221" t="s">
        <v>2620</v>
      </c>
      <c r="C12" s="222" t="s">
        <v>2621</v>
      </c>
      <c r="D12" s="223" t="s">
        <v>2622</v>
      </c>
    </row>
    <row r="13">
      <c r="A13" s="224" t="str">
        <f t="shared" ref="A13:B13" si="1">B5</f>
        <v>ONs</v>
      </c>
      <c r="B13" s="225">
        <f t="shared" si="1"/>
        <v>0.5175</v>
      </c>
      <c r="C13" s="226">
        <v>0.2</v>
      </c>
      <c r="D13" s="227">
        <f t="shared" ref="D13:D17" si="3">C13+B13</f>
        <v>0.7175</v>
      </c>
    </row>
    <row r="14">
      <c r="A14" s="224" t="str">
        <f t="shared" ref="A14:B14" si="2">B6</f>
        <v>Soberanos Hard Dollar</v>
      </c>
      <c r="B14" s="225">
        <f t="shared" si="2"/>
        <v>0.2723</v>
      </c>
      <c r="C14" s="226">
        <v>-0.1</v>
      </c>
      <c r="D14" s="227">
        <f t="shared" si="3"/>
        <v>0.1723</v>
      </c>
    </row>
    <row r="15">
      <c r="A15" s="224" t="str">
        <f t="shared" ref="A15:B15" si="4">B7</f>
        <v>Soberanos pesos</v>
      </c>
      <c r="B15" s="225">
        <f t="shared" si="4"/>
        <v>0.0813</v>
      </c>
      <c r="C15" s="226">
        <v>-0.0813</v>
      </c>
      <c r="D15" s="227">
        <f t="shared" si="3"/>
        <v>0</v>
      </c>
    </row>
    <row r="16">
      <c r="A16" s="224" t="str">
        <f t="shared" ref="A16:B16" si="5">B8</f>
        <v>Oro</v>
      </c>
      <c r="B16" s="225">
        <f t="shared" si="5"/>
        <v>0.0887</v>
      </c>
      <c r="C16" s="226">
        <v>-0.0187</v>
      </c>
      <c r="D16" s="227">
        <f t="shared" si="3"/>
        <v>0.07</v>
      </c>
    </row>
    <row r="17">
      <c r="A17" s="224" t="str">
        <f t="shared" ref="A17:B17" si="6">B9</f>
        <v>Plata</v>
      </c>
      <c r="B17" s="225">
        <f t="shared" si="6"/>
        <v>0.0401</v>
      </c>
      <c r="C17" s="305">
        <v>0.0</v>
      </c>
      <c r="D17" s="227">
        <f t="shared" si="3"/>
        <v>0.0401</v>
      </c>
    </row>
    <row r="18">
      <c r="A18" s="228"/>
      <c r="B18" s="229">
        <f>SUM(Tactical_20[Modelo])</f>
        <v>0.9999</v>
      </c>
      <c r="C18" s="230">
        <f>SUM(Tactical_20[Corredor +/- 10%])</f>
        <v>0</v>
      </c>
      <c r="D18" s="231">
        <f>SUM(Tactical_20[TAA])</f>
        <v>0.9999</v>
      </c>
    </row>
    <row r="19">
      <c r="B19" s="216"/>
      <c r="C19" s="219"/>
    </row>
    <row r="21">
      <c r="C21" s="1" t="s">
        <v>2559</v>
      </c>
      <c r="D21" s="1" t="s">
        <v>2826</v>
      </c>
      <c r="E21" s="1" t="s">
        <v>2827</v>
      </c>
      <c r="F21" s="1" t="s">
        <v>2660</v>
      </c>
    </row>
    <row r="22">
      <c r="A22" s="248"/>
      <c r="B22" s="232" t="str">
        <f>Ons!B6</f>
        <v>TLCPD</v>
      </c>
      <c r="C22" s="237">
        <f>$D$13*Ons!G6</f>
        <v>0.2790331503</v>
      </c>
      <c r="D22" s="5">
        <f>Ons!C6</f>
        <v>0.08753378101</v>
      </c>
      <c r="E22" s="389">
        <f>Ons!E6</f>
        <v>48726</v>
      </c>
      <c r="F22" s="236">
        <f t="shared" ref="F22:F27" si="7">D22*C22</f>
        <v>0.02442482667</v>
      </c>
    </row>
    <row r="23">
      <c r="A23" s="248"/>
      <c r="B23" s="232" t="str">
        <f>Ons!B8</f>
        <v/>
      </c>
      <c r="C23" s="237">
        <f>$D$13*Ons!G8</f>
        <v>0</v>
      </c>
      <c r="D23" s="197" t="str">
        <f>Ons!C8</f>
        <v/>
      </c>
      <c r="E23" s="197" t="str">
        <f>Ons!E8</f>
        <v/>
      </c>
      <c r="F23" s="197">
        <f t="shared" si="7"/>
        <v>0</v>
      </c>
      <c r="H23" s="235"/>
    </row>
    <row r="24">
      <c r="A24" s="251"/>
      <c r="B24" s="232" t="str">
        <f>Soberanos!B29</f>
        <v>AL30D</v>
      </c>
      <c r="C24" s="237">
        <f>$D$14*Soberanos!F29</f>
        <v>0.0763017461</v>
      </c>
      <c r="D24" s="245">
        <f>Soberanos!C29</f>
        <v>0.1330489556</v>
      </c>
      <c r="E24" s="390">
        <v>47673.0</v>
      </c>
      <c r="F24" s="236">
        <f t="shared" si="7"/>
        <v>0.01015186763</v>
      </c>
      <c r="G24" s="1"/>
    </row>
    <row r="25">
      <c r="A25" s="251"/>
      <c r="B25" s="232" t="str">
        <f>Soberanos!B30</f>
        <v>AE38D</v>
      </c>
      <c r="C25" s="237">
        <f>$D$14*Soberanos!F30</f>
        <v>0.03582894867</v>
      </c>
      <c r="D25" s="245">
        <f>Soberanos!C30</f>
        <v>0.1268489899</v>
      </c>
      <c r="E25" s="390">
        <v>50414.0</v>
      </c>
      <c r="F25" s="236">
        <f t="shared" si="7"/>
        <v>0.004544865947</v>
      </c>
      <c r="G25" s="1"/>
    </row>
    <row r="26">
      <c r="A26" s="269"/>
      <c r="B26" s="306" t="s">
        <v>654</v>
      </c>
      <c r="C26" s="237">
        <f t="shared" ref="C26:C27" si="8">D16</f>
        <v>0.07</v>
      </c>
      <c r="D26" s="245">
        <v>0.034</v>
      </c>
      <c r="E26" s="192" t="s">
        <v>2064</v>
      </c>
      <c r="F26" s="236">
        <f t="shared" si="7"/>
        <v>0.00238</v>
      </c>
      <c r="G26" s="1"/>
    </row>
    <row r="27">
      <c r="A27" s="303"/>
      <c r="B27" s="307" t="s">
        <v>1442</v>
      </c>
      <c r="C27" s="237">
        <f t="shared" si="8"/>
        <v>0.0401</v>
      </c>
      <c r="D27" s="245">
        <v>0.035</v>
      </c>
      <c r="E27" s="192" t="s">
        <v>2064</v>
      </c>
      <c r="F27" s="236">
        <f t="shared" si="7"/>
        <v>0.0014035</v>
      </c>
    </row>
    <row r="28">
      <c r="B28" s="308"/>
      <c r="C28" s="233">
        <f>SUM(C22:C27)</f>
        <v>0.501263845</v>
      </c>
      <c r="F28" s="6">
        <f>SUM(F22:F27)</f>
        <v>0.04290506024</v>
      </c>
    </row>
    <row r="30">
      <c r="J30" s="238"/>
    </row>
    <row r="31">
      <c r="D31" s="309"/>
    </row>
    <row r="32">
      <c r="D32" s="239"/>
      <c r="E32" s="5"/>
      <c r="F32" s="5"/>
      <c r="J32" s="238"/>
    </row>
    <row r="33">
      <c r="D33" s="239"/>
    </row>
    <row r="34">
      <c r="D34" s="239"/>
    </row>
    <row r="36">
      <c r="E36" s="245"/>
      <c r="K36" s="243"/>
      <c r="L36" s="244"/>
    </row>
    <row r="37">
      <c r="C37" s="1"/>
      <c r="D37" s="1"/>
      <c r="E37" s="245"/>
      <c r="F37" s="1"/>
      <c r="G37" s="1"/>
      <c r="H37" s="1"/>
      <c r="I37" s="1"/>
      <c r="J37" s="1"/>
      <c r="K37" s="243"/>
      <c r="L37" s="244"/>
    </row>
    <row r="38">
      <c r="E38" s="245"/>
      <c r="K38" s="243"/>
      <c r="L38" s="244"/>
    </row>
    <row r="39">
      <c r="E39" s="245"/>
      <c r="K39" s="243"/>
      <c r="L39" s="244"/>
    </row>
    <row r="40">
      <c r="E40" s="245"/>
      <c r="K40" s="246"/>
      <c r="L40" s="244"/>
    </row>
    <row r="41">
      <c r="E41" s="245"/>
      <c r="K41" s="246"/>
      <c r="L41" s="244"/>
    </row>
    <row r="42">
      <c r="E42" s="245"/>
      <c r="K42" s="246"/>
      <c r="L42" s="244"/>
    </row>
    <row r="43">
      <c r="C43" s="1"/>
      <c r="D43" s="1"/>
      <c r="E43" s="245"/>
      <c r="F43" s="1"/>
      <c r="G43" s="1"/>
      <c r="H43" s="1"/>
      <c r="I43" s="1"/>
      <c r="J43" s="1"/>
      <c r="K43" s="246"/>
      <c r="L43" s="244"/>
    </row>
    <row r="44">
      <c r="E44" s="245"/>
      <c r="K44" s="246"/>
      <c r="L44" s="244"/>
    </row>
    <row r="45">
      <c r="E45" s="245"/>
      <c r="K45" s="246"/>
      <c r="L45" s="244"/>
    </row>
    <row r="46">
      <c r="E46" s="245"/>
      <c r="K46" s="246"/>
      <c r="L46" s="244"/>
    </row>
    <row r="47">
      <c r="C47" s="1"/>
      <c r="D47" s="1"/>
      <c r="E47" s="245"/>
      <c r="F47" s="1"/>
      <c r="G47" s="1"/>
      <c r="H47" s="1"/>
      <c r="I47" s="1"/>
      <c r="J47" s="1"/>
      <c r="K47" s="246"/>
      <c r="L47" s="244"/>
    </row>
    <row r="48">
      <c r="C48" s="1"/>
      <c r="D48" s="1"/>
      <c r="E48" s="245"/>
      <c r="F48" s="1"/>
      <c r="G48" s="1"/>
      <c r="H48" s="1"/>
      <c r="I48" s="1"/>
      <c r="J48" s="1"/>
      <c r="K48" s="246"/>
      <c r="L48" s="244"/>
    </row>
    <row r="49">
      <c r="E49" s="245"/>
      <c r="K49" s="246"/>
      <c r="L49" s="244"/>
    </row>
    <row r="50">
      <c r="C50" s="1"/>
      <c r="D50" s="1"/>
      <c r="E50" s="245"/>
      <c r="F50" s="1"/>
      <c r="G50" s="1"/>
      <c r="H50" s="1"/>
      <c r="I50" s="1"/>
      <c r="J50" s="1"/>
      <c r="K50" s="246"/>
      <c r="L50" s="244"/>
    </row>
    <row r="51">
      <c r="C51" s="1"/>
      <c r="D51" s="1"/>
      <c r="E51" s="245"/>
      <c r="F51" s="1"/>
      <c r="G51" s="1"/>
      <c r="H51" s="1"/>
      <c r="I51" s="1"/>
      <c r="J51" s="1"/>
      <c r="K51" s="246"/>
      <c r="L51" s="244"/>
    </row>
    <row r="52">
      <c r="E52" s="245"/>
      <c r="K52" s="246"/>
      <c r="L52" s="244"/>
    </row>
    <row r="53">
      <c r="C53" s="1"/>
      <c r="D53" s="1"/>
      <c r="E53" s="245"/>
      <c r="F53" s="1"/>
      <c r="G53" s="1"/>
      <c r="H53" s="1"/>
      <c r="I53" s="1"/>
      <c r="J53" s="1"/>
      <c r="K53" s="246"/>
      <c r="L53" s="244"/>
    </row>
    <row r="54">
      <c r="E54" s="245"/>
      <c r="K54" s="246"/>
      <c r="L54" s="244"/>
    </row>
    <row r="55">
      <c r="E55" s="245"/>
      <c r="K55" s="246"/>
      <c r="L55" s="244"/>
    </row>
    <row r="56">
      <c r="E56" s="245"/>
      <c r="K56" s="246"/>
      <c r="L56" s="244"/>
    </row>
    <row r="57">
      <c r="C57" s="1"/>
      <c r="D57" s="1"/>
      <c r="E57" s="245"/>
      <c r="F57" s="1"/>
      <c r="G57" s="1"/>
      <c r="H57" s="1"/>
      <c r="I57" s="1"/>
      <c r="J57" s="1"/>
      <c r="K57" s="246"/>
      <c r="L57" s="244"/>
    </row>
    <row r="995">
      <c r="M995" s="236"/>
    </row>
  </sheetData>
  <dataValidations>
    <dataValidation type="custom" allowBlank="1" showDropDown="1" sqref="B13:D17">
      <formula1>AND(ISNUMBER(B13),(NOT(OR(NOT(ISERROR(DATEVALUE(B13))), AND(ISNUMBER(B13), LEFT(CELL("format", B13))="D")))))</formula1>
    </dataValidation>
  </dataValidations>
  <drawing r:id="rId1"/>
  <tableParts count="1">
    <tablePart r:id="rId3"/>
  </tableParts>
</worksheet>
</file>